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采购申请\安路普业务\2025年价格协议及质量协议\1.河北光华荣昌注塑件（已申请）\"/>
    </mc:Choice>
  </mc:AlternateContent>
  <bookViews>
    <workbookView xWindow="0" yWindow="0" windowWidth="20745" windowHeight="10650" activeTab="1"/>
  </bookViews>
  <sheets>
    <sheet name="安路普产品报价" sheetId="1" r:id="rId1"/>
    <sheet name="安路普产品报价 （不考虑合格率）" sheetId="4" r:id="rId2"/>
    <sheet name="重点产品核算" sheetId="3" state="hidden" r:id="rId3"/>
  </sheets>
  <definedNames>
    <definedName name="_xlnm._FilterDatabase" localSheetId="0" hidden="1">安路普产品报价!$A$4:$AL$170</definedName>
    <definedName name="_xlnm._FilterDatabase" localSheetId="1" hidden="1">'安路普产品报价 （不考虑合格率）'!$A$4:$AL$170</definedName>
    <definedName name="_xlnm._FilterDatabase" localSheetId="2" hidden="1">重点产品核算!$A$4:$W$24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4" i="3" l="1"/>
  <c r="W24" i="3"/>
  <c r="X23" i="3"/>
  <c r="T23" i="3"/>
  <c r="K23" i="3"/>
  <c r="J23" i="3"/>
  <c r="I23" i="3"/>
  <c r="H23" i="3"/>
  <c r="G23" i="3"/>
  <c r="X22" i="3"/>
  <c r="T22" i="3"/>
  <c r="K22" i="3"/>
  <c r="J22" i="3"/>
  <c r="I22" i="3"/>
  <c r="H22" i="3"/>
  <c r="G22" i="3"/>
  <c r="X21" i="3"/>
  <c r="T21" i="3"/>
  <c r="K21" i="3"/>
  <c r="J21" i="3"/>
  <c r="I21" i="3"/>
  <c r="H21" i="3"/>
  <c r="G21" i="3"/>
  <c r="X20" i="3"/>
  <c r="T20" i="3"/>
  <c r="K20" i="3"/>
  <c r="J20" i="3"/>
  <c r="I20" i="3"/>
  <c r="H20" i="3"/>
  <c r="G20" i="3"/>
  <c r="X19" i="3"/>
  <c r="T19" i="3"/>
  <c r="K19" i="3"/>
  <c r="J19" i="3"/>
  <c r="I19" i="3"/>
  <c r="H19" i="3"/>
  <c r="G19" i="3"/>
  <c r="X18" i="3"/>
  <c r="T18" i="3"/>
  <c r="K18" i="3"/>
  <c r="J18" i="3"/>
  <c r="I18" i="3"/>
  <c r="H18" i="3"/>
  <c r="G18" i="3"/>
  <c r="X17" i="3"/>
  <c r="T17" i="3"/>
  <c r="K17" i="3"/>
  <c r="J17" i="3"/>
  <c r="I17" i="3"/>
  <c r="H17" i="3"/>
  <c r="G17" i="3"/>
  <c r="X16" i="3"/>
  <c r="T16" i="3"/>
  <c r="K16" i="3"/>
  <c r="J16" i="3"/>
  <c r="I16" i="3"/>
  <c r="H16" i="3"/>
  <c r="G16" i="3"/>
  <c r="X15" i="3"/>
  <c r="T15" i="3"/>
  <c r="K15" i="3"/>
  <c r="J15" i="3"/>
  <c r="I15" i="3"/>
  <c r="H15" i="3"/>
  <c r="G15" i="3"/>
  <c r="X14" i="3"/>
  <c r="T14" i="3"/>
  <c r="K14" i="3"/>
  <c r="J14" i="3"/>
  <c r="I14" i="3"/>
  <c r="H14" i="3"/>
  <c r="G14" i="3"/>
  <c r="X13" i="3"/>
  <c r="T13" i="3"/>
  <c r="K13" i="3"/>
  <c r="J13" i="3"/>
  <c r="I13" i="3"/>
  <c r="H13" i="3"/>
  <c r="G13" i="3"/>
  <c r="X12" i="3"/>
  <c r="T12" i="3"/>
  <c r="K12" i="3"/>
  <c r="J12" i="3"/>
  <c r="I12" i="3"/>
  <c r="H12" i="3"/>
  <c r="G12" i="3"/>
  <c r="X11" i="3"/>
  <c r="T11" i="3"/>
  <c r="K11" i="3"/>
  <c r="J11" i="3"/>
  <c r="I11" i="3"/>
  <c r="H11" i="3"/>
  <c r="G11" i="3"/>
  <c r="X10" i="3"/>
  <c r="T10" i="3"/>
  <c r="K10" i="3"/>
  <c r="J10" i="3"/>
  <c r="I10" i="3"/>
  <c r="H10" i="3"/>
  <c r="G10" i="3"/>
  <c r="X9" i="3"/>
  <c r="T9" i="3"/>
  <c r="K9" i="3"/>
  <c r="J9" i="3"/>
  <c r="I9" i="3"/>
  <c r="H9" i="3"/>
  <c r="G9" i="3"/>
  <c r="X8" i="3"/>
  <c r="T8" i="3"/>
  <c r="K8" i="3"/>
  <c r="J8" i="3"/>
  <c r="I8" i="3"/>
  <c r="H8" i="3"/>
  <c r="G8" i="3"/>
  <c r="X7" i="3"/>
  <c r="T7" i="3"/>
  <c r="K7" i="3"/>
  <c r="J7" i="3"/>
  <c r="I7" i="3"/>
  <c r="H7" i="3"/>
  <c r="G7" i="3"/>
  <c r="X6" i="3"/>
  <c r="T6" i="3"/>
  <c r="K6" i="3"/>
  <c r="J6" i="3"/>
  <c r="I6" i="3"/>
  <c r="H6" i="3"/>
  <c r="G6" i="3"/>
  <c r="X5" i="3"/>
  <c r="T5" i="3"/>
  <c r="K5" i="3"/>
  <c r="J5" i="3"/>
  <c r="I5" i="3"/>
  <c r="H5" i="3"/>
  <c r="G5" i="3"/>
  <c r="AJ173" i="4"/>
  <c r="AJ172" i="4"/>
  <c r="AI172" i="4"/>
  <c r="AJ170" i="4"/>
  <c r="AI170" i="4"/>
  <c r="AH170" i="4"/>
  <c r="AL169" i="4"/>
  <c r="AK169" i="4"/>
  <c r="AJ169" i="4"/>
  <c r="AI169" i="4"/>
  <c r="AH169" i="4"/>
  <c r="AG169" i="4"/>
  <c r="AE169" i="4"/>
  <c r="AD169" i="4"/>
  <c r="AC169" i="4"/>
  <c r="AB169" i="4"/>
  <c r="AA169" i="4"/>
  <c r="Z169" i="4"/>
  <c r="Y169" i="4"/>
  <c r="X169" i="4"/>
  <c r="V169" i="4"/>
  <c r="Q169" i="4"/>
  <c r="I169" i="4"/>
  <c r="AL168" i="4"/>
  <c r="AK168" i="4"/>
  <c r="AJ168" i="4"/>
  <c r="AI168" i="4"/>
  <c r="AH168" i="4"/>
  <c r="AG168" i="4"/>
  <c r="AE168" i="4"/>
  <c r="AD168" i="4"/>
  <c r="AC168" i="4"/>
  <c r="AB168" i="4"/>
  <c r="AA168" i="4"/>
  <c r="Z168" i="4"/>
  <c r="Y168" i="4"/>
  <c r="X168" i="4"/>
  <c r="V168" i="4"/>
  <c r="Q168" i="4"/>
  <c r="I168" i="4"/>
  <c r="G168" i="4"/>
  <c r="AL167" i="4"/>
  <c r="AK167" i="4"/>
  <c r="AJ167" i="4"/>
  <c r="AI167" i="4"/>
  <c r="AH167" i="4"/>
  <c r="AG167" i="4"/>
  <c r="AE167" i="4"/>
  <c r="AD167" i="4"/>
  <c r="AC167" i="4"/>
  <c r="AB167" i="4"/>
  <c r="AA167" i="4"/>
  <c r="Z167" i="4"/>
  <c r="Y167" i="4"/>
  <c r="X167" i="4"/>
  <c r="V167" i="4"/>
  <c r="S167" i="4"/>
  <c r="Q167" i="4"/>
  <c r="I167" i="4"/>
  <c r="AL166" i="4"/>
  <c r="AK166" i="4"/>
  <c r="AJ166" i="4"/>
  <c r="AI166" i="4"/>
  <c r="AH166" i="4"/>
  <c r="AG166" i="4"/>
  <c r="AE166" i="4"/>
  <c r="AD166" i="4"/>
  <c r="AC166" i="4"/>
  <c r="AB166" i="4"/>
  <c r="AA166" i="4"/>
  <c r="Z166" i="4"/>
  <c r="Y166" i="4"/>
  <c r="X166" i="4"/>
  <c r="V166" i="4"/>
  <c r="S166" i="4"/>
  <c r="Q166" i="4"/>
  <c r="I166" i="4"/>
  <c r="AL165" i="4"/>
  <c r="AK165" i="4"/>
  <c r="AJ165" i="4"/>
  <c r="AI165" i="4"/>
  <c r="AH165" i="4"/>
  <c r="AG165" i="4"/>
  <c r="AE165" i="4"/>
  <c r="AD165" i="4"/>
  <c r="AC165" i="4"/>
  <c r="AB165" i="4"/>
  <c r="AA165" i="4"/>
  <c r="Z165" i="4"/>
  <c r="Y165" i="4"/>
  <c r="X165" i="4"/>
  <c r="V165" i="4"/>
  <c r="Q165" i="4"/>
  <c r="I165" i="4"/>
  <c r="AL164" i="4"/>
  <c r="AK164" i="4"/>
  <c r="AJ164" i="4"/>
  <c r="AI164" i="4"/>
  <c r="AH164" i="4"/>
  <c r="AG164" i="4"/>
  <c r="AE164" i="4"/>
  <c r="AD164" i="4"/>
  <c r="AC164" i="4"/>
  <c r="AB164" i="4"/>
  <c r="AA164" i="4"/>
  <c r="Z164" i="4"/>
  <c r="Y164" i="4"/>
  <c r="X164" i="4"/>
  <c r="V164" i="4"/>
  <c r="Q164" i="4"/>
  <c r="I164" i="4"/>
  <c r="AL163" i="4"/>
  <c r="AK163" i="4"/>
  <c r="AJ163" i="4"/>
  <c r="AI163" i="4"/>
  <c r="AH163" i="4"/>
  <c r="AG163" i="4"/>
  <c r="AE163" i="4"/>
  <c r="AD163" i="4"/>
  <c r="AC163" i="4"/>
  <c r="AB163" i="4"/>
  <c r="AA163" i="4"/>
  <c r="Z163" i="4"/>
  <c r="Y163" i="4"/>
  <c r="X163" i="4"/>
  <c r="V163" i="4"/>
  <c r="S163" i="4"/>
  <c r="Q163" i="4"/>
  <c r="L163" i="4"/>
  <c r="I163" i="4"/>
  <c r="AL162" i="4"/>
  <c r="AK162" i="4"/>
  <c r="AJ162" i="4"/>
  <c r="AI162" i="4"/>
  <c r="AH162" i="4"/>
  <c r="AG162" i="4"/>
  <c r="AE162" i="4"/>
  <c r="AD162" i="4"/>
  <c r="AC162" i="4"/>
  <c r="AB162" i="4"/>
  <c r="AA162" i="4"/>
  <c r="Z162" i="4"/>
  <c r="Y162" i="4"/>
  <c r="X162" i="4"/>
  <c r="V162" i="4"/>
  <c r="S162" i="4"/>
  <c r="Q162" i="4"/>
  <c r="I162" i="4"/>
  <c r="AL161" i="4"/>
  <c r="AK161" i="4"/>
  <c r="AJ161" i="4"/>
  <c r="AI161" i="4"/>
  <c r="AH161" i="4"/>
  <c r="AG161" i="4"/>
  <c r="AE161" i="4"/>
  <c r="AD161" i="4"/>
  <c r="AC161" i="4"/>
  <c r="AB161" i="4"/>
  <c r="AA161" i="4"/>
  <c r="Z161" i="4"/>
  <c r="Y161" i="4"/>
  <c r="X161" i="4"/>
  <c r="V161" i="4"/>
  <c r="S161" i="4"/>
  <c r="Q161" i="4"/>
  <c r="I161" i="4"/>
  <c r="AL160" i="4"/>
  <c r="AK160" i="4"/>
  <c r="AJ160" i="4"/>
  <c r="AI160" i="4"/>
  <c r="AH160" i="4"/>
  <c r="AG160" i="4"/>
  <c r="AE160" i="4"/>
  <c r="AD160" i="4"/>
  <c r="AC160" i="4"/>
  <c r="AB160" i="4"/>
  <c r="AA160" i="4"/>
  <c r="Z160" i="4"/>
  <c r="Y160" i="4"/>
  <c r="X160" i="4"/>
  <c r="V160" i="4"/>
  <c r="Q160" i="4"/>
  <c r="L160" i="4"/>
  <c r="I160" i="4"/>
  <c r="AL159" i="4"/>
  <c r="AK159" i="4"/>
  <c r="AJ159" i="4"/>
  <c r="AI159" i="4"/>
  <c r="AH159" i="4"/>
  <c r="AG159" i="4"/>
  <c r="AE159" i="4"/>
  <c r="AD159" i="4"/>
  <c r="AC159" i="4"/>
  <c r="AB159" i="4"/>
  <c r="AA159" i="4"/>
  <c r="Z159" i="4"/>
  <c r="Y159" i="4"/>
  <c r="X159" i="4"/>
  <c r="V159" i="4"/>
  <c r="Q159" i="4"/>
  <c r="I159" i="4"/>
  <c r="AL158" i="4"/>
  <c r="AK158" i="4"/>
  <c r="AJ158" i="4"/>
  <c r="AI158" i="4"/>
  <c r="AH158" i="4"/>
  <c r="AG158" i="4"/>
  <c r="AE158" i="4"/>
  <c r="AD158" i="4"/>
  <c r="AC158" i="4"/>
  <c r="AB158" i="4"/>
  <c r="AA158" i="4"/>
  <c r="Z158" i="4"/>
  <c r="Y158" i="4"/>
  <c r="X158" i="4"/>
  <c r="V158" i="4"/>
  <c r="Q158" i="4"/>
  <c r="K158" i="4"/>
  <c r="I158" i="4"/>
  <c r="AJ157" i="4"/>
  <c r="AI157" i="4"/>
  <c r="AH157" i="4"/>
  <c r="AG157" i="4"/>
  <c r="AE157" i="4"/>
  <c r="AD157" i="4"/>
  <c r="AC157" i="4"/>
  <c r="AB157" i="4"/>
  <c r="AA157" i="4"/>
  <c r="Z157" i="4"/>
  <c r="Y157" i="4"/>
  <c r="X157" i="4"/>
  <c r="V157" i="4"/>
  <c r="Q157" i="4"/>
  <c r="K157" i="4"/>
  <c r="I157" i="4"/>
  <c r="AL156" i="4"/>
  <c r="AK156" i="4"/>
  <c r="AJ156" i="4"/>
  <c r="AI156" i="4"/>
  <c r="AH156" i="4"/>
  <c r="AG156" i="4"/>
  <c r="AE156" i="4"/>
  <c r="AD156" i="4"/>
  <c r="AC156" i="4"/>
  <c r="AB156" i="4"/>
  <c r="AA156" i="4"/>
  <c r="Z156" i="4"/>
  <c r="Y156" i="4"/>
  <c r="X156" i="4"/>
  <c r="V156" i="4"/>
  <c r="Q156" i="4"/>
  <c r="K156" i="4"/>
  <c r="I156" i="4"/>
  <c r="AL155" i="4"/>
  <c r="AK155" i="4"/>
  <c r="AJ155" i="4"/>
  <c r="AI155" i="4"/>
  <c r="AH155" i="4"/>
  <c r="AG155" i="4"/>
  <c r="AE155" i="4"/>
  <c r="AD155" i="4"/>
  <c r="AC155" i="4"/>
  <c r="AB155" i="4"/>
  <c r="AA155" i="4"/>
  <c r="Z155" i="4"/>
  <c r="Y155" i="4"/>
  <c r="X155" i="4"/>
  <c r="V155" i="4"/>
  <c r="Q155" i="4"/>
  <c r="K155" i="4"/>
  <c r="I155" i="4"/>
  <c r="AL154" i="4"/>
  <c r="AK154" i="4"/>
  <c r="AJ154" i="4"/>
  <c r="AI154" i="4"/>
  <c r="AH154" i="4"/>
  <c r="AG154" i="4"/>
  <c r="AE154" i="4"/>
  <c r="AD154" i="4"/>
  <c r="AC154" i="4"/>
  <c r="AB154" i="4"/>
  <c r="AA154" i="4"/>
  <c r="Z154" i="4"/>
  <c r="Y154" i="4"/>
  <c r="X154" i="4"/>
  <c r="V154" i="4"/>
  <c r="Q154" i="4"/>
  <c r="K154" i="4"/>
  <c r="I154" i="4"/>
  <c r="AL153" i="4"/>
  <c r="AK153" i="4"/>
  <c r="AJ153" i="4"/>
  <c r="AI153" i="4"/>
  <c r="AH153" i="4"/>
  <c r="AG153" i="4"/>
  <c r="AE153" i="4"/>
  <c r="AD153" i="4"/>
  <c r="AC153" i="4"/>
  <c r="AB153" i="4"/>
  <c r="AA153" i="4"/>
  <c r="Z153" i="4"/>
  <c r="Y153" i="4"/>
  <c r="X153" i="4"/>
  <c r="V153" i="4"/>
  <c r="Q153" i="4"/>
  <c r="K153" i="4"/>
  <c r="I153" i="4"/>
  <c r="AL152" i="4"/>
  <c r="AK152" i="4"/>
  <c r="AJ152" i="4"/>
  <c r="AI152" i="4"/>
  <c r="AH152" i="4"/>
  <c r="AG152" i="4"/>
  <c r="AE152" i="4"/>
  <c r="AD152" i="4"/>
  <c r="AC152" i="4"/>
  <c r="AB152" i="4"/>
  <c r="AA152" i="4"/>
  <c r="Z152" i="4"/>
  <c r="Y152" i="4"/>
  <c r="X152" i="4"/>
  <c r="V152" i="4"/>
  <c r="Q152" i="4"/>
  <c r="K152" i="4"/>
  <c r="I152" i="4"/>
  <c r="AL151" i="4"/>
  <c r="AK151" i="4"/>
  <c r="AJ151" i="4"/>
  <c r="AI151" i="4"/>
  <c r="AH151" i="4"/>
  <c r="AG151" i="4"/>
  <c r="AE151" i="4"/>
  <c r="AD151" i="4"/>
  <c r="AC151" i="4"/>
  <c r="AB151" i="4"/>
  <c r="AA151" i="4"/>
  <c r="Z151" i="4"/>
  <c r="Y151" i="4"/>
  <c r="X151" i="4"/>
  <c r="V151" i="4"/>
  <c r="Q151" i="4"/>
  <c r="K151" i="4"/>
  <c r="I151" i="4"/>
  <c r="AL150" i="4"/>
  <c r="AK150" i="4"/>
  <c r="AJ150" i="4"/>
  <c r="AI150" i="4"/>
  <c r="AH150" i="4"/>
  <c r="AG150" i="4"/>
  <c r="AE150" i="4"/>
  <c r="AD150" i="4"/>
  <c r="AC150" i="4"/>
  <c r="AB150" i="4"/>
  <c r="AA150" i="4"/>
  <c r="Z150" i="4"/>
  <c r="Y150" i="4"/>
  <c r="X150" i="4"/>
  <c r="V150" i="4"/>
  <c r="Q150" i="4"/>
  <c r="K150" i="4"/>
  <c r="I150" i="4"/>
  <c r="AL149" i="4"/>
  <c r="AK149" i="4"/>
  <c r="AJ149" i="4"/>
  <c r="AI149" i="4"/>
  <c r="AH149" i="4"/>
  <c r="AG149" i="4"/>
  <c r="AE149" i="4"/>
  <c r="AD149" i="4"/>
  <c r="AC149" i="4"/>
  <c r="AB149" i="4"/>
  <c r="AA149" i="4"/>
  <c r="Z149" i="4"/>
  <c r="Y149" i="4"/>
  <c r="X149" i="4"/>
  <c r="V149" i="4"/>
  <c r="Q149" i="4"/>
  <c r="K149" i="4"/>
  <c r="I149" i="4"/>
  <c r="AL148" i="4"/>
  <c r="AK148" i="4"/>
  <c r="AJ148" i="4"/>
  <c r="AI148" i="4"/>
  <c r="AH148" i="4"/>
  <c r="AG148" i="4"/>
  <c r="AE148" i="4"/>
  <c r="AD148" i="4"/>
  <c r="AC148" i="4"/>
  <c r="AB148" i="4"/>
  <c r="AA148" i="4"/>
  <c r="Z148" i="4"/>
  <c r="Y148" i="4"/>
  <c r="X148" i="4"/>
  <c r="V148" i="4"/>
  <c r="T148" i="4"/>
  <c r="S148" i="4"/>
  <c r="Q148" i="4"/>
  <c r="L148" i="4"/>
  <c r="I148" i="4"/>
  <c r="E148" i="4"/>
  <c r="AL147" i="4"/>
  <c r="AK147" i="4"/>
  <c r="AJ147" i="4"/>
  <c r="AI147" i="4"/>
  <c r="AH147" i="4"/>
  <c r="AG147" i="4"/>
  <c r="AE147" i="4"/>
  <c r="AD147" i="4"/>
  <c r="AC147" i="4"/>
  <c r="AB147" i="4"/>
  <c r="AA147" i="4"/>
  <c r="Z147" i="4"/>
  <c r="Y147" i="4"/>
  <c r="X147" i="4"/>
  <c r="V147" i="4"/>
  <c r="Q147" i="4"/>
  <c r="K147" i="4"/>
  <c r="I147" i="4"/>
  <c r="AL146" i="4"/>
  <c r="AK146" i="4"/>
  <c r="AJ146" i="4"/>
  <c r="AI146" i="4"/>
  <c r="AH146" i="4"/>
  <c r="AG146" i="4"/>
  <c r="AE146" i="4"/>
  <c r="AD146" i="4"/>
  <c r="AC146" i="4"/>
  <c r="AB146" i="4"/>
  <c r="AA146" i="4"/>
  <c r="Z146" i="4"/>
  <c r="Y146" i="4"/>
  <c r="X146" i="4"/>
  <c r="V146" i="4"/>
  <c r="Q146" i="4"/>
  <c r="I146" i="4"/>
  <c r="F146" i="4"/>
  <c r="E146" i="4"/>
  <c r="AL145" i="4"/>
  <c r="AK145" i="4"/>
  <c r="AJ145" i="4"/>
  <c r="AI145" i="4"/>
  <c r="AH145" i="4"/>
  <c r="AG145" i="4"/>
  <c r="AE145" i="4"/>
  <c r="AD145" i="4"/>
  <c r="AC145" i="4"/>
  <c r="AB145" i="4"/>
  <c r="AA145" i="4"/>
  <c r="Z145" i="4"/>
  <c r="Y145" i="4"/>
  <c r="X145" i="4"/>
  <c r="V145" i="4"/>
  <c r="Q145" i="4"/>
  <c r="I145" i="4"/>
  <c r="AL144" i="4"/>
  <c r="AK144" i="4"/>
  <c r="AJ144" i="4"/>
  <c r="AI144" i="4"/>
  <c r="AH144" i="4"/>
  <c r="AG144" i="4"/>
  <c r="AE144" i="4"/>
  <c r="AD144" i="4"/>
  <c r="AC144" i="4"/>
  <c r="AB144" i="4"/>
  <c r="AA144" i="4"/>
  <c r="Z144" i="4"/>
  <c r="Y144" i="4"/>
  <c r="X144" i="4"/>
  <c r="V144" i="4"/>
  <c r="Q144" i="4"/>
  <c r="I144" i="4"/>
  <c r="AJ143" i="4"/>
  <c r="AI143" i="4"/>
  <c r="AH143" i="4"/>
  <c r="AG143" i="4"/>
  <c r="AE143" i="4"/>
  <c r="AD143" i="4"/>
  <c r="AC143" i="4"/>
  <c r="AB143" i="4"/>
  <c r="AA143" i="4"/>
  <c r="Z143" i="4"/>
  <c r="Y143" i="4"/>
  <c r="X143" i="4"/>
  <c r="V143" i="4"/>
  <c r="Q143" i="4"/>
  <c r="I143" i="4"/>
  <c r="AJ142" i="4"/>
  <c r="AI142" i="4"/>
  <c r="AH142" i="4"/>
  <c r="AG142" i="4"/>
  <c r="AE142" i="4"/>
  <c r="AD142" i="4"/>
  <c r="AC142" i="4"/>
  <c r="AB142" i="4"/>
  <c r="AA142" i="4"/>
  <c r="Z142" i="4"/>
  <c r="Y142" i="4"/>
  <c r="X142" i="4"/>
  <c r="V142" i="4"/>
  <c r="Q142" i="4"/>
  <c r="I142" i="4"/>
  <c r="AJ141" i="4"/>
  <c r="AI141" i="4"/>
  <c r="AH141" i="4"/>
  <c r="AG141" i="4"/>
  <c r="AE141" i="4"/>
  <c r="AD141" i="4"/>
  <c r="AC141" i="4"/>
  <c r="AB141" i="4"/>
  <c r="AA141" i="4"/>
  <c r="Z141" i="4"/>
  <c r="Y141" i="4"/>
  <c r="X141" i="4"/>
  <c r="V141" i="4"/>
  <c r="Q141" i="4"/>
  <c r="I141" i="4"/>
  <c r="AJ140" i="4"/>
  <c r="AI140" i="4"/>
  <c r="AH140" i="4"/>
  <c r="AG140" i="4"/>
  <c r="AE140" i="4"/>
  <c r="AD140" i="4"/>
  <c r="AC140" i="4"/>
  <c r="AB140" i="4"/>
  <c r="AA140" i="4"/>
  <c r="Z140" i="4"/>
  <c r="Y140" i="4"/>
  <c r="X140" i="4"/>
  <c r="V140" i="4"/>
  <c r="Q140" i="4"/>
  <c r="I140" i="4"/>
  <c r="AL139" i="4"/>
  <c r="AK139" i="4"/>
  <c r="AJ139" i="4"/>
  <c r="AI139" i="4"/>
  <c r="AH139" i="4"/>
  <c r="AG139" i="4"/>
  <c r="AE139" i="4"/>
  <c r="AD139" i="4"/>
  <c r="AC139" i="4"/>
  <c r="AB139" i="4"/>
  <c r="AA139" i="4"/>
  <c r="Z139" i="4"/>
  <c r="Y139" i="4"/>
  <c r="X139" i="4"/>
  <c r="V139" i="4"/>
  <c r="Q139" i="4"/>
  <c r="I139" i="4"/>
  <c r="AJ138" i="4"/>
  <c r="AI138" i="4"/>
  <c r="AH138" i="4"/>
  <c r="AG138" i="4"/>
  <c r="AE138" i="4"/>
  <c r="AD138" i="4"/>
  <c r="AC138" i="4"/>
  <c r="AB138" i="4"/>
  <c r="AA138" i="4"/>
  <c r="Z138" i="4"/>
  <c r="Y138" i="4"/>
  <c r="X138" i="4"/>
  <c r="V138" i="4"/>
  <c r="Q138" i="4"/>
  <c r="I138" i="4"/>
  <c r="AJ137" i="4"/>
  <c r="AI137" i="4"/>
  <c r="AH137" i="4"/>
  <c r="AG137" i="4"/>
  <c r="AE137" i="4"/>
  <c r="AD137" i="4"/>
  <c r="AC137" i="4"/>
  <c r="AB137" i="4"/>
  <c r="AA137" i="4"/>
  <c r="Z137" i="4"/>
  <c r="Y137" i="4"/>
  <c r="X137" i="4"/>
  <c r="V137" i="4"/>
  <c r="Q137" i="4"/>
  <c r="I137" i="4"/>
  <c r="AJ136" i="4"/>
  <c r="AI136" i="4"/>
  <c r="AH136" i="4"/>
  <c r="AG136" i="4"/>
  <c r="AE136" i="4"/>
  <c r="AD136" i="4"/>
  <c r="AC136" i="4"/>
  <c r="AB136" i="4"/>
  <c r="AA136" i="4"/>
  <c r="Z136" i="4"/>
  <c r="Y136" i="4"/>
  <c r="X136" i="4"/>
  <c r="V136" i="4"/>
  <c r="Q136" i="4"/>
  <c r="I136" i="4"/>
  <c r="AL135" i="4"/>
  <c r="AK135" i="4"/>
  <c r="AJ135" i="4"/>
  <c r="AI135" i="4"/>
  <c r="AH135" i="4"/>
  <c r="AG135" i="4"/>
  <c r="AE135" i="4"/>
  <c r="AD135" i="4"/>
  <c r="AC135" i="4"/>
  <c r="AB135" i="4"/>
  <c r="AA135" i="4"/>
  <c r="Z135" i="4"/>
  <c r="Y135" i="4"/>
  <c r="X135" i="4"/>
  <c r="V135" i="4"/>
  <c r="Q135" i="4"/>
  <c r="I135" i="4"/>
  <c r="AL134" i="4"/>
  <c r="AK134" i="4"/>
  <c r="AJ134" i="4"/>
  <c r="AI134" i="4"/>
  <c r="AH134" i="4"/>
  <c r="AG134" i="4"/>
  <c r="AE134" i="4"/>
  <c r="AD134" i="4"/>
  <c r="AC134" i="4"/>
  <c r="AB134" i="4"/>
  <c r="AA134" i="4"/>
  <c r="Z134" i="4"/>
  <c r="Y134" i="4"/>
  <c r="X134" i="4"/>
  <c r="V134" i="4"/>
  <c r="Q134" i="4"/>
  <c r="I134" i="4"/>
  <c r="AL133" i="4"/>
  <c r="AK133" i="4"/>
  <c r="AJ133" i="4"/>
  <c r="AI133" i="4"/>
  <c r="AH133" i="4"/>
  <c r="AG133" i="4"/>
  <c r="AE133" i="4"/>
  <c r="AD133" i="4"/>
  <c r="AC133" i="4"/>
  <c r="AB133" i="4"/>
  <c r="AA133" i="4"/>
  <c r="Z133" i="4"/>
  <c r="Y133" i="4"/>
  <c r="X133" i="4"/>
  <c r="V133" i="4"/>
  <c r="Q133" i="4"/>
  <c r="I133" i="4"/>
  <c r="AL132" i="4"/>
  <c r="AK132" i="4"/>
  <c r="AJ132" i="4"/>
  <c r="AI132" i="4"/>
  <c r="AH132" i="4"/>
  <c r="AG132" i="4"/>
  <c r="AE132" i="4"/>
  <c r="AD132" i="4"/>
  <c r="AC132" i="4"/>
  <c r="AB132" i="4"/>
  <c r="AA132" i="4"/>
  <c r="Z132" i="4"/>
  <c r="Y132" i="4"/>
  <c r="X132" i="4"/>
  <c r="V132" i="4"/>
  <c r="Q132" i="4"/>
  <c r="I132" i="4"/>
  <c r="AL131" i="4"/>
  <c r="AK131" i="4"/>
  <c r="AJ131" i="4"/>
  <c r="AI131" i="4"/>
  <c r="AH131" i="4"/>
  <c r="AG131" i="4"/>
  <c r="AE131" i="4"/>
  <c r="AD131" i="4"/>
  <c r="AC131" i="4"/>
  <c r="AB131" i="4"/>
  <c r="AA131" i="4"/>
  <c r="Z131" i="4"/>
  <c r="Y131" i="4"/>
  <c r="X131" i="4"/>
  <c r="V131" i="4"/>
  <c r="Q131" i="4"/>
  <c r="I131" i="4"/>
  <c r="AL130" i="4"/>
  <c r="AK130" i="4"/>
  <c r="AJ130" i="4"/>
  <c r="AI130" i="4"/>
  <c r="AH130" i="4"/>
  <c r="AG130" i="4"/>
  <c r="AE130" i="4"/>
  <c r="AD130" i="4"/>
  <c r="AC130" i="4"/>
  <c r="AB130" i="4"/>
  <c r="AA130" i="4"/>
  <c r="Z130" i="4"/>
  <c r="Y130" i="4"/>
  <c r="X130" i="4"/>
  <c r="V130" i="4"/>
  <c r="Q130" i="4"/>
  <c r="I130" i="4"/>
  <c r="AL129" i="4"/>
  <c r="AK129" i="4"/>
  <c r="AJ129" i="4"/>
  <c r="AI129" i="4"/>
  <c r="AH129" i="4"/>
  <c r="AG129" i="4"/>
  <c r="AE129" i="4"/>
  <c r="AD129" i="4"/>
  <c r="AC129" i="4"/>
  <c r="AB129" i="4"/>
  <c r="AA129" i="4"/>
  <c r="Z129" i="4"/>
  <c r="Y129" i="4"/>
  <c r="X129" i="4"/>
  <c r="V129" i="4"/>
  <c r="Q129" i="4"/>
  <c r="I129" i="4"/>
  <c r="AL128" i="4"/>
  <c r="AK128" i="4"/>
  <c r="AJ128" i="4"/>
  <c r="AI128" i="4"/>
  <c r="AH128" i="4"/>
  <c r="AG128" i="4"/>
  <c r="AE128" i="4"/>
  <c r="AD128" i="4"/>
  <c r="AC128" i="4"/>
  <c r="AB128" i="4"/>
  <c r="AA128" i="4"/>
  <c r="Z128" i="4"/>
  <c r="Y128" i="4"/>
  <c r="X128" i="4"/>
  <c r="V128" i="4"/>
  <c r="Q128" i="4"/>
  <c r="I128" i="4"/>
  <c r="AL127" i="4"/>
  <c r="AK127" i="4"/>
  <c r="AJ127" i="4"/>
  <c r="AI127" i="4"/>
  <c r="AH127" i="4"/>
  <c r="AG127" i="4"/>
  <c r="AE127" i="4"/>
  <c r="AD127" i="4"/>
  <c r="AC127" i="4"/>
  <c r="AB127" i="4"/>
  <c r="AA127" i="4"/>
  <c r="Z127" i="4"/>
  <c r="Y127" i="4"/>
  <c r="X127" i="4"/>
  <c r="V127" i="4"/>
  <c r="Q127" i="4"/>
  <c r="I127" i="4"/>
  <c r="AL126" i="4"/>
  <c r="AK126" i="4"/>
  <c r="AJ126" i="4"/>
  <c r="AI126" i="4"/>
  <c r="AH126" i="4"/>
  <c r="AG126" i="4"/>
  <c r="AE126" i="4"/>
  <c r="AD126" i="4"/>
  <c r="AC126" i="4"/>
  <c r="AB126" i="4"/>
  <c r="AA126" i="4"/>
  <c r="Z126" i="4"/>
  <c r="Y126" i="4"/>
  <c r="X126" i="4"/>
  <c r="V126" i="4"/>
  <c r="Q126" i="4"/>
  <c r="I126" i="4"/>
  <c r="F126" i="4"/>
  <c r="AL125" i="4"/>
  <c r="AK125" i="4"/>
  <c r="AJ125" i="4"/>
  <c r="AI125" i="4"/>
  <c r="AH125" i="4"/>
  <c r="AG125" i="4"/>
  <c r="AE125" i="4"/>
  <c r="AD125" i="4"/>
  <c r="AC125" i="4"/>
  <c r="AB125" i="4"/>
  <c r="AA125" i="4"/>
  <c r="Z125" i="4"/>
  <c r="Y125" i="4"/>
  <c r="X125" i="4"/>
  <c r="V125" i="4"/>
  <c r="Q125" i="4"/>
  <c r="I125" i="4"/>
  <c r="F125" i="4"/>
  <c r="E125" i="4"/>
  <c r="AJ124" i="4"/>
  <c r="AI124" i="4"/>
  <c r="AH124" i="4"/>
  <c r="AG124" i="4"/>
  <c r="AE124" i="4"/>
  <c r="AD124" i="4"/>
  <c r="AC124" i="4"/>
  <c r="AB124" i="4"/>
  <c r="AA124" i="4"/>
  <c r="Z124" i="4"/>
  <c r="Y124" i="4"/>
  <c r="X124" i="4"/>
  <c r="V124" i="4"/>
  <c r="Q124" i="4"/>
  <c r="I124" i="4"/>
  <c r="AJ123" i="4"/>
  <c r="AI123" i="4"/>
  <c r="AH123" i="4"/>
  <c r="AG123" i="4"/>
  <c r="AE123" i="4"/>
  <c r="AD123" i="4"/>
  <c r="AC123" i="4"/>
  <c r="AB123" i="4"/>
  <c r="AA123" i="4"/>
  <c r="Z123" i="4"/>
  <c r="Y123" i="4"/>
  <c r="X123" i="4"/>
  <c r="V123" i="4"/>
  <c r="Q123" i="4"/>
  <c r="I123" i="4"/>
  <c r="AJ122" i="4"/>
  <c r="AI122" i="4"/>
  <c r="AH122" i="4"/>
  <c r="AG122" i="4"/>
  <c r="AE122" i="4"/>
  <c r="AD122" i="4"/>
  <c r="AC122" i="4"/>
  <c r="AB122" i="4"/>
  <c r="AA122" i="4"/>
  <c r="Z122" i="4"/>
  <c r="Y122" i="4"/>
  <c r="X122" i="4"/>
  <c r="V122" i="4"/>
  <c r="Q122" i="4"/>
  <c r="I122" i="4"/>
  <c r="AL121" i="4"/>
  <c r="AK121" i="4"/>
  <c r="AJ121" i="4"/>
  <c r="AI121" i="4"/>
  <c r="AH121" i="4"/>
  <c r="AG121" i="4"/>
  <c r="AE121" i="4"/>
  <c r="AD121" i="4"/>
  <c r="AC121" i="4"/>
  <c r="AB121" i="4"/>
  <c r="AA121" i="4"/>
  <c r="Z121" i="4"/>
  <c r="Y121" i="4"/>
  <c r="X121" i="4"/>
  <c r="V121" i="4"/>
  <c r="Q121" i="4"/>
  <c r="I121" i="4"/>
  <c r="F121" i="4"/>
  <c r="E121" i="4"/>
  <c r="AL120" i="4"/>
  <c r="AK120" i="4"/>
  <c r="AJ120" i="4"/>
  <c r="AI120" i="4"/>
  <c r="AH120" i="4"/>
  <c r="AG120" i="4"/>
  <c r="AE120" i="4"/>
  <c r="AD120" i="4"/>
  <c r="AC120" i="4"/>
  <c r="AB120" i="4"/>
  <c r="AA120" i="4"/>
  <c r="Z120" i="4"/>
  <c r="Y120" i="4"/>
  <c r="X120" i="4"/>
  <c r="V120" i="4"/>
  <c r="Q120" i="4"/>
  <c r="I120" i="4"/>
  <c r="F120" i="4"/>
  <c r="E120" i="4"/>
  <c r="AL119" i="4"/>
  <c r="AK119" i="4"/>
  <c r="AJ119" i="4"/>
  <c r="AI119" i="4"/>
  <c r="AH119" i="4"/>
  <c r="AG119" i="4"/>
  <c r="AE119" i="4"/>
  <c r="AD119" i="4"/>
  <c r="AC119" i="4"/>
  <c r="AB119" i="4"/>
  <c r="AA119" i="4"/>
  <c r="Z119" i="4"/>
  <c r="Y119" i="4"/>
  <c r="X119" i="4"/>
  <c r="V119" i="4"/>
  <c r="Q119" i="4"/>
  <c r="I119" i="4"/>
  <c r="F119" i="4"/>
  <c r="E119" i="4"/>
  <c r="AL118" i="4"/>
  <c r="AK118" i="4"/>
  <c r="AJ118" i="4"/>
  <c r="AI118" i="4"/>
  <c r="AH118" i="4"/>
  <c r="AG118" i="4"/>
  <c r="AE118" i="4"/>
  <c r="AD118" i="4"/>
  <c r="AC118" i="4"/>
  <c r="AB118" i="4"/>
  <c r="AA118" i="4"/>
  <c r="Z118" i="4"/>
  <c r="Y118" i="4"/>
  <c r="X118" i="4"/>
  <c r="V118" i="4"/>
  <c r="Q118" i="4"/>
  <c r="I118" i="4"/>
  <c r="F118" i="4"/>
  <c r="E118" i="4"/>
  <c r="AL117" i="4"/>
  <c r="AK117" i="4"/>
  <c r="AJ117" i="4"/>
  <c r="AI117" i="4"/>
  <c r="AH117" i="4"/>
  <c r="AG117" i="4"/>
  <c r="AE117" i="4"/>
  <c r="AD117" i="4"/>
  <c r="AC117" i="4"/>
  <c r="AB117" i="4"/>
  <c r="AA117" i="4"/>
  <c r="Z117" i="4"/>
  <c r="Y117" i="4"/>
  <c r="X117" i="4"/>
  <c r="V117" i="4"/>
  <c r="Q117" i="4"/>
  <c r="I117" i="4"/>
  <c r="AL116" i="4"/>
  <c r="AK116" i="4"/>
  <c r="AJ116" i="4"/>
  <c r="AI116" i="4"/>
  <c r="AH116" i="4"/>
  <c r="AG116" i="4"/>
  <c r="AE116" i="4"/>
  <c r="AD116" i="4"/>
  <c r="AC116" i="4"/>
  <c r="AB116" i="4"/>
  <c r="AA116" i="4"/>
  <c r="Z116" i="4"/>
  <c r="Y116" i="4"/>
  <c r="X116" i="4"/>
  <c r="V116" i="4"/>
  <c r="Q116" i="4"/>
  <c r="I116" i="4"/>
  <c r="AL115" i="4"/>
  <c r="AK115" i="4"/>
  <c r="AJ115" i="4"/>
  <c r="AI115" i="4"/>
  <c r="AH115" i="4"/>
  <c r="AG115" i="4"/>
  <c r="AE115" i="4"/>
  <c r="AD115" i="4"/>
  <c r="AC115" i="4"/>
  <c r="AB115" i="4"/>
  <c r="AA115" i="4"/>
  <c r="Z115" i="4"/>
  <c r="Y115" i="4"/>
  <c r="X115" i="4"/>
  <c r="V115" i="4"/>
  <c r="Q115" i="4"/>
  <c r="I115" i="4"/>
  <c r="AL114" i="4"/>
  <c r="AK114" i="4"/>
  <c r="AJ114" i="4"/>
  <c r="AI114" i="4"/>
  <c r="AH114" i="4"/>
  <c r="AG114" i="4"/>
  <c r="AE114" i="4"/>
  <c r="AD114" i="4"/>
  <c r="AC114" i="4"/>
  <c r="AB114" i="4"/>
  <c r="AA114" i="4"/>
  <c r="Z114" i="4"/>
  <c r="Y114" i="4"/>
  <c r="X114" i="4"/>
  <c r="V114" i="4"/>
  <c r="Q114" i="4"/>
  <c r="I114" i="4"/>
  <c r="AL113" i="4"/>
  <c r="AK113" i="4"/>
  <c r="AJ113" i="4"/>
  <c r="AI113" i="4"/>
  <c r="AH113" i="4"/>
  <c r="AG113" i="4"/>
  <c r="AE113" i="4"/>
  <c r="AD113" i="4"/>
  <c r="AC113" i="4"/>
  <c r="AB113" i="4"/>
  <c r="AA113" i="4"/>
  <c r="Z113" i="4"/>
  <c r="Y113" i="4"/>
  <c r="X113" i="4"/>
  <c r="V113" i="4"/>
  <c r="Q113" i="4"/>
  <c r="I113" i="4"/>
  <c r="AL112" i="4"/>
  <c r="AK112" i="4"/>
  <c r="AJ112" i="4"/>
  <c r="AI112" i="4"/>
  <c r="AH112" i="4"/>
  <c r="AG112" i="4"/>
  <c r="AE112" i="4"/>
  <c r="AD112" i="4"/>
  <c r="AC112" i="4"/>
  <c r="AB112" i="4"/>
  <c r="AA112" i="4"/>
  <c r="Z112" i="4"/>
  <c r="Y112" i="4"/>
  <c r="X112" i="4"/>
  <c r="V112" i="4"/>
  <c r="Q112" i="4"/>
  <c r="I112" i="4"/>
  <c r="AJ111" i="4"/>
  <c r="AI111" i="4"/>
  <c r="AH111" i="4"/>
  <c r="AG111" i="4"/>
  <c r="AE111" i="4"/>
  <c r="AD111" i="4"/>
  <c r="AC111" i="4"/>
  <c r="AB111" i="4"/>
  <c r="AA111" i="4"/>
  <c r="Z111" i="4"/>
  <c r="Y111" i="4"/>
  <c r="X111" i="4"/>
  <c r="V111" i="4"/>
  <c r="Q111" i="4"/>
  <c r="I111" i="4"/>
  <c r="AJ110" i="4"/>
  <c r="AI110" i="4"/>
  <c r="AH110" i="4"/>
  <c r="AG110" i="4"/>
  <c r="AE110" i="4"/>
  <c r="AD110" i="4"/>
  <c r="AC110" i="4"/>
  <c r="AB110" i="4"/>
  <c r="AA110" i="4"/>
  <c r="Z110" i="4"/>
  <c r="Y110" i="4"/>
  <c r="X110" i="4"/>
  <c r="V110" i="4"/>
  <c r="Q110" i="4"/>
  <c r="I110" i="4"/>
  <c r="AJ109" i="4"/>
  <c r="AI109" i="4"/>
  <c r="AH109" i="4"/>
  <c r="AG109" i="4"/>
  <c r="AE109" i="4"/>
  <c r="AD109" i="4"/>
  <c r="AC109" i="4"/>
  <c r="AB109" i="4"/>
  <c r="AA109" i="4"/>
  <c r="Z109" i="4"/>
  <c r="Y109" i="4"/>
  <c r="X109" i="4"/>
  <c r="V109" i="4"/>
  <c r="Q109" i="4"/>
  <c r="I109" i="4"/>
  <c r="AL108" i="4"/>
  <c r="AK108" i="4"/>
  <c r="AJ108" i="4"/>
  <c r="AI108" i="4"/>
  <c r="AH108" i="4"/>
  <c r="AG108" i="4"/>
  <c r="AE108" i="4"/>
  <c r="AD108" i="4"/>
  <c r="AC108" i="4"/>
  <c r="AB108" i="4"/>
  <c r="AA108" i="4"/>
  <c r="Z108" i="4"/>
  <c r="Y108" i="4"/>
  <c r="X108" i="4"/>
  <c r="V108" i="4"/>
  <c r="Q108" i="4"/>
  <c r="I108" i="4"/>
  <c r="AJ107" i="4"/>
  <c r="AI107" i="4"/>
  <c r="AH107" i="4"/>
  <c r="AG107" i="4"/>
  <c r="AE107" i="4"/>
  <c r="AD107" i="4"/>
  <c r="AC107" i="4"/>
  <c r="AB107" i="4"/>
  <c r="AA107" i="4"/>
  <c r="Z107" i="4"/>
  <c r="Y107" i="4"/>
  <c r="X107" i="4"/>
  <c r="V107" i="4"/>
  <c r="Q107" i="4"/>
  <c r="I107" i="4"/>
  <c r="AJ106" i="4"/>
  <c r="AI106" i="4"/>
  <c r="AH106" i="4"/>
  <c r="AG106" i="4"/>
  <c r="AE106" i="4"/>
  <c r="AD106" i="4"/>
  <c r="AC106" i="4"/>
  <c r="AB106" i="4"/>
  <c r="AA106" i="4"/>
  <c r="Z106" i="4"/>
  <c r="Y106" i="4"/>
  <c r="X106" i="4"/>
  <c r="V106" i="4"/>
  <c r="Q106" i="4"/>
  <c r="I106" i="4"/>
  <c r="AL105" i="4"/>
  <c r="AK105" i="4"/>
  <c r="AJ105" i="4"/>
  <c r="AI105" i="4"/>
  <c r="AH105" i="4"/>
  <c r="AG105" i="4"/>
  <c r="AE105" i="4"/>
  <c r="AD105" i="4"/>
  <c r="AC105" i="4"/>
  <c r="AB105" i="4"/>
  <c r="AA105" i="4"/>
  <c r="Z105" i="4"/>
  <c r="Y105" i="4"/>
  <c r="X105" i="4"/>
  <c r="V105" i="4"/>
  <c r="Q105" i="4"/>
  <c r="I105" i="4"/>
  <c r="AL104" i="4"/>
  <c r="AK104" i="4"/>
  <c r="AJ104" i="4"/>
  <c r="AI104" i="4"/>
  <c r="AH104" i="4"/>
  <c r="AG104" i="4"/>
  <c r="AE104" i="4"/>
  <c r="AD104" i="4"/>
  <c r="AC104" i="4"/>
  <c r="AB104" i="4"/>
  <c r="AA104" i="4"/>
  <c r="Z104" i="4"/>
  <c r="Y104" i="4"/>
  <c r="X104" i="4"/>
  <c r="V104" i="4"/>
  <c r="Q104" i="4"/>
  <c r="I104" i="4"/>
  <c r="AL103" i="4"/>
  <c r="AK103" i="4"/>
  <c r="AJ103" i="4"/>
  <c r="AI103" i="4"/>
  <c r="AH103" i="4"/>
  <c r="AG103" i="4"/>
  <c r="AE103" i="4"/>
  <c r="AD103" i="4"/>
  <c r="AC103" i="4"/>
  <c r="AB103" i="4"/>
  <c r="AA103" i="4"/>
  <c r="Z103" i="4"/>
  <c r="Y103" i="4"/>
  <c r="X103" i="4"/>
  <c r="V103" i="4"/>
  <c r="Q103" i="4"/>
  <c r="I103" i="4"/>
  <c r="AL102" i="4"/>
  <c r="AK102" i="4"/>
  <c r="AJ102" i="4"/>
  <c r="AI102" i="4"/>
  <c r="AH102" i="4"/>
  <c r="AG102" i="4"/>
  <c r="AE102" i="4"/>
  <c r="AD102" i="4"/>
  <c r="AC102" i="4"/>
  <c r="AB102" i="4"/>
  <c r="AA102" i="4"/>
  <c r="Z102" i="4"/>
  <c r="Y102" i="4"/>
  <c r="X102" i="4"/>
  <c r="V102" i="4"/>
  <c r="Q102" i="4"/>
  <c r="I102" i="4"/>
  <c r="AL101" i="4"/>
  <c r="AK101" i="4"/>
  <c r="AJ101" i="4"/>
  <c r="AI101" i="4"/>
  <c r="AH101" i="4"/>
  <c r="AG101" i="4"/>
  <c r="AE101" i="4"/>
  <c r="AD101" i="4"/>
  <c r="AC101" i="4"/>
  <c r="AB101" i="4"/>
  <c r="AA101" i="4"/>
  <c r="Z101" i="4"/>
  <c r="Y101" i="4"/>
  <c r="X101" i="4"/>
  <c r="V101" i="4"/>
  <c r="Q101" i="4"/>
  <c r="I101" i="4"/>
  <c r="AL100" i="4"/>
  <c r="AK100" i="4"/>
  <c r="AJ100" i="4"/>
  <c r="AI100" i="4"/>
  <c r="AH100" i="4"/>
  <c r="AG100" i="4"/>
  <c r="AE100" i="4"/>
  <c r="AD100" i="4"/>
  <c r="AC100" i="4"/>
  <c r="AB100" i="4"/>
  <c r="AA100" i="4"/>
  <c r="Z100" i="4"/>
  <c r="Y100" i="4"/>
  <c r="X100" i="4"/>
  <c r="V100" i="4"/>
  <c r="Q100" i="4"/>
  <c r="I100" i="4"/>
  <c r="AL99" i="4"/>
  <c r="AK99" i="4"/>
  <c r="AJ99" i="4"/>
  <c r="AI99" i="4"/>
  <c r="AH99" i="4"/>
  <c r="AG99" i="4"/>
  <c r="AE99" i="4"/>
  <c r="AD99" i="4"/>
  <c r="AC99" i="4"/>
  <c r="AB99" i="4"/>
  <c r="AA99" i="4"/>
  <c r="Z99" i="4"/>
  <c r="Y99" i="4"/>
  <c r="X99" i="4"/>
  <c r="V99" i="4"/>
  <c r="Q99" i="4"/>
  <c r="I99" i="4"/>
  <c r="AL98" i="4"/>
  <c r="AK98" i="4"/>
  <c r="AJ98" i="4"/>
  <c r="AI98" i="4"/>
  <c r="AH98" i="4"/>
  <c r="AG98" i="4"/>
  <c r="AE98" i="4"/>
  <c r="AD98" i="4"/>
  <c r="AC98" i="4"/>
  <c r="AB98" i="4"/>
  <c r="AA98" i="4"/>
  <c r="Z98" i="4"/>
  <c r="Y98" i="4"/>
  <c r="X98" i="4"/>
  <c r="V98" i="4"/>
  <c r="Q98" i="4"/>
  <c r="I98" i="4"/>
  <c r="AL97" i="4"/>
  <c r="AK97" i="4"/>
  <c r="AJ97" i="4"/>
  <c r="AI97" i="4"/>
  <c r="AH97" i="4"/>
  <c r="AG97" i="4"/>
  <c r="AE97" i="4"/>
  <c r="AD97" i="4"/>
  <c r="AC97" i="4"/>
  <c r="AB97" i="4"/>
  <c r="AA97" i="4"/>
  <c r="Z97" i="4"/>
  <c r="Y97" i="4"/>
  <c r="X97" i="4"/>
  <c r="V97" i="4"/>
  <c r="Q97" i="4"/>
  <c r="I97" i="4"/>
  <c r="AL96" i="4"/>
  <c r="AK96" i="4"/>
  <c r="AJ96" i="4"/>
  <c r="AI96" i="4"/>
  <c r="AH96" i="4"/>
  <c r="AG96" i="4"/>
  <c r="AE96" i="4"/>
  <c r="AD96" i="4"/>
  <c r="AC96" i="4"/>
  <c r="AB96" i="4"/>
  <c r="AA96" i="4"/>
  <c r="Z96" i="4"/>
  <c r="Y96" i="4"/>
  <c r="X96" i="4"/>
  <c r="V96" i="4"/>
  <c r="Q96" i="4"/>
  <c r="I96" i="4"/>
  <c r="AJ95" i="4"/>
  <c r="AI95" i="4"/>
  <c r="AH95" i="4"/>
  <c r="AG95" i="4"/>
  <c r="AE95" i="4"/>
  <c r="AD95" i="4"/>
  <c r="AC95" i="4"/>
  <c r="AB95" i="4"/>
  <c r="AA95" i="4"/>
  <c r="Z95" i="4"/>
  <c r="Y95" i="4"/>
  <c r="X95" i="4"/>
  <c r="V95" i="4"/>
  <c r="Q95" i="4"/>
  <c r="I95" i="4"/>
  <c r="AJ94" i="4"/>
  <c r="AI94" i="4"/>
  <c r="AH94" i="4"/>
  <c r="AG94" i="4"/>
  <c r="AE94" i="4"/>
  <c r="AD94" i="4"/>
  <c r="AC94" i="4"/>
  <c r="AB94" i="4"/>
  <c r="AA94" i="4"/>
  <c r="Z94" i="4"/>
  <c r="Y94" i="4"/>
  <c r="X94" i="4"/>
  <c r="V94" i="4"/>
  <c r="Q94" i="4"/>
  <c r="I94" i="4"/>
  <c r="AJ93" i="4"/>
  <c r="AI93" i="4"/>
  <c r="AH93" i="4"/>
  <c r="AG93" i="4"/>
  <c r="AE93" i="4"/>
  <c r="AD93" i="4"/>
  <c r="AC93" i="4"/>
  <c r="AB93" i="4"/>
  <c r="AA93" i="4"/>
  <c r="Z93" i="4"/>
  <c r="Y93" i="4"/>
  <c r="X93" i="4"/>
  <c r="V93" i="4"/>
  <c r="Q93" i="4"/>
  <c r="I93" i="4"/>
  <c r="AJ92" i="4"/>
  <c r="AI92" i="4"/>
  <c r="AH92" i="4"/>
  <c r="AG92" i="4"/>
  <c r="AE92" i="4"/>
  <c r="AD92" i="4"/>
  <c r="AC92" i="4"/>
  <c r="AB92" i="4"/>
  <c r="AA92" i="4"/>
  <c r="Z92" i="4"/>
  <c r="Y92" i="4"/>
  <c r="X92" i="4"/>
  <c r="V92" i="4"/>
  <c r="Q92" i="4"/>
  <c r="I92" i="4"/>
  <c r="AL91" i="4"/>
  <c r="AK91" i="4"/>
  <c r="AJ91" i="4"/>
  <c r="AI91" i="4"/>
  <c r="AH91" i="4"/>
  <c r="AG91" i="4"/>
  <c r="AE91" i="4"/>
  <c r="AD91" i="4"/>
  <c r="AC91" i="4"/>
  <c r="AB91" i="4"/>
  <c r="AA91" i="4"/>
  <c r="Z91" i="4"/>
  <c r="Y91" i="4"/>
  <c r="X91" i="4"/>
  <c r="V91" i="4"/>
  <c r="Q91" i="4"/>
  <c r="I91" i="4"/>
  <c r="F91" i="4"/>
  <c r="E91" i="4"/>
  <c r="AL90" i="4"/>
  <c r="AK90" i="4"/>
  <c r="AJ90" i="4"/>
  <c r="AI90" i="4"/>
  <c r="AH90" i="4"/>
  <c r="AG90" i="4"/>
  <c r="AE90" i="4"/>
  <c r="AD90" i="4"/>
  <c r="AC90" i="4"/>
  <c r="AB90" i="4"/>
  <c r="AA90" i="4"/>
  <c r="Z90" i="4"/>
  <c r="Y90" i="4"/>
  <c r="X90" i="4"/>
  <c r="V90" i="4"/>
  <c r="Q90" i="4"/>
  <c r="I90" i="4"/>
  <c r="AL89" i="4"/>
  <c r="AK89" i="4"/>
  <c r="AJ89" i="4"/>
  <c r="AI89" i="4"/>
  <c r="AH89" i="4"/>
  <c r="AG89" i="4"/>
  <c r="AE89" i="4"/>
  <c r="AD89" i="4"/>
  <c r="AC89" i="4"/>
  <c r="AB89" i="4"/>
  <c r="AA89" i="4"/>
  <c r="Z89" i="4"/>
  <c r="Y89" i="4"/>
  <c r="X89" i="4"/>
  <c r="V89" i="4"/>
  <c r="Q89" i="4"/>
  <c r="I89" i="4"/>
  <c r="AL88" i="4"/>
  <c r="AK88" i="4"/>
  <c r="AJ88" i="4"/>
  <c r="AI88" i="4"/>
  <c r="AH88" i="4"/>
  <c r="AG88" i="4"/>
  <c r="AE88" i="4"/>
  <c r="AD88" i="4"/>
  <c r="AC88" i="4"/>
  <c r="AB88" i="4"/>
  <c r="AA88" i="4"/>
  <c r="Z88" i="4"/>
  <c r="Y88" i="4"/>
  <c r="X88" i="4"/>
  <c r="V88" i="4"/>
  <c r="Q88" i="4"/>
  <c r="I88" i="4"/>
  <c r="AL87" i="4"/>
  <c r="AK87" i="4"/>
  <c r="AJ87" i="4"/>
  <c r="AI87" i="4"/>
  <c r="AH87" i="4"/>
  <c r="AG87" i="4"/>
  <c r="AE87" i="4"/>
  <c r="AD87" i="4"/>
  <c r="AC87" i="4"/>
  <c r="AB87" i="4"/>
  <c r="AA87" i="4"/>
  <c r="Z87" i="4"/>
  <c r="Y87" i="4"/>
  <c r="X87" i="4"/>
  <c r="V87" i="4"/>
  <c r="Q87" i="4"/>
  <c r="I87" i="4"/>
  <c r="AL86" i="4"/>
  <c r="AK86" i="4"/>
  <c r="AJ86" i="4"/>
  <c r="AI86" i="4"/>
  <c r="AH86" i="4"/>
  <c r="AG86" i="4"/>
  <c r="AE86" i="4"/>
  <c r="AD86" i="4"/>
  <c r="AC86" i="4"/>
  <c r="AB86" i="4"/>
  <c r="AA86" i="4"/>
  <c r="Z86" i="4"/>
  <c r="Y86" i="4"/>
  <c r="X86" i="4"/>
  <c r="V86" i="4"/>
  <c r="Q86" i="4"/>
  <c r="I86" i="4"/>
  <c r="AL85" i="4"/>
  <c r="AK85" i="4"/>
  <c r="AJ85" i="4"/>
  <c r="AI85" i="4"/>
  <c r="AH85" i="4"/>
  <c r="AG85" i="4"/>
  <c r="AE85" i="4"/>
  <c r="AD85" i="4"/>
  <c r="AC85" i="4"/>
  <c r="AB85" i="4"/>
  <c r="AA85" i="4"/>
  <c r="Z85" i="4"/>
  <c r="Y85" i="4"/>
  <c r="X85" i="4"/>
  <c r="V85" i="4"/>
  <c r="Q85" i="4"/>
  <c r="I85" i="4"/>
  <c r="AL84" i="4"/>
  <c r="AK84" i="4"/>
  <c r="AJ84" i="4"/>
  <c r="AI84" i="4"/>
  <c r="AH84" i="4"/>
  <c r="AG84" i="4"/>
  <c r="AE84" i="4"/>
  <c r="AD84" i="4"/>
  <c r="AC84" i="4"/>
  <c r="AB84" i="4"/>
  <c r="AA84" i="4"/>
  <c r="Z84" i="4"/>
  <c r="Y84" i="4"/>
  <c r="X84" i="4"/>
  <c r="V84" i="4"/>
  <c r="Q84" i="4"/>
  <c r="I84" i="4"/>
  <c r="AL83" i="4"/>
  <c r="AK83" i="4"/>
  <c r="AJ83" i="4"/>
  <c r="AI83" i="4"/>
  <c r="AH83" i="4"/>
  <c r="AG83" i="4"/>
  <c r="AE83" i="4"/>
  <c r="AD83" i="4"/>
  <c r="AC83" i="4"/>
  <c r="AB83" i="4"/>
  <c r="AA83" i="4"/>
  <c r="Z83" i="4"/>
  <c r="Y83" i="4"/>
  <c r="X83" i="4"/>
  <c r="V83" i="4"/>
  <c r="Q83" i="4"/>
  <c r="I83" i="4"/>
  <c r="AL82" i="4"/>
  <c r="AK82" i="4"/>
  <c r="AJ82" i="4"/>
  <c r="AI82" i="4"/>
  <c r="AH82" i="4"/>
  <c r="AG82" i="4"/>
  <c r="AE82" i="4"/>
  <c r="AD82" i="4"/>
  <c r="AC82" i="4"/>
  <c r="AB82" i="4"/>
  <c r="AA82" i="4"/>
  <c r="Z82" i="4"/>
  <c r="Y82" i="4"/>
  <c r="X82" i="4"/>
  <c r="V82" i="4"/>
  <c r="Q82" i="4"/>
  <c r="I82" i="4"/>
  <c r="AL81" i="4"/>
  <c r="AK81" i="4"/>
  <c r="AJ81" i="4"/>
  <c r="AI81" i="4"/>
  <c r="AH81" i="4"/>
  <c r="AG81" i="4"/>
  <c r="AE81" i="4"/>
  <c r="AD81" i="4"/>
  <c r="AC81" i="4"/>
  <c r="AB81" i="4"/>
  <c r="AA81" i="4"/>
  <c r="Z81" i="4"/>
  <c r="Y81" i="4"/>
  <c r="X81" i="4"/>
  <c r="V81" i="4"/>
  <c r="Q81" i="4"/>
  <c r="I81" i="4"/>
  <c r="AL80" i="4"/>
  <c r="AK80" i="4"/>
  <c r="AJ80" i="4"/>
  <c r="AI80" i="4"/>
  <c r="AH80" i="4"/>
  <c r="AG80" i="4"/>
  <c r="AE80" i="4"/>
  <c r="AD80" i="4"/>
  <c r="AC80" i="4"/>
  <c r="AB80" i="4"/>
  <c r="AA80" i="4"/>
  <c r="Z80" i="4"/>
  <c r="Y80" i="4"/>
  <c r="X80" i="4"/>
  <c r="V80" i="4"/>
  <c r="Q80" i="4"/>
  <c r="I80" i="4"/>
  <c r="AJ79" i="4"/>
  <c r="AI79" i="4"/>
  <c r="AH79" i="4"/>
  <c r="AG79" i="4"/>
  <c r="AE79" i="4"/>
  <c r="AD79" i="4"/>
  <c r="AC79" i="4"/>
  <c r="AB79" i="4"/>
  <c r="AA79" i="4"/>
  <c r="Z79" i="4"/>
  <c r="Y79" i="4"/>
  <c r="X79" i="4"/>
  <c r="V79" i="4"/>
  <c r="Q79" i="4"/>
  <c r="I79" i="4"/>
  <c r="AL78" i="4"/>
  <c r="AK78" i="4"/>
  <c r="AJ78" i="4"/>
  <c r="AI78" i="4"/>
  <c r="AH78" i="4"/>
  <c r="AG78" i="4"/>
  <c r="AE78" i="4"/>
  <c r="AD78" i="4"/>
  <c r="AC78" i="4"/>
  <c r="AB78" i="4"/>
  <c r="AA78" i="4"/>
  <c r="Z78" i="4"/>
  <c r="Y78" i="4"/>
  <c r="X78" i="4"/>
  <c r="V78" i="4"/>
  <c r="Q78" i="4"/>
  <c r="I78" i="4"/>
  <c r="AL77" i="4"/>
  <c r="AK77" i="4"/>
  <c r="AJ77" i="4"/>
  <c r="AI77" i="4"/>
  <c r="AH77" i="4"/>
  <c r="AG77" i="4"/>
  <c r="AE77" i="4"/>
  <c r="AD77" i="4"/>
  <c r="AC77" i="4"/>
  <c r="AB77" i="4"/>
  <c r="AA77" i="4"/>
  <c r="Z77" i="4"/>
  <c r="Y77" i="4"/>
  <c r="X77" i="4"/>
  <c r="V77" i="4"/>
  <c r="Q77" i="4"/>
  <c r="I77" i="4"/>
  <c r="AL76" i="4"/>
  <c r="AK76" i="4"/>
  <c r="AJ76" i="4"/>
  <c r="AI76" i="4"/>
  <c r="AH76" i="4"/>
  <c r="AG76" i="4"/>
  <c r="AE76" i="4"/>
  <c r="AD76" i="4"/>
  <c r="AC76" i="4"/>
  <c r="AB76" i="4"/>
  <c r="AA76" i="4"/>
  <c r="Z76" i="4"/>
  <c r="Y76" i="4"/>
  <c r="X76" i="4"/>
  <c r="V76" i="4"/>
  <c r="Q76" i="4"/>
  <c r="I76" i="4"/>
  <c r="AL75" i="4"/>
  <c r="AK75" i="4"/>
  <c r="AJ75" i="4"/>
  <c r="AI75" i="4"/>
  <c r="AH75" i="4"/>
  <c r="AG75" i="4"/>
  <c r="AE75" i="4"/>
  <c r="AD75" i="4"/>
  <c r="AC75" i="4"/>
  <c r="AB75" i="4"/>
  <c r="AA75" i="4"/>
  <c r="Z75" i="4"/>
  <c r="Y75" i="4"/>
  <c r="X75" i="4"/>
  <c r="V75" i="4"/>
  <c r="Q75" i="4"/>
  <c r="I75" i="4"/>
  <c r="AL74" i="4"/>
  <c r="AK74" i="4"/>
  <c r="AJ74" i="4"/>
  <c r="AI74" i="4"/>
  <c r="AH74" i="4"/>
  <c r="AG74" i="4"/>
  <c r="AE74" i="4"/>
  <c r="AD74" i="4"/>
  <c r="AC74" i="4"/>
  <c r="AB74" i="4"/>
  <c r="AA74" i="4"/>
  <c r="Z74" i="4"/>
  <c r="Y74" i="4"/>
  <c r="X74" i="4"/>
  <c r="V74" i="4"/>
  <c r="Q74" i="4"/>
  <c r="I74" i="4"/>
  <c r="AL73" i="4"/>
  <c r="AK73" i="4"/>
  <c r="AJ73" i="4"/>
  <c r="AI73" i="4"/>
  <c r="AH73" i="4"/>
  <c r="AG73" i="4"/>
  <c r="AE73" i="4"/>
  <c r="AD73" i="4"/>
  <c r="AC73" i="4"/>
  <c r="AB73" i="4"/>
  <c r="AA73" i="4"/>
  <c r="Z73" i="4"/>
  <c r="Y73" i="4"/>
  <c r="X73" i="4"/>
  <c r="V73" i="4"/>
  <c r="Q73" i="4"/>
  <c r="I73" i="4"/>
  <c r="AL72" i="4"/>
  <c r="AK72" i="4"/>
  <c r="AJ72" i="4"/>
  <c r="AI72" i="4"/>
  <c r="AH72" i="4"/>
  <c r="AG72" i="4"/>
  <c r="AE72" i="4"/>
  <c r="AD72" i="4"/>
  <c r="AC72" i="4"/>
  <c r="AB72" i="4"/>
  <c r="AA72" i="4"/>
  <c r="Z72" i="4"/>
  <c r="Y72" i="4"/>
  <c r="X72" i="4"/>
  <c r="V72" i="4"/>
  <c r="Q72" i="4"/>
  <c r="I72" i="4"/>
  <c r="AL71" i="4"/>
  <c r="AK71" i="4"/>
  <c r="AJ71" i="4"/>
  <c r="AI71" i="4"/>
  <c r="AH71" i="4"/>
  <c r="AG71" i="4"/>
  <c r="AE71" i="4"/>
  <c r="AD71" i="4"/>
  <c r="AC71" i="4"/>
  <c r="AB71" i="4"/>
  <c r="AA71" i="4"/>
  <c r="Z71" i="4"/>
  <c r="Y71" i="4"/>
  <c r="X71" i="4"/>
  <c r="V71" i="4"/>
  <c r="Q71" i="4"/>
  <c r="I71" i="4"/>
  <c r="AL70" i="4"/>
  <c r="AK70" i="4"/>
  <c r="AJ70" i="4"/>
  <c r="AI70" i="4"/>
  <c r="AH70" i="4"/>
  <c r="AG70" i="4"/>
  <c r="AE70" i="4"/>
  <c r="AD70" i="4"/>
  <c r="AC70" i="4"/>
  <c r="AB70" i="4"/>
  <c r="AA70" i="4"/>
  <c r="Z70" i="4"/>
  <c r="Y70" i="4"/>
  <c r="X70" i="4"/>
  <c r="V70" i="4"/>
  <c r="Q70" i="4"/>
  <c r="I70" i="4"/>
  <c r="AL69" i="4"/>
  <c r="AK69" i="4"/>
  <c r="AJ69" i="4"/>
  <c r="AI69" i="4"/>
  <c r="AH69" i="4"/>
  <c r="AG69" i="4"/>
  <c r="AE69" i="4"/>
  <c r="AD69" i="4"/>
  <c r="AC69" i="4"/>
  <c r="AB69" i="4"/>
  <c r="AA69" i="4"/>
  <c r="Z69" i="4"/>
  <c r="Y69" i="4"/>
  <c r="X69" i="4"/>
  <c r="V69" i="4"/>
  <c r="Q69" i="4"/>
  <c r="I69" i="4"/>
  <c r="AL68" i="4"/>
  <c r="AK68" i="4"/>
  <c r="AJ68" i="4"/>
  <c r="AI68" i="4"/>
  <c r="AH68" i="4"/>
  <c r="AG68" i="4"/>
  <c r="AE68" i="4"/>
  <c r="AD68" i="4"/>
  <c r="AC68" i="4"/>
  <c r="AB68" i="4"/>
  <c r="AA68" i="4"/>
  <c r="Z68" i="4"/>
  <c r="Y68" i="4"/>
  <c r="X68" i="4"/>
  <c r="V68" i="4"/>
  <c r="Q68" i="4"/>
  <c r="I68" i="4"/>
  <c r="AL67" i="4"/>
  <c r="AK67" i="4"/>
  <c r="AJ67" i="4"/>
  <c r="AI67" i="4"/>
  <c r="AH67" i="4"/>
  <c r="AG67" i="4"/>
  <c r="AE67" i="4"/>
  <c r="AD67" i="4"/>
  <c r="AC67" i="4"/>
  <c r="AB67" i="4"/>
  <c r="AA67" i="4"/>
  <c r="Z67" i="4"/>
  <c r="Y67" i="4"/>
  <c r="X67" i="4"/>
  <c r="V67" i="4"/>
  <c r="Q67" i="4"/>
  <c r="I67" i="4"/>
  <c r="AJ66" i="4"/>
  <c r="AI66" i="4"/>
  <c r="AH66" i="4"/>
  <c r="AG66" i="4"/>
  <c r="AE66" i="4"/>
  <c r="AD66" i="4"/>
  <c r="AC66" i="4"/>
  <c r="AB66" i="4"/>
  <c r="AA66" i="4"/>
  <c r="Z66" i="4"/>
  <c r="Y66" i="4"/>
  <c r="X66" i="4"/>
  <c r="V66" i="4"/>
  <c r="Q66" i="4"/>
  <c r="I66" i="4"/>
  <c r="AJ65" i="4"/>
  <c r="AI65" i="4"/>
  <c r="AH65" i="4"/>
  <c r="AG65" i="4"/>
  <c r="AE65" i="4"/>
  <c r="AD65" i="4"/>
  <c r="AC65" i="4"/>
  <c r="AB65" i="4"/>
  <c r="AA65" i="4"/>
  <c r="Z65" i="4"/>
  <c r="Y65" i="4"/>
  <c r="X65" i="4"/>
  <c r="V65" i="4"/>
  <c r="Q65" i="4"/>
  <c r="I65" i="4"/>
  <c r="AJ64" i="4"/>
  <c r="AI64" i="4"/>
  <c r="AH64" i="4"/>
  <c r="AG64" i="4"/>
  <c r="AE64" i="4"/>
  <c r="AD64" i="4"/>
  <c r="AC64" i="4"/>
  <c r="AB64" i="4"/>
  <c r="AA64" i="4"/>
  <c r="Z64" i="4"/>
  <c r="Y64" i="4"/>
  <c r="X64" i="4"/>
  <c r="V64" i="4"/>
  <c r="Q64" i="4"/>
  <c r="I64" i="4"/>
  <c r="AJ63" i="4"/>
  <c r="AI63" i="4"/>
  <c r="AH63" i="4"/>
  <c r="AG63" i="4"/>
  <c r="AE63" i="4"/>
  <c r="AD63" i="4"/>
  <c r="AC63" i="4"/>
  <c r="AB63" i="4"/>
  <c r="AA63" i="4"/>
  <c r="Z63" i="4"/>
  <c r="Y63" i="4"/>
  <c r="X63" i="4"/>
  <c r="V63" i="4"/>
  <c r="Q63" i="4"/>
  <c r="I63" i="4"/>
  <c r="AJ62" i="4"/>
  <c r="AI62" i="4"/>
  <c r="AH62" i="4"/>
  <c r="AG62" i="4"/>
  <c r="AE62" i="4"/>
  <c r="AD62" i="4"/>
  <c r="AC62" i="4"/>
  <c r="AB62" i="4"/>
  <c r="AA62" i="4"/>
  <c r="Z62" i="4"/>
  <c r="Y62" i="4"/>
  <c r="X62" i="4"/>
  <c r="V62" i="4"/>
  <c r="Q62" i="4"/>
  <c r="I62" i="4"/>
  <c r="AJ61" i="4"/>
  <c r="AI61" i="4"/>
  <c r="AH61" i="4"/>
  <c r="AG61" i="4"/>
  <c r="AE61" i="4"/>
  <c r="AD61" i="4"/>
  <c r="AC61" i="4"/>
  <c r="AB61" i="4"/>
  <c r="AA61" i="4"/>
  <c r="Z61" i="4"/>
  <c r="Y61" i="4"/>
  <c r="X61" i="4"/>
  <c r="V61" i="4"/>
  <c r="Q61" i="4"/>
  <c r="I61" i="4"/>
  <c r="AJ60" i="4"/>
  <c r="AI60" i="4"/>
  <c r="AH60" i="4"/>
  <c r="AG60" i="4"/>
  <c r="AE60" i="4"/>
  <c r="AD60" i="4"/>
  <c r="AC60" i="4"/>
  <c r="AB60" i="4"/>
  <c r="AA60" i="4"/>
  <c r="Z60" i="4"/>
  <c r="Y60" i="4"/>
  <c r="X60" i="4"/>
  <c r="V60" i="4"/>
  <c r="Q60" i="4"/>
  <c r="I60" i="4"/>
  <c r="AJ59" i="4"/>
  <c r="AI59" i="4"/>
  <c r="AH59" i="4"/>
  <c r="AG59" i="4"/>
  <c r="AE59" i="4"/>
  <c r="AD59" i="4"/>
  <c r="AC59" i="4"/>
  <c r="AB59" i="4"/>
  <c r="AA59" i="4"/>
  <c r="Z59" i="4"/>
  <c r="Y59" i="4"/>
  <c r="X59" i="4"/>
  <c r="V59" i="4"/>
  <c r="Q59" i="4"/>
  <c r="I59" i="4"/>
  <c r="AJ58" i="4"/>
  <c r="AI58" i="4"/>
  <c r="AH58" i="4"/>
  <c r="AG58" i="4"/>
  <c r="AE58" i="4"/>
  <c r="AD58" i="4"/>
  <c r="AC58" i="4"/>
  <c r="AB58" i="4"/>
  <c r="AA58" i="4"/>
  <c r="Z58" i="4"/>
  <c r="Y58" i="4"/>
  <c r="X58" i="4"/>
  <c r="V58" i="4"/>
  <c r="Q58" i="4"/>
  <c r="I58" i="4"/>
  <c r="AJ57" i="4"/>
  <c r="AI57" i="4"/>
  <c r="AH57" i="4"/>
  <c r="AG57" i="4"/>
  <c r="AE57" i="4"/>
  <c r="AD57" i="4"/>
  <c r="AC57" i="4"/>
  <c r="AB57" i="4"/>
  <c r="AA57" i="4"/>
  <c r="Z57" i="4"/>
  <c r="Y57" i="4"/>
  <c r="X57" i="4"/>
  <c r="V57" i="4"/>
  <c r="Q57" i="4"/>
  <c r="I57" i="4"/>
  <c r="AL56" i="4"/>
  <c r="AK56" i="4"/>
  <c r="AJ56" i="4"/>
  <c r="AI56" i="4"/>
  <c r="AH56" i="4"/>
  <c r="AG56" i="4"/>
  <c r="AE56" i="4"/>
  <c r="AD56" i="4"/>
  <c r="AC56" i="4"/>
  <c r="AB56" i="4"/>
  <c r="AA56" i="4"/>
  <c r="Z56" i="4"/>
  <c r="Y56" i="4"/>
  <c r="X56" i="4"/>
  <c r="V56" i="4"/>
  <c r="Q56" i="4"/>
  <c r="I56" i="4"/>
  <c r="F56" i="4"/>
  <c r="E56" i="4"/>
  <c r="AL55" i="4"/>
  <c r="AK55" i="4"/>
  <c r="AJ55" i="4"/>
  <c r="AI55" i="4"/>
  <c r="AH55" i="4"/>
  <c r="AG55" i="4"/>
  <c r="AE55" i="4"/>
  <c r="AD55" i="4"/>
  <c r="AC55" i="4"/>
  <c r="AB55" i="4"/>
  <c r="AA55" i="4"/>
  <c r="Z55" i="4"/>
  <c r="Y55" i="4"/>
  <c r="X55" i="4"/>
  <c r="V55" i="4"/>
  <c r="Q55" i="4"/>
  <c r="I55" i="4"/>
  <c r="AL54" i="4"/>
  <c r="AK54" i="4"/>
  <c r="AJ54" i="4"/>
  <c r="AI54" i="4"/>
  <c r="AH54" i="4"/>
  <c r="AG54" i="4"/>
  <c r="AE54" i="4"/>
  <c r="AD54" i="4"/>
  <c r="AC54" i="4"/>
  <c r="AB54" i="4"/>
  <c r="AA54" i="4"/>
  <c r="Z54" i="4"/>
  <c r="Y54" i="4"/>
  <c r="X54" i="4"/>
  <c r="V54" i="4"/>
  <c r="Q54" i="4"/>
  <c r="I54" i="4"/>
  <c r="AL53" i="4"/>
  <c r="AK53" i="4"/>
  <c r="AJ53" i="4"/>
  <c r="AI53" i="4"/>
  <c r="AH53" i="4"/>
  <c r="AG53" i="4"/>
  <c r="AE53" i="4"/>
  <c r="AD53" i="4"/>
  <c r="AC53" i="4"/>
  <c r="AB53" i="4"/>
  <c r="AA53" i="4"/>
  <c r="Z53" i="4"/>
  <c r="Y53" i="4"/>
  <c r="X53" i="4"/>
  <c r="V53" i="4"/>
  <c r="Q53" i="4"/>
  <c r="I53" i="4"/>
  <c r="AJ52" i="4"/>
  <c r="AI52" i="4"/>
  <c r="AH52" i="4"/>
  <c r="AG52" i="4"/>
  <c r="AE52" i="4"/>
  <c r="AD52" i="4"/>
  <c r="AC52" i="4"/>
  <c r="AB52" i="4"/>
  <c r="AA52" i="4"/>
  <c r="Z52" i="4"/>
  <c r="Y52" i="4"/>
  <c r="X52" i="4"/>
  <c r="V52" i="4"/>
  <c r="Q52" i="4"/>
  <c r="I52" i="4"/>
  <c r="AL51" i="4"/>
  <c r="AK51" i="4"/>
  <c r="AJ51" i="4"/>
  <c r="AI51" i="4"/>
  <c r="AH51" i="4"/>
  <c r="AG51" i="4"/>
  <c r="AE51" i="4"/>
  <c r="AD51" i="4"/>
  <c r="AC51" i="4"/>
  <c r="AB51" i="4"/>
  <c r="AA51" i="4"/>
  <c r="Z51" i="4"/>
  <c r="Y51" i="4"/>
  <c r="X51" i="4"/>
  <c r="V51" i="4"/>
  <c r="Q51" i="4"/>
  <c r="I51" i="4"/>
  <c r="AL50" i="4"/>
  <c r="AK50" i="4"/>
  <c r="AJ50" i="4"/>
  <c r="AI50" i="4"/>
  <c r="AH50" i="4"/>
  <c r="AG50" i="4"/>
  <c r="AE50" i="4"/>
  <c r="AD50" i="4"/>
  <c r="AC50" i="4"/>
  <c r="AB50" i="4"/>
  <c r="AA50" i="4"/>
  <c r="Z50" i="4"/>
  <c r="Y50" i="4"/>
  <c r="X50" i="4"/>
  <c r="V50" i="4"/>
  <c r="Q50" i="4"/>
  <c r="I50" i="4"/>
  <c r="AL49" i="4"/>
  <c r="AK49" i="4"/>
  <c r="AJ49" i="4"/>
  <c r="AI49" i="4"/>
  <c r="AH49" i="4"/>
  <c r="AG49" i="4"/>
  <c r="AE49" i="4"/>
  <c r="AD49" i="4"/>
  <c r="AC49" i="4"/>
  <c r="AB49" i="4"/>
  <c r="AA49" i="4"/>
  <c r="Z49" i="4"/>
  <c r="Y49" i="4"/>
  <c r="X49" i="4"/>
  <c r="V49" i="4"/>
  <c r="Q49" i="4"/>
  <c r="I49" i="4"/>
  <c r="AL48" i="4"/>
  <c r="AK48" i="4"/>
  <c r="AJ48" i="4"/>
  <c r="AI48" i="4"/>
  <c r="AH48" i="4"/>
  <c r="AG48" i="4"/>
  <c r="AE48" i="4"/>
  <c r="AD48" i="4"/>
  <c r="AC48" i="4"/>
  <c r="AB48" i="4"/>
  <c r="AA48" i="4"/>
  <c r="Z48" i="4"/>
  <c r="Y48" i="4"/>
  <c r="X48" i="4"/>
  <c r="V48" i="4"/>
  <c r="Q48" i="4"/>
  <c r="I48" i="4"/>
  <c r="AL47" i="4"/>
  <c r="AK47" i="4"/>
  <c r="AJ47" i="4"/>
  <c r="AI47" i="4"/>
  <c r="AH47" i="4"/>
  <c r="AG47" i="4"/>
  <c r="AE47" i="4"/>
  <c r="AD47" i="4"/>
  <c r="AC47" i="4"/>
  <c r="AB47" i="4"/>
  <c r="AA47" i="4"/>
  <c r="Z47" i="4"/>
  <c r="Y47" i="4"/>
  <c r="X47" i="4"/>
  <c r="V47" i="4"/>
  <c r="Q47" i="4"/>
  <c r="I47" i="4"/>
  <c r="AL46" i="4"/>
  <c r="AK46" i="4"/>
  <c r="AJ46" i="4"/>
  <c r="AI46" i="4"/>
  <c r="AH46" i="4"/>
  <c r="AG46" i="4"/>
  <c r="AE46" i="4"/>
  <c r="AD46" i="4"/>
  <c r="AC46" i="4"/>
  <c r="AB46" i="4"/>
  <c r="AA46" i="4"/>
  <c r="Z46" i="4"/>
  <c r="Y46" i="4"/>
  <c r="X46" i="4"/>
  <c r="V46" i="4"/>
  <c r="Q46" i="4"/>
  <c r="I46" i="4"/>
  <c r="AL45" i="4"/>
  <c r="AK45" i="4"/>
  <c r="AJ45" i="4"/>
  <c r="AI45" i="4"/>
  <c r="AH45" i="4"/>
  <c r="AG45" i="4"/>
  <c r="AE45" i="4"/>
  <c r="AD45" i="4"/>
  <c r="AC45" i="4"/>
  <c r="AB45" i="4"/>
  <c r="AA45" i="4"/>
  <c r="Z45" i="4"/>
  <c r="Y45" i="4"/>
  <c r="X45" i="4"/>
  <c r="V45" i="4"/>
  <c r="Q45" i="4"/>
  <c r="I45" i="4"/>
  <c r="AL44" i="4"/>
  <c r="AK44" i="4"/>
  <c r="AJ44" i="4"/>
  <c r="AI44" i="4"/>
  <c r="AH44" i="4"/>
  <c r="AG44" i="4"/>
  <c r="AE44" i="4"/>
  <c r="AD44" i="4"/>
  <c r="AC44" i="4"/>
  <c r="AB44" i="4"/>
  <c r="AA44" i="4"/>
  <c r="Z44" i="4"/>
  <c r="Y44" i="4"/>
  <c r="X44" i="4"/>
  <c r="V44" i="4"/>
  <c r="Q44" i="4"/>
  <c r="I44" i="4"/>
  <c r="AL43" i="4"/>
  <c r="AK43" i="4"/>
  <c r="AJ43" i="4"/>
  <c r="AI43" i="4"/>
  <c r="AH43" i="4"/>
  <c r="AG43" i="4"/>
  <c r="AE43" i="4"/>
  <c r="AD43" i="4"/>
  <c r="AC43" i="4"/>
  <c r="AB43" i="4"/>
  <c r="AA43" i="4"/>
  <c r="Z43" i="4"/>
  <c r="Y43" i="4"/>
  <c r="X43" i="4"/>
  <c r="V43" i="4"/>
  <c r="Q43" i="4"/>
  <c r="I43" i="4"/>
  <c r="AL42" i="4"/>
  <c r="AK42" i="4"/>
  <c r="AJ42" i="4"/>
  <c r="AI42" i="4"/>
  <c r="AH42" i="4"/>
  <c r="AG42" i="4"/>
  <c r="AE42" i="4"/>
  <c r="AD42" i="4"/>
  <c r="AC42" i="4"/>
  <c r="AB42" i="4"/>
  <c r="AA42" i="4"/>
  <c r="Z42" i="4"/>
  <c r="Y42" i="4"/>
  <c r="X42" i="4"/>
  <c r="V42" i="4"/>
  <c r="Q42" i="4"/>
  <c r="I42" i="4"/>
  <c r="AL41" i="4"/>
  <c r="AK41" i="4"/>
  <c r="AJ41" i="4"/>
  <c r="AI41" i="4"/>
  <c r="AH41" i="4"/>
  <c r="AG41" i="4"/>
  <c r="AE41" i="4"/>
  <c r="AD41" i="4"/>
  <c r="AC41" i="4"/>
  <c r="AB41" i="4"/>
  <c r="AA41" i="4"/>
  <c r="Z41" i="4"/>
  <c r="Y41" i="4"/>
  <c r="X41" i="4"/>
  <c r="V41" i="4"/>
  <c r="Q41" i="4"/>
  <c r="I41" i="4"/>
  <c r="AL40" i="4"/>
  <c r="AK40" i="4"/>
  <c r="AJ40" i="4"/>
  <c r="AI40" i="4"/>
  <c r="AH40" i="4"/>
  <c r="AG40" i="4"/>
  <c r="AE40" i="4"/>
  <c r="AD40" i="4"/>
  <c r="AC40" i="4"/>
  <c r="AB40" i="4"/>
  <c r="AA40" i="4"/>
  <c r="Z40" i="4"/>
  <c r="Y40" i="4"/>
  <c r="X40" i="4"/>
  <c r="V40" i="4"/>
  <c r="Q40" i="4"/>
  <c r="I40" i="4"/>
  <c r="AL39" i="4"/>
  <c r="AK39" i="4"/>
  <c r="AJ39" i="4"/>
  <c r="AI39" i="4"/>
  <c r="AH39" i="4"/>
  <c r="AG39" i="4"/>
  <c r="AE39" i="4"/>
  <c r="AD39" i="4"/>
  <c r="AC39" i="4"/>
  <c r="AB39" i="4"/>
  <c r="AA39" i="4"/>
  <c r="Z39" i="4"/>
  <c r="Y39" i="4"/>
  <c r="X39" i="4"/>
  <c r="V39" i="4"/>
  <c r="Q39" i="4"/>
  <c r="I39" i="4"/>
  <c r="AL38" i="4"/>
  <c r="AK38" i="4"/>
  <c r="AJ38" i="4"/>
  <c r="AI38" i="4"/>
  <c r="AH38" i="4"/>
  <c r="AG38" i="4"/>
  <c r="AE38" i="4"/>
  <c r="AD38" i="4"/>
  <c r="AC38" i="4"/>
  <c r="AB38" i="4"/>
  <c r="AA38" i="4"/>
  <c r="Z38" i="4"/>
  <c r="Y38" i="4"/>
  <c r="X38" i="4"/>
  <c r="V38" i="4"/>
  <c r="Q38" i="4"/>
  <c r="I38" i="4"/>
  <c r="AL37" i="4"/>
  <c r="AK37" i="4"/>
  <c r="AJ37" i="4"/>
  <c r="AI37" i="4"/>
  <c r="AH37" i="4"/>
  <c r="AG37" i="4"/>
  <c r="AE37" i="4"/>
  <c r="AD37" i="4"/>
  <c r="AC37" i="4"/>
  <c r="AB37" i="4"/>
  <c r="AA37" i="4"/>
  <c r="Z37" i="4"/>
  <c r="Y37" i="4"/>
  <c r="X37" i="4"/>
  <c r="V37" i="4"/>
  <c r="Q37" i="4"/>
  <c r="I37" i="4"/>
  <c r="AJ36" i="4"/>
  <c r="AI36" i="4"/>
  <c r="AH36" i="4"/>
  <c r="AG36" i="4"/>
  <c r="AE36" i="4"/>
  <c r="AD36" i="4"/>
  <c r="AC36" i="4"/>
  <c r="AB36" i="4"/>
  <c r="AA36" i="4"/>
  <c r="Z36" i="4"/>
  <c r="Y36" i="4"/>
  <c r="X36" i="4"/>
  <c r="V36" i="4"/>
  <c r="Q36" i="4"/>
  <c r="I36" i="4"/>
  <c r="AJ35" i="4"/>
  <c r="AI35" i="4"/>
  <c r="AH35" i="4"/>
  <c r="AG35" i="4"/>
  <c r="AE35" i="4"/>
  <c r="AD35" i="4"/>
  <c r="AC35" i="4"/>
  <c r="AB35" i="4"/>
  <c r="AA35" i="4"/>
  <c r="Z35" i="4"/>
  <c r="Y35" i="4"/>
  <c r="X35" i="4"/>
  <c r="V35" i="4"/>
  <c r="Q35" i="4"/>
  <c r="I35" i="4"/>
  <c r="AJ34" i="4"/>
  <c r="AI34" i="4"/>
  <c r="AH34" i="4"/>
  <c r="AG34" i="4"/>
  <c r="AE34" i="4"/>
  <c r="AD34" i="4"/>
  <c r="AC34" i="4"/>
  <c r="AB34" i="4"/>
  <c r="AA34" i="4"/>
  <c r="Z34" i="4"/>
  <c r="Y34" i="4"/>
  <c r="X34" i="4"/>
  <c r="V34" i="4"/>
  <c r="Q34" i="4"/>
  <c r="I34" i="4"/>
  <c r="AJ33" i="4"/>
  <c r="AI33" i="4"/>
  <c r="AH33" i="4"/>
  <c r="AG33" i="4"/>
  <c r="AE33" i="4"/>
  <c r="AD33" i="4"/>
  <c r="AC33" i="4"/>
  <c r="AB33" i="4"/>
  <c r="AA33" i="4"/>
  <c r="Z33" i="4"/>
  <c r="Y33" i="4"/>
  <c r="X33" i="4"/>
  <c r="V33" i="4"/>
  <c r="Q33" i="4"/>
  <c r="I33" i="4"/>
  <c r="F33" i="4"/>
  <c r="AL32" i="4"/>
  <c r="AK32" i="4"/>
  <c r="AJ32" i="4"/>
  <c r="AI32" i="4"/>
  <c r="AH32" i="4"/>
  <c r="AG32" i="4"/>
  <c r="AE32" i="4"/>
  <c r="AD32" i="4"/>
  <c r="AC32" i="4"/>
  <c r="AB32" i="4"/>
  <c r="AA32" i="4"/>
  <c r="Z32" i="4"/>
  <c r="Y32" i="4"/>
  <c r="X32" i="4"/>
  <c r="V32" i="4"/>
  <c r="Q32" i="4"/>
  <c r="I32" i="4"/>
  <c r="AL31" i="4"/>
  <c r="AK31" i="4"/>
  <c r="AJ31" i="4"/>
  <c r="AI31" i="4"/>
  <c r="AH31" i="4"/>
  <c r="AG31" i="4"/>
  <c r="AE31" i="4"/>
  <c r="AD31" i="4"/>
  <c r="AC31" i="4"/>
  <c r="AB31" i="4"/>
  <c r="AA31" i="4"/>
  <c r="Z31" i="4"/>
  <c r="Y31" i="4"/>
  <c r="X31" i="4"/>
  <c r="V31" i="4"/>
  <c r="Q31" i="4"/>
  <c r="I31" i="4"/>
  <c r="AL30" i="4"/>
  <c r="AK30" i="4"/>
  <c r="AJ30" i="4"/>
  <c r="AI30" i="4"/>
  <c r="AH30" i="4"/>
  <c r="AG30" i="4"/>
  <c r="AE30" i="4"/>
  <c r="AD30" i="4"/>
  <c r="AC30" i="4"/>
  <c r="AB30" i="4"/>
  <c r="AA30" i="4"/>
  <c r="Z30" i="4"/>
  <c r="Y30" i="4"/>
  <c r="X30" i="4"/>
  <c r="V30" i="4"/>
  <c r="Q30" i="4"/>
  <c r="I30" i="4"/>
  <c r="F30" i="4"/>
  <c r="AL29" i="4"/>
  <c r="AK29" i="4"/>
  <c r="AJ29" i="4"/>
  <c r="AI29" i="4"/>
  <c r="AH29" i="4"/>
  <c r="AG29" i="4"/>
  <c r="AE29" i="4"/>
  <c r="AD29" i="4"/>
  <c r="AC29" i="4"/>
  <c r="AB29" i="4"/>
  <c r="AA29" i="4"/>
  <c r="Z29" i="4"/>
  <c r="Y29" i="4"/>
  <c r="X29" i="4"/>
  <c r="V29" i="4"/>
  <c r="Q29" i="4"/>
  <c r="I29" i="4"/>
  <c r="AL28" i="4"/>
  <c r="AK28" i="4"/>
  <c r="AJ28" i="4"/>
  <c r="AI28" i="4"/>
  <c r="AH28" i="4"/>
  <c r="AG28" i="4"/>
  <c r="AE28" i="4"/>
  <c r="AD28" i="4"/>
  <c r="AC28" i="4"/>
  <c r="AB28" i="4"/>
  <c r="AA28" i="4"/>
  <c r="Z28" i="4"/>
  <c r="Y28" i="4"/>
  <c r="X28" i="4"/>
  <c r="V28" i="4"/>
  <c r="Q28" i="4"/>
  <c r="I28" i="4"/>
  <c r="AL27" i="4"/>
  <c r="AK27" i="4"/>
  <c r="AJ27" i="4"/>
  <c r="AI27" i="4"/>
  <c r="AH27" i="4"/>
  <c r="AG27" i="4"/>
  <c r="AE27" i="4"/>
  <c r="AD27" i="4"/>
  <c r="AC27" i="4"/>
  <c r="AB27" i="4"/>
  <c r="AA27" i="4"/>
  <c r="Z27" i="4"/>
  <c r="Y27" i="4"/>
  <c r="X27" i="4"/>
  <c r="V27" i="4"/>
  <c r="Q27" i="4"/>
  <c r="I27" i="4"/>
  <c r="AL26" i="4"/>
  <c r="AK26" i="4"/>
  <c r="AJ26" i="4"/>
  <c r="AI26" i="4"/>
  <c r="AH26" i="4"/>
  <c r="AG26" i="4"/>
  <c r="AE26" i="4"/>
  <c r="AD26" i="4"/>
  <c r="AC26" i="4"/>
  <c r="AB26" i="4"/>
  <c r="AA26" i="4"/>
  <c r="Z26" i="4"/>
  <c r="Y26" i="4"/>
  <c r="X26" i="4"/>
  <c r="V26" i="4"/>
  <c r="Q26" i="4"/>
  <c r="I26" i="4"/>
  <c r="AL25" i="4"/>
  <c r="AK25" i="4"/>
  <c r="AJ25" i="4"/>
  <c r="AI25" i="4"/>
  <c r="AH25" i="4"/>
  <c r="AG25" i="4"/>
  <c r="AE25" i="4"/>
  <c r="AD25" i="4"/>
  <c r="AC25" i="4"/>
  <c r="AB25" i="4"/>
  <c r="AA25" i="4"/>
  <c r="Z25" i="4"/>
  <c r="Y25" i="4"/>
  <c r="X25" i="4"/>
  <c r="V25" i="4"/>
  <c r="Q25" i="4"/>
  <c r="I25" i="4"/>
  <c r="AL24" i="4"/>
  <c r="AK24" i="4"/>
  <c r="AJ24" i="4"/>
  <c r="AI24" i="4"/>
  <c r="AH24" i="4"/>
  <c r="AG24" i="4"/>
  <c r="AE24" i="4"/>
  <c r="AD24" i="4"/>
  <c r="AC24" i="4"/>
  <c r="AB24" i="4"/>
  <c r="AA24" i="4"/>
  <c r="Z24" i="4"/>
  <c r="Y24" i="4"/>
  <c r="X24" i="4"/>
  <c r="V24" i="4"/>
  <c r="Q24" i="4"/>
  <c r="I24" i="4"/>
  <c r="AL23" i="4"/>
  <c r="AK23" i="4"/>
  <c r="AJ23" i="4"/>
  <c r="AI23" i="4"/>
  <c r="AH23" i="4"/>
  <c r="AG23" i="4"/>
  <c r="AE23" i="4"/>
  <c r="AD23" i="4"/>
  <c r="AC23" i="4"/>
  <c r="AB23" i="4"/>
  <c r="AA23" i="4"/>
  <c r="Z23" i="4"/>
  <c r="Y23" i="4"/>
  <c r="X23" i="4"/>
  <c r="V23" i="4"/>
  <c r="Q23" i="4"/>
  <c r="I23" i="4"/>
  <c r="AL22" i="4"/>
  <c r="AK22" i="4"/>
  <c r="AJ22" i="4"/>
  <c r="AI22" i="4"/>
  <c r="AH22" i="4"/>
  <c r="AG22" i="4"/>
  <c r="AE22" i="4"/>
  <c r="AD22" i="4"/>
  <c r="AC22" i="4"/>
  <c r="AB22" i="4"/>
  <c r="AA22" i="4"/>
  <c r="Z22" i="4"/>
  <c r="Y22" i="4"/>
  <c r="X22" i="4"/>
  <c r="V22" i="4"/>
  <c r="Q22" i="4"/>
  <c r="I22" i="4"/>
  <c r="AJ21" i="4"/>
  <c r="AI21" i="4"/>
  <c r="AH21" i="4"/>
  <c r="AG21" i="4"/>
  <c r="AE21" i="4"/>
  <c r="AD21" i="4"/>
  <c r="AC21" i="4"/>
  <c r="AB21" i="4"/>
  <c r="AA21" i="4"/>
  <c r="Z21" i="4"/>
  <c r="Y21" i="4"/>
  <c r="X21" i="4"/>
  <c r="V21" i="4"/>
  <c r="Q21" i="4"/>
  <c r="I21" i="4"/>
  <c r="AL20" i="4"/>
  <c r="AK20" i="4"/>
  <c r="AJ20" i="4"/>
  <c r="AI20" i="4"/>
  <c r="AH20" i="4"/>
  <c r="AG20" i="4"/>
  <c r="AE20" i="4"/>
  <c r="AD20" i="4"/>
  <c r="AC20" i="4"/>
  <c r="AB20" i="4"/>
  <c r="AA20" i="4"/>
  <c r="Z20" i="4"/>
  <c r="Y20" i="4"/>
  <c r="X20" i="4"/>
  <c r="V20" i="4"/>
  <c r="Q20" i="4"/>
  <c r="I20" i="4"/>
  <c r="AL19" i="4"/>
  <c r="AK19" i="4"/>
  <c r="AJ19" i="4"/>
  <c r="AI19" i="4"/>
  <c r="AH19" i="4"/>
  <c r="AG19" i="4"/>
  <c r="AE19" i="4"/>
  <c r="AD19" i="4"/>
  <c r="AC19" i="4"/>
  <c r="AB19" i="4"/>
  <c r="AA19" i="4"/>
  <c r="Z19" i="4"/>
  <c r="Y19" i="4"/>
  <c r="X19" i="4"/>
  <c r="V19" i="4"/>
  <c r="Q19" i="4"/>
  <c r="I19" i="4"/>
  <c r="AL18" i="4"/>
  <c r="AK18" i="4"/>
  <c r="AJ18" i="4"/>
  <c r="AI18" i="4"/>
  <c r="AH18" i="4"/>
  <c r="AG18" i="4"/>
  <c r="AE18" i="4"/>
  <c r="AD18" i="4"/>
  <c r="AC18" i="4"/>
  <c r="AB18" i="4"/>
  <c r="AA18" i="4"/>
  <c r="Z18" i="4"/>
  <c r="Y18" i="4"/>
  <c r="X18" i="4"/>
  <c r="V18" i="4"/>
  <c r="Q18" i="4"/>
  <c r="I18" i="4"/>
  <c r="AL17" i="4"/>
  <c r="AJ17" i="4"/>
  <c r="AI17" i="4"/>
  <c r="AH17" i="4"/>
  <c r="AG17" i="4"/>
  <c r="AE17" i="4"/>
  <c r="AD17" i="4"/>
  <c r="AC17" i="4"/>
  <c r="AB17" i="4"/>
  <c r="AA17" i="4"/>
  <c r="Z17" i="4"/>
  <c r="Y17" i="4"/>
  <c r="X17" i="4"/>
  <c r="V17" i="4"/>
  <c r="Q17" i="4"/>
  <c r="I17" i="4"/>
  <c r="AL16" i="4"/>
  <c r="AK16" i="4"/>
  <c r="AJ16" i="4"/>
  <c r="AI16" i="4"/>
  <c r="AH16" i="4"/>
  <c r="AG16" i="4"/>
  <c r="AE16" i="4"/>
  <c r="AD16" i="4"/>
  <c r="AC16" i="4"/>
  <c r="AB16" i="4"/>
  <c r="AA16" i="4"/>
  <c r="Z16" i="4"/>
  <c r="Y16" i="4"/>
  <c r="X16" i="4"/>
  <c r="V16" i="4"/>
  <c r="Q16" i="4"/>
  <c r="I16" i="4"/>
  <c r="AL15" i="4"/>
  <c r="AK15" i="4"/>
  <c r="AJ15" i="4"/>
  <c r="AI15" i="4"/>
  <c r="AH15" i="4"/>
  <c r="AG15" i="4"/>
  <c r="AE15" i="4"/>
  <c r="AD15" i="4"/>
  <c r="AC15" i="4"/>
  <c r="AB15" i="4"/>
  <c r="AA15" i="4"/>
  <c r="Z15" i="4"/>
  <c r="Y15" i="4"/>
  <c r="X15" i="4"/>
  <c r="V15" i="4"/>
  <c r="Q15" i="4"/>
  <c r="I15" i="4"/>
  <c r="AJ14" i="4"/>
  <c r="AI14" i="4"/>
  <c r="AH14" i="4"/>
  <c r="AG14" i="4"/>
  <c r="AE14" i="4"/>
  <c r="AD14" i="4"/>
  <c r="AC14" i="4"/>
  <c r="AB14" i="4"/>
  <c r="AA14" i="4"/>
  <c r="Z14" i="4"/>
  <c r="Y14" i="4"/>
  <c r="X14" i="4"/>
  <c r="V14" i="4"/>
  <c r="Q14" i="4"/>
  <c r="I14" i="4"/>
  <c r="AL13" i="4"/>
  <c r="AK13" i="4"/>
  <c r="AJ13" i="4"/>
  <c r="AI13" i="4"/>
  <c r="AH13" i="4"/>
  <c r="AG13" i="4"/>
  <c r="AE13" i="4"/>
  <c r="AD13" i="4"/>
  <c r="AC13" i="4"/>
  <c r="AB13" i="4"/>
  <c r="AA13" i="4"/>
  <c r="Z13" i="4"/>
  <c r="Y13" i="4"/>
  <c r="X13" i="4"/>
  <c r="V13" i="4"/>
  <c r="Q13" i="4"/>
  <c r="I13" i="4"/>
  <c r="AL12" i="4"/>
  <c r="AK12" i="4"/>
  <c r="AJ12" i="4"/>
  <c r="AI12" i="4"/>
  <c r="AH12" i="4"/>
  <c r="AG12" i="4"/>
  <c r="AE12" i="4"/>
  <c r="AD12" i="4"/>
  <c r="AC12" i="4"/>
  <c r="AB12" i="4"/>
  <c r="AA12" i="4"/>
  <c r="Z12" i="4"/>
  <c r="Y12" i="4"/>
  <c r="X12" i="4"/>
  <c r="V12" i="4"/>
  <c r="Q12" i="4"/>
  <c r="I12" i="4"/>
  <c r="AL11" i="4"/>
  <c r="AK11" i="4"/>
  <c r="AJ11" i="4"/>
  <c r="AI11" i="4"/>
  <c r="AH11" i="4"/>
  <c r="AG11" i="4"/>
  <c r="AE11" i="4"/>
  <c r="AD11" i="4"/>
  <c r="AC11" i="4"/>
  <c r="AB11" i="4"/>
  <c r="AA11" i="4"/>
  <c r="Z11" i="4"/>
  <c r="Y11" i="4"/>
  <c r="X11" i="4"/>
  <c r="V11" i="4"/>
  <c r="Q11" i="4"/>
  <c r="I11" i="4"/>
  <c r="AL10" i="4"/>
  <c r="AK10" i="4"/>
  <c r="AJ10" i="4"/>
  <c r="AI10" i="4"/>
  <c r="AH10" i="4"/>
  <c r="AG10" i="4"/>
  <c r="AE10" i="4"/>
  <c r="AD10" i="4"/>
  <c r="AC10" i="4"/>
  <c r="AB10" i="4"/>
  <c r="AA10" i="4"/>
  <c r="Z10" i="4"/>
  <c r="Y10" i="4"/>
  <c r="X10" i="4"/>
  <c r="V10" i="4"/>
  <c r="Q10" i="4"/>
  <c r="I10" i="4"/>
  <c r="AL9" i="4"/>
  <c r="AK9" i="4"/>
  <c r="AJ9" i="4"/>
  <c r="AI9" i="4"/>
  <c r="AH9" i="4"/>
  <c r="AG9" i="4"/>
  <c r="AE9" i="4"/>
  <c r="AD9" i="4"/>
  <c r="AC9" i="4"/>
  <c r="AB9" i="4"/>
  <c r="AA9" i="4"/>
  <c r="Z9" i="4"/>
  <c r="Y9" i="4"/>
  <c r="X9" i="4"/>
  <c r="V9" i="4"/>
  <c r="Q9" i="4"/>
  <c r="I9" i="4"/>
  <c r="AL8" i="4"/>
  <c r="AK8" i="4"/>
  <c r="AJ8" i="4"/>
  <c r="AI8" i="4"/>
  <c r="AH8" i="4"/>
  <c r="AG8" i="4"/>
  <c r="AE8" i="4"/>
  <c r="AD8" i="4"/>
  <c r="AC8" i="4"/>
  <c r="AB8" i="4"/>
  <c r="AA8" i="4"/>
  <c r="Z8" i="4"/>
  <c r="Y8" i="4"/>
  <c r="X8" i="4"/>
  <c r="V8" i="4"/>
  <c r="Q8" i="4"/>
  <c r="I8" i="4"/>
  <c r="AL7" i="4"/>
  <c r="AK7" i="4"/>
  <c r="AJ7" i="4"/>
  <c r="AI7" i="4"/>
  <c r="AH7" i="4"/>
  <c r="AG7" i="4"/>
  <c r="AE7" i="4"/>
  <c r="AD7" i="4"/>
  <c r="AC7" i="4"/>
  <c r="AB7" i="4"/>
  <c r="AA7" i="4"/>
  <c r="Z7" i="4"/>
  <c r="Y7" i="4"/>
  <c r="X7" i="4"/>
  <c r="V7" i="4"/>
  <c r="Q7" i="4"/>
  <c r="I7" i="4"/>
  <c r="AL6" i="4"/>
  <c r="AK6" i="4"/>
  <c r="AJ6" i="4"/>
  <c r="AI6" i="4"/>
  <c r="AH6" i="4"/>
  <c r="AG6" i="4"/>
  <c r="AE6" i="4"/>
  <c r="AD6" i="4"/>
  <c r="AC6" i="4"/>
  <c r="AB6" i="4"/>
  <c r="AA6" i="4"/>
  <c r="Z6" i="4"/>
  <c r="Y6" i="4"/>
  <c r="X6" i="4"/>
  <c r="V6" i="4"/>
  <c r="Q6" i="4"/>
  <c r="I6" i="4"/>
  <c r="AL5" i="4"/>
  <c r="AK5" i="4"/>
  <c r="AJ5" i="4"/>
  <c r="AI5" i="4"/>
  <c r="AH5" i="4"/>
  <c r="AG5" i="4"/>
  <c r="AE5" i="4"/>
  <c r="AD5" i="4"/>
  <c r="AC5" i="4"/>
  <c r="AB5" i="4"/>
  <c r="AA5" i="4"/>
  <c r="Z5" i="4"/>
  <c r="Y5" i="4"/>
  <c r="X5" i="4"/>
  <c r="V5" i="4"/>
  <c r="Q5" i="4"/>
  <c r="I5" i="4"/>
  <c r="AH173" i="1"/>
  <c r="AH172" i="1"/>
  <c r="AJ170" i="1"/>
  <c r="AI170" i="1"/>
  <c r="AH170" i="1"/>
  <c r="AL169" i="1"/>
  <c r="AK169" i="1"/>
  <c r="AJ169" i="1"/>
  <c r="AI169" i="1"/>
  <c r="AH169" i="1"/>
  <c r="AG169" i="1"/>
  <c r="AE169" i="1"/>
  <c r="AD169" i="1"/>
  <c r="AC169" i="1"/>
  <c r="AB169" i="1"/>
  <c r="AA169" i="1"/>
  <c r="Z169" i="1"/>
  <c r="Y169" i="1"/>
  <c r="X169" i="1"/>
  <c r="V169" i="1"/>
  <c r="Q169" i="1"/>
  <c r="I169" i="1"/>
  <c r="AL168" i="1"/>
  <c r="AK168" i="1"/>
  <c r="AJ168" i="1"/>
  <c r="AI168" i="1"/>
  <c r="AH168" i="1"/>
  <c r="AG168" i="1"/>
  <c r="AE168" i="1"/>
  <c r="AD168" i="1"/>
  <c r="AC168" i="1"/>
  <c r="AB168" i="1"/>
  <c r="AA168" i="1"/>
  <c r="Z168" i="1"/>
  <c r="Y168" i="1"/>
  <c r="X168" i="1"/>
  <c r="V168" i="1"/>
  <c r="Q168" i="1"/>
  <c r="I168" i="1"/>
  <c r="G168" i="1"/>
  <c r="AL167" i="1"/>
  <c r="AK167" i="1"/>
  <c r="AJ167" i="1"/>
  <c r="AI167" i="1"/>
  <c r="AH167" i="1"/>
  <c r="AG167" i="1"/>
  <c r="AE167" i="1"/>
  <c r="AD167" i="1"/>
  <c r="AC167" i="1"/>
  <c r="AB167" i="1"/>
  <c r="AA167" i="1"/>
  <c r="Z167" i="1"/>
  <c r="Y167" i="1"/>
  <c r="X167" i="1"/>
  <c r="V167" i="1"/>
  <c r="S167" i="1"/>
  <c r="Q167" i="1"/>
  <c r="I167" i="1"/>
  <c r="AL166" i="1"/>
  <c r="AK166" i="1"/>
  <c r="AJ166" i="1"/>
  <c r="AI166" i="1"/>
  <c r="AH166" i="1"/>
  <c r="AG166" i="1"/>
  <c r="AE166" i="1"/>
  <c r="AD166" i="1"/>
  <c r="AC166" i="1"/>
  <c r="AB166" i="1"/>
  <c r="AA166" i="1"/>
  <c r="Z166" i="1"/>
  <c r="Y166" i="1"/>
  <c r="X166" i="1"/>
  <c r="V166" i="1"/>
  <c r="S166" i="1"/>
  <c r="Q166" i="1"/>
  <c r="I166" i="1"/>
  <c r="AL165" i="1"/>
  <c r="AK165" i="1"/>
  <c r="AJ165" i="1"/>
  <c r="AI165" i="1"/>
  <c r="AH165" i="1"/>
  <c r="AG165" i="1"/>
  <c r="AE165" i="1"/>
  <c r="AD165" i="1"/>
  <c r="AC165" i="1"/>
  <c r="AB165" i="1"/>
  <c r="AA165" i="1"/>
  <c r="Z165" i="1"/>
  <c r="Y165" i="1"/>
  <c r="X165" i="1"/>
  <c r="V165" i="1"/>
  <c r="Q165" i="1"/>
  <c r="I165" i="1"/>
  <c r="AL164" i="1"/>
  <c r="AK164" i="1"/>
  <c r="AJ164" i="1"/>
  <c r="AI164" i="1"/>
  <c r="AH164" i="1"/>
  <c r="AG164" i="1"/>
  <c r="AE164" i="1"/>
  <c r="AD164" i="1"/>
  <c r="AC164" i="1"/>
  <c r="AB164" i="1"/>
  <c r="AA164" i="1"/>
  <c r="Z164" i="1"/>
  <c r="Y164" i="1"/>
  <c r="X164" i="1"/>
  <c r="V164" i="1"/>
  <c r="Q164" i="1"/>
  <c r="I164" i="1"/>
  <c r="AL163" i="1"/>
  <c r="AK163" i="1"/>
  <c r="AJ163" i="1"/>
  <c r="AI163" i="1"/>
  <c r="AH163" i="1"/>
  <c r="AG163" i="1"/>
  <c r="AE163" i="1"/>
  <c r="AD163" i="1"/>
  <c r="AC163" i="1"/>
  <c r="AB163" i="1"/>
  <c r="AA163" i="1"/>
  <c r="Z163" i="1"/>
  <c r="Y163" i="1"/>
  <c r="X163" i="1"/>
  <c r="V163" i="1"/>
  <c r="S163" i="1"/>
  <c r="Q163" i="1"/>
  <c r="L163" i="1"/>
  <c r="I163" i="1"/>
  <c r="AL162" i="1"/>
  <c r="AK162" i="1"/>
  <c r="AJ162" i="1"/>
  <c r="AI162" i="1"/>
  <c r="AH162" i="1"/>
  <c r="AG162" i="1"/>
  <c r="AE162" i="1"/>
  <c r="AD162" i="1"/>
  <c r="AC162" i="1"/>
  <c r="AB162" i="1"/>
  <c r="AA162" i="1"/>
  <c r="Z162" i="1"/>
  <c r="Y162" i="1"/>
  <c r="X162" i="1"/>
  <c r="V162" i="1"/>
  <c r="S162" i="1"/>
  <c r="Q162" i="1"/>
  <c r="I162" i="1"/>
  <c r="AL161" i="1"/>
  <c r="AK161" i="1"/>
  <c r="AJ161" i="1"/>
  <c r="AI161" i="1"/>
  <c r="AH161" i="1"/>
  <c r="AG161" i="1"/>
  <c r="AE161" i="1"/>
  <c r="AD161" i="1"/>
  <c r="AC161" i="1"/>
  <c r="AB161" i="1"/>
  <c r="AA161" i="1"/>
  <c r="Z161" i="1"/>
  <c r="Y161" i="1"/>
  <c r="X161" i="1"/>
  <c r="V161" i="1"/>
  <c r="S161" i="1"/>
  <c r="Q161" i="1"/>
  <c r="I161" i="1"/>
  <c r="AL160" i="1"/>
  <c r="AK160" i="1"/>
  <c r="AJ160" i="1"/>
  <c r="AI160" i="1"/>
  <c r="AH160" i="1"/>
  <c r="AG160" i="1"/>
  <c r="AE160" i="1"/>
  <c r="AD160" i="1"/>
  <c r="AC160" i="1"/>
  <c r="AB160" i="1"/>
  <c r="AA160" i="1"/>
  <c r="Z160" i="1"/>
  <c r="Y160" i="1"/>
  <c r="X160" i="1"/>
  <c r="V160" i="1"/>
  <c r="Q160" i="1"/>
  <c r="L160" i="1"/>
  <c r="I160" i="1"/>
  <c r="AL159" i="1"/>
  <c r="AK159" i="1"/>
  <c r="AJ159" i="1"/>
  <c r="AI159" i="1"/>
  <c r="AH159" i="1"/>
  <c r="AG159" i="1"/>
  <c r="AE159" i="1"/>
  <c r="AD159" i="1"/>
  <c r="AC159" i="1"/>
  <c r="AB159" i="1"/>
  <c r="AA159" i="1"/>
  <c r="Z159" i="1"/>
  <c r="Y159" i="1"/>
  <c r="X159" i="1"/>
  <c r="V159" i="1"/>
  <c r="Q159" i="1"/>
  <c r="I159" i="1"/>
  <c r="AL158" i="1"/>
  <c r="AK158" i="1"/>
  <c r="AJ158" i="1"/>
  <c r="AI158" i="1"/>
  <c r="AH158" i="1"/>
  <c r="AG158" i="1"/>
  <c r="AE158" i="1"/>
  <c r="AD158" i="1"/>
  <c r="AC158" i="1"/>
  <c r="AB158" i="1"/>
  <c r="AA158" i="1"/>
  <c r="Z158" i="1"/>
  <c r="Y158" i="1"/>
  <c r="X158" i="1"/>
  <c r="V158" i="1"/>
  <c r="Q158" i="1"/>
  <c r="K158" i="1"/>
  <c r="I158" i="1"/>
  <c r="AL157" i="1"/>
  <c r="AK157" i="1"/>
  <c r="AJ157" i="1"/>
  <c r="AI157" i="1"/>
  <c r="AH157" i="1"/>
  <c r="AG157" i="1"/>
  <c r="AE157" i="1"/>
  <c r="AD157" i="1"/>
  <c r="AC157" i="1"/>
  <c r="AB157" i="1"/>
  <c r="AA157" i="1"/>
  <c r="Z157" i="1"/>
  <c r="Y157" i="1"/>
  <c r="X157" i="1"/>
  <c r="V157" i="1"/>
  <c r="Q157" i="1"/>
  <c r="K157" i="1"/>
  <c r="I157" i="1"/>
  <c r="AL156" i="1"/>
  <c r="AK156" i="1"/>
  <c r="AJ156" i="1"/>
  <c r="AI156" i="1"/>
  <c r="AH156" i="1"/>
  <c r="AG156" i="1"/>
  <c r="AE156" i="1"/>
  <c r="AD156" i="1"/>
  <c r="AC156" i="1"/>
  <c r="AB156" i="1"/>
  <c r="AA156" i="1"/>
  <c r="Z156" i="1"/>
  <c r="Y156" i="1"/>
  <c r="X156" i="1"/>
  <c r="V156" i="1"/>
  <c r="Q156" i="1"/>
  <c r="K156" i="1"/>
  <c r="I156" i="1"/>
  <c r="AL155" i="1"/>
  <c r="AK155" i="1"/>
  <c r="AJ155" i="1"/>
  <c r="AI155" i="1"/>
  <c r="AH155" i="1"/>
  <c r="AG155" i="1"/>
  <c r="AE155" i="1"/>
  <c r="AD155" i="1"/>
  <c r="AC155" i="1"/>
  <c r="AB155" i="1"/>
  <c r="AA155" i="1"/>
  <c r="Z155" i="1"/>
  <c r="Y155" i="1"/>
  <c r="X155" i="1"/>
  <c r="V155" i="1"/>
  <c r="Q155" i="1"/>
  <c r="K155" i="1"/>
  <c r="I155" i="1"/>
  <c r="AL154" i="1"/>
  <c r="AK154" i="1"/>
  <c r="AJ154" i="1"/>
  <c r="AI154" i="1"/>
  <c r="AH154" i="1"/>
  <c r="AG154" i="1"/>
  <c r="AE154" i="1"/>
  <c r="AD154" i="1"/>
  <c r="AC154" i="1"/>
  <c r="AB154" i="1"/>
  <c r="AA154" i="1"/>
  <c r="Z154" i="1"/>
  <c r="Y154" i="1"/>
  <c r="X154" i="1"/>
  <c r="V154" i="1"/>
  <c r="Q154" i="1"/>
  <c r="K154" i="1"/>
  <c r="I154" i="1"/>
  <c r="AL153" i="1"/>
  <c r="AK153" i="1"/>
  <c r="AJ153" i="1"/>
  <c r="AI153" i="1"/>
  <c r="AH153" i="1"/>
  <c r="AG153" i="1"/>
  <c r="AE153" i="1"/>
  <c r="AD153" i="1"/>
  <c r="AC153" i="1"/>
  <c r="AB153" i="1"/>
  <c r="AA153" i="1"/>
  <c r="Z153" i="1"/>
  <c r="Y153" i="1"/>
  <c r="X153" i="1"/>
  <c r="V153" i="1"/>
  <c r="Q153" i="1"/>
  <c r="K153" i="1"/>
  <c r="I153" i="1"/>
  <c r="AL152" i="1"/>
  <c r="AK152" i="1"/>
  <c r="AJ152" i="1"/>
  <c r="AI152" i="1"/>
  <c r="AH152" i="1"/>
  <c r="AG152" i="1"/>
  <c r="AE152" i="1"/>
  <c r="AD152" i="1"/>
  <c r="AC152" i="1"/>
  <c r="AB152" i="1"/>
  <c r="AA152" i="1"/>
  <c r="Z152" i="1"/>
  <c r="Y152" i="1"/>
  <c r="X152" i="1"/>
  <c r="V152" i="1"/>
  <c r="Q152" i="1"/>
  <c r="K152" i="1"/>
  <c r="I152" i="1"/>
  <c r="AL151" i="1"/>
  <c r="AK151" i="1"/>
  <c r="AJ151" i="1"/>
  <c r="AI151" i="1"/>
  <c r="AH151" i="1"/>
  <c r="AG151" i="1"/>
  <c r="AE151" i="1"/>
  <c r="AD151" i="1"/>
  <c r="AC151" i="1"/>
  <c r="AB151" i="1"/>
  <c r="AA151" i="1"/>
  <c r="Z151" i="1"/>
  <c r="Y151" i="1"/>
  <c r="X151" i="1"/>
  <c r="V151" i="1"/>
  <c r="Q151" i="1"/>
  <c r="K151" i="1"/>
  <c r="I151" i="1"/>
  <c r="AL150" i="1"/>
  <c r="AK150" i="1"/>
  <c r="AJ150" i="1"/>
  <c r="AI150" i="1"/>
  <c r="AH150" i="1"/>
  <c r="AG150" i="1"/>
  <c r="AE150" i="1"/>
  <c r="AD150" i="1"/>
  <c r="AC150" i="1"/>
  <c r="AB150" i="1"/>
  <c r="AA150" i="1"/>
  <c r="Z150" i="1"/>
  <c r="Y150" i="1"/>
  <c r="X150" i="1"/>
  <c r="V150" i="1"/>
  <c r="Q150" i="1"/>
  <c r="K150" i="1"/>
  <c r="I150" i="1"/>
  <c r="AL149" i="1"/>
  <c r="AK149" i="1"/>
  <c r="AJ149" i="1"/>
  <c r="AI149" i="1"/>
  <c r="AH149" i="1"/>
  <c r="AG149" i="1"/>
  <c r="AE149" i="1"/>
  <c r="AD149" i="1"/>
  <c r="AC149" i="1"/>
  <c r="AB149" i="1"/>
  <c r="AA149" i="1"/>
  <c r="Z149" i="1"/>
  <c r="Y149" i="1"/>
  <c r="X149" i="1"/>
  <c r="V149" i="1"/>
  <c r="Q149" i="1"/>
  <c r="K149" i="1"/>
  <c r="I149" i="1"/>
  <c r="AL148" i="1"/>
  <c r="AK148" i="1"/>
  <c r="AJ148" i="1"/>
  <c r="AI148" i="1"/>
  <c r="AH148" i="1"/>
  <c r="AG148" i="1"/>
  <c r="AE148" i="1"/>
  <c r="AD148" i="1"/>
  <c r="AC148" i="1"/>
  <c r="AB148" i="1"/>
  <c r="AA148" i="1"/>
  <c r="Z148" i="1"/>
  <c r="Y148" i="1"/>
  <c r="X148" i="1"/>
  <c r="V148" i="1"/>
  <c r="T148" i="1"/>
  <c r="S148" i="1"/>
  <c r="Q148" i="1"/>
  <c r="L148" i="1"/>
  <c r="I148" i="1"/>
  <c r="E148" i="1"/>
  <c r="AL147" i="1"/>
  <c r="AJ147" i="1"/>
  <c r="AI147" i="1"/>
  <c r="AH147" i="1"/>
  <c r="AE147" i="1"/>
  <c r="AD147" i="1"/>
  <c r="AC147" i="1"/>
  <c r="AB147" i="1"/>
  <c r="AA147" i="1"/>
  <c r="Z147" i="1"/>
  <c r="Y147" i="1"/>
  <c r="X147" i="1"/>
  <c r="V147" i="1"/>
  <c r="Q147" i="1"/>
  <c r="K147" i="1"/>
  <c r="I147" i="1"/>
  <c r="AL146" i="1"/>
  <c r="AK146" i="1"/>
  <c r="AJ146" i="1"/>
  <c r="AI146" i="1"/>
  <c r="AH146" i="1"/>
  <c r="AG146" i="1"/>
  <c r="AE146" i="1"/>
  <c r="AD146" i="1"/>
  <c r="AC146" i="1"/>
  <c r="AB146" i="1"/>
  <c r="AA146" i="1"/>
  <c r="Z146" i="1"/>
  <c r="Y146" i="1"/>
  <c r="X146" i="1"/>
  <c r="V146" i="1"/>
  <c r="Q146" i="1"/>
  <c r="I146" i="1"/>
  <c r="AL145" i="1"/>
  <c r="AK145" i="1"/>
  <c r="AJ145" i="1"/>
  <c r="AI145" i="1"/>
  <c r="AH145" i="1"/>
  <c r="AG145" i="1"/>
  <c r="AE145" i="1"/>
  <c r="AD145" i="1"/>
  <c r="AC145" i="1"/>
  <c r="AB145" i="1"/>
  <c r="AA145" i="1"/>
  <c r="Z145" i="1"/>
  <c r="Y145" i="1"/>
  <c r="X145" i="1"/>
  <c r="V145" i="1"/>
  <c r="Q145" i="1"/>
  <c r="I145" i="1"/>
  <c r="AL144" i="1"/>
  <c r="AK144" i="1"/>
  <c r="AJ144" i="1"/>
  <c r="AI144" i="1"/>
  <c r="AH144" i="1"/>
  <c r="AG144" i="1"/>
  <c r="AE144" i="1"/>
  <c r="AD144" i="1"/>
  <c r="AC144" i="1"/>
  <c r="AB144" i="1"/>
  <c r="AA144" i="1"/>
  <c r="Z144" i="1"/>
  <c r="Y144" i="1"/>
  <c r="X144" i="1"/>
  <c r="V144" i="1"/>
  <c r="Q144" i="1"/>
  <c r="I144" i="1"/>
  <c r="AL143" i="1"/>
  <c r="AK143" i="1"/>
  <c r="AJ143" i="1"/>
  <c r="AI143" i="1"/>
  <c r="AH143" i="1"/>
  <c r="AG143" i="1"/>
  <c r="AE143" i="1"/>
  <c r="AD143" i="1"/>
  <c r="AC143" i="1"/>
  <c r="AB143" i="1"/>
  <c r="AA143" i="1"/>
  <c r="Z143" i="1"/>
  <c r="Y143" i="1"/>
  <c r="X143" i="1"/>
  <c r="V143" i="1"/>
  <c r="Q143" i="1"/>
  <c r="I143" i="1"/>
  <c r="AL142" i="1"/>
  <c r="AK142" i="1"/>
  <c r="AJ142" i="1"/>
  <c r="AI142" i="1"/>
  <c r="AH142" i="1"/>
  <c r="AG142" i="1"/>
  <c r="AE142" i="1"/>
  <c r="AD142" i="1"/>
  <c r="AC142" i="1"/>
  <c r="AB142" i="1"/>
  <c r="AA142" i="1"/>
  <c r="Z142" i="1"/>
  <c r="Y142" i="1"/>
  <c r="X142" i="1"/>
  <c r="V142" i="1"/>
  <c r="Q142" i="1"/>
  <c r="I142" i="1"/>
  <c r="AL141" i="1"/>
  <c r="AK141" i="1"/>
  <c r="AJ141" i="1"/>
  <c r="AI141" i="1"/>
  <c r="AH141" i="1"/>
  <c r="AG141" i="1"/>
  <c r="AE141" i="1"/>
  <c r="AD141" i="1"/>
  <c r="AC141" i="1"/>
  <c r="AB141" i="1"/>
  <c r="AA141" i="1"/>
  <c r="Z141" i="1"/>
  <c r="Y141" i="1"/>
  <c r="X141" i="1"/>
  <c r="V141" i="1"/>
  <c r="Q141" i="1"/>
  <c r="I141" i="1"/>
  <c r="AL140" i="1"/>
  <c r="AK140" i="1"/>
  <c r="AJ140" i="1"/>
  <c r="AI140" i="1"/>
  <c r="AH140" i="1"/>
  <c r="AG140" i="1"/>
  <c r="AE140" i="1"/>
  <c r="AD140" i="1"/>
  <c r="AC140" i="1"/>
  <c r="AB140" i="1"/>
  <c r="AA140" i="1"/>
  <c r="Z140" i="1"/>
  <c r="Y140" i="1"/>
  <c r="X140" i="1"/>
  <c r="V140" i="1"/>
  <c r="Q140" i="1"/>
  <c r="I140" i="1"/>
  <c r="AL139" i="1"/>
  <c r="AK139" i="1"/>
  <c r="AJ139" i="1"/>
  <c r="AI139" i="1"/>
  <c r="AH139" i="1"/>
  <c r="AG139" i="1"/>
  <c r="AE139" i="1"/>
  <c r="AD139" i="1"/>
  <c r="AC139" i="1"/>
  <c r="AB139" i="1"/>
  <c r="AA139" i="1"/>
  <c r="Z139" i="1"/>
  <c r="Y139" i="1"/>
  <c r="X139" i="1"/>
  <c r="V139" i="1"/>
  <c r="Q139" i="1"/>
  <c r="I139" i="1"/>
  <c r="AL138" i="1"/>
  <c r="AK138" i="1"/>
  <c r="AJ138" i="1"/>
  <c r="AI138" i="1"/>
  <c r="AH138" i="1"/>
  <c r="AG138" i="1"/>
  <c r="AE138" i="1"/>
  <c r="AD138" i="1"/>
  <c r="AC138" i="1"/>
  <c r="AB138" i="1"/>
  <c r="AA138" i="1"/>
  <c r="Z138" i="1"/>
  <c r="Y138" i="1"/>
  <c r="X138" i="1"/>
  <c r="V138" i="1"/>
  <c r="Q138" i="1"/>
  <c r="I138" i="1"/>
  <c r="AL137" i="1"/>
  <c r="AK137" i="1"/>
  <c r="AJ137" i="1"/>
  <c r="AI137" i="1"/>
  <c r="AH137" i="1"/>
  <c r="AG137" i="1"/>
  <c r="AE137" i="1"/>
  <c r="AD137" i="1"/>
  <c r="AC137" i="1"/>
  <c r="AB137" i="1"/>
  <c r="AA137" i="1"/>
  <c r="Z137" i="1"/>
  <c r="Y137" i="1"/>
  <c r="X137" i="1"/>
  <c r="V137" i="1"/>
  <c r="Q137" i="1"/>
  <c r="I137" i="1"/>
  <c r="AL136" i="1"/>
  <c r="AK136" i="1"/>
  <c r="AJ136" i="1"/>
  <c r="AI136" i="1"/>
  <c r="AH136" i="1"/>
  <c r="AG136" i="1"/>
  <c r="AE136" i="1"/>
  <c r="AD136" i="1"/>
  <c r="AC136" i="1"/>
  <c r="AB136" i="1"/>
  <c r="AA136" i="1"/>
  <c r="Z136" i="1"/>
  <c r="Y136" i="1"/>
  <c r="X136" i="1"/>
  <c r="V136" i="1"/>
  <c r="Q136" i="1"/>
  <c r="I136" i="1"/>
  <c r="AL135" i="1"/>
  <c r="AK135" i="1"/>
  <c r="AJ135" i="1"/>
  <c r="AI135" i="1"/>
  <c r="AH135" i="1"/>
  <c r="AG135" i="1"/>
  <c r="AE135" i="1"/>
  <c r="AD135" i="1"/>
  <c r="AC135" i="1"/>
  <c r="AB135" i="1"/>
  <c r="AA135" i="1"/>
  <c r="Z135" i="1"/>
  <c r="Y135" i="1"/>
  <c r="X135" i="1"/>
  <c r="V135" i="1"/>
  <c r="Q135" i="1"/>
  <c r="I135" i="1"/>
  <c r="AL134" i="1"/>
  <c r="AK134" i="1"/>
  <c r="AJ134" i="1"/>
  <c r="AI134" i="1"/>
  <c r="AH134" i="1"/>
  <c r="AG134" i="1"/>
  <c r="AE134" i="1"/>
  <c r="AD134" i="1"/>
  <c r="AC134" i="1"/>
  <c r="AB134" i="1"/>
  <c r="AA134" i="1"/>
  <c r="Z134" i="1"/>
  <c r="Y134" i="1"/>
  <c r="X134" i="1"/>
  <c r="V134" i="1"/>
  <c r="Q134" i="1"/>
  <c r="I134" i="1"/>
  <c r="AL133" i="1"/>
  <c r="AK133" i="1"/>
  <c r="AJ133" i="1"/>
  <c r="AI133" i="1"/>
  <c r="AH133" i="1"/>
  <c r="AG133" i="1"/>
  <c r="AE133" i="1"/>
  <c r="AD133" i="1"/>
  <c r="AC133" i="1"/>
  <c r="AB133" i="1"/>
  <c r="AA133" i="1"/>
  <c r="Z133" i="1"/>
  <c r="Y133" i="1"/>
  <c r="X133" i="1"/>
  <c r="V133" i="1"/>
  <c r="Q133" i="1"/>
  <c r="I133" i="1"/>
  <c r="AL132" i="1"/>
  <c r="AK132" i="1"/>
  <c r="AJ132" i="1"/>
  <c r="AI132" i="1"/>
  <c r="AH132" i="1"/>
  <c r="AG132" i="1"/>
  <c r="AE132" i="1"/>
  <c r="AD132" i="1"/>
  <c r="AC132" i="1"/>
  <c r="AB132" i="1"/>
  <c r="AA132" i="1"/>
  <c r="Z132" i="1"/>
  <c r="Y132" i="1"/>
  <c r="X132" i="1"/>
  <c r="V132" i="1"/>
  <c r="Q132" i="1"/>
  <c r="I132" i="1"/>
  <c r="AL131" i="1"/>
  <c r="AK131" i="1"/>
  <c r="AJ131" i="1"/>
  <c r="AI131" i="1"/>
  <c r="AH131" i="1"/>
  <c r="AG131" i="1"/>
  <c r="AE131" i="1"/>
  <c r="AD131" i="1"/>
  <c r="AC131" i="1"/>
  <c r="AB131" i="1"/>
  <c r="AA131" i="1"/>
  <c r="Z131" i="1"/>
  <c r="Y131" i="1"/>
  <c r="X131" i="1"/>
  <c r="V131" i="1"/>
  <c r="Q131" i="1"/>
  <c r="I131" i="1"/>
  <c r="AL130" i="1"/>
  <c r="AK130" i="1"/>
  <c r="AJ130" i="1"/>
  <c r="AI130" i="1"/>
  <c r="AH130" i="1"/>
  <c r="AG130" i="1"/>
  <c r="AE130" i="1"/>
  <c r="AD130" i="1"/>
  <c r="AC130" i="1"/>
  <c r="AB130" i="1"/>
  <c r="AA130" i="1"/>
  <c r="Z130" i="1"/>
  <c r="Y130" i="1"/>
  <c r="X130" i="1"/>
  <c r="V130" i="1"/>
  <c r="Q130" i="1"/>
  <c r="I130" i="1"/>
  <c r="AL129" i="1"/>
  <c r="AK129" i="1"/>
  <c r="AJ129" i="1"/>
  <c r="AI129" i="1"/>
  <c r="AH129" i="1"/>
  <c r="AG129" i="1"/>
  <c r="AE129" i="1"/>
  <c r="AD129" i="1"/>
  <c r="AC129" i="1"/>
  <c r="AB129" i="1"/>
  <c r="AA129" i="1"/>
  <c r="Z129" i="1"/>
  <c r="Y129" i="1"/>
  <c r="X129" i="1"/>
  <c r="V129" i="1"/>
  <c r="Q129" i="1"/>
  <c r="I129" i="1"/>
  <c r="AL128" i="1"/>
  <c r="AK128" i="1"/>
  <c r="AJ128" i="1"/>
  <c r="AI128" i="1"/>
  <c r="AH128" i="1"/>
  <c r="AG128" i="1"/>
  <c r="AE128" i="1"/>
  <c r="AD128" i="1"/>
  <c r="AC128" i="1"/>
  <c r="AB128" i="1"/>
  <c r="AA128" i="1"/>
  <c r="Z128" i="1"/>
  <c r="Y128" i="1"/>
  <c r="X128" i="1"/>
  <c r="V128" i="1"/>
  <c r="Q128" i="1"/>
  <c r="I128" i="1"/>
  <c r="AL127" i="1"/>
  <c r="AK127" i="1"/>
  <c r="AJ127" i="1"/>
  <c r="AI127" i="1"/>
  <c r="AH127" i="1"/>
  <c r="AG127" i="1"/>
  <c r="AE127" i="1"/>
  <c r="AD127" i="1"/>
  <c r="AC127" i="1"/>
  <c r="AB127" i="1"/>
  <c r="AA127" i="1"/>
  <c r="Z127" i="1"/>
  <c r="Y127" i="1"/>
  <c r="X127" i="1"/>
  <c r="V127" i="1"/>
  <c r="Q127" i="1"/>
  <c r="I127" i="1"/>
  <c r="AL126" i="1"/>
  <c r="AK126" i="1"/>
  <c r="AJ126" i="1"/>
  <c r="AI126" i="1"/>
  <c r="AH126" i="1"/>
  <c r="AG126" i="1"/>
  <c r="AE126" i="1"/>
  <c r="AD126" i="1"/>
  <c r="AC126" i="1"/>
  <c r="AB126" i="1"/>
  <c r="AA126" i="1"/>
  <c r="Z126" i="1"/>
  <c r="Y126" i="1"/>
  <c r="X126" i="1"/>
  <c r="V126" i="1"/>
  <c r="Q126" i="1"/>
  <c r="I126" i="1"/>
  <c r="AL125" i="1"/>
  <c r="AK125" i="1"/>
  <c r="AJ125" i="1"/>
  <c r="AI125" i="1"/>
  <c r="AH125" i="1"/>
  <c r="AG125" i="1"/>
  <c r="AE125" i="1"/>
  <c r="AD125" i="1"/>
  <c r="AC125" i="1"/>
  <c r="AB125" i="1"/>
  <c r="AA125" i="1"/>
  <c r="Z125" i="1"/>
  <c r="Y125" i="1"/>
  <c r="X125" i="1"/>
  <c r="V125" i="1"/>
  <c r="Q125" i="1"/>
  <c r="I125" i="1"/>
  <c r="AL124" i="1"/>
  <c r="AK124" i="1"/>
  <c r="AJ124" i="1"/>
  <c r="AI124" i="1"/>
  <c r="AH124" i="1"/>
  <c r="AG124" i="1"/>
  <c r="AE124" i="1"/>
  <c r="AD124" i="1"/>
  <c r="AC124" i="1"/>
  <c r="AB124" i="1"/>
  <c r="AA124" i="1"/>
  <c r="Z124" i="1"/>
  <c r="Y124" i="1"/>
  <c r="X124" i="1"/>
  <c r="V124" i="1"/>
  <c r="Q124" i="1"/>
  <c r="I124" i="1"/>
  <c r="AL123" i="1"/>
  <c r="AK123" i="1"/>
  <c r="AJ123" i="1"/>
  <c r="AI123" i="1"/>
  <c r="AH123" i="1"/>
  <c r="AG123" i="1"/>
  <c r="AE123" i="1"/>
  <c r="AD123" i="1"/>
  <c r="AC123" i="1"/>
  <c r="AB123" i="1"/>
  <c r="AA123" i="1"/>
  <c r="Z123" i="1"/>
  <c r="Y123" i="1"/>
  <c r="X123" i="1"/>
  <c r="V123" i="1"/>
  <c r="Q123" i="1"/>
  <c r="I123" i="1"/>
  <c r="AL122" i="1"/>
  <c r="AK122" i="1"/>
  <c r="AJ122" i="1"/>
  <c r="AI122" i="1"/>
  <c r="AH122" i="1"/>
  <c r="AG122" i="1"/>
  <c r="AE122" i="1"/>
  <c r="AD122" i="1"/>
  <c r="AC122" i="1"/>
  <c r="AB122" i="1"/>
  <c r="AA122" i="1"/>
  <c r="Z122" i="1"/>
  <c r="Y122" i="1"/>
  <c r="X122" i="1"/>
  <c r="V122" i="1"/>
  <c r="Q122" i="1"/>
  <c r="I122" i="1"/>
  <c r="AL121" i="1"/>
  <c r="AK121" i="1"/>
  <c r="AJ121" i="1"/>
  <c r="AI121" i="1"/>
  <c r="AH121" i="1"/>
  <c r="AG121" i="1"/>
  <c r="AE121" i="1"/>
  <c r="AD121" i="1"/>
  <c r="AC121" i="1"/>
  <c r="AB121" i="1"/>
  <c r="AA121" i="1"/>
  <c r="Z121" i="1"/>
  <c r="Y121" i="1"/>
  <c r="X121" i="1"/>
  <c r="V121" i="1"/>
  <c r="Q121" i="1"/>
  <c r="I121" i="1"/>
  <c r="AL120" i="1"/>
  <c r="AK120" i="1"/>
  <c r="AJ120" i="1"/>
  <c r="AI120" i="1"/>
  <c r="AH120" i="1"/>
  <c r="AG120" i="1"/>
  <c r="AE120" i="1"/>
  <c r="AD120" i="1"/>
  <c r="AC120" i="1"/>
  <c r="AB120" i="1"/>
  <c r="AA120" i="1"/>
  <c r="Z120" i="1"/>
  <c r="Y120" i="1"/>
  <c r="X120" i="1"/>
  <c r="V120" i="1"/>
  <c r="Q120" i="1"/>
  <c r="I120" i="1"/>
  <c r="AL119" i="1"/>
  <c r="AK119" i="1"/>
  <c r="AJ119" i="1"/>
  <c r="AI119" i="1"/>
  <c r="AH119" i="1"/>
  <c r="AG119" i="1"/>
  <c r="AE119" i="1"/>
  <c r="AD119" i="1"/>
  <c r="AC119" i="1"/>
  <c r="AB119" i="1"/>
  <c r="AA119" i="1"/>
  <c r="Z119" i="1"/>
  <c r="Y119" i="1"/>
  <c r="X119" i="1"/>
  <c r="V119" i="1"/>
  <c r="Q119" i="1"/>
  <c r="I119" i="1"/>
  <c r="AL118" i="1"/>
  <c r="AK118" i="1"/>
  <c r="AJ118" i="1"/>
  <c r="AI118" i="1"/>
  <c r="AH118" i="1"/>
  <c r="AG118" i="1"/>
  <c r="AE118" i="1"/>
  <c r="AD118" i="1"/>
  <c r="AC118" i="1"/>
  <c r="AB118" i="1"/>
  <c r="AA118" i="1"/>
  <c r="Z118" i="1"/>
  <c r="Y118" i="1"/>
  <c r="X118" i="1"/>
  <c r="V118" i="1"/>
  <c r="Q118" i="1"/>
  <c r="I118" i="1"/>
  <c r="AL117" i="1"/>
  <c r="AK117" i="1"/>
  <c r="AJ117" i="1"/>
  <c r="AI117" i="1"/>
  <c r="AH117" i="1"/>
  <c r="AG117" i="1"/>
  <c r="AE117" i="1"/>
  <c r="AD117" i="1"/>
  <c r="AC117" i="1"/>
  <c r="AB117" i="1"/>
  <c r="AA117" i="1"/>
  <c r="Z117" i="1"/>
  <c r="Y117" i="1"/>
  <c r="X117" i="1"/>
  <c r="V117" i="1"/>
  <c r="Q117" i="1"/>
  <c r="I117" i="1"/>
  <c r="AL116" i="1"/>
  <c r="AK116" i="1"/>
  <c r="AJ116" i="1"/>
  <c r="AI116" i="1"/>
  <c r="AH116" i="1"/>
  <c r="AG116" i="1"/>
  <c r="AE116" i="1"/>
  <c r="AD116" i="1"/>
  <c r="AC116" i="1"/>
  <c r="AB116" i="1"/>
  <c r="AA116" i="1"/>
  <c r="Z116" i="1"/>
  <c r="Y116" i="1"/>
  <c r="X116" i="1"/>
  <c r="V116" i="1"/>
  <c r="Q116" i="1"/>
  <c r="I116" i="1"/>
  <c r="AL115" i="1"/>
  <c r="AK115" i="1"/>
  <c r="AJ115" i="1"/>
  <c r="AI115" i="1"/>
  <c r="AH115" i="1"/>
  <c r="AG115" i="1"/>
  <c r="AE115" i="1"/>
  <c r="AD115" i="1"/>
  <c r="AC115" i="1"/>
  <c r="AB115" i="1"/>
  <c r="AA115" i="1"/>
  <c r="Z115" i="1"/>
  <c r="Y115" i="1"/>
  <c r="X115" i="1"/>
  <c r="V115" i="1"/>
  <c r="Q115" i="1"/>
  <c r="I115" i="1"/>
  <c r="AL114" i="1"/>
  <c r="AK114" i="1"/>
  <c r="AJ114" i="1"/>
  <c r="AI114" i="1"/>
  <c r="AH114" i="1"/>
  <c r="AG114" i="1"/>
  <c r="AE114" i="1"/>
  <c r="AD114" i="1"/>
  <c r="AC114" i="1"/>
  <c r="AB114" i="1"/>
  <c r="AA114" i="1"/>
  <c r="Z114" i="1"/>
  <c r="Y114" i="1"/>
  <c r="X114" i="1"/>
  <c r="V114" i="1"/>
  <c r="Q114" i="1"/>
  <c r="I114" i="1"/>
  <c r="AL113" i="1"/>
  <c r="AK113" i="1"/>
  <c r="AJ113" i="1"/>
  <c r="AI113" i="1"/>
  <c r="AH113" i="1"/>
  <c r="AG113" i="1"/>
  <c r="AE113" i="1"/>
  <c r="AD113" i="1"/>
  <c r="AC113" i="1"/>
  <c r="AB113" i="1"/>
  <c r="AA113" i="1"/>
  <c r="Z113" i="1"/>
  <c r="Y113" i="1"/>
  <c r="X113" i="1"/>
  <c r="V113" i="1"/>
  <c r="Q113" i="1"/>
  <c r="I113" i="1"/>
  <c r="AL112" i="1"/>
  <c r="AK112" i="1"/>
  <c r="AJ112" i="1"/>
  <c r="AI112" i="1"/>
  <c r="AH112" i="1"/>
  <c r="AG112" i="1"/>
  <c r="AE112" i="1"/>
  <c r="AD112" i="1"/>
  <c r="AC112" i="1"/>
  <c r="AB112" i="1"/>
  <c r="AA112" i="1"/>
  <c r="Z112" i="1"/>
  <c r="Y112" i="1"/>
  <c r="X112" i="1"/>
  <c r="V112" i="1"/>
  <c r="Q112" i="1"/>
  <c r="I112" i="1"/>
  <c r="AL111" i="1"/>
  <c r="AK111" i="1"/>
  <c r="AJ111" i="1"/>
  <c r="AI111" i="1"/>
  <c r="AH111" i="1"/>
  <c r="AG111" i="1"/>
  <c r="AE111" i="1"/>
  <c r="AD111" i="1"/>
  <c r="AC111" i="1"/>
  <c r="AB111" i="1"/>
  <c r="AA111" i="1"/>
  <c r="Z111" i="1"/>
  <c r="Y111" i="1"/>
  <c r="X111" i="1"/>
  <c r="V111" i="1"/>
  <c r="Q111" i="1"/>
  <c r="I111" i="1"/>
  <c r="AL110" i="1"/>
  <c r="AK110" i="1"/>
  <c r="AJ110" i="1"/>
  <c r="AI110" i="1"/>
  <c r="AH110" i="1"/>
  <c r="AG110" i="1"/>
  <c r="AE110" i="1"/>
  <c r="AD110" i="1"/>
  <c r="AC110" i="1"/>
  <c r="AB110" i="1"/>
  <c r="AA110" i="1"/>
  <c r="Z110" i="1"/>
  <c r="Y110" i="1"/>
  <c r="X110" i="1"/>
  <c r="V110" i="1"/>
  <c r="Q110" i="1"/>
  <c r="I110" i="1"/>
  <c r="AL109" i="1"/>
  <c r="AK109" i="1"/>
  <c r="AJ109" i="1"/>
  <c r="AI109" i="1"/>
  <c r="AH109" i="1"/>
  <c r="AG109" i="1"/>
  <c r="AE109" i="1"/>
  <c r="AD109" i="1"/>
  <c r="AC109" i="1"/>
  <c r="AB109" i="1"/>
  <c r="AA109" i="1"/>
  <c r="Z109" i="1"/>
  <c r="Y109" i="1"/>
  <c r="X109" i="1"/>
  <c r="V109" i="1"/>
  <c r="Q109" i="1"/>
  <c r="I109" i="1"/>
  <c r="AL108" i="1"/>
  <c r="AK108" i="1"/>
  <c r="AJ108" i="1"/>
  <c r="AI108" i="1"/>
  <c r="AH108" i="1"/>
  <c r="AG108" i="1"/>
  <c r="AE108" i="1"/>
  <c r="AD108" i="1"/>
  <c r="AC108" i="1"/>
  <c r="AB108" i="1"/>
  <c r="AA108" i="1"/>
  <c r="Z108" i="1"/>
  <c r="Y108" i="1"/>
  <c r="X108" i="1"/>
  <c r="V108" i="1"/>
  <c r="Q108" i="1"/>
  <c r="I108" i="1"/>
  <c r="AL107" i="1"/>
  <c r="AK107" i="1"/>
  <c r="AJ107" i="1"/>
  <c r="AI107" i="1"/>
  <c r="AH107" i="1"/>
  <c r="AG107" i="1"/>
  <c r="AE107" i="1"/>
  <c r="AD107" i="1"/>
  <c r="AC107" i="1"/>
  <c r="AB107" i="1"/>
  <c r="AA107" i="1"/>
  <c r="Z107" i="1"/>
  <c r="Y107" i="1"/>
  <c r="X107" i="1"/>
  <c r="V107" i="1"/>
  <c r="Q107" i="1"/>
  <c r="I107" i="1"/>
  <c r="AL106" i="1"/>
  <c r="AK106" i="1"/>
  <c r="AJ106" i="1"/>
  <c r="AI106" i="1"/>
  <c r="AH106" i="1"/>
  <c r="AG106" i="1"/>
  <c r="AE106" i="1"/>
  <c r="AD106" i="1"/>
  <c r="AC106" i="1"/>
  <c r="AB106" i="1"/>
  <c r="AA106" i="1"/>
  <c r="Z106" i="1"/>
  <c r="Y106" i="1"/>
  <c r="X106" i="1"/>
  <c r="V106" i="1"/>
  <c r="Q106" i="1"/>
  <c r="I106" i="1"/>
  <c r="AL105" i="1"/>
  <c r="AK105" i="1"/>
  <c r="AJ105" i="1"/>
  <c r="AI105" i="1"/>
  <c r="AH105" i="1"/>
  <c r="AG105" i="1"/>
  <c r="AE105" i="1"/>
  <c r="AD105" i="1"/>
  <c r="AC105" i="1"/>
  <c r="AB105" i="1"/>
  <c r="AA105" i="1"/>
  <c r="Z105" i="1"/>
  <c r="Y105" i="1"/>
  <c r="X105" i="1"/>
  <c r="V105" i="1"/>
  <c r="Q105" i="1"/>
  <c r="I105" i="1"/>
  <c r="AL104" i="1"/>
  <c r="AK104" i="1"/>
  <c r="AJ104" i="1"/>
  <c r="AI104" i="1"/>
  <c r="AH104" i="1"/>
  <c r="AG104" i="1"/>
  <c r="AE104" i="1"/>
  <c r="AD104" i="1"/>
  <c r="AC104" i="1"/>
  <c r="AB104" i="1"/>
  <c r="AA104" i="1"/>
  <c r="Z104" i="1"/>
  <c r="Y104" i="1"/>
  <c r="X104" i="1"/>
  <c r="V104" i="1"/>
  <c r="Q104" i="1"/>
  <c r="I104" i="1"/>
  <c r="AL103" i="1"/>
  <c r="AK103" i="1"/>
  <c r="AJ103" i="1"/>
  <c r="AI103" i="1"/>
  <c r="AH103" i="1"/>
  <c r="AG103" i="1"/>
  <c r="AE103" i="1"/>
  <c r="AD103" i="1"/>
  <c r="AC103" i="1"/>
  <c r="AB103" i="1"/>
  <c r="AA103" i="1"/>
  <c r="Z103" i="1"/>
  <c r="Y103" i="1"/>
  <c r="X103" i="1"/>
  <c r="V103" i="1"/>
  <c r="Q103" i="1"/>
  <c r="I103" i="1"/>
  <c r="AL102" i="1"/>
  <c r="AK102" i="1"/>
  <c r="AJ102" i="1"/>
  <c r="AI102" i="1"/>
  <c r="AH102" i="1"/>
  <c r="AG102" i="1"/>
  <c r="AE102" i="1"/>
  <c r="AD102" i="1"/>
  <c r="AC102" i="1"/>
  <c r="AB102" i="1"/>
  <c r="AA102" i="1"/>
  <c r="Z102" i="1"/>
  <c r="Y102" i="1"/>
  <c r="X102" i="1"/>
  <c r="V102" i="1"/>
  <c r="Q102" i="1"/>
  <c r="I102" i="1"/>
  <c r="AL101" i="1"/>
  <c r="AK101" i="1"/>
  <c r="AJ101" i="1"/>
  <c r="AI101" i="1"/>
  <c r="AH101" i="1"/>
  <c r="AG101" i="1"/>
  <c r="AE101" i="1"/>
  <c r="AD101" i="1"/>
  <c r="AC101" i="1"/>
  <c r="AB101" i="1"/>
  <c r="AA101" i="1"/>
  <c r="Z101" i="1"/>
  <c r="Y101" i="1"/>
  <c r="X101" i="1"/>
  <c r="V101" i="1"/>
  <c r="Q101" i="1"/>
  <c r="I101" i="1"/>
  <c r="AL100" i="1"/>
  <c r="AK100" i="1"/>
  <c r="AJ100" i="1"/>
  <c r="AI100" i="1"/>
  <c r="AH100" i="1"/>
  <c r="AG100" i="1"/>
  <c r="AE100" i="1"/>
  <c r="AD100" i="1"/>
  <c r="AC100" i="1"/>
  <c r="AB100" i="1"/>
  <c r="AA100" i="1"/>
  <c r="Z100" i="1"/>
  <c r="Y100" i="1"/>
  <c r="X100" i="1"/>
  <c r="V100" i="1"/>
  <c r="Q100" i="1"/>
  <c r="I100" i="1"/>
  <c r="AL99" i="1"/>
  <c r="AK99" i="1"/>
  <c r="AJ99" i="1"/>
  <c r="AI99" i="1"/>
  <c r="AH99" i="1"/>
  <c r="AG99" i="1"/>
  <c r="AE99" i="1"/>
  <c r="AD99" i="1"/>
  <c r="AC99" i="1"/>
  <c r="AB99" i="1"/>
  <c r="AA99" i="1"/>
  <c r="Z99" i="1"/>
  <c r="Y99" i="1"/>
  <c r="X99" i="1"/>
  <c r="V99" i="1"/>
  <c r="Q99" i="1"/>
  <c r="I99" i="1"/>
  <c r="AL98" i="1"/>
  <c r="AK98" i="1"/>
  <c r="AJ98" i="1"/>
  <c r="AI98" i="1"/>
  <c r="AH98" i="1"/>
  <c r="AG98" i="1"/>
  <c r="AE98" i="1"/>
  <c r="AD98" i="1"/>
  <c r="AC98" i="1"/>
  <c r="AB98" i="1"/>
  <c r="AA98" i="1"/>
  <c r="Z98" i="1"/>
  <c r="Y98" i="1"/>
  <c r="X98" i="1"/>
  <c r="V98" i="1"/>
  <c r="Q98" i="1"/>
  <c r="I98" i="1"/>
  <c r="AL97" i="1"/>
  <c r="AK97" i="1"/>
  <c r="AJ97" i="1"/>
  <c r="AI97" i="1"/>
  <c r="AH97" i="1"/>
  <c r="AG97" i="1"/>
  <c r="AE97" i="1"/>
  <c r="AD97" i="1"/>
  <c r="AC97" i="1"/>
  <c r="AB97" i="1"/>
  <c r="AA97" i="1"/>
  <c r="Z97" i="1"/>
  <c r="Y97" i="1"/>
  <c r="X97" i="1"/>
  <c r="V97" i="1"/>
  <c r="Q97" i="1"/>
  <c r="I97" i="1"/>
  <c r="AL96" i="1"/>
  <c r="AK96" i="1"/>
  <c r="AJ96" i="1"/>
  <c r="AI96" i="1"/>
  <c r="AH96" i="1"/>
  <c r="AG96" i="1"/>
  <c r="AE96" i="1"/>
  <c r="AD96" i="1"/>
  <c r="AC96" i="1"/>
  <c r="AB96" i="1"/>
  <c r="AA96" i="1"/>
  <c r="Z96" i="1"/>
  <c r="Y96" i="1"/>
  <c r="X96" i="1"/>
  <c r="V96" i="1"/>
  <c r="Q96" i="1"/>
  <c r="I96" i="1"/>
  <c r="AL95" i="1"/>
  <c r="AK95" i="1"/>
  <c r="AJ95" i="1"/>
  <c r="AI95" i="1"/>
  <c r="AH95" i="1"/>
  <c r="AG95" i="1"/>
  <c r="AE95" i="1"/>
  <c r="AD95" i="1"/>
  <c r="AC95" i="1"/>
  <c r="AB95" i="1"/>
  <c r="AA95" i="1"/>
  <c r="Z95" i="1"/>
  <c r="Y95" i="1"/>
  <c r="X95" i="1"/>
  <c r="V95" i="1"/>
  <c r="Q95" i="1"/>
  <c r="I95" i="1"/>
  <c r="AL94" i="1"/>
  <c r="AK94" i="1"/>
  <c r="AJ94" i="1"/>
  <c r="AI94" i="1"/>
  <c r="AH94" i="1"/>
  <c r="AG94" i="1"/>
  <c r="AE94" i="1"/>
  <c r="AD94" i="1"/>
  <c r="AC94" i="1"/>
  <c r="AB94" i="1"/>
  <c r="AA94" i="1"/>
  <c r="Z94" i="1"/>
  <c r="Y94" i="1"/>
  <c r="X94" i="1"/>
  <c r="V94" i="1"/>
  <c r="Q94" i="1"/>
  <c r="I94" i="1"/>
  <c r="AL93" i="1"/>
  <c r="AK93" i="1"/>
  <c r="AJ93" i="1"/>
  <c r="AI93" i="1"/>
  <c r="AH93" i="1"/>
  <c r="AG93" i="1"/>
  <c r="AE93" i="1"/>
  <c r="AD93" i="1"/>
  <c r="AC93" i="1"/>
  <c r="AB93" i="1"/>
  <c r="AA93" i="1"/>
  <c r="Z93" i="1"/>
  <c r="Y93" i="1"/>
  <c r="X93" i="1"/>
  <c r="V93" i="1"/>
  <c r="Q93" i="1"/>
  <c r="I93" i="1"/>
  <c r="AL92" i="1"/>
  <c r="AK92" i="1"/>
  <c r="AJ92" i="1"/>
  <c r="AI92" i="1"/>
  <c r="AH92" i="1"/>
  <c r="AG92" i="1"/>
  <c r="AE92" i="1"/>
  <c r="AD92" i="1"/>
  <c r="AC92" i="1"/>
  <c r="AB92" i="1"/>
  <c r="AA92" i="1"/>
  <c r="Z92" i="1"/>
  <c r="Y92" i="1"/>
  <c r="X92" i="1"/>
  <c r="V92" i="1"/>
  <c r="Q92" i="1"/>
  <c r="I92" i="1"/>
  <c r="AL91" i="1"/>
  <c r="AK91" i="1"/>
  <c r="AJ91" i="1"/>
  <c r="AI91" i="1"/>
  <c r="AH91" i="1"/>
  <c r="AG91" i="1"/>
  <c r="AE91" i="1"/>
  <c r="AD91" i="1"/>
  <c r="AC91" i="1"/>
  <c r="AB91" i="1"/>
  <c r="AA91" i="1"/>
  <c r="Z91" i="1"/>
  <c r="Y91" i="1"/>
  <c r="X91" i="1"/>
  <c r="V91" i="1"/>
  <c r="Q91" i="1"/>
  <c r="I91" i="1"/>
  <c r="AL90" i="1"/>
  <c r="AK90" i="1"/>
  <c r="AJ90" i="1"/>
  <c r="AI90" i="1"/>
  <c r="AH90" i="1"/>
  <c r="AG90" i="1"/>
  <c r="AE90" i="1"/>
  <c r="AD90" i="1"/>
  <c r="AC90" i="1"/>
  <c r="AB90" i="1"/>
  <c r="AA90" i="1"/>
  <c r="Z90" i="1"/>
  <c r="Y90" i="1"/>
  <c r="X90" i="1"/>
  <c r="V90" i="1"/>
  <c r="Q90" i="1"/>
  <c r="I90" i="1"/>
  <c r="AL89" i="1"/>
  <c r="AK89" i="1"/>
  <c r="AJ89" i="1"/>
  <c r="AI89" i="1"/>
  <c r="AH89" i="1"/>
  <c r="AG89" i="1"/>
  <c r="AE89" i="1"/>
  <c r="AD89" i="1"/>
  <c r="AC89" i="1"/>
  <c r="AB89" i="1"/>
  <c r="AA89" i="1"/>
  <c r="Z89" i="1"/>
  <c r="Y89" i="1"/>
  <c r="X89" i="1"/>
  <c r="V89" i="1"/>
  <c r="Q89" i="1"/>
  <c r="I89" i="1"/>
  <c r="AL88" i="1"/>
  <c r="AK88" i="1"/>
  <c r="AJ88" i="1"/>
  <c r="AI88" i="1"/>
  <c r="AH88" i="1"/>
  <c r="AG88" i="1"/>
  <c r="AE88" i="1"/>
  <c r="AD88" i="1"/>
  <c r="AC88" i="1"/>
  <c r="AB88" i="1"/>
  <c r="AA88" i="1"/>
  <c r="Z88" i="1"/>
  <c r="Y88" i="1"/>
  <c r="X88" i="1"/>
  <c r="V88" i="1"/>
  <c r="Q88" i="1"/>
  <c r="I88" i="1"/>
  <c r="AL87" i="1"/>
  <c r="AK87" i="1"/>
  <c r="AJ87" i="1"/>
  <c r="AI87" i="1"/>
  <c r="AH87" i="1"/>
  <c r="AG87" i="1"/>
  <c r="AE87" i="1"/>
  <c r="AD87" i="1"/>
  <c r="AC87" i="1"/>
  <c r="AB87" i="1"/>
  <c r="AA87" i="1"/>
  <c r="Z87" i="1"/>
  <c r="Y87" i="1"/>
  <c r="X87" i="1"/>
  <c r="V87" i="1"/>
  <c r="Q87" i="1"/>
  <c r="I87" i="1"/>
  <c r="AL86" i="1"/>
  <c r="AK86" i="1"/>
  <c r="AJ86" i="1"/>
  <c r="AI86" i="1"/>
  <c r="AH86" i="1"/>
  <c r="AG86" i="1"/>
  <c r="AE86" i="1"/>
  <c r="AD86" i="1"/>
  <c r="AC86" i="1"/>
  <c r="AB86" i="1"/>
  <c r="AA86" i="1"/>
  <c r="Z86" i="1"/>
  <c r="Y86" i="1"/>
  <c r="X86" i="1"/>
  <c r="V86" i="1"/>
  <c r="Q86" i="1"/>
  <c r="I86" i="1"/>
  <c r="AL85" i="1"/>
  <c r="AK85" i="1"/>
  <c r="AJ85" i="1"/>
  <c r="AI85" i="1"/>
  <c r="AH85" i="1"/>
  <c r="AG85" i="1"/>
  <c r="AE85" i="1"/>
  <c r="AD85" i="1"/>
  <c r="AC85" i="1"/>
  <c r="AB85" i="1"/>
  <c r="AA85" i="1"/>
  <c r="Z85" i="1"/>
  <c r="Y85" i="1"/>
  <c r="X85" i="1"/>
  <c r="V85" i="1"/>
  <c r="Q85" i="1"/>
  <c r="I85" i="1"/>
  <c r="AL84" i="1"/>
  <c r="AK84" i="1"/>
  <c r="AJ84" i="1"/>
  <c r="AI84" i="1"/>
  <c r="AH84" i="1"/>
  <c r="AG84" i="1"/>
  <c r="AE84" i="1"/>
  <c r="AD84" i="1"/>
  <c r="AC84" i="1"/>
  <c r="AB84" i="1"/>
  <c r="AA84" i="1"/>
  <c r="Z84" i="1"/>
  <c r="Y84" i="1"/>
  <c r="X84" i="1"/>
  <c r="V84" i="1"/>
  <c r="Q84" i="1"/>
  <c r="I84" i="1"/>
  <c r="AL83" i="1"/>
  <c r="AK83" i="1"/>
  <c r="AJ83" i="1"/>
  <c r="AI83" i="1"/>
  <c r="AH83" i="1"/>
  <c r="AG83" i="1"/>
  <c r="AE83" i="1"/>
  <c r="AD83" i="1"/>
  <c r="AC83" i="1"/>
  <c r="AB83" i="1"/>
  <c r="AA83" i="1"/>
  <c r="Z83" i="1"/>
  <c r="Y83" i="1"/>
  <c r="X83" i="1"/>
  <c r="V83" i="1"/>
  <c r="Q83" i="1"/>
  <c r="I83" i="1"/>
  <c r="AL82" i="1"/>
  <c r="AK82" i="1"/>
  <c r="AJ82" i="1"/>
  <c r="AI82" i="1"/>
  <c r="AH82" i="1"/>
  <c r="AG82" i="1"/>
  <c r="AE82" i="1"/>
  <c r="AD82" i="1"/>
  <c r="AC82" i="1"/>
  <c r="AB82" i="1"/>
  <c r="AA82" i="1"/>
  <c r="Z82" i="1"/>
  <c r="Y82" i="1"/>
  <c r="X82" i="1"/>
  <c r="V82" i="1"/>
  <c r="Q82" i="1"/>
  <c r="I82" i="1"/>
  <c r="AL81" i="1"/>
  <c r="AK81" i="1"/>
  <c r="AJ81" i="1"/>
  <c r="AI81" i="1"/>
  <c r="AH81" i="1"/>
  <c r="AG81" i="1"/>
  <c r="AE81" i="1"/>
  <c r="AD81" i="1"/>
  <c r="AC81" i="1"/>
  <c r="AB81" i="1"/>
  <c r="AA81" i="1"/>
  <c r="Z81" i="1"/>
  <c r="Y81" i="1"/>
  <c r="X81" i="1"/>
  <c r="V81" i="1"/>
  <c r="Q81" i="1"/>
  <c r="I81" i="1"/>
  <c r="AL80" i="1"/>
  <c r="AK80" i="1"/>
  <c r="AJ80" i="1"/>
  <c r="AI80" i="1"/>
  <c r="AH80" i="1"/>
  <c r="AG80" i="1"/>
  <c r="AE80" i="1"/>
  <c r="AD80" i="1"/>
  <c r="AC80" i="1"/>
  <c r="AB80" i="1"/>
  <c r="AA80" i="1"/>
  <c r="Z80" i="1"/>
  <c r="Y80" i="1"/>
  <c r="X80" i="1"/>
  <c r="V80" i="1"/>
  <c r="Q80" i="1"/>
  <c r="I80" i="1"/>
  <c r="AL79" i="1"/>
  <c r="AK79" i="1"/>
  <c r="AJ79" i="1"/>
  <c r="AI79" i="1"/>
  <c r="AH79" i="1"/>
  <c r="AG79" i="1"/>
  <c r="AE79" i="1"/>
  <c r="AD79" i="1"/>
  <c r="AC79" i="1"/>
  <c r="AB79" i="1"/>
  <c r="AA79" i="1"/>
  <c r="Z79" i="1"/>
  <c r="Y79" i="1"/>
  <c r="X79" i="1"/>
  <c r="V79" i="1"/>
  <c r="Q79" i="1"/>
  <c r="I79" i="1"/>
  <c r="AL78" i="1"/>
  <c r="AK78" i="1"/>
  <c r="AJ78" i="1"/>
  <c r="AI78" i="1"/>
  <c r="AH78" i="1"/>
  <c r="AG78" i="1"/>
  <c r="AE78" i="1"/>
  <c r="AD78" i="1"/>
  <c r="AC78" i="1"/>
  <c r="AB78" i="1"/>
  <c r="AA78" i="1"/>
  <c r="Z78" i="1"/>
  <c r="Y78" i="1"/>
  <c r="X78" i="1"/>
  <c r="V78" i="1"/>
  <c r="Q78" i="1"/>
  <c r="I78" i="1"/>
  <c r="AL77" i="1"/>
  <c r="AK77" i="1"/>
  <c r="AJ77" i="1"/>
  <c r="AI77" i="1"/>
  <c r="AH77" i="1"/>
  <c r="AG77" i="1"/>
  <c r="AE77" i="1"/>
  <c r="AD77" i="1"/>
  <c r="AC77" i="1"/>
  <c r="AB77" i="1"/>
  <c r="AA77" i="1"/>
  <c r="Z77" i="1"/>
  <c r="Y77" i="1"/>
  <c r="X77" i="1"/>
  <c r="V77" i="1"/>
  <c r="Q77" i="1"/>
  <c r="I77" i="1"/>
  <c r="AL76" i="1"/>
  <c r="AK76" i="1"/>
  <c r="AJ76" i="1"/>
  <c r="AI76" i="1"/>
  <c r="AH76" i="1"/>
  <c r="AG76" i="1"/>
  <c r="AE76" i="1"/>
  <c r="AD76" i="1"/>
  <c r="AC76" i="1"/>
  <c r="AB76" i="1"/>
  <c r="AA76" i="1"/>
  <c r="Z76" i="1"/>
  <c r="Y76" i="1"/>
  <c r="X76" i="1"/>
  <c r="V76" i="1"/>
  <c r="Q76" i="1"/>
  <c r="I76" i="1"/>
  <c r="AL75" i="1"/>
  <c r="AK75" i="1"/>
  <c r="AJ75" i="1"/>
  <c r="AI75" i="1"/>
  <c r="AH75" i="1"/>
  <c r="AG75" i="1"/>
  <c r="AE75" i="1"/>
  <c r="AD75" i="1"/>
  <c r="AC75" i="1"/>
  <c r="AB75" i="1"/>
  <c r="AA75" i="1"/>
  <c r="Z75" i="1"/>
  <c r="Y75" i="1"/>
  <c r="X75" i="1"/>
  <c r="V75" i="1"/>
  <c r="Q75" i="1"/>
  <c r="I75" i="1"/>
  <c r="AL74" i="1"/>
  <c r="AK74" i="1"/>
  <c r="AJ74" i="1"/>
  <c r="AI74" i="1"/>
  <c r="AH74" i="1"/>
  <c r="AG74" i="1"/>
  <c r="AE74" i="1"/>
  <c r="AD74" i="1"/>
  <c r="AC74" i="1"/>
  <c r="AB74" i="1"/>
  <c r="AA74" i="1"/>
  <c r="Z74" i="1"/>
  <c r="Y74" i="1"/>
  <c r="X74" i="1"/>
  <c r="V74" i="1"/>
  <c r="Q74" i="1"/>
  <c r="I74" i="1"/>
  <c r="AL73" i="1"/>
  <c r="AK73" i="1"/>
  <c r="AJ73" i="1"/>
  <c r="AI73" i="1"/>
  <c r="AH73" i="1"/>
  <c r="AG73" i="1"/>
  <c r="AE73" i="1"/>
  <c r="AD73" i="1"/>
  <c r="AC73" i="1"/>
  <c r="AB73" i="1"/>
  <c r="AA73" i="1"/>
  <c r="Z73" i="1"/>
  <c r="Y73" i="1"/>
  <c r="X73" i="1"/>
  <c r="V73" i="1"/>
  <c r="Q73" i="1"/>
  <c r="I73" i="1"/>
  <c r="AL72" i="1"/>
  <c r="AK72" i="1"/>
  <c r="AJ72" i="1"/>
  <c r="AI72" i="1"/>
  <c r="AH72" i="1"/>
  <c r="AG72" i="1"/>
  <c r="AE72" i="1"/>
  <c r="AD72" i="1"/>
  <c r="AC72" i="1"/>
  <c r="AB72" i="1"/>
  <c r="AA72" i="1"/>
  <c r="Z72" i="1"/>
  <c r="Y72" i="1"/>
  <c r="X72" i="1"/>
  <c r="V72" i="1"/>
  <c r="Q72" i="1"/>
  <c r="I72" i="1"/>
  <c r="AL71" i="1"/>
  <c r="AK71" i="1"/>
  <c r="AJ71" i="1"/>
  <c r="AI71" i="1"/>
  <c r="AH71" i="1"/>
  <c r="AG71" i="1"/>
  <c r="AE71" i="1"/>
  <c r="AD71" i="1"/>
  <c r="AC71" i="1"/>
  <c r="AB71" i="1"/>
  <c r="AA71" i="1"/>
  <c r="Z71" i="1"/>
  <c r="Y71" i="1"/>
  <c r="X71" i="1"/>
  <c r="V71" i="1"/>
  <c r="Q71" i="1"/>
  <c r="I71" i="1"/>
  <c r="AL70" i="1"/>
  <c r="AK70" i="1"/>
  <c r="AJ70" i="1"/>
  <c r="AI70" i="1"/>
  <c r="AH70" i="1"/>
  <c r="AG70" i="1"/>
  <c r="AE70" i="1"/>
  <c r="AD70" i="1"/>
  <c r="AC70" i="1"/>
  <c r="AB70" i="1"/>
  <c r="AA70" i="1"/>
  <c r="Z70" i="1"/>
  <c r="Y70" i="1"/>
  <c r="X70" i="1"/>
  <c r="V70" i="1"/>
  <c r="Q70" i="1"/>
  <c r="I70" i="1"/>
  <c r="AL69" i="1"/>
  <c r="AK69" i="1"/>
  <c r="AJ69" i="1"/>
  <c r="AI69" i="1"/>
  <c r="AH69" i="1"/>
  <c r="AG69" i="1"/>
  <c r="AE69" i="1"/>
  <c r="AD69" i="1"/>
  <c r="AC69" i="1"/>
  <c r="AB69" i="1"/>
  <c r="AA69" i="1"/>
  <c r="Z69" i="1"/>
  <c r="Y69" i="1"/>
  <c r="X69" i="1"/>
  <c r="V69" i="1"/>
  <c r="Q69" i="1"/>
  <c r="I69" i="1"/>
  <c r="AL68" i="1"/>
  <c r="AK68" i="1"/>
  <c r="AJ68" i="1"/>
  <c r="AI68" i="1"/>
  <c r="AH68" i="1"/>
  <c r="AG68" i="1"/>
  <c r="AE68" i="1"/>
  <c r="AD68" i="1"/>
  <c r="AC68" i="1"/>
  <c r="AB68" i="1"/>
  <c r="AA68" i="1"/>
  <c r="Z68" i="1"/>
  <c r="Y68" i="1"/>
  <c r="X68" i="1"/>
  <c r="V68" i="1"/>
  <c r="Q68" i="1"/>
  <c r="I68" i="1"/>
  <c r="AL67" i="1"/>
  <c r="AK67" i="1"/>
  <c r="AJ67" i="1"/>
  <c r="AI67" i="1"/>
  <c r="AH67" i="1"/>
  <c r="AG67" i="1"/>
  <c r="AE67" i="1"/>
  <c r="AD67" i="1"/>
  <c r="AC67" i="1"/>
  <c r="AB67" i="1"/>
  <c r="AA67" i="1"/>
  <c r="Z67" i="1"/>
  <c r="Y67" i="1"/>
  <c r="X67" i="1"/>
  <c r="V67" i="1"/>
  <c r="Q67" i="1"/>
  <c r="I67" i="1"/>
  <c r="AL66" i="1"/>
  <c r="AK66" i="1"/>
  <c r="AJ66" i="1"/>
  <c r="AI66" i="1"/>
  <c r="AH66" i="1"/>
  <c r="AG66" i="1"/>
  <c r="AE66" i="1"/>
  <c r="AD66" i="1"/>
  <c r="AC66" i="1"/>
  <c r="AB66" i="1"/>
  <c r="AA66" i="1"/>
  <c r="Z66" i="1"/>
  <c r="Y66" i="1"/>
  <c r="X66" i="1"/>
  <c r="V66" i="1"/>
  <c r="Q66" i="1"/>
  <c r="I66" i="1"/>
  <c r="AL65" i="1"/>
  <c r="AK65" i="1"/>
  <c r="AJ65" i="1"/>
  <c r="AI65" i="1"/>
  <c r="AH65" i="1"/>
  <c r="AG65" i="1"/>
  <c r="AE65" i="1"/>
  <c r="AD65" i="1"/>
  <c r="AC65" i="1"/>
  <c r="AB65" i="1"/>
  <c r="AA65" i="1"/>
  <c r="Z65" i="1"/>
  <c r="Y65" i="1"/>
  <c r="X65" i="1"/>
  <c r="V65" i="1"/>
  <c r="Q65" i="1"/>
  <c r="I65" i="1"/>
  <c r="AL64" i="1"/>
  <c r="AK64" i="1"/>
  <c r="AJ64" i="1"/>
  <c r="AI64" i="1"/>
  <c r="AH64" i="1"/>
  <c r="AG64" i="1"/>
  <c r="AE64" i="1"/>
  <c r="AD64" i="1"/>
  <c r="AC64" i="1"/>
  <c r="AB64" i="1"/>
  <c r="AA64" i="1"/>
  <c r="Z64" i="1"/>
  <c r="Y64" i="1"/>
  <c r="X64" i="1"/>
  <c r="V64" i="1"/>
  <c r="Q64" i="1"/>
  <c r="I64" i="1"/>
  <c r="AL63" i="1"/>
  <c r="AK63" i="1"/>
  <c r="AJ63" i="1"/>
  <c r="AI63" i="1"/>
  <c r="AH63" i="1"/>
  <c r="AG63" i="1"/>
  <c r="AE63" i="1"/>
  <c r="AD63" i="1"/>
  <c r="AC63" i="1"/>
  <c r="AB63" i="1"/>
  <c r="AA63" i="1"/>
  <c r="Z63" i="1"/>
  <c r="Y63" i="1"/>
  <c r="X63" i="1"/>
  <c r="V63" i="1"/>
  <c r="Q63" i="1"/>
  <c r="I63" i="1"/>
  <c r="AL62" i="1"/>
  <c r="AK62" i="1"/>
  <c r="AJ62" i="1"/>
  <c r="AI62" i="1"/>
  <c r="AH62" i="1"/>
  <c r="AG62" i="1"/>
  <c r="AE62" i="1"/>
  <c r="AD62" i="1"/>
  <c r="AC62" i="1"/>
  <c r="AB62" i="1"/>
  <c r="AA62" i="1"/>
  <c r="Z62" i="1"/>
  <c r="Y62" i="1"/>
  <c r="X62" i="1"/>
  <c r="V62" i="1"/>
  <c r="Q62" i="1"/>
  <c r="I62" i="1"/>
  <c r="AL61" i="1"/>
  <c r="AK61" i="1"/>
  <c r="AJ61" i="1"/>
  <c r="AI61" i="1"/>
  <c r="AH61" i="1"/>
  <c r="AG61" i="1"/>
  <c r="AE61" i="1"/>
  <c r="AD61" i="1"/>
  <c r="AC61" i="1"/>
  <c r="AB61" i="1"/>
  <c r="AA61" i="1"/>
  <c r="Z61" i="1"/>
  <c r="Y61" i="1"/>
  <c r="X61" i="1"/>
  <c r="V61" i="1"/>
  <c r="Q61" i="1"/>
  <c r="I61" i="1"/>
  <c r="AL60" i="1"/>
  <c r="AK60" i="1"/>
  <c r="AJ60" i="1"/>
  <c r="AI60" i="1"/>
  <c r="AH60" i="1"/>
  <c r="AG60" i="1"/>
  <c r="AE60" i="1"/>
  <c r="AD60" i="1"/>
  <c r="AC60" i="1"/>
  <c r="AB60" i="1"/>
  <c r="AA60" i="1"/>
  <c r="Z60" i="1"/>
  <c r="Y60" i="1"/>
  <c r="X60" i="1"/>
  <c r="V60" i="1"/>
  <c r="Q60" i="1"/>
  <c r="I60" i="1"/>
  <c r="AL59" i="1"/>
  <c r="AK59" i="1"/>
  <c r="AJ59" i="1"/>
  <c r="AI59" i="1"/>
  <c r="AH59" i="1"/>
  <c r="AG59" i="1"/>
  <c r="AE59" i="1"/>
  <c r="AD59" i="1"/>
  <c r="AC59" i="1"/>
  <c r="AB59" i="1"/>
  <c r="AA59" i="1"/>
  <c r="Z59" i="1"/>
  <c r="Y59" i="1"/>
  <c r="X59" i="1"/>
  <c r="V59" i="1"/>
  <c r="Q59" i="1"/>
  <c r="I59" i="1"/>
  <c r="AL58" i="1"/>
  <c r="AK58" i="1"/>
  <c r="AJ58" i="1"/>
  <c r="AI58" i="1"/>
  <c r="AH58" i="1"/>
  <c r="AG58" i="1"/>
  <c r="AE58" i="1"/>
  <c r="AD58" i="1"/>
  <c r="AC58" i="1"/>
  <c r="AB58" i="1"/>
  <c r="AA58" i="1"/>
  <c r="Z58" i="1"/>
  <c r="Y58" i="1"/>
  <c r="X58" i="1"/>
  <c r="V58" i="1"/>
  <c r="Q58" i="1"/>
  <c r="I58" i="1"/>
  <c r="AL57" i="1"/>
  <c r="AK57" i="1"/>
  <c r="AJ57" i="1"/>
  <c r="AI57" i="1"/>
  <c r="AH57" i="1"/>
  <c r="AG57" i="1"/>
  <c r="AE57" i="1"/>
  <c r="AD57" i="1"/>
  <c r="AC57" i="1"/>
  <c r="AB57" i="1"/>
  <c r="AA57" i="1"/>
  <c r="Z57" i="1"/>
  <c r="Y57" i="1"/>
  <c r="X57" i="1"/>
  <c r="V57" i="1"/>
  <c r="Q57" i="1"/>
  <c r="I57" i="1"/>
  <c r="AL56" i="1"/>
  <c r="AK56" i="1"/>
  <c r="AJ56" i="1"/>
  <c r="AI56" i="1"/>
  <c r="AH56" i="1"/>
  <c r="AG56" i="1"/>
  <c r="AE56" i="1"/>
  <c r="AD56" i="1"/>
  <c r="AC56" i="1"/>
  <c r="AB56" i="1"/>
  <c r="AA56" i="1"/>
  <c r="Z56" i="1"/>
  <c r="Y56" i="1"/>
  <c r="X56" i="1"/>
  <c r="V56" i="1"/>
  <c r="Q56" i="1"/>
  <c r="I56" i="1"/>
  <c r="AL55" i="1"/>
  <c r="AK55" i="1"/>
  <c r="AJ55" i="1"/>
  <c r="AI55" i="1"/>
  <c r="AH55" i="1"/>
  <c r="AG55" i="1"/>
  <c r="AE55" i="1"/>
  <c r="AD55" i="1"/>
  <c r="AC55" i="1"/>
  <c r="AB55" i="1"/>
  <c r="AA55" i="1"/>
  <c r="Z55" i="1"/>
  <c r="Y55" i="1"/>
  <c r="X55" i="1"/>
  <c r="V55" i="1"/>
  <c r="Q55" i="1"/>
  <c r="I55" i="1"/>
  <c r="AL54" i="1"/>
  <c r="AK54" i="1"/>
  <c r="AJ54" i="1"/>
  <c r="AI54" i="1"/>
  <c r="AH54" i="1"/>
  <c r="AG54" i="1"/>
  <c r="AE54" i="1"/>
  <c r="AD54" i="1"/>
  <c r="AC54" i="1"/>
  <c r="AB54" i="1"/>
  <c r="AA54" i="1"/>
  <c r="Z54" i="1"/>
  <c r="Y54" i="1"/>
  <c r="X54" i="1"/>
  <c r="V54" i="1"/>
  <c r="Q54" i="1"/>
  <c r="I54" i="1"/>
  <c r="AL53" i="1"/>
  <c r="AK53" i="1"/>
  <c r="AJ53" i="1"/>
  <c r="AI53" i="1"/>
  <c r="AH53" i="1"/>
  <c r="AG53" i="1"/>
  <c r="AE53" i="1"/>
  <c r="AD53" i="1"/>
  <c r="AC53" i="1"/>
  <c r="AB53" i="1"/>
  <c r="AA53" i="1"/>
  <c r="Z53" i="1"/>
  <c r="Y53" i="1"/>
  <c r="X53" i="1"/>
  <c r="V53" i="1"/>
  <c r="Q53" i="1"/>
  <c r="I53" i="1"/>
  <c r="AL52" i="1"/>
  <c r="AK52" i="1"/>
  <c r="AJ52" i="1"/>
  <c r="AI52" i="1"/>
  <c r="AH52" i="1"/>
  <c r="AG52" i="1"/>
  <c r="AE52" i="1"/>
  <c r="AD52" i="1"/>
  <c r="AC52" i="1"/>
  <c r="AB52" i="1"/>
  <c r="AA52" i="1"/>
  <c r="Z52" i="1"/>
  <c r="Y52" i="1"/>
  <c r="X52" i="1"/>
  <c r="V52" i="1"/>
  <c r="Q52" i="1"/>
  <c r="I52" i="1"/>
  <c r="AL51" i="1"/>
  <c r="AK51" i="1"/>
  <c r="AJ51" i="1"/>
  <c r="AI51" i="1"/>
  <c r="AH51" i="1"/>
  <c r="AG51" i="1"/>
  <c r="AE51" i="1"/>
  <c r="AD51" i="1"/>
  <c r="AC51" i="1"/>
  <c r="AB51" i="1"/>
  <c r="AA51" i="1"/>
  <c r="Z51" i="1"/>
  <c r="Y51" i="1"/>
  <c r="X51" i="1"/>
  <c r="V51" i="1"/>
  <c r="Q51" i="1"/>
  <c r="I51" i="1"/>
  <c r="AL50" i="1"/>
  <c r="AK50" i="1"/>
  <c r="AJ50" i="1"/>
  <c r="AI50" i="1"/>
  <c r="AH50" i="1"/>
  <c r="AG50" i="1"/>
  <c r="AE50" i="1"/>
  <c r="AD50" i="1"/>
  <c r="AC50" i="1"/>
  <c r="AB50" i="1"/>
  <c r="AA50" i="1"/>
  <c r="Z50" i="1"/>
  <c r="Y50" i="1"/>
  <c r="X50" i="1"/>
  <c r="V50" i="1"/>
  <c r="Q50" i="1"/>
  <c r="I50" i="1"/>
  <c r="AL49" i="1"/>
  <c r="AK49" i="1"/>
  <c r="AJ49" i="1"/>
  <c r="AI49" i="1"/>
  <c r="AH49" i="1"/>
  <c r="AG49" i="1"/>
  <c r="AE49" i="1"/>
  <c r="AD49" i="1"/>
  <c r="AC49" i="1"/>
  <c r="AB49" i="1"/>
  <c r="AA49" i="1"/>
  <c r="Z49" i="1"/>
  <c r="Y49" i="1"/>
  <c r="X49" i="1"/>
  <c r="V49" i="1"/>
  <c r="Q49" i="1"/>
  <c r="I49" i="1"/>
  <c r="AL48" i="1"/>
  <c r="AK48" i="1"/>
  <c r="AJ48" i="1"/>
  <c r="AI48" i="1"/>
  <c r="AH48" i="1"/>
  <c r="AG48" i="1"/>
  <c r="AE48" i="1"/>
  <c r="AD48" i="1"/>
  <c r="AC48" i="1"/>
  <c r="AB48" i="1"/>
  <c r="AA48" i="1"/>
  <c r="Z48" i="1"/>
  <c r="Y48" i="1"/>
  <c r="X48" i="1"/>
  <c r="V48" i="1"/>
  <c r="Q48" i="1"/>
  <c r="I48" i="1"/>
  <c r="AL47" i="1"/>
  <c r="AK47" i="1"/>
  <c r="AJ47" i="1"/>
  <c r="AI47" i="1"/>
  <c r="AH47" i="1"/>
  <c r="AG47" i="1"/>
  <c r="AE47" i="1"/>
  <c r="AD47" i="1"/>
  <c r="AC47" i="1"/>
  <c r="AB47" i="1"/>
  <c r="AA47" i="1"/>
  <c r="Z47" i="1"/>
  <c r="Y47" i="1"/>
  <c r="X47" i="1"/>
  <c r="V47" i="1"/>
  <c r="Q47" i="1"/>
  <c r="I47" i="1"/>
  <c r="AL46" i="1"/>
  <c r="AK46" i="1"/>
  <c r="AJ46" i="1"/>
  <c r="AI46" i="1"/>
  <c r="AH46" i="1"/>
  <c r="AG46" i="1"/>
  <c r="AE46" i="1"/>
  <c r="AD46" i="1"/>
  <c r="AC46" i="1"/>
  <c r="AB46" i="1"/>
  <c r="AA46" i="1"/>
  <c r="Z46" i="1"/>
  <c r="Y46" i="1"/>
  <c r="X46" i="1"/>
  <c r="V46" i="1"/>
  <c r="Q46" i="1"/>
  <c r="I46" i="1"/>
  <c r="AL45" i="1"/>
  <c r="AK45" i="1"/>
  <c r="AJ45" i="1"/>
  <c r="AI45" i="1"/>
  <c r="AH45" i="1"/>
  <c r="AG45" i="1"/>
  <c r="AE45" i="1"/>
  <c r="AD45" i="1"/>
  <c r="AC45" i="1"/>
  <c r="AB45" i="1"/>
  <c r="AA45" i="1"/>
  <c r="Z45" i="1"/>
  <c r="Y45" i="1"/>
  <c r="X45" i="1"/>
  <c r="V45" i="1"/>
  <c r="Q45" i="1"/>
  <c r="I45" i="1"/>
  <c r="AL44" i="1"/>
  <c r="AK44" i="1"/>
  <c r="AJ44" i="1"/>
  <c r="AI44" i="1"/>
  <c r="AH44" i="1"/>
  <c r="AG44" i="1"/>
  <c r="AE44" i="1"/>
  <c r="AD44" i="1"/>
  <c r="AC44" i="1"/>
  <c r="AB44" i="1"/>
  <c r="AA44" i="1"/>
  <c r="Z44" i="1"/>
  <c r="Y44" i="1"/>
  <c r="X44" i="1"/>
  <c r="V44" i="1"/>
  <c r="Q44" i="1"/>
  <c r="I44" i="1"/>
  <c r="AL43" i="1"/>
  <c r="AK43" i="1"/>
  <c r="AJ43" i="1"/>
  <c r="AI43" i="1"/>
  <c r="AH43" i="1"/>
  <c r="AG43" i="1"/>
  <c r="AE43" i="1"/>
  <c r="AD43" i="1"/>
  <c r="AC43" i="1"/>
  <c r="AB43" i="1"/>
  <c r="AA43" i="1"/>
  <c r="Z43" i="1"/>
  <c r="Y43" i="1"/>
  <c r="X43" i="1"/>
  <c r="V43" i="1"/>
  <c r="Q43" i="1"/>
  <c r="I43" i="1"/>
  <c r="AL42" i="1"/>
  <c r="AK42" i="1"/>
  <c r="AJ42" i="1"/>
  <c r="AI42" i="1"/>
  <c r="AH42" i="1"/>
  <c r="AG42" i="1"/>
  <c r="AE42" i="1"/>
  <c r="AD42" i="1"/>
  <c r="AC42" i="1"/>
  <c r="AB42" i="1"/>
  <c r="AA42" i="1"/>
  <c r="Z42" i="1"/>
  <c r="Y42" i="1"/>
  <c r="X42" i="1"/>
  <c r="V42" i="1"/>
  <c r="Q42" i="1"/>
  <c r="I42" i="1"/>
  <c r="AL41" i="1"/>
  <c r="AK41" i="1"/>
  <c r="AJ41" i="1"/>
  <c r="AI41" i="1"/>
  <c r="AH41" i="1"/>
  <c r="AG41" i="1"/>
  <c r="AE41" i="1"/>
  <c r="AD41" i="1"/>
  <c r="AC41" i="1"/>
  <c r="AB41" i="1"/>
  <c r="AA41" i="1"/>
  <c r="Z41" i="1"/>
  <c r="Y41" i="1"/>
  <c r="X41" i="1"/>
  <c r="V41" i="1"/>
  <c r="Q41" i="1"/>
  <c r="I41" i="1"/>
  <c r="AL40" i="1"/>
  <c r="AK40" i="1"/>
  <c r="AJ40" i="1"/>
  <c r="AI40" i="1"/>
  <c r="AH40" i="1"/>
  <c r="AG40" i="1"/>
  <c r="AE40" i="1"/>
  <c r="AD40" i="1"/>
  <c r="AC40" i="1"/>
  <c r="AB40" i="1"/>
  <c r="AA40" i="1"/>
  <c r="Z40" i="1"/>
  <c r="Y40" i="1"/>
  <c r="X40" i="1"/>
  <c r="V40" i="1"/>
  <c r="Q40" i="1"/>
  <c r="I40" i="1"/>
  <c r="AL39" i="1"/>
  <c r="AK39" i="1"/>
  <c r="AJ39" i="1"/>
  <c r="AI39" i="1"/>
  <c r="AH39" i="1"/>
  <c r="AG39" i="1"/>
  <c r="AE39" i="1"/>
  <c r="AD39" i="1"/>
  <c r="AC39" i="1"/>
  <c r="AB39" i="1"/>
  <c r="AA39" i="1"/>
  <c r="Z39" i="1"/>
  <c r="Y39" i="1"/>
  <c r="X39" i="1"/>
  <c r="V39" i="1"/>
  <c r="Q39" i="1"/>
  <c r="I39" i="1"/>
  <c r="AL38" i="1"/>
  <c r="AK38" i="1"/>
  <c r="AJ38" i="1"/>
  <c r="AI38" i="1"/>
  <c r="AH38" i="1"/>
  <c r="AG38" i="1"/>
  <c r="AE38" i="1"/>
  <c r="AD38" i="1"/>
  <c r="AC38" i="1"/>
  <c r="AB38" i="1"/>
  <c r="AA38" i="1"/>
  <c r="Z38" i="1"/>
  <c r="Y38" i="1"/>
  <c r="X38" i="1"/>
  <c r="V38" i="1"/>
  <c r="Q38" i="1"/>
  <c r="I38" i="1"/>
  <c r="AL37" i="1"/>
  <c r="AK37" i="1"/>
  <c r="AJ37" i="1"/>
  <c r="AI37" i="1"/>
  <c r="AH37" i="1"/>
  <c r="AG37" i="1"/>
  <c r="AE37" i="1"/>
  <c r="AD37" i="1"/>
  <c r="AC37" i="1"/>
  <c r="AB37" i="1"/>
  <c r="AA37" i="1"/>
  <c r="Z37" i="1"/>
  <c r="Y37" i="1"/>
  <c r="X37" i="1"/>
  <c r="V37" i="1"/>
  <c r="Q37" i="1"/>
  <c r="I37" i="1"/>
  <c r="AL36" i="1"/>
  <c r="AK36" i="1"/>
  <c r="AJ36" i="1"/>
  <c r="AI36" i="1"/>
  <c r="AH36" i="1"/>
  <c r="AG36" i="1"/>
  <c r="AE36" i="1"/>
  <c r="AD36" i="1"/>
  <c r="AC36" i="1"/>
  <c r="AB36" i="1"/>
  <c r="AA36" i="1"/>
  <c r="Z36" i="1"/>
  <c r="Y36" i="1"/>
  <c r="X36" i="1"/>
  <c r="V36" i="1"/>
  <c r="Q36" i="1"/>
  <c r="I36" i="1"/>
  <c r="AL35" i="1"/>
  <c r="AK35" i="1"/>
  <c r="AJ35" i="1"/>
  <c r="AI35" i="1"/>
  <c r="AH35" i="1"/>
  <c r="AG35" i="1"/>
  <c r="AE35" i="1"/>
  <c r="AD35" i="1"/>
  <c r="AC35" i="1"/>
  <c r="AB35" i="1"/>
  <c r="AA35" i="1"/>
  <c r="Z35" i="1"/>
  <c r="Y35" i="1"/>
  <c r="X35" i="1"/>
  <c r="V35" i="1"/>
  <c r="Q35" i="1"/>
  <c r="I35" i="1"/>
  <c r="AL34" i="1"/>
  <c r="AK34" i="1"/>
  <c r="AJ34" i="1"/>
  <c r="AI34" i="1"/>
  <c r="AH34" i="1"/>
  <c r="AG34" i="1"/>
  <c r="AE34" i="1"/>
  <c r="AD34" i="1"/>
  <c r="AC34" i="1"/>
  <c r="AB34" i="1"/>
  <c r="AA34" i="1"/>
  <c r="Z34" i="1"/>
  <c r="Y34" i="1"/>
  <c r="X34" i="1"/>
  <c r="V34" i="1"/>
  <c r="Q34" i="1"/>
  <c r="I34" i="1"/>
  <c r="AL33" i="1"/>
  <c r="AK33" i="1"/>
  <c r="AJ33" i="1"/>
  <c r="AI33" i="1"/>
  <c r="AH33" i="1"/>
  <c r="AG33" i="1"/>
  <c r="AE33" i="1"/>
  <c r="AD33" i="1"/>
  <c r="AC33" i="1"/>
  <c r="AB33" i="1"/>
  <c r="AA33" i="1"/>
  <c r="Z33" i="1"/>
  <c r="Y33" i="1"/>
  <c r="X33" i="1"/>
  <c r="V33" i="1"/>
  <c r="Q33" i="1"/>
  <c r="I33" i="1"/>
  <c r="AL32" i="1"/>
  <c r="AK32" i="1"/>
  <c r="AJ32" i="1"/>
  <c r="AI32" i="1"/>
  <c r="AH32" i="1"/>
  <c r="AG32" i="1"/>
  <c r="AE32" i="1"/>
  <c r="AD32" i="1"/>
  <c r="AC32" i="1"/>
  <c r="AB32" i="1"/>
  <c r="AA32" i="1"/>
  <c r="Z32" i="1"/>
  <c r="Y32" i="1"/>
  <c r="X32" i="1"/>
  <c r="V32" i="1"/>
  <c r="Q32" i="1"/>
  <c r="I32" i="1"/>
  <c r="AL31" i="1"/>
  <c r="AK31" i="1"/>
  <c r="AJ31" i="1"/>
  <c r="AI31" i="1"/>
  <c r="AH31" i="1"/>
  <c r="AG31" i="1"/>
  <c r="AE31" i="1"/>
  <c r="AD31" i="1"/>
  <c r="AC31" i="1"/>
  <c r="AB31" i="1"/>
  <c r="AA31" i="1"/>
  <c r="Z31" i="1"/>
  <c r="Y31" i="1"/>
  <c r="X31" i="1"/>
  <c r="V31" i="1"/>
  <c r="Q31" i="1"/>
  <c r="I31" i="1"/>
  <c r="AL30" i="1"/>
  <c r="AK30" i="1"/>
  <c r="AJ30" i="1"/>
  <c r="AI30" i="1"/>
  <c r="AH30" i="1"/>
  <c r="AG30" i="1"/>
  <c r="AE30" i="1"/>
  <c r="AD30" i="1"/>
  <c r="AC30" i="1"/>
  <c r="AB30" i="1"/>
  <c r="AA30" i="1"/>
  <c r="Z30" i="1"/>
  <c r="Y30" i="1"/>
  <c r="X30" i="1"/>
  <c r="V30" i="1"/>
  <c r="Q30" i="1"/>
  <c r="I30" i="1"/>
  <c r="AL29" i="1"/>
  <c r="AK29" i="1"/>
  <c r="AJ29" i="1"/>
  <c r="AI29" i="1"/>
  <c r="AH29" i="1"/>
  <c r="AG29" i="1"/>
  <c r="AE29" i="1"/>
  <c r="AD29" i="1"/>
  <c r="AC29" i="1"/>
  <c r="AB29" i="1"/>
  <c r="AA29" i="1"/>
  <c r="Z29" i="1"/>
  <c r="Y29" i="1"/>
  <c r="X29" i="1"/>
  <c r="V29" i="1"/>
  <c r="Q29" i="1"/>
  <c r="I29" i="1"/>
  <c r="AL28" i="1"/>
  <c r="AK28" i="1"/>
  <c r="AJ28" i="1"/>
  <c r="AI28" i="1"/>
  <c r="AH28" i="1"/>
  <c r="AG28" i="1"/>
  <c r="AE28" i="1"/>
  <c r="AD28" i="1"/>
  <c r="AC28" i="1"/>
  <c r="AB28" i="1"/>
  <c r="AA28" i="1"/>
  <c r="Z28" i="1"/>
  <c r="Y28" i="1"/>
  <c r="X28" i="1"/>
  <c r="V28" i="1"/>
  <c r="Q28" i="1"/>
  <c r="I28" i="1"/>
  <c r="AL27" i="1"/>
  <c r="AK27" i="1"/>
  <c r="AJ27" i="1"/>
  <c r="AI27" i="1"/>
  <c r="AH27" i="1"/>
  <c r="AG27" i="1"/>
  <c r="AE27" i="1"/>
  <c r="AD27" i="1"/>
  <c r="AC27" i="1"/>
  <c r="AB27" i="1"/>
  <c r="AA27" i="1"/>
  <c r="Z27" i="1"/>
  <c r="Y27" i="1"/>
  <c r="X27" i="1"/>
  <c r="V27" i="1"/>
  <c r="Q27" i="1"/>
  <c r="I27" i="1"/>
  <c r="AL26" i="1"/>
  <c r="AK26" i="1"/>
  <c r="AJ26" i="1"/>
  <c r="AI26" i="1"/>
  <c r="AH26" i="1"/>
  <c r="AG26" i="1"/>
  <c r="AE26" i="1"/>
  <c r="AD26" i="1"/>
  <c r="AC26" i="1"/>
  <c r="AB26" i="1"/>
  <c r="AA26" i="1"/>
  <c r="Z26" i="1"/>
  <c r="Y26" i="1"/>
  <c r="X26" i="1"/>
  <c r="V26" i="1"/>
  <c r="Q26" i="1"/>
  <c r="I26" i="1"/>
  <c r="AL25" i="1"/>
  <c r="AK25" i="1"/>
  <c r="AJ25" i="1"/>
  <c r="AI25" i="1"/>
  <c r="AH25" i="1"/>
  <c r="AG25" i="1"/>
  <c r="AE25" i="1"/>
  <c r="AD25" i="1"/>
  <c r="AC25" i="1"/>
  <c r="AB25" i="1"/>
  <c r="AA25" i="1"/>
  <c r="Z25" i="1"/>
  <c r="Y25" i="1"/>
  <c r="X25" i="1"/>
  <c r="V25" i="1"/>
  <c r="Q25" i="1"/>
  <c r="I25" i="1"/>
  <c r="AL24" i="1"/>
  <c r="AK24" i="1"/>
  <c r="AJ24" i="1"/>
  <c r="AI24" i="1"/>
  <c r="AH24" i="1"/>
  <c r="AG24" i="1"/>
  <c r="AE24" i="1"/>
  <c r="AD24" i="1"/>
  <c r="AC24" i="1"/>
  <c r="AB24" i="1"/>
  <c r="AA24" i="1"/>
  <c r="Z24" i="1"/>
  <c r="Y24" i="1"/>
  <c r="X24" i="1"/>
  <c r="V24" i="1"/>
  <c r="Q24" i="1"/>
  <c r="I24" i="1"/>
  <c r="AL23" i="1"/>
  <c r="AK23" i="1"/>
  <c r="AJ23" i="1"/>
  <c r="AI23" i="1"/>
  <c r="AH23" i="1"/>
  <c r="AG23" i="1"/>
  <c r="AE23" i="1"/>
  <c r="AD23" i="1"/>
  <c r="AC23" i="1"/>
  <c r="AB23" i="1"/>
  <c r="AA23" i="1"/>
  <c r="Z23" i="1"/>
  <c r="Y23" i="1"/>
  <c r="X23" i="1"/>
  <c r="V23" i="1"/>
  <c r="Q23" i="1"/>
  <c r="I23" i="1"/>
  <c r="AL22" i="1"/>
  <c r="AK22" i="1"/>
  <c r="AJ22" i="1"/>
  <c r="AI22" i="1"/>
  <c r="AH22" i="1"/>
  <c r="AG22" i="1"/>
  <c r="AE22" i="1"/>
  <c r="AD22" i="1"/>
  <c r="AC22" i="1"/>
  <c r="AB22" i="1"/>
  <c r="AA22" i="1"/>
  <c r="Z22" i="1"/>
  <c r="Y22" i="1"/>
  <c r="X22" i="1"/>
  <c r="V22" i="1"/>
  <c r="Q22" i="1"/>
  <c r="I22" i="1"/>
  <c r="AL21" i="1"/>
  <c r="AK21" i="1"/>
  <c r="AJ21" i="1"/>
  <c r="AI21" i="1"/>
  <c r="AH21" i="1"/>
  <c r="AG21" i="1"/>
  <c r="AE21" i="1"/>
  <c r="AD21" i="1"/>
  <c r="AC21" i="1"/>
  <c r="AB21" i="1"/>
  <c r="AA21" i="1"/>
  <c r="Z21" i="1"/>
  <c r="Y21" i="1"/>
  <c r="X21" i="1"/>
  <c r="V21" i="1"/>
  <c r="Q21" i="1"/>
  <c r="I21" i="1"/>
  <c r="AL20" i="1"/>
  <c r="AK20" i="1"/>
  <c r="AJ20" i="1"/>
  <c r="AI20" i="1"/>
  <c r="AH20" i="1"/>
  <c r="AG20" i="1"/>
  <c r="AE20" i="1"/>
  <c r="AD20" i="1"/>
  <c r="AC20" i="1"/>
  <c r="AB20" i="1"/>
  <c r="AA20" i="1"/>
  <c r="Z20" i="1"/>
  <c r="Y20" i="1"/>
  <c r="X20" i="1"/>
  <c r="V20" i="1"/>
  <c r="Q20" i="1"/>
  <c r="I20" i="1"/>
  <c r="AL19" i="1"/>
  <c r="AK19" i="1"/>
  <c r="AJ19" i="1"/>
  <c r="AI19" i="1"/>
  <c r="AH19" i="1"/>
  <c r="AG19" i="1"/>
  <c r="AE19" i="1"/>
  <c r="AD19" i="1"/>
  <c r="AC19" i="1"/>
  <c r="AB19" i="1"/>
  <c r="AA19" i="1"/>
  <c r="Z19" i="1"/>
  <c r="Y19" i="1"/>
  <c r="X19" i="1"/>
  <c r="V19" i="1"/>
  <c r="Q19" i="1"/>
  <c r="I19" i="1"/>
  <c r="AL18" i="1"/>
  <c r="AK18" i="1"/>
  <c r="AJ18" i="1"/>
  <c r="AI18" i="1"/>
  <c r="AH18" i="1"/>
  <c r="AG18" i="1"/>
  <c r="AE18" i="1"/>
  <c r="AD18" i="1"/>
  <c r="AC18" i="1"/>
  <c r="AB18" i="1"/>
  <c r="AA18" i="1"/>
  <c r="Z18" i="1"/>
  <c r="Y18" i="1"/>
  <c r="X18" i="1"/>
  <c r="V18" i="1"/>
  <c r="Q18" i="1"/>
  <c r="I18" i="1"/>
  <c r="AL17" i="1"/>
  <c r="AK17" i="1"/>
  <c r="AJ17" i="1"/>
  <c r="AI17" i="1"/>
  <c r="AH17" i="1"/>
  <c r="AG17" i="1"/>
  <c r="AE17" i="1"/>
  <c r="AD17" i="1"/>
  <c r="AC17" i="1"/>
  <c r="AB17" i="1"/>
  <c r="AA17" i="1"/>
  <c r="Z17" i="1"/>
  <c r="Y17" i="1"/>
  <c r="X17" i="1"/>
  <c r="V17" i="1"/>
  <c r="Q17" i="1"/>
  <c r="I17" i="1"/>
  <c r="AL16" i="1"/>
  <c r="AK16" i="1"/>
  <c r="AJ16" i="1"/>
  <c r="AI16" i="1"/>
  <c r="AH16" i="1"/>
  <c r="AG16" i="1"/>
  <c r="AE16" i="1"/>
  <c r="AD16" i="1"/>
  <c r="AC16" i="1"/>
  <c r="AB16" i="1"/>
  <c r="AA16" i="1"/>
  <c r="Z16" i="1"/>
  <c r="Y16" i="1"/>
  <c r="X16" i="1"/>
  <c r="V16" i="1"/>
  <c r="Q16" i="1"/>
  <c r="I16" i="1"/>
  <c r="AL15" i="1"/>
  <c r="AK15" i="1"/>
  <c r="AJ15" i="1"/>
  <c r="AI15" i="1"/>
  <c r="AH15" i="1"/>
  <c r="AG15" i="1"/>
  <c r="AE15" i="1"/>
  <c r="AD15" i="1"/>
  <c r="AC15" i="1"/>
  <c r="AB15" i="1"/>
  <c r="AA15" i="1"/>
  <c r="Z15" i="1"/>
  <c r="Y15" i="1"/>
  <c r="X15" i="1"/>
  <c r="V15" i="1"/>
  <c r="Q15" i="1"/>
  <c r="I15" i="1"/>
  <c r="AL14" i="1"/>
  <c r="AK14" i="1"/>
  <c r="AJ14" i="1"/>
  <c r="AI14" i="1"/>
  <c r="AH14" i="1"/>
  <c r="AG14" i="1"/>
  <c r="AE14" i="1"/>
  <c r="AD14" i="1"/>
  <c r="AC14" i="1"/>
  <c r="AB14" i="1"/>
  <c r="AA14" i="1"/>
  <c r="Z14" i="1"/>
  <c r="Y14" i="1"/>
  <c r="X14" i="1"/>
  <c r="V14" i="1"/>
  <c r="Q14" i="1"/>
  <c r="I14" i="1"/>
  <c r="AL13" i="1"/>
  <c r="AK13" i="1"/>
  <c r="AJ13" i="1"/>
  <c r="AI13" i="1"/>
  <c r="AH13" i="1"/>
  <c r="AG13" i="1"/>
  <c r="AE13" i="1"/>
  <c r="AD13" i="1"/>
  <c r="AC13" i="1"/>
  <c r="AB13" i="1"/>
  <c r="AA13" i="1"/>
  <c r="Z13" i="1"/>
  <c r="Y13" i="1"/>
  <c r="X13" i="1"/>
  <c r="V13" i="1"/>
  <c r="Q13" i="1"/>
  <c r="I13" i="1"/>
  <c r="AL12" i="1"/>
  <c r="AK12" i="1"/>
  <c r="AJ12" i="1"/>
  <c r="AI12" i="1"/>
  <c r="AH12" i="1"/>
  <c r="AG12" i="1"/>
  <c r="AE12" i="1"/>
  <c r="AD12" i="1"/>
  <c r="AC12" i="1"/>
  <c r="AB12" i="1"/>
  <c r="AA12" i="1"/>
  <c r="Z12" i="1"/>
  <c r="Y12" i="1"/>
  <c r="X12" i="1"/>
  <c r="V12" i="1"/>
  <c r="Q12" i="1"/>
  <c r="I12" i="1"/>
  <c r="AL11" i="1"/>
  <c r="AK11" i="1"/>
  <c r="AJ11" i="1"/>
  <c r="AI11" i="1"/>
  <c r="AH11" i="1"/>
  <c r="AG11" i="1"/>
  <c r="AE11" i="1"/>
  <c r="AD11" i="1"/>
  <c r="AC11" i="1"/>
  <c r="AB11" i="1"/>
  <c r="AA11" i="1"/>
  <c r="Z11" i="1"/>
  <c r="Y11" i="1"/>
  <c r="X11" i="1"/>
  <c r="V11" i="1"/>
  <c r="Q11" i="1"/>
  <c r="I11" i="1"/>
  <c r="AL10" i="1"/>
  <c r="AK10" i="1"/>
  <c r="AJ10" i="1"/>
  <c r="AI10" i="1"/>
  <c r="AH10" i="1"/>
  <c r="AG10" i="1"/>
  <c r="AE10" i="1"/>
  <c r="AD10" i="1"/>
  <c r="AC10" i="1"/>
  <c r="AB10" i="1"/>
  <c r="AA10" i="1"/>
  <c r="Z10" i="1"/>
  <c r="Y10" i="1"/>
  <c r="X10" i="1"/>
  <c r="V10" i="1"/>
  <c r="Q10" i="1"/>
  <c r="I10" i="1"/>
  <c r="AL9" i="1"/>
  <c r="AK9" i="1"/>
  <c r="AJ9" i="1"/>
  <c r="AI9" i="1"/>
  <c r="AH9" i="1"/>
  <c r="AG9" i="1"/>
  <c r="AE9" i="1"/>
  <c r="AD9" i="1"/>
  <c r="AC9" i="1"/>
  <c r="AB9" i="1"/>
  <c r="AA9" i="1"/>
  <c r="Z9" i="1"/>
  <c r="Y9" i="1"/>
  <c r="X9" i="1"/>
  <c r="V9" i="1"/>
  <c r="Q9" i="1"/>
  <c r="I9" i="1"/>
  <c r="AL8" i="1"/>
  <c r="AK8" i="1"/>
  <c r="AJ8" i="1"/>
  <c r="AI8" i="1"/>
  <c r="AH8" i="1"/>
  <c r="AG8" i="1"/>
  <c r="AE8" i="1"/>
  <c r="AD8" i="1"/>
  <c r="AC8" i="1"/>
  <c r="AB8" i="1"/>
  <c r="AA8" i="1"/>
  <c r="Z8" i="1"/>
  <c r="Y8" i="1"/>
  <c r="X8" i="1"/>
  <c r="V8" i="1"/>
  <c r="Q8" i="1"/>
  <c r="I8" i="1"/>
  <c r="AL7" i="1"/>
  <c r="AK7" i="1"/>
  <c r="AJ7" i="1"/>
  <c r="AI7" i="1"/>
  <c r="AH7" i="1"/>
  <c r="AG7" i="1"/>
  <c r="AE7" i="1"/>
  <c r="AD7" i="1"/>
  <c r="AC7" i="1"/>
  <c r="AB7" i="1"/>
  <c r="AA7" i="1"/>
  <c r="Z7" i="1"/>
  <c r="Y7" i="1"/>
  <c r="X7" i="1"/>
  <c r="V7" i="1"/>
  <c r="Q7" i="1"/>
  <c r="I7" i="1"/>
  <c r="AL6" i="1"/>
  <c r="AK6" i="1"/>
  <c r="AJ6" i="1"/>
  <c r="AI6" i="1"/>
  <c r="AH6" i="1"/>
  <c r="AG6" i="1"/>
  <c r="AE6" i="1"/>
  <c r="AD6" i="1"/>
  <c r="AC6" i="1"/>
  <c r="AB6" i="1"/>
  <c r="AA6" i="1"/>
  <c r="Z6" i="1"/>
  <c r="Y6" i="1"/>
  <c r="X6" i="1"/>
  <c r="V6" i="1"/>
  <c r="Q6" i="1"/>
  <c r="I6" i="1"/>
  <c r="AL5" i="1"/>
  <c r="AK5" i="1"/>
  <c r="AJ5" i="1"/>
  <c r="AI5" i="1"/>
  <c r="AH5" i="1"/>
  <c r="AG5" i="1"/>
  <c r="AE5" i="1"/>
  <c r="AD5" i="1"/>
  <c r="AC5" i="1"/>
  <c r="AB5" i="1"/>
  <c r="AA5" i="1"/>
  <c r="Z5" i="1"/>
  <c r="Y5" i="1"/>
  <c r="X5" i="1"/>
  <c r="V5" i="1"/>
  <c r="Q5" i="1"/>
  <c r="I5" i="1"/>
</calcChain>
</file>

<file path=xl/comments1.xml><?xml version="1.0" encoding="utf-8"?>
<comments xmlns="http://schemas.openxmlformats.org/spreadsheetml/2006/main">
  <authors>
    <author>sunpeilin</author>
  </authors>
  <commentList>
    <comment ref="P3" authorId="0" shapeId="0">
      <text>
        <r>
          <rPr>
            <b/>
            <sz val="9"/>
            <rFont val="宋体"/>
            <charset val="134"/>
          </rPr>
          <t>sunpeilin:</t>
        </r>
        <r>
          <rPr>
            <sz val="9"/>
            <rFont val="宋体"/>
            <charset val="134"/>
          </rPr>
          <t xml:space="preserve">
含五险一金</t>
        </r>
      </text>
    </comment>
  </commentList>
</comments>
</file>

<file path=xl/comments2.xml><?xml version="1.0" encoding="utf-8"?>
<comments xmlns="http://schemas.openxmlformats.org/spreadsheetml/2006/main">
  <authors>
    <author>sunpeilin</author>
  </authors>
  <commentList>
    <comment ref="P3" authorId="0" shapeId="0">
      <text>
        <r>
          <rPr>
            <b/>
            <sz val="9"/>
            <rFont val="宋体"/>
            <charset val="134"/>
          </rPr>
          <t>sunpeilin:</t>
        </r>
        <r>
          <rPr>
            <sz val="9"/>
            <rFont val="宋体"/>
            <charset val="134"/>
          </rPr>
          <t xml:space="preserve">
含五险一金</t>
        </r>
      </text>
    </comment>
  </commentList>
</comments>
</file>

<file path=xl/sharedStrings.xml><?xml version="1.0" encoding="utf-8"?>
<sst xmlns="http://schemas.openxmlformats.org/spreadsheetml/2006/main" count="1493" uniqueCount="443">
  <si>
    <t>内部定价核算方式</t>
  </si>
  <si>
    <t>实际费用占比</t>
  </si>
  <si>
    <r>
      <rPr>
        <b/>
        <sz val="11"/>
        <rFont val="宋体"/>
        <charset val="134"/>
        <scheme val="minor"/>
      </rPr>
      <t>（（料+工+费）/合格率）*</t>
    </r>
    <r>
      <rPr>
        <b/>
        <sz val="11"/>
        <color rgb="FFFF0000"/>
        <rFont val="宋体"/>
        <charset val="134"/>
        <scheme val="minor"/>
      </rPr>
      <t>1.4</t>
    </r>
    <r>
      <rPr>
        <b/>
        <sz val="11"/>
        <rFont val="宋体"/>
        <charset val="134"/>
        <scheme val="minor"/>
      </rPr>
      <t>+外*1.1+包装+运费+丝印</t>
    </r>
  </si>
  <si>
    <t>序号</t>
  </si>
  <si>
    <t>物料代码</t>
  </si>
  <si>
    <t>名称</t>
  </si>
  <si>
    <t>材质</t>
  </si>
  <si>
    <t>单件重量/㎏</t>
  </si>
  <si>
    <t>未税材料单价/kg</t>
  </si>
  <si>
    <t>合格率</t>
  </si>
  <si>
    <t>料费/件</t>
  </si>
  <si>
    <t>设备</t>
  </si>
  <si>
    <t>开模数/h</t>
  </si>
  <si>
    <t>周期s</t>
  </si>
  <si>
    <t>一模数量</t>
  </si>
  <si>
    <t>电功率</t>
  </si>
  <si>
    <t>电费单价</t>
  </si>
  <si>
    <t>工资/小时</t>
  </si>
  <si>
    <t>工资/件</t>
  </si>
  <si>
    <t>外购件</t>
  </si>
  <si>
    <t>包装/件</t>
  </si>
  <si>
    <t>运费/件</t>
  </si>
  <si>
    <t>丝印</t>
  </si>
  <si>
    <t>财务给出内部结算指导价（未税）</t>
  </si>
  <si>
    <t>25年最新报价</t>
  </si>
  <si>
    <t>差异</t>
  </si>
  <si>
    <t>运费</t>
  </si>
  <si>
    <t>直接人工</t>
  </si>
  <si>
    <t>电费</t>
  </si>
  <si>
    <t>包装</t>
  </si>
  <si>
    <t>材料附加值</t>
  </si>
  <si>
    <t>24年发生数量</t>
  </si>
  <si>
    <t>公式模拟(考虑合格率）</t>
  </si>
  <si>
    <t>现执行价格小计</t>
  </si>
  <si>
    <t>瑞龙祥价格下降10%</t>
  </si>
  <si>
    <t>模拟价格与现价格差异</t>
  </si>
  <si>
    <t>模拟价格与瑞下降10%</t>
  </si>
  <si>
    <t>净重</t>
  </si>
  <si>
    <t>毛重</t>
  </si>
  <si>
    <t>单价</t>
  </si>
  <si>
    <t>金额</t>
  </si>
  <si>
    <t>BPC0010061</t>
  </si>
  <si>
    <t>阀体外壳</t>
  </si>
  <si>
    <t>POM</t>
  </si>
  <si>
    <t>HTF120/TJ</t>
  </si>
  <si>
    <t>BPC0010062</t>
  </si>
  <si>
    <t>密封件支撑环</t>
  </si>
  <si>
    <t>HTF86/TJ</t>
  </si>
  <si>
    <t>BPC0010063</t>
  </si>
  <si>
    <t>阀杆</t>
  </si>
  <si>
    <t>BPC0010064</t>
  </si>
  <si>
    <t>压盖</t>
  </si>
  <si>
    <t>BPC0010066</t>
  </si>
  <si>
    <t>滑动件</t>
  </si>
  <si>
    <t>SA600/150</t>
  </si>
  <si>
    <t>BPC0010067</t>
  </si>
  <si>
    <t>旋转盘</t>
  </si>
  <si>
    <t>SHT0011969</t>
  </si>
  <si>
    <t>速降开关按钮</t>
  </si>
  <si>
    <t>ABS+PC</t>
  </si>
  <si>
    <t>SHT0011970</t>
  </si>
  <si>
    <t>速降开关底座</t>
  </si>
  <si>
    <t>BPC0010070</t>
  </si>
  <si>
    <t>后盖</t>
  </si>
  <si>
    <t>PA66</t>
  </si>
  <si>
    <t>MA1600IIS/570</t>
  </si>
  <si>
    <t>BPC0010068</t>
  </si>
  <si>
    <t>连接件</t>
  </si>
  <si>
    <t>BPC0010012</t>
  </si>
  <si>
    <t>4mm卡箍(PC)</t>
  </si>
  <si>
    <t>PC
(Sabic LS2-111H)</t>
  </si>
  <si>
    <t>BPC0010100</t>
  </si>
  <si>
    <t>6mm卡箍(PC)</t>
  </si>
  <si>
    <t>BPC0010011</t>
  </si>
  <si>
    <t>三通接头4-4-4</t>
  </si>
  <si>
    <t>BPC0010098</t>
  </si>
  <si>
    <t>4-6变径接头</t>
  </si>
  <si>
    <t>BPC0010099</t>
  </si>
  <si>
    <t>4-4直通接头</t>
  </si>
  <si>
    <t>BPC0010059</t>
  </si>
  <si>
    <t>升降气阀手柄（黑色）</t>
  </si>
  <si>
    <t>MA2000/7700</t>
  </si>
  <si>
    <t>SHT0012139</t>
  </si>
  <si>
    <t>升降气阀手柄（灰色）</t>
  </si>
  <si>
    <t>BPC0010058</t>
  </si>
  <si>
    <t>升降气阀安装座</t>
  </si>
  <si>
    <t>PA6+GF30</t>
  </si>
  <si>
    <t>MA3200/1700</t>
  </si>
  <si>
    <t>BPC0010078</t>
  </si>
  <si>
    <t>阀体外壳（二孔）</t>
  </si>
  <si>
    <t>BPC0010084</t>
  </si>
  <si>
    <t>行程补偿气缸缸体</t>
  </si>
  <si>
    <t>BPC0010024</t>
  </si>
  <si>
    <t>气管固定板</t>
  </si>
  <si>
    <t>BPC0010088</t>
  </si>
  <si>
    <t>导向杆</t>
  </si>
  <si>
    <t>BPC0010079</t>
  </si>
  <si>
    <t>气囊密封支撑圈</t>
  </si>
  <si>
    <t>BPC0010080</t>
  </si>
  <si>
    <t>气源密封支撑圈</t>
  </si>
  <si>
    <t>BPC0010081</t>
  </si>
  <si>
    <t>阻尼密封支撑圈</t>
  </si>
  <si>
    <t>BPC0010035</t>
  </si>
  <si>
    <t>气缸支架</t>
  </si>
  <si>
    <t>BPC0010041</t>
  </si>
  <si>
    <t>挡片</t>
  </si>
  <si>
    <t>BPC0010036</t>
  </si>
  <si>
    <t>气缸缸体</t>
  </si>
  <si>
    <t>BPC0010037</t>
  </si>
  <si>
    <t>气缸端盖</t>
  </si>
  <si>
    <t>BPC0010038</t>
  </si>
  <si>
    <t>传动齿条</t>
  </si>
  <si>
    <t>BPC0010039</t>
  </si>
  <si>
    <t>气缸杆</t>
  </si>
  <si>
    <t>BPC0010040</t>
  </si>
  <si>
    <t>扇形齿轮</t>
  </si>
  <si>
    <t>BPC0010087</t>
  </si>
  <si>
    <t>气缸活塞</t>
  </si>
  <si>
    <t>SHT0010683</t>
  </si>
  <si>
    <t>腰托调节开关面板</t>
  </si>
  <si>
    <t>MA2000/700</t>
  </si>
  <si>
    <t>SHT0010684</t>
  </si>
  <si>
    <t>腰托调节开关前按钮1</t>
  </si>
  <si>
    <t>SHT0010685</t>
  </si>
  <si>
    <t>腰托调节开关中间按钮2</t>
  </si>
  <si>
    <t>SHT0010686</t>
  </si>
  <si>
    <t>腰托调节开关后按钮3</t>
  </si>
  <si>
    <t>SHT0011464</t>
  </si>
  <si>
    <t>腰托开关按钮堵盖</t>
  </si>
  <si>
    <t>BPC0010065</t>
  </si>
  <si>
    <t>按钮外壳</t>
  </si>
  <si>
    <t>SHT0011210</t>
  </si>
  <si>
    <t>气囊上盖</t>
  </si>
  <si>
    <t>SHT0011211</t>
  </si>
  <si>
    <t>气囊下盖</t>
  </si>
  <si>
    <t>SHT0011510</t>
  </si>
  <si>
    <t>副驾驶座椅高度调节手柄</t>
  </si>
  <si>
    <t>SHT0010349</t>
  </si>
  <si>
    <t>主驾驶座椅高度调节手柄</t>
  </si>
  <si>
    <t>SHT0010362</t>
  </si>
  <si>
    <t>升降可回位机构底座</t>
  </si>
  <si>
    <t>SHT0010363</t>
  </si>
  <si>
    <t>可回位机构卡轮</t>
  </si>
  <si>
    <t>PPS</t>
  </si>
  <si>
    <t>SHT0010665</t>
  </si>
  <si>
    <t>阻尼调节手柄</t>
  </si>
  <si>
    <t>SHT0010663</t>
  </si>
  <si>
    <t>阻尼调节底座</t>
  </si>
  <si>
    <t>SHT0011473</t>
  </si>
  <si>
    <t>水平减震调节底座</t>
  </si>
  <si>
    <t>SHT0010664</t>
  </si>
  <si>
    <t>阻尼调节旋转块</t>
  </si>
  <si>
    <t>SHT0012891</t>
  </si>
  <si>
    <t>升降调节手柄</t>
  </si>
  <si>
    <t>SHT0012897</t>
  </si>
  <si>
    <t>右升降调节手柄</t>
  </si>
  <si>
    <t>SHT0012892</t>
  </si>
  <si>
    <t>升降调节手柄底座</t>
  </si>
  <si>
    <t>SHT0012898</t>
  </si>
  <si>
    <t>右升降调节手柄底座</t>
  </si>
  <si>
    <t>SHT0012893</t>
  </si>
  <si>
    <t>左可回位机构卡轮</t>
  </si>
  <si>
    <t>SHT0012899</t>
  </si>
  <si>
    <t>右可回位机构卡轮</t>
  </si>
  <si>
    <t>SHT0012900</t>
  </si>
  <si>
    <t>SA3200/1700</t>
  </si>
  <si>
    <t>SHT0013187</t>
  </si>
  <si>
    <t>阻尼器调节手柄</t>
  </si>
  <si>
    <t>SHT0012901</t>
  </si>
  <si>
    <t>SHT0013001</t>
  </si>
  <si>
    <t>可回位机构弹簧座</t>
  </si>
  <si>
    <t>SHT0013002</t>
  </si>
  <si>
    <t>外部棘爪滚轮</t>
  </si>
  <si>
    <t>SHT0013003</t>
  </si>
  <si>
    <t>外部棘爪底座</t>
  </si>
  <si>
    <t>SHT0013004</t>
  </si>
  <si>
    <t>外部棘爪盖板</t>
  </si>
  <si>
    <t>SHT0011965</t>
  </si>
  <si>
    <t>升降气阀手柄</t>
  </si>
  <si>
    <t>SHT0011966</t>
  </si>
  <si>
    <t>阻尼调调节手柄</t>
  </si>
  <si>
    <t>SHT0012189</t>
  </si>
  <si>
    <t>阻尼调节底座（左舵）</t>
  </si>
  <si>
    <t>SHT0012190</t>
  </si>
  <si>
    <t>SHT0013746</t>
  </si>
  <si>
    <t>X5000阻尼调节手柄</t>
  </si>
  <si>
    <t>SHT0013747</t>
  </si>
  <si>
    <t>SHT0012026</t>
  </si>
  <si>
    <t>升级气阀固定板</t>
  </si>
  <si>
    <t>SHT0012027</t>
  </si>
  <si>
    <t>调节摆轮</t>
  </si>
  <si>
    <t>BPC0010139</t>
  </si>
  <si>
    <t>阀体旋拧端盖</t>
  </si>
  <si>
    <t>BPC0010140</t>
  </si>
  <si>
    <t>气缸旋拧端盖</t>
  </si>
  <si>
    <t>BPC0010141</t>
  </si>
  <si>
    <t>堵盖</t>
  </si>
  <si>
    <t>BEC0010029</t>
  </si>
  <si>
    <t>ECU上盖</t>
  </si>
  <si>
    <t>BEC0010030</t>
  </si>
  <si>
    <t>ECU下盖</t>
  </si>
  <si>
    <t>BEC0010121</t>
  </si>
  <si>
    <t>ECU下盖(无爪)</t>
  </si>
  <si>
    <t>SLT0010278</t>
  </si>
  <si>
    <t>轻卡气囊上盖</t>
  </si>
  <si>
    <t>SLT0010279</t>
  </si>
  <si>
    <t>轻卡气囊下座</t>
  </si>
  <si>
    <t>SHT0013068</t>
  </si>
  <si>
    <t>SA4700/2950</t>
  </si>
  <si>
    <t>SHT0002189</t>
  </si>
  <si>
    <t>H4气囊上盖</t>
  </si>
  <si>
    <t>SHT0002196</t>
  </si>
  <si>
    <t>座椅气囊上盖</t>
  </si>
  <si>
    <t>PL2500/900</t>
  </si>
  <si>
    <t>SHT0002197</t>
  </si>
  <si>
    <t>座椅气囊下盖</t>
  </si>
  <si>
    <t>SHT0002201</t>
  </si>
  <si>
    <t>气阀主体</t>
  </si>
  <si>
    <t>SHT0002202</t>
  </si>
  <si>
    <t>通气嘴</t>
  </si>
  <si>
    <t>SHT0002203</t>
  </si>
  <si>
    <t>气阀堵盖</t>
  </si>
  <si>
    <t>SHT0002204</t>
  </si>
  <si>
    <t>气阀阀芯</t>
  </si>
  <si>
    <t>SHT0002205</t>
  </si>
  <si>
    <t>锁片</t>
  </si>
  <si>
    <t>SHT0002213</t>
  </si>
  <si>
    <t>大剪刀底板</t>
  </si>
  <si>
    <t>SHT0002214</t>
  </si>
  <si>
    <t xml:space="preserve">大剪刀气缸固定板 </t>
  </si>
  <si>
    <t>SHT0002218</t>
  </si>
  <si>
    <t>气缸</t>
  </si>
  <si>
    <t>SHT0002216</t>
  </si>
  <si>
    <t>大剪刀摆轮</t>
  </si>
  <si>
    <t>SHT0002222</t>
  </si>
  <si>
    <t>气阀固定板（小）</t>
  </si>
  <si>
    <t>SHT0002215</t>
  </si>
  <si>
    <t>摆动杆</t>
  </si>
  <si>
    <t>SHT0011868</t>
  </si>
  <si>
    <t>气缸固定板</t>
  </si>
  <si>
    <t>SHT0002217</t>
  </si>
  <si>
    <t>蝴蝶压轮</t>
  </si>
  <si>
    <t>SHT0011866</t>
  </si>
  <si>
    <t>悬浮活塞</t>
  </si>
  <si>
    <t>SHT0002223</t>
  </si>
  <si>
    <t>小剪刀摆轮</t>
  </si>
  <si>
    <t>SHT0002219</t>
  </si>
  <si>
    <t>摆轮滚轮</t>
  </si>
  <si>
    <t>BPC0000022</t>
  </si>
  <si>
    <t>速升速降气阀配套塑料件</t>
  </si>
  <si>
    <t>SHT0002195</t>
  </si>
  <si>
    <t>M4气阀手柄</t>
  </si>
  <si>
    <t>PP-T15</t>
  </si>
  <si>
    <t>SHT0002193</t>
  </si>
  <si>
    <t>H3A气阀手柄</t>
  </si>
  <si>
    <t>SHT0000141</t>
  </si>
  <si>
    <t>H3A仰角气阀手柄</t>
  </si>
  <si>
    <t>TP-30</t>
  </si>
  <si>
    <t>SHT0000097</t>
  </si>
  <si>
    <t>M4仰角手柄</t>
  </si>
  <si>
    <t>SHT0010679</t>
  </si>
  <si>
    <t>H3A两孔升降气阀底座 新/H3两孔气阀固定座 新状态</t>
  </si>
  <si>
    <t>SHT0010537</t>
  </si>
  <si>
    <t>H4A平台四孔升降阀底座 新/H4四孔气阀固定座</t>
  </si>
  <si>
    <t>SHT0010942</t>
  </si>
  <si>
    <t>升降调节开关总成手柄(黑色H4)</t>
  </si>
  <si>
    <t>SHT0001740</t>
  </si>
  <si>
    <t>X3000升级气动升降手柄(灰)</t>
  </si>
  <si>
    <t>SHT0001741</t>
  </si>
  <si>
    <t>阻尼器调节机构固定座/底座</t>
  </si>
  <si>
    <t xml:space="preserve"> MA1200/370G</t>
  </si>
  <si>
    <t>SHT0001742</t>
  </si>
  <si>
    <t>阻尼器调节机构连接座/旋转块</t>
  </si>
  <si>
    <t>SHT0001743</t>
  </si>
  <si>
    <t>X3000阻尼器调节手柄（灰）</t>
  </si>
  <si>
    <t>SHT0011047</t>
  </si>
  <si>
    <t>阻尼器调节机构手柄(黑色H4)</t>
  </si>
  <si>
    <t>SHT0002234</t>
  </si>
  <si>
    <t>H4A平台升降阀手柄</t>
  </si>
  <si>
    <t>ABS757K</t>
  </si>
  <si>
    <t>SHT0002235</t>
  </si>
  <si>
    <t>H4A平台升降阀固定座</t>
  </si>
  <si>
    <t>SHT0002243</t>
  </si>
  <si>
    <t>手柄支撑垫圈</t>
  </si>
  <si>
    <t>SHT0002231</t>
  </si>
  <si>
    <t>SHT0002230</t>
  </si>
  <si>
    <t>垫圈（滚轮）
外部棘爪滚轮</t>
  </si>
  <si>
    <t>SHT0002233</t>
  </si>
  <si>
    <t>SHT0002228</t>
  </si>
  <si>
    <t>（自动回位机构拉线护盖）护盖/拉线限位盖板</t>
  </si>
  <si>
    <t>SHT0002224</t>
  </si>
  <si>
    <t>可回位机构手柄</t>
  </si>
  <si>
    <t>SHT0002225</t>
  </si>
  <si>
    <t>可回位机构手柄固定座</t>
  </si>
  <si>
    <t>SHT0002229</t>
  </si>
  <si>
    <t>卡接棘爪-卡件
（升降可回位机构卡件）</t>
  </si>
  <si>
    <t>SHT0002226</t>
  </si>
  <si>
    <t>弹簧固定座（工艺BOM）
可回位机构弹簧座</t>
  </si>
  <si>
    <t>SHT0010660</t>
  </si>
  <si>
    <t xml:space="preserve">驾驶员座椅高度调节手柄
</t>
  </si>
  <si>
    <t>BPC0010203</t>
  </si>
  <si>
    <t>4mm直角接头</t>
  </si>
  <si>
    <t>BPC0010216</t>
  </si>
  <si>
    <t>翘板速降阀外壳</t>
  </si>
  <si>
    <t>BPC0010218</t>
  </si>
  <si>
    <t>翘板速降阀固定座</t>
  </si>
  <si>
    <t>SHT0014411</t>
  </si>
  <si>
    <t>上气袋腰托按钮帽</t>
  </si>
  <si>
    <t>SHT0014412</t>
  </si>
  <si>
    <t>下气袋腰托按钮帽</t>
  </si>
  <si>
    <t>SHT0014413</t>
  </si>
  <si>
    <t>侧翼气袋腰托按钮帽</t>
  </si>
  <si>
    <t>SLT0010566</t>
  </si>
  <si>
    <t>安装底座</t>
  </si>
  <si>
    <t>PC</t>
  </si>
  <si>
    <t>SLT0010604</t>
  </si>
  <si>
    <t>装饰盖</t>
  </si>
  <si>
    <t>SLT0011543</t>
  </si>
  <si>
    <t>按压帽E</t>
  </si>
  <si>
    <t>SLT0011544</t>
  </si>
  <si>
    <t>按压帽F</t>
  </si>
  <si>
    <t>SLT0011545</t>
  </si>
  <si>
    <t>按压帽H</t>
  </si>
  <si>
    <t>BPC0010204</t>
  </si>
  <si>
    <t>6mm直角接头</t>
  </si>
  <si>
    <t>SLT0010567</t>
  </si>
  <si>
    <t>按压帽A</t>
  </si>
  <si>
    <t>SLT0011540</t>
  </si>
  <si>
    <t>按压帽B</t>
  </si>
  <si>
    <t>SLT0011541</t>
  </si>
  <si>
    <t>按压帽C</t>
  </si>
  <si>
    <t>SLT0011542</t>
  </si>
  <si>
    <t>按压帽D</t>
  </si>
  <si>
    <t>SHT0016360</t>
  </si>
  <si>
    <r>
      <rPr>
        <sz val="11"/>
        <rFont val="等线"/>
        <charset val="134"/>
      </rPr>
      <t>按压帽</t>
    </r>
    <r>
      <rPr>
        <sz val="8"/>
        <rFont val="Microsoft Sans Serif"/>
        <family val="2"/>
      </rPr>
      <t xml:space="preserve">K / </t>
    </r>
    <r>
      <rPr>
        <sz val="8"/>
        <rFont val="宋体"/>
        <charset val="134"/>
      </rPr>
      <t>黑色丝印白色</t>
    </r>
  </si>
  <si>
    <t>SHT0016361</t>
  </si>
  <si>
    <r>
      <rPr>
        <sz val="11"/>
        <rFont val="等线"/>
        <charset val="134"/>
      </rPr>
      <t>按压帽</t>
    </r>
    <r>
      <rPr>
        <sz val="8"/>
        <rFont val="Microsoft Sans Serif"/>
        <family val="2"/>
      </rPr>
      <t xml:space="preserve">L / </t>
    </r>
    <r>
      <rPr>
        <sz val="8"/>
        <rFont val="宋体"/>
        <charset val="134"/>
      </rPr>
      <t>黑色丝印白色</t>
    </r>
  </si>
  <si>
    <t>SHT0016263</t>
  </si>
  <si>
    <t>3.1c调高手柄 /</t>
  </si>
  <si>
    <t>MA1600</t>
  </si>
  <si>
    <t>SLT0012024</t>
  </si>
  <si>
    <t>欧马可腰托开关面板 / PC+ABS(345K)</t>
  </si>
  <si>
    <t>PC+ASA</t>
  </si>
  <si>
    <t>BPC0010321</t>
  </si>
  <si>
    <t>导向杆新</t>
  </si>
  <si>
    <t>SHT0016984</t>
  </si>
  <si>
    <t>3.1c调高手柄灰白色 /</t>
  </si>
  <si>
    <t>PA6-RN130本色</t>
  </si>
  <si>
    <t>SHT0015247</t>
  </si>
  <si>
    <t>G3阻尼调节手柄</t>
  </si>
  <si>
    <t>PA6-GF30（深冷灰色）</t>
  </si>
  <si>
    <t>SHT0016036</t>
  </si>
  <si>
    <t>G3主驾驶座椅高度调节手柄</t>
  </si>
  <si>
    <t>SHT0016037</t>
  </si>
  <si>
    <t>G3副驾驶座椅高度调节手柄</t>
  </si>
  <si>
    <t>SHT0016041</t>
  </si>
  <si>
    <t>G3腰托开关按钮堵盖</t>
  </si>
  <si>
    <t>PC+ABS（深冷灰色）</t>
  </si>
  <si>
    <t>BPC0010169</t>
  </si>
  <si>
    <t>阀体外壳（四孔）</t>
  </si>
  <si>
    <t>POM-M90-44</t>
  </si>
  <si>
    <t>SHT0016042</t>
  </si>
  <si>
    <t>SHT0016038</t>
  </si>
  <si>
    <t>腰托调节开关前按钮</t>
  </si>
  <si>
    <t>SHT0016039</t>
  </si>
  <si>
    <t>腰托调节开关中间按钮</t>
  </si>
  <si>
    <t>SHT0016040</t>
  </si>
  <si>
    <t>腰托调节开关后按钮</t>
  </si>
  <si>
    <t>MA1600IIS/571</t>
  </si>
  <si>
    <t>BPC0010320</t>
  </si>
  <si>
    <t>行程补偿气缸缸体堵孔</t>
  </si>
  <si>
    <t>SHT0015245</t>
  </si>
  <si>
    <t>旋转调节底座</t>
  </si>
  <si>
    <t>SHT0015246</t>
  </si>
  <si>
    <t>旋转调节旋转块</t>
  </si>
  <si>
    <t>SHT0016095</t>
  </si>
  <si>
    <t>转盘调节手柄</t>
  </si>
  <si>
    <t>SHT0016964</t>
  </si>
  <si>
    <t>副驾驶高度调节手柄</t>
  </si>
  <si>
    <t>BPC0010322</t>
  </si>
  <si>
    <t>轻卡悬浮阀体</t>
  </si>
  <si>
    <t>POM-90-44</t>
  </si>
  <si>
    <t>BPC0010325</t>
  </si>
  <si>
    <t>VCD阀导向杆</t>
  </si>
  <si>
    <t>MA2000/701</t>
  </si>
  <si>
    <t>BPC0010338</t>
  </si>
  <si>
    <t>侧翼调节按钮帽</t>
  </si>
  <si>
    <t>PC+ABS(345K)</t>
  </si>
  <si>
    <t>BPC0010339</t>
  </si>
  <si>
    <t>BPC0010318</t>
  </si>
  <si>
    <t>轻卡悬浮阀杆</t>
  </si>
  <si>
    <t xml:space="preserve"> 宝理SW-01</t>
  </si>
  <si>
    <t>BPC0010319</t>
  </si>
  <si>
    <t>轻卡气阀端盖</t>
  </si>
  <si>
    <t>HTF87/TJ</t>
  </si>
  <si>
    <t>备注：</t>
  </si>
  <si>
    <t>1、按照24年实际发生量统计，现执行价格比瑞龙祥价格下降10%的总额少91万；</t>
  </si>
  <si>
    <t>2、模拟价格形式为：料工费加附11调整到40%；另外外购件由3%调整为10%（管理费3%+税负3%+财务费用3.5%）</t>
  </si>
  <si>
    <t>3、按照模拟价格与现执行价格涨幅来看，相对合理；因为基础资料比较真实。模拟价格与瑞龙祥价格下降10%真实性较差。因为原瑞龙祥价格高低差异性太大。</t>
  </si>
  <si>
    <t>建议按照模拟价格进行内部结算定价。</t>
  </si>
  <si>
    <r>
      <rPr>
        <b/>
        <sz val="11"/>
        <rFont val="宋体"/>
        <charset val="134"/>
        <scheme val="minor"/>
      </rPr>
      <t>（料+工+费）*</t>
    </r>
    <r>
      <rPr>
        <b/>
        <sz val="11"/>
        <color rgb="FFFF0000"/>
        <rFont val="宋体"/>
        <charset val="134"/>
        <scheme val="minor"/>
      </rPr>
      <t>1.5</t>
    </r>
    <r>
      <rPr>
        <b/>
        <sz val="11"/>
        <rFont val="宋体"/>
        <charset val="134"/>
        <scheme val="minor"/>
      </rPr>
      <t>+外*1.1+包装+运费+丝印</t>
    </r>
  </si>
  <si>
    <t>公式模拟（不考虑合格率）</t>
  </si>
  <si>
    <t>内部交易价格</t>
  </si>
  <si>
    <t>固定费用及利润占比</t>
  </si>
  <si>
    <t>2024年开票数量</t>
  </si>
  <si>
    <t>成本变化</t>
  </si>
  <si>
    <t>北京预计</t>
  </si>
  <si>
    <t>管理费用</t>
  </si>
  <si>
    <t>财务费用</t>
  </si>
  <si>
    <t>制造费用</t>
  </si>
  <si>
    <t>园区分摊</t>
  </si>
  <si>
    <t>利润</t>
  </si>
  <si>
    <t>SHT0016263</t>
    <phoneticPr fontId="20" type="noConversion"/>
  </si>
  <si>
    <t>3.1c调高手柄 /</t>
    <phoneticPr fontId="20" type="noConversion"/>
  </si>
  <si>
    <t>SLT0012024</t>
    <phoneticPr fontId="20" type="noConversion"/>
  </si>
  <si>
    <t>欧马可腰托开关面板 / PC+ABS(345K)</t>
    <phoneticPr fontId="20" type="noConversion"/>
  </si>
  <si>
    <t>导向杆新</t>
    <phoneticPr fontId="20" type="noConversion"/>
  </si>
  <si>
    <t>3.1c调高手柄灰白色 /</t>
    <phoneticPr fontId="20" type="noConversion"/>
  </si>
  <si>
    <t>G3阻尼调节手柄</t>
    <phoneticPr fontId="20" type="noConversion"/>
  </si>
  <si>
    <t>PA6-GF30（深冷灰色）</t>
    <phoneticPr fontId="20" type="noConversion"/>
  </si>
  <si>
    <t>G3主驾驶座椅高度调节手柄</t>
    <phoneticPr fontId="20" type="noConversion"/>
  </si>
  <si>
    <t>G3副驾驶座椅高度调节手柄</t>
    <phoneticPr fontId="20" type="noConversion"/>
  </si>
  <si>
    <t>G3腰托开关按钮堵盖</t>
    <phoneticPr fontId="20" type="noConversion"/>
  </si>
  <si>
    <t>BPC0010169</t>
    <phoneticPr fontId="20" type="noConversion"/>
  </si>
  <si>
    <t>阀体外壳（四孔）</t>
    <phoneticPr fontId="20" type="noConversion"/>
  </si>
  <si>
    <t>腰托调节开关面板</t>
    <phoneticPr fontId="20" type="noConversion"/>
  </si>
  <si>
    <t>腰托调节开关前按钮</t>
    <phoneticPr fontId="20" type="noConversion"/>
  </si>
  <si>
    <t>腰托调节开关中间按钮</t>
    <phoneticPr fontId="20" type="noConversion"/>
  </si>
  <si>
    <t>腰托调节开关后按钮</t>
    <phoneticPr fontId="20" type="noConversion"/>
  </si>
  <si>
    <t>行程补偿气缸缸体堵孔</t>
    <phoneticPr fontId="20" type="noConversion"/>
  </si>
  <si>
    <t>旋转调节底座</t>
    <phoneticPr fontId="20" type="noConversion"/>
  </si>
  <si>
    <t>SHT0015246</t>
    <phoneticPr fontId="20" type="noConversion"/>
  </si>
  <si>
    <t>旋转调节旋转块</t>
    <phoneticPr fontId="20" type="noConversion"/>
  </si>
  <si>
    <t>转盘调节手柄</t>
    <phoneticPr fontId="20" type="noConversion"/>
  </si>
  <si>
    <t>副驾驶高度调节手柄</t>
    <phoneticPr fontId="20" type="noConversion"/>
  </si>
  <si>
    <t>BPC0010322</t>
    <phoneticPr fontId="20" type="noConversion"/>
  </si>
  <si>
    <t>轻卡悬浮阀体</t>
    <phoneticPr fontId="20" type="noConversion"/>
  </si>
  <si>
    <t>BPC0010325</t>
    <phoneticPr fontId="20" type="noConversion"/>
  </si>
  <si>
    <t>VCD阀导向杆</t>
    <phoneticPr fontId="20" type="noConversion"/>
  </si>
  <si>
    <t>侧翼调节按钮帽</t>
    <phoneticPr fontId="20" type="noConversion"/>
  </si>
  <si>
    <t>侧翼调节按钮帽</t>
    <phoneticPr fontId="20" type="noConversion"/>
  </si>
  <si>
    <t>轻卡悬浮阀杆</t>
    <phoneticPr fontId="20" type="noConversion"/>
  </si>
  <si>
    <t>轻卡气阀端盖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</si>
</sst>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 * #,##0.00_ ;_ * \-#,##0.00_ ;_ * &quot;-&quot;??_ ;_ @_ "/>
    <numFmt numFmtId="178" formatCode="#,##0.00_ "/>
    <numFmt numFmtId="179" formatCode="0.00_);[Red]\(0.00\)"/>
    <numFmt numFmtId="180" formatCode="0.00_ "/>
    <numFmt numFmtId="181" formatCode="0.0000_);[Red]\(0.0000\)"/>
    <numFmt numFmtId="182" formatCode="0.0%"/>
    <numFmt numFmtId="183" formatCode="_ * #,##0.00_ ;_ * \-#,##0.00_ ;_ * &quot;-&quot;??.0_ ;_ @_ "/>
    <numFmt numFmtId="184" formatCode="_ * #,##0.0_ ;_ * \-#,##0.0_ ;_ * &quot;-&quot;??_ ;_ @_ "/>
    <numFmt numFmtId="185" formatCode="0_ "/>
    <numFmt numFmtId="186" formatCode="0.000_);[Red]\(0.000\)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宋体"/>
      <charset val="134"/>
    </font>
    <font>
      <b/>
      <sz val="14"/>
      <name val="宋体"/>
      <charset val="134"/>
      <scheme val="minor"/>
    </font>
    <font>
      <sz val="11"/>
      <name val="等线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indexed="8"/>
      <name val="微软雅黑"/>
      <charset val="134"/>
    </font>
    <font>
      <sz val="9"/>
      <name val="微软雅黑"/>
      <charset val="134"/>
    </font>
    <font>
      <b/>
      <sz val="9"/>
      <name val="宋体"/>
      <charset val="134"/>
      <scheme val="minor"/>
    </font>
    <font>
      <b/>
      <sz val="8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8"/>
      <name val="Microsoft Sans Serif"/>
      <family val="2"/>
    </font>
    <font>
      <sz val="8"/>
      <name val="宋体"/>
      <charset val="134"/>
    </font>
    <font>
      <b/>
      <sz val="11"/>
      <color rgb="FFFF0000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9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sz val="11"/>
      <color theme="1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4" fillId="0" borderId="0"/>
    <xf numFmtId="0" fontId="13" fillId="0" borderId="0">
      <alignment vertical="center"/>
    </xf>
  </cellStyleXfs>
  <cellXfs count="2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43" fontId="0" fillId="0" borderId="0" xfId="0" applyNumberFormat="1" applyFill="1">
      <alignment vertical="center"/>
    </xf>
    <xf numFmtId="43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178" fontId="1" fillId="0" borderId="0" xfId="0" applyNumberFormat="1" applyFont="1" applyFill="1">
      <alignment vertical="center"/>
    </xf>
    <xf numFmtId="179" fontId="1" fillId="0" borderId="0" xfId="0" applyNumberFormat="1" applyFon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left" vertical="center" wrapText="1"/>
    </xf>
    <xf numFmtId="0" fontId="1" fillId="0" borderId="1" xfId="0" applyFont="1" applyFill="1" applyBorder="1">
      <alignment vertical="center"/>
    </xf>
    <xf numFmtId="179" fontId="1" fillId="0" borderId="1" xfId="0" applyNumberFormat="1" applyFont="1" applyFill="1" applyBorder="1">
      <alignment vertical="center"/>
    </xf>
    <xf numFmtId="179" fontId="1" fillId="0" borderId="1" xfId="2" applyNumberFormat="1" applyFont="1" applyFill="1" applyBorder="1">
      <alignment vertical="center"/>
    </xf>
    <xf numFmtId="0" fontId="4" fillId="0" borderId="1" xfId="3" applyFont="1" applyFill="1" applyBorder="1" applyAlignment="1">
      <alignment horizontal="left" vertical="center"/>
    </xf>
    <xf numFmtId="43" fontId="1" fillId="0" borderId="0" xfId="0" applyNumberFormat="1" applyFont="1" applyFill="1">
      <alignment vertical="center"/>
    </xf>
    <xf numFmtId="43" fontId="3" fillId="0" borderId="0" xfId="0" applyNumberFormat="1" applyFont="1" applyFill="1" applyAlignment="1">
      <alignment horizontal="center" vertical="center"/>
    </xf>
    <xf numFmtId="43" fontId="2" fillId="0" borderId="1" xfId="1" applyNumberFormat="1" applyFont="1" applyFill="1" applyBorder="1" applyAlignment="1">
      <alignment horizontal="center" vertical="center" wrapText="1"/>
    </xf>
    <xf numFmtId="43" fontId="2" fillId="0" borderId="1" xfId="1" applyNumberFormat="1" applyFont="1" applyFill="1" applyBorder="1" applyAlignment="1">
      <alignment vertical="center" wrapText="1"/>
    </xf>
    <xf numFmtId="178" fontId="1" fillId="0" borderId="1" xfId="0" applyNumberFormat="1" applyFont="1" applyFill="1" applyBorder="1">
      <alignment vertical="center"/>
    </xf>
    <xf numFmtId="43" fontId="1" fillId="2" borderId="1" xfId="0" applyNumberFormat="1" applyFont="1" applyFill="1" applyBorder="1">
      <alignment vertical="center"/>
    </xf>
    <xf numFmtId="43" fontId="1" fillId="0" borderId="1" xfId="0" applyNumberFormat="1" applyFont="1" applyFill="1" applyBorder="1">
      <alignment vertical="center"/>
    </xf>
    <xf numFmtId="179" fontId="1" fillId="3" borderId="1" xfId="0" applyNumberFormat="1" applyFont="1" applyFill="1" applyBorder="1">
      <alignment vertical="center"/>
    </xf>
    <xf numFmtId="0" fontId="1" fillId="3" borderId="1" xfId="0" applyFont="1" applyFill="1" applyBorder="1">
      <alignment vertical="center"/>
    </xf>
    <xf numFmtId="180" fontId="1" fillId="3" borderId="5" xfId="0" applyNumberFormat="1" applyFont="1" applyFill="1" applyBorder="1">
      <alignment vertical="center"/>
    </xf>
    <xf numFmtId="0" fontId="5" fillId="0" borderId="0" xfId="0" applyFont="1" applyFill="1">
      <alignment vertical="center"/>
    </xf>
    <xf numFmtId="181" fontId="1" fillId="0" borderId="0" xfId="0" applyNumberFormat="1" applyFont="1" applyFill="1">
      <alignment vertical="center"/>
    </xf>
    <xf numFmtId="182" fontId="1" fillId="0" borderId="0" xfId="2" applyNumberFormat="1" applyFont="1" applyFill="1">
      <alignment vertical="center"/>
    </xf>
    <xf numFmtId="183" fontId="1" fillId="3" borderId="0" xfId="0" applyNumberFormat="1" applyFont="1" applyFill="1">
      <alignment vertical="center"/>
    </xf>
    <xf numFmtId="184" fontId="1" fillId="3" borderId="0" xfId="0" applyNumberFormat="1" applyFont="1" applyFill="1">
      <alignment vertical="center"/>
    </xf>
    <xf numFmtId="184" fontId="1" fillId="0" borderId="0" xfId="0" applyNumberFormat="1" applyFont="1" applyFill="1">
      <alignment vertical="center"/>
    </xf>
    <xf numFmtId="10" fontId="1" fillId="0" borderId="0" xfId="2" applyNumberFormat="1" applyFont="1" applyFill="1">
      <alignment vertical="center"/>
    </xf>
    <xf numFmtId="181" fontId="2" fillId="0" borderId="1" xfId="0" applyNumberFormat="1" applyFont="1" applyFill="1" applyBorder="1" applyAlignment="1">
      <alignment horizontal="center" vertical="center"/>
    </xf>
    <xf numFmtId="0" fontId="4" fillId="0" borderId="1" xfId="3" applyNumberFormat="1" applyFont="1" applyFill="1" applyBorder="1" applyAlignment="1">
      <alignment horizontal="center" vertical="center" wrapText="1"/>
    </xf>
    <xf numFmtId="49" fontId="4" fillId="0" borderId="1" xfId="3" applyNumberFormat="1" applyFont="1" applyFill="1" applyBorder="1" applyAlignment="1">
      <alignment horizontal="left" vertical="center" wrapText="1"/>
    </xf>
    <xf numFmtId="181" fontId="1" fillId="0" borderId="1" xfId="0" applyNumberFormat="1" applyFont="1" applyFill="1" applyBorder="1">
      <alignment vertical="center"/>
    </xf>
    <xf numFmtId="182" fontId="1" fillId="0" borderId="1" xfId="2" applyNumberFormat="1" applyFont="1" applyFill="1" applyBorder="1">
      <alignment vertical="center"/>
    </xf>
    <xf numFmtId="0" fontId="4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4" applyNumberFormat="1" applyFont="1" applyFill="1" applyBorder="1" applyAlignment="1" applyProtection="1">
      <alignment horizontal="left" vertical="center" wrapText="1"/>
      <protection locked="0"/>
    </xf>
    <xf numFmtId="185" fontId="1" fillId="0" borderId="1" xfId="0" applyNumberFormat="1" applyFont="1" applyFill="1" applyBorder="1">
      <alignment vertical="center"/>
    </xf>
    <xf numFmtId="180" fontId="1" fillId="0" borderId="5" xfId="0" applyNumberFormat="1" applyFont="1" applyFill="1" applyBorder="1">
      <alignment vertical="center"/>
    </xf>
    <xf numFmtId="0" fontId="5" fillId="0" borderId="0" xfId="0" applyFont="1" applyFill="1" applyAlignment="1">
      <alignment horizontal="center" vertical="center"/>
    </xf>
    <xf numFmtId="9" fontId="1" fillId="0" borderId="10" xfId="2" applyFont="1" applyFill="1" applyBorder="1">
      <alignment vertical="center"/>
    </xf>
    <xf numFmtId="9" fontId="1" fillId="0" borderId="1" xfId="2" applyFont="1" applyFill="1" applyBorder="1">
      <alignment vertical="center"/>
    </xf>
    <xf numFmtId="9" fontId="1" fillId="0" borderId="5" xfId="2" applyFont="1" applyFill="1" applyBorder="1">
      <alignment vertical="center"/>
    </xf>
    <xf numFmtId="43" fontId="1" fillId="0" borderId="5" xfId="0" applyNumberFormat="1" applyFont="1" applyFill="1" applyBorder="1">
      <alignment vertical="center"/>
    </xf>
    <xf numFmtId="10" fontId="2" fillId="0" borderId="0" xfId="2" applyNumberFormat="1" applyFont="1" applyFill="1">
      <alignment vertical="center"/>
    </xf>
    <xf numFmtId="183" fontId="2" fillId="3" borderId="1" xfId="0" applyNumberFormat="1" applyFont="1" applyFill="1" applyBorder="1" applyAlignment="1">
      <alignment horizontal="center" vertical="center"/>
    </xf>
    <xf numFmtId="184" fontId="2" fillId="3" borderId="5" xfId="0" applyNumberFormat="1" applyFont="1" applyFill="1" applyBorder="1" applyAlignment="1">
      <alignment horizontal="center" vertical="center"/>
    </xf>
    <xf numFmtId="183" fontId="1" fillId="3" borderId="5" xfId="0" applyNumberFormat="1" applyFont="1" applyFill="1" applyBorder="1">
      <alignment vertical="center"/>
    </xf>
    <xf numFmtId="184" fontId="1" fillId="3" borderId="5" xfId="0" applyNumberFormat="1" applyFont="1" applyFill="1" applyBorder="1">
      <alignment vertical="center"/>
    </xf>
    <xf numFmtId="184" fontId="1" fillId="0" borderId="1" xfId="0" applyNumberFormat="1" applyFont="1" applyFill="1" applyBorder="1">
      <alignment vertical="center"/>
    </xf>
    <xf numFmtId="0" fontId="4" fillId="4" borderId="1" xfId="3" applyFont="1" applyFill="1" applyBorder="1" applyAlignment="1">
      <alignment horizontal="center" vertical="center"/>
    </xf>
    <xf numFmtId="0" fontId="4" fillId="4" borderId="1" xfId="3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1" fillId="4" borderId="1" xfId="0" applyFont="1" applyFill="1" applyBorder="1">
      <alignment vertical="center"/>
    </xf>
    <xf numFmtId="0" fontId="1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186" fontId="8" fillId="0" borderId="1" xfId="0" applyNumberFormat="1" applyFont="1" applyFill="1" applyBorder="1">
      <alignment vertical="center"/>
    </xf>
    <xf numFmtId="179" fontId="8" fillId="0" borderId="1" xfId="0" applyNumberFormat="1" applyFont="1" applyFill="1" applyBorder="1">
      <alignment vertical="center"/>
    </xf>
    <xf numFmtId="182" fontId="8" fillId="0" borderId="1" xfId="2" applyNumberFormat="1" applyFont="1" applyFill="1" applyBorder="1">
      <alignment vertical="center"/>
    </xf>
    <xf numFmtId="180" fontId="8" fillId="0" borderId="1" xfId="0" applyNumberFormat="1" applyFont="1" applyBorder="1" applyAlignment="1">
      <alignment horizontal="center" vertical="center"/>
    </xf>
    <xf numFmtId="186" fontId="8" fillId="0" borderId="1" xfId="0" applyNumberFormat="1" applyFont="1" applyBorder="1">
      <alignment vertical="center"/>
    </xf>
    <xf numFmtId="179" fontId="8" fillId="0" borderId="1" xfId="0" applyNumberFormat="1" applyFont="1" applyBorder="1">
      <alignment vertical="center"/>
    </xf>
    <xf numFmtId="182" fontId="8" fillId="0" borderId="1" xfId="2" applyNumberFormat="1" applyFont="1" applyBorder="1">
      <alignment vertical="center"/>
    </xf>
    <xf numFmtId="0" fontId="8" fillId="0" borderId="1" xfId="0" applyFont="1" applyFill="1" applyBorder="1" applyAlignment="1">
      <alignment horizontal="left" vertical="center"/>
    </xf>
    <xf numFmtId="49" fontId="9" fillId="0" borderId="1" xfId="5" applyNumberFormat="1" applyFont="1" applyFill="1" applyBorder="1" applyAlignment="1">
      <alignment horizontal="center" vertical="center" wrapText="1"/>
    </xf>
    <xf numFmtId="186" fontId="9" fillId="0" borderId="1" xfId="5" applyNumberFormat="1" applyFont="1" applyFill="1" applyBorder="1" applyAlignment="1">
      <alignment horizontal="center" vertical="center" wrapText="1"/>
    </xf>
    <xf numFmtId="182" fontId="10" fillId="0" borderId="1" xfId="2" applyNumberFormat="1" applyFont="1" applyFill="1" applyBorder="1" applyAlignment="1" applyProtection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>
      <alignment vertical="center"/>
    </xf>
    <xf numFmtId="179" fontId="10" fillId="0" borderId="1" xfId="0" applyNumberFormat="1" applyFont="1" applyBorder="1">
      <alignment vertical="center"/>
    </xf>
    <xf numFmtId="182" fontId="10" fillId="0" borderId="1" xfId="2" applyNumberFormat="1" applyFont="1" applyBorder="1">
      <alignment vertical="center"/>
    </xf>
    <xf numFmtId="179" fontId="8" fillId="0" borderId="11" xfId="0" applyNumberFormat="1" applyFont="1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186" fontId="8" fillId="0" borderId="2" xfId="0" applyNumberFormat="1" applyFont="1" applyBorder="1">
      <alignment vertical="center"/>
    </xf>
    <xf numFmtId="179" fontId="8" fillId="0" borderId="2" xfId="0" applyNumberFormat="1" applyFont="1" applyBorder="1">
      <alignment vertical="center"/>
    </xf>
    <xf numFmtId="182" fontId="8" fillId="0" borderId="2" xfId="2" applyNumberFormat="1" applyFont="1" applyBorder="1">
      <alignment vertical="center"/>
    </xf>
    <xf numFmtId="0" fontId="5" fillId="0" borderId="0" xfId="0" applyFont="1" applyFill="1" applyAlignment="1">
      <alignment horizontal="left" vertical="center"/>
    </xf>
    <xf numFmtId="181" fontId="5" fillId="0" borderId="0" xfId="0" applyNumberFormat="1" applyFont="1" applyFill="1">
      <alignment vertical="center"/>
    </xf>
    <xf numFmtId="179" fontId="5" fillId="0" borderId="0" xfId="0" applyNumberFormat="1" applyFont="1" applyFill="1">
      <alignment vertical="center"/>
    </xf>
    <xf numFmtId="182" fontId="5" fillId="0" borderId="0" xfId="2" applyNumberFormat="1" applyFont="1" applyFill="1">
      <alignment vertical="center"/>
    </xf>
    <xf numFmtId="0" fontId="8" fillId="0" borderId="1" xfId="0" applyFont="1" applyFill="1" applyBorder="1" applyAlignment="1">
      <alignment vertical="center" shrinkToFit="1"/>
    </xf>
    <xf numFmtId="0" fontId="8" fillId="0" borderId="1" xfId="0" applyFont="1" applyFill="1" applyBorder="1">
      <alignment vertical="center"/>
    </xf>
    <xf numFmtId="185" fontId="8" fillId="0" borderId="1" xfId="0" applyNumberFormat="1" applyFont="1" applyFill="1" applyBorder="1">
      <alignment vertical="center"/>
    </xf>
    <xf numFmtId="0" fontId="8" fillId="0" borderId="1" xfId="0" applyFont="1" applyBorder="1" applyAlignment="1">
      <alignment vertical="center" shrinkToFit="1"/>
    </xf>
    <xf numFmtId="185" fontId="8" fillId="0" borderId="1" xfId="0" applyNumberFormat="1" applyFont="1" applyBorder="1">
      <alignment vertical="center"/>
    </xf>
    <xf numFmtId="0" fontId="9" fillId="0" borderId="1" xfId="5" applyFont="1" applyFill="1" applyBorder="1" applyAlignment="1">
      <alignment horizontal="center" vertical="center" wrapText="1"/>
    </xf>
    <xf numFmtId="0" fontId="10" fillId="0" borderId="1" xfId="0" applyFont="1" applyBorder="1">
      <alignment vertical="center"/>
    </xf>
    <xf numFmtId="185" fontId="10" fillId="0" borderId="1" xfId="0" applyNumberFormat="1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179" fontId="8" fillId="0" borderId="1" xfId="0" applyNumberFormat="1" applyFont="1" applyBorder="1" applyAlignment="1">
      <alignment vertical="center" shrinkToFit="1"/>
    </xf>
    <xf numFmtId="0" fontId="8" fillId="0" borderId="2" xfId="0" applyFont="1" applyBorder="1" applyAlignment="1">
      <alignment vertical="center" shrinkToFit="1"/>
    </xf>
    <xf numFmtId="0" fontId="8" fillId="0" borderId="2" xfId="0" applyFont="1" applyBorder="1">
      <alignment vertical="center"/>
    </xf>
    <xf numFmtId="185" fontId="8" fillId="0" borderId="2" xfId="0" applyNumberFormat="1" applyFont="1" applyBorder="1">
      <alignment vertical="center"/>
    </xf>
    <xf numFmtId="178" fontId="5" fillId="0" borderId="0" xfId="0" applyNumberFormat="1" applyFont="1" applyFill="1">
      <alignment vertical="center"/>
    </xf>
    <xf numFmtId="179" fontId="8" fillId="0" borderId="1" xfId="1" applyNumberFormat="1" applyFont="1" applyFill="1" applyBorder="1" applyAlignment="1">
      <alignment vertical="center"/>
    </xf>
    <xf numFmtId="179" fontId="9" fillId="0" borderId="1" xfId="1" applyNumberFormat="1" applyFont="1" applyFill="1" applyBorder="1" applyAlignment="1">
      <alignment vertical="center" wrapText="1"/>
    </xf>
    <xf numFmtId="179" fontId="8" fillId="0" borderId="1" xfId="1" applyNumberFormat="1" applyFont="1" applyBorder="1" applyAlignment="1">
      <alignment vertical="center"/>
    </xf>
    <xf numFmtId="179" fontId="9" fillId="0" borderId="1" xfId="1" applyNumberFormat="1" applyFont="1" applyBorder="1" applyAlignment="1">
      <alignment vertical="center" wrapText="1"/>
    </xf>
    <xf numFmtId="179" fontId="9" fillId="0" borderId="1" xfId="5" applyNumberFormat="1" applyFont="1" applyFill="1" applyBorder="1" applyAlignment="1">
      <alignment vertical="center" wrapText="1"/>
    </xf>
    <xf numFmtId="178" fontId="10" fillId="0" borderId="1" xfId="0" applyNumberFormat="1" applyFont="1" applyBorder="1">
      <alignment vertical="center"/>
    </xf>
    <xf numFmtId="179" fontId="8" fillId="0" borderId="2" xfId="1" applyNumberFormat="1" applyFont="1" applyBorder="1" applyAlignment="1">
      <alignment vertical="center"/>
    </xf>
    <xf numFmtId="179" fontId="9" fillId="0" borderId="2" xfId="1" applyNumberFormat="1" applyFont="1" applyBorder="1" applyAlignment="1">
      <alignment vertical="center" wrapText="1"/>
    </xf>
    <xf numFmtId="0" fontId="1" fillId="0" borderId="2" xfId="0" applyFont="1" applyFill="1" applyBorder="1">
      <alignment vertical="center"/>
    </xf>
    <xf numFmtId="180" fontId="1" fillId="0" borderId="12" xfId="0" applyNumberFormat="1" applyFont="1" applyFill="1" applyBorder="1">
      <alignment vertical="center"/>
    </xf>
    <xf numFmtId="9" fontId="1" fillId="0" borderId="13" xfId="2" applyFont="1" applyFill="1" applyBorder="1">
      <alignment vertical="center"/>
    </xf>
    <xf numFmtId="9" fontId="1" fillId="0" borderId="2" xfId="2" applyFont="1" applyFill="1" applyBorder="1">
      <alignment vertical="center"/>
    </xf>
    <xf numFmtId="179" fontId="1" fillId="0" borderId="2" xfId="2" applyNumberFormat="1" applyFont="1" applyFill="1" applyBorder="1">
      <alignment vertical="center"/>
    </xf>
    <xf numFmtId="9" fontId="1" fillId="0" borderId="12" xfId="2" applyFont="1" applyFill="1" applyBorder="1">
      <alignment vertical="center"/>
    </xf>
    <xf numFmtId="43" fontId="1" fillId="0" borderId="12" xfId="0" applyNumberFormat="1" applyFont="1" applyFill="1" applyBorder="1">
      <alignment vertical="center"/>
    </xf>
    <xf numFmtId="10" fontId="1" fillId="0" borderId="1" xfId="0" applyNumberFormat="1" applyFont="1" applyFill="1" applyBorder="1">
      <alignment vertical="center"/>
    </xf>
    <xf numFmtId="9" fontId="1" fillId="0" borderId="1" xfId="0" applyNumberFormat="1" applyFont="1" applyFill="1" applyBorder="1">
      <alignment vertical="center"/>
    </xf>
    <xf numFmtId="9" fontId="1" fillId="0" borderId="1" xfId="2" applyNumberFormat="1" applyFont="1" applyFill="1" applyBorder="1">
      <alignment vertical="center"/>
    </xf>
    <xf numFmtId="43" fontId="5" fillId="0" borderId="0" xfId="0" applyNumberFormat="1" applyFont="1" applyFill="1">
      <alignment vertical="center"/>
    </xf>
    <xf numFmtId="184" fontId="1" fillId="0" borderId="2" xfId="0" applyNumberFormat="1" applyFont="1" applyFill="1" applyBorder="1">
      <alignment vertical="center"/>
    </xf>
    <xf numFmtId="184" fontId="1" fillId="3" borderId="1" xfId="0" applyNumberFormat="1" applyFont="1" applyFill="1" applyBorder="1">
      <alignment vertical="center"/>
    </xf>
    <xf numFmtId="10" fontId="1" fillId="3" borderId="0" xfId="2" applyNumberFormat="1" applyFont="1" applyFill="1">
      <alignment vertical="center"/>
    </xf>
    <xf numFmtId="183" fontId="5" fillId="3" borderId="0" xfId="0" applyNumberFormat="1" applyFont="1" applyFill="1">
      <alignment vertical="center"/>
    </xf>
    <xf numFmtId="184" fontId="5" fillId="3" borderId="0" xfId="0" applyNumberFormat="1" applyFont="1" applyFill="1">
      <alignment vertical="center"/>
    </xf>
    <xf numFmtId="184" fontId="5" fillId="0" borderId="0" xfId="0" applyNumberFormat="1" applyFont="1" applyFill="1">
      <alignment vertical="center"/>
    </xf>
    <xf numFmtId="10" fontId="5" fillId="0" borderId="0" xfId="0" applyNumberFormat="1" applyFont="1" applyFill="1">
      <alignment vertical="center"/>
    </xf>
    <xf numFmtId="0" fontId="1" fillId="3" borderId="0" xfId="0" applyFont="1" applyFill="1">
      <alignment vertical="center"/>
    </xf>
    <xf numFmtId="0" fontId="2" fillId="3" borderId="1" xfId="0" applyFont="1" applyFill="1" applyBorder="1" applyAlignment="1">
      <alignment horizontal="center" vertical="center"/>
    </xf>
    <xf numFmtId="179" fontId="1" fillId="3" borderId="2" xfId="0" applyNumberFormat="1" applyFont="1" applyFill="1" applyBorder="1">
      <alignment vertical="center"/>
    </xf>
    <xf numFmtId="184" fontId="1" fillId="3" borderId="12" xfId="0" applyNumberFormat="1" applyFont="1" applyFill="1" applyBorder="1">
      <alignment vertical="center"/>
    </xf>
    <xf numFmtId="0" fontId="5" fillId="3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182" fontId="3" fillId="0" borderId="0" xfId="2" applyNumberFormat="1" applyFont="1" applyFill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83" fontId="2" fillId="3" borderId="1" xfId="0" applyNumberFormat="1" applyFont="1" applyFill="1" applyBorder="1" applyAlignment="1">
      <alignment horizontal="center" vertical="center"/>
    </xf>
    <xf numFmtId="181" fontId="2" fillId="0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84" fontId="2" fillId="3" borderId="5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179" fontId="2" fillId="0" borderId="1" xfId="0" applyNumberFormat="1" applyFont="1" applyFill="1" applyBorder="1" applyAlignment="1">
      <alignment horizontal="center" vertical="center" wrapText="1"/>
    </xf>
    <xf numFmtId="182" fontId="2" fillId="0" borderId="1" xfId="2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185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9" fontId="2" fillId="0" borderId="1" xfId="1" applyNumberFormat="1" applyFont="1" applyFill="1" applyBorder="1" applyAlignment="1">
      <alignment horizontal="center" vertical="center"/>
    </xf>
    <xf numFmtId="178" fontId="2" fillId="0" borderId="1" xfId="1" applyNumberFormat="1" applyFont="1" applyFill="1" applyBorder="1" applyAlignment="1">
      <alignment horizontal="center" vertical="center" wrapText="1"/>
    </xf>
    <xf numFmtId="178" fontId="2" fillId="0" borderId="1" xfId="1" applyNumberFormat="1" applyFont="1" applyFill="1" applyBorder="1" applyAlignment="1">
      <alignment horizontal="center" vertical="center"/>
    </xf>
    <xf numFmtId="43" fontId="2" fillId="0" borderId="1" xfId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0" xfId="0" applyFont="1" applyFill="1" applyBorder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179" fontId="2" fillId="0" borderId="8" xfId="0" applyNumberFormat="1" applyFont="1" applyFill="1" applyBorder="1" applyAlignment="1">
      <alignment horizontal="center" vertical="center"/>
    </xf>
    <xf numFmtId="179" fontId="2" fillId="0" borderId="9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3" fontId="2" fillId="3" borderId="5" xfId="0" applyNumberFormat="1" applyFont="1" applyFill="1" applyBorder="1" applyAlignment="1">
      <alignment horizontal="center" vertical="center" wrapText="1"/>
    </xf>
    <xf numFmtId="184" fontId="2" fillId="0" borderId="1" xfId="0" applyNumberFormat="1" applyFont="1" applyFill="1" applyBorder="1" applyAlignment="1">
      <alignment horizontal="center" vertical="center" wrapText="1"/>
    </xf>
    <xf numFmtId="43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9" fontId="2" fillId="0" borderId="4" xfId="0" applyNumberFormat="1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183" fontId="2" fillId="3" borderId="1" xfId="0" applyNumberFormat="1" applyFont="1" applyFill="1" applyBorder="1" applyAlignment="1">
      <alignment horizontal="center" vertical="center" wrapText="1"/>
    </xf>
    <xf numFmtId="184" fontId="2" fillId="3" borderId="5" xfId="0" applyNumberFormat="1" applyFont="1" applyFill="1" applyBorder="1" applyAlignment="1">
      <alignment horizontal="center" vertical="center" wrapText="1"/>
    </xf>
    <xf numFmtId="43" fontId="3" fillId="0" borderId="0" xfId="0" applyNumberFormat="1" applyFont="1" applyFill="1" applyAlignment="1">
      <alignment horizontal="center" vertical="center"/>
    </xf>
    <xf numFmtId="43" fontId="2" fillId="0" borderId="1" xfId="1" applyNumberFormat="1" applyFont="1" applyFill="1" applyBorder="1" applyAlignment="1">
      <alignment horizontal="center" vertical="center" wrapText="1"/>
    </xf>
    <xf numFmtId="10" fontId="1" fillId="0" borderId="2" xfId="2" applyNumberFormat="1" applyFont="1" applyFill="1" applyBorder="1" applyAlignment="1">
      <alignment horizontal="center" vertical="center"/>
    </xf>
    <xf numFmtId="10" fontId="1" fillId="0" borderId="3" xfId="2" applyNumberFormat="1" applyFont="1" applyFill="1" applyBorder="1" applyAlignment="1">
      <alignment horizontal="center" vertical="center"/>
    </xf>
    <xf numFmtId="10" fontId="1" fillId="0" borderId="4" xfId="2" applyNumberFormat="1" applyFont="1" applyFill="1" applyBorder="1" applyAlignment="1">
      <alignment horizontal="center" vertical="center"/>
    </xf>
    <xf numFmtId="43" fontId="2" fillId="0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0" fontId="4" fillId="5" borderId="1" xfId="3" applyNumberFormat="1" applyFont="1" applyFill="1" applyBorder="1" applyAlignment="1">
      <alignment horizontal="center" vertical="center" wrapText="1"/>
    </xf>
    <xf numFmtId="49" fontId="4" fillId="5" borderId="1" xfId="3" applyNumberFormat="1" applyFont="1" applyFill="1" applyBorder="1" applyAlignment="1">
      <alignment horizontal="left" vertical="center" wrapText="1"/>
    </xf>
    <xf numFmtId="0" fontId="1" fillId="5" borderId="1" xfId="0" applyFont="1" applyFill="1" applyBorder="1">
      <alignment vertical="center"/>
    </xf>
    <xf numFmtId="0" fontId="4" fillId="5" borderId="1" xfId="4" applyNumberFormat="1" applyFont="1" applyFill="1" applyBorder="1" applyAlignment="1" applyProtection="1">
      <alignment horizontal="center" vertical="center" wrapText="1"/>
      <protection locked="0"/>
    </xf>
    <xf numFmtId="0" fontId="4" fillId="5" borderId="1" xfId="4" applyNumberFormat="1" applyFont="1" applyFill="1" applyBorder="1" applyAlignment="1" applyProtection="1">
      <alignment horizontal="left" vertical="center" wrapText="1"/>
      <protection locked="0"/>
    </xf>
    <xf numFmtId="0" fontId="4" fillId="5" borderId="1" xfId="3" applyFont="1" applyFill="1" applyBorder="1" applyAlignment="1">
      <alignment horizontal="center" vertical="center"/>
    </xf>
    <xf numFmtId="0" fontId="4" fillId="5" borderId="1" xfId="3" applyFont="1" applyFill="1" applyBorder="1" applyAlignment="1">
      <alignment horizontal="left" vertical="center"/>
    </xf>
    <xf numFmtId="0" fontId="4" fillId="5" borderId="1" xfId="3" applyFont="1" applyFill="1" applyBorder="1" applyAlignment="1">
      <alignment horizontal="left" vertical="center" wrapText="1"/>
    </xf>
    <xf numFmtId="0" fontId="6" fillId="5" borderId="1" xfId="0" applyNumberFormat="1" applyFont="1" applyFill="1" applyBorder="1" applyAlignment="1" applyProtection="1">
      <alignment horizontal="center" vertical="center"/>
    </xf>
    <xf numFmtId="0" fontId="6" fillId="5" borderId="1" xfId="0" applyNumberFormat="1" applyFont="1" applyFill="1" applyBorder="1" applyAlignment="1" applyProtection="1">
      <alignment horizontal="left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 vertical="center"/>
    </xf>
    <xf numFmtId="0" fontId="21" fillId="5" borderId="1" xfId="0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center" vertical="center"/>
    </xf>
    <xf numFmtId="180" fontId="8" fillId="5" borderId="1" xfId="0" applyNumberFormat="1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left" vertical="center"/>
    </xf>
    <xf numFmtId="49" fontId="9" fillId="5" borderId="1" xfId="5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horizontal="left" vertical="center"/>
    </xf>
    <xf numFmtId="0" fontId="22" fillId="5" borderId="1" xfId="0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left" vertical="center"/>
    </xf>
    <xf numFmtId="0" fontId="0" fillId="5" borderId="2" xfId="0" applyFont="1" applyFill="1" applyBorder="1" applyAlignment="1">
      <alignment horizontal="center" vertical="center"/>
    </xf>
    <xf numFmtId="0" fontId="24" fillId="5" borderId="2" xfId="0" applyFont="1" applyFill="1" applyBorder="1" applyAlignment="1">
      <alignment horizontal="left" vertical="center"/>
    </xf>
    <xf numFmtId="0" fontId="8" fillId="5" borderId="2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left" vertical="center"/>
    </xf>
    <xf numFmtId="0" fontId="1" fillId="5" borderId="0" xfId="0" applyFont="1" applyFill="1">
      <alignment vertical="center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left" vertical="center"/>
    </xf>
    <xf numFmtId="0" fontId="5" fillId="5" borderId="0" xfId="0" applyFont="1" applyFill="1">
      <alignment vertical="center"/>
    </xf>
  </cellXfs>
  <cellStyles count="6">
    <cellStyle name="百分比" xfId="2" builtinId="5"/>
    <cellStyle name="常规" xfId="0" builtinId="0"/>
    <cellStyle name="常规 2 27" xfId="3"/>
    <cellStyle name="常规 3 31" xfId="5"/>
    <cellStyle name="千位分隔" xfId="1" builtinId="3"/>
    <cellStyle name="样式 1" xfId="4"/>
  </cellStyles>
  <dxfs count="13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L177"/>
  <sheetViews>
    <sheetView workbookViewId="0">
      <pane xSplit="4" ySplit="4" topLeftCell="E92" activePane="bottomRight" state="frozen"/>
      <selection pane="topRight"/>
      <selection pane="bottomLeft"/>
      <selection pane="bottomRight" activeCell="C108" sqref="C108:K108"/>
    </sheetView>
  </sheetViews>
  <sheetFormatPr defaultColWidth="8.875" defaultRowHeight="13.5"/>
  <cols>
    <col min="1" max="1" width="5.25" style="1" customWidth="1"/>
    <col min="2" max="2" width="15.75" style="6" customWidth="1"/>
    <col min="3" max="3" width="16.5" style="7" customWidth="1"/>
    <col min="4" max="4" width="9.25" style="1" customWidth="1"/>
    <col min="5" max="5" width="9" style="28" customWidth="1"/>
    <col min="6" max="6" width="8.5" style="28" customWidth="1"/>
    <col min="7" max="7" width="8.75" style="9" customWidth="1"/>
    <col min="8" max="8" width="7.125" style="29" customWidth="1"/>
    <col min="9" max="9" width="8.125" style="8" customWidth="1"/>
    <col min="10" max="10" width="11.75" style="1" customWidth="1"/>
    <col min="11" max="11" width="9.125" style="9" customWidth="1"/>
    <col min="12" max="12" width="5.625" style="1" customWidth="1"/>
    <col min="13" max="13" width="5.5" style="1" customWidth="1"/>
    <col min="14" max="14" width="7.5" style="1" customWidth="1"/>
    <col min="15" max="15" width="8.625" style="1" customWidth="1"/>
    <col min="16" max="16" width="6.5" style="1" customWidth="1"/>
    <col min="17" max="17" width="7.625" style="1" customWidth="1"/>
    <col min="18" max="18" width="7.125" style="9" customWidth="1"/>
    <col min="19" max="20" width="8.125" style="8" customWidth="1"/>
    <col min="21" max="21" width="6.25" style="1" customWidth="1"/>
    <col min="22" max="23" width="8.875" style="1"/>
    <col min="24" max="24" width="7.375" style="1" customWidth="1"/>
    <col min="25" max="25" width="5.5" style="1" hidden="1" customWidth="1"/>
    <col min="26" max="26" width="6.5" style="1" hidden="1" customWidth="1"/>
    <col min="27" max="27" width="7.25" style="9" hidden="1" customWidth="1"/>
    <col min="28" max="28" width="5.25" style="1" hidden="1" customWidth="1"/>
    <col min="29" max="30" width="5.125" style="1" hidden="1" customWidth="1"/>
    <col min="31" max="31" width="8" style="1" hidden="1" customWidth="1"/>
    <col min="32" max="32" width="16.25" style="17" customWidth="1"/>
    <col min="33" max="33" width="20.875" style="135" customWidth="1"/>
    <col min="34" max="34" width="20.875" style="31" customWidth="1"/>
    <col min="35" max="35" width="17.5" style="32"/>
    <col min="36" max="36" width="15.5" style="32" customWidth="1"/>
    <col min="37" max="37" width="11.25" style="17" customWidth="1"/>
    <col min="38" max="38" width="10.5" style="1" customWidth="1"/>
    <col min="39" max="16384" width="8.875" style="1"/>
  </cols>
  <sheetData>
    <row r="2" spans="1:38" ht="20.25">
      <c r="A2" s="140" t="s">
        <v>0</v>
      </c>
      <c r="B2" s="140"/>
      <c r="C2" s="140"/>
      <c r="D2" s="140"/>
      <c r="E2" s="140"/>
      <c r="F2" s="140"/>
      <c r="G2" s="140"/>
      <c r="H2" s="141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2" t="s">
        <v>1</v>
      </c>
      <c r="Z2" s="143"/>
      <c r="AA2" s="143"/>
      <c r="AB2" s="143"/>
      <c r="AC2" s="143"/>
      <c r="AD2" s="143"/>
      <c r="AE2" s="143"/>
      <c r="AF2" s="18"/>
      <c r="AG2" s="144" t="s">
        <v>2</v>
      </c>
      <c r="AH2" s="144"/>
    </row>
    <row r="3" spans="1:38" s="2" customFormat="1">
      <c r="A3" s="148" t="s">
        <v>3</v>
      </c>
      <c r="B3" s="148" t="s">
        <v>4</v>
      </c>
      <c r="C3" s="149" t="s">
        <v>5</v>
      </c>
      <c r="D3" s="148" t="s">
        <v>6</v>
      </c>
      <c r="E3" s="145" t="s">
        <v>7</v>
      </c>
      <c r="F3" s="145"/>
      <c r="G3" s="150" t="s">
        <v>8</v>
      </c>
      <c r="H3" s="151" t="s">
        <v>9</v>
      </c>
      <c r="I3" s="152" t="s">
        <v>10</v>
      </c>
      <c r="J3" s="153" t="s">
        <v>11</v>
      </c>
      <c r="K3" s="150" t="s">
        <v>12</v>
      </c>
      <c r="L3" s="154" t="s">
        <v>13</v>
      </c>
      <c r="M3" s="155" t="s">
        <v>14</v>
      </c>
      <c r="N3" s="148" t="s">
        <v>15</v>
      </c>
      <c r="O3" s="155" t="s">
        <v>16</v>
      </c>
      <c r="P3" s="155" t="s">
        <v>17</v>
      </c>
      <c r="Q3" s="150" t="s">
        <v>18</v>
      </c>
      <c r="R3" s="156" t="s">
        <v>19</v>
      </c>
      <c r="S3" s="157" t="s">
        <v>20</v>
      </c>
      <c r="T3" s="157" t="s">
        <v>21</v>
      </c>
      <c r="U3" s="159" t="s">
        <v>22</v>
      </c>
      <c r="V3" s="160" t="s">
        <v>23</v>
      </c>
      <c r="W3" s="160" t="s">
        <v>24</v>
      </c>
      <c r="X3" s="161" t="s">
        <v>25</v>
      </c>
      <c r="Y3" s="162" t="s">
        <v>26</v>
      </c>
      <c r="Z3" s="164" t="s">
        <v>27</v>
      </c>
      <c r="AA3" s="173" t="s">
        <v>28</v>
      </c>
      <c r="AB3" s="173"/>
      <c r="AC3" s="165" t="s">
        <v>29</v>
      </c>
      <c r="AD3" s="165" t="s">
        <v>22</v>
      </c>
      <c r="AE3" s="167" t="s">
        <v>30</v>
      </c>
      <c r="AF3" s="169" t="s">
        <v>31</v>
      </c>
      <c r="AG3" s="146" t="s">
        <v>32</v>
      </c>
      <c r="AH3" s="147"/>
      <c r="AI3" s="170" t="s">
        <v>33</v>
      </c>
      <c r="AJ3" s="170" t="s">
        <v>34</v>
      </c>
      <c r="AK3" s="171" t="s">
        <v>35</v>
      </c>
      <c r="AL3" s="172" t="s">
        <v>36</v>
      </c>
    </row>
    <row r="4" spans="1:38" s="2" customFormat="1">
      <c r="A4" s="148"/>
      <c r="B4" s="148"/>
      <c r="C4" s="149"/>
      <c r="D4" s="148"/>
      <c r="E4" s="34" t="s">
        <v>37</v>
      </c>
      <c r="F4" s="34" t="s">
        <v>38</v>
      </c>
      <c r="G4" s="150"/>
      <c r="H4" s="151"/>
      <c r="I4" s="152"/>
      <c r="J4" s="153"/>
      <c r="K4" s="150"/>
      <c r="L4" s="154"/>
      <c r="M4" s="155"/>
      <c r="N4" s="148"/>
      <c r="O4" s="155"/>
      <c r="P4" s="155"/>
      <c r="Q4" s="150"/>
      <c r="R4" s="156"/>
      <c r="S4" s="158"/>
      <c r="T4" s="158"/>
      <c r="U4" s="159"/>
      <c r="V4" s="160"/>
      <c r="W4" s="160"/>
      <c r="X4" s="161"/>
      <c r="Y4" s="163"/>
      <c r="Z4" s="155"/>
      <c r="AA4" s="174"/>
      <c r="AB4" s="174"/>
      <c r="AC4" s="166"/>
      <c r="AD4" s="166"/>
      <c r="AE4" s="168"/>
      <c r="AF4" s="169"/>
      <c r="AG4" s="136" t="s">
        <v>39</v>
      </c>
      <c r="AH4" s="50" t="s">
        <v>40</v>
      </c>
      <c r="AI4" s="170"/>
      <c r="AJ4" s="170"/>
      <c r="AK4" s="171"/>
      <c r="AL4" s="172"/>
    </row>
    <row r="5" spans="1:38">
      <c r="A5" s="10">
        <v>1</v>
      </c>
      <c r="B5" s="35" t="s">
        <v>41</v>
      </c>
      <c r="C5" s="36" t="s">
        <v>42</v>
      </c>
      <c r="D5" s="13" t="s">
        <v>43</v>
      </c>
      <c r="E5" s="37">
        <v>5.0000000000000001E-3</v>
      </c>
      <c r="F5" s="37">
        <v>5.4999999999999997E-3</v>
      </c>
      <c r="G5" s="14">
        <v>15.309699999999999</v>
      </c>
      <c r="H5" s="38">
        <v>0.9</v>
      </c>
      <c r="I5" s="14">
        <f t="shared" ref="I5:I19" si="0">F5*G5/H5</f>
        <v>9.3559277777777797E-2</v>
      </c>
      <c r="J5" s="13" t="s">
        <v>44</v>
      </c>
      <c r="K5" s="14">
        <v>55</v>
      </c>
      <c r="L5" s="41">
        <v>65.454545454545496</v>
      </c>
      <c r="M5" s="13">
        <v>1</v>
      </c>
      <c r="N5" s="13">
        <v>27.15</v>
      </c>
      <c r="O5" s="13">
        <v>0.76</v>
      </c>
      <c r="P5" s="13">
        <v>22.5</v>
      </c>
      <c r="Q5" s="14">
        <f t="shared" ref="Q5:Q19" si="1">P5/K5/M5</f>
        <v>0.40909090909090901</v>
      </c>
      <c r="R5" s="14">
        <v>0</v>
      </c>
      <c r="S5" s="21">
        <v>2.8662E-2</v>
      </c>
      <c r="T5" s="21">
        <v>6.6666666666666693E-2</v>
      </c>
      <c r="U5" s="13">
        <v>0</v>
      </c>
      <c r="V5" s="14">
        <f>(I5+Q5+AA5)/H5*1.11+R5*1.03+S5+T5+U5</f>
        <v>0.946614806228956</v>
      </c>
      <c r="W5" s="13">
        <v>0.99</v>
      </c>
      <c r="X5" s="42">
        <f>V5-W5</f>
        <v>-4.3385193771044203E-2</v>
      </c>
      <c r="Y5" s="44">
        <f>T5/V5</f>
        <v>7.0426393320687397E-2</v>
      </c>
      <c r="Z5" s="45">
        <f>Q5/V5</f>
        <v>0.432161959013309</v>
      </c>
      <c r="AA5" s="15">
        <f>(N5*O5/K5/M5)/2</f>
        <v>0.18758181818181799</v>
      </c>
      <c r="AB5" s="45">
        <f>AA5/V5</f>
        <v>0.19816066360623599</v>
      </c>
      <c r="AC5" s="46">
        <f>S5/V5</f>
        <v>3.0278419280363102E-2</v>
      </c>
      <c r="AD5" s="46">
        <f>U5/V5</f>
        <v>0</v>
      </c>
      <c r="AE5" s="46">
        <f>1-I5/V5</f>
        <v>0.90116436256634203</v>
      </c>
      <c r="AF5" s="47">
        <v>22900</v>
      </c>
      <c r="AG5" s="137">
        <f>(I5+Q5+(N5*O5/K5/M5)/2)/H5*1.4+R5*1.1+S5+T5+U5</f>
        <v>1.1690228967452301</v>
      </c>
      <c r="AH5" s="52">
        <f>AG5*AF5</f>
        <v>26770.6243354658</v>
      </c>
      <c r="AI5" s="53">
        <f>V5*AF5</f>
        <v>21677.479062643099</v>
      </c>
      <c r="AJ5" s="53">
        <f>W5*AF5</f>
        <v>22671</v>
      </c>
      <c r="AK5" s="45">
        <f>(AG5-V5)/V5</f>
        <v>0.234950994906032</v>
      </c>
      <c r="AL5" s="45">
        <f>(AG5-W5)/W5</f>
        <v>0.18083120883356599</v>
      </c>
    </row>
    <row r="6" spans="1:38">
      <c r="A6" s="10">
        <v>2</v>
      </c>
      <c r="B6" s="35" t="s">
        <v>45</v>
      </c>
      <c r="C6" s="36" t="s">
        <v>46</v>
      </c>
      <c r="D6" s="13" t="s">
        <v>43</v>
      </c>
      <c r="E6" s="37">
        <v>1E-3</v>
      </c>
      <c r="F6" s="37">
        <v>1.08E-3</v>
      </c>
      <c r="G6" s="14">
        <v>15.309699999999999</v>
      </c>
      <c r="H6" s="38">
        <v>0.95</v>
      </c>
      <c r="I6" s="14">
        <f t="shared" si="0"/>
        <v>1.74047115789474E-2</v>
      </c>
      <c r="J6" s="13" t="s">
        <v>47</v>
      </c>
      <c r="K6" s="14">
        <v>65</v>
      </c>
      <c r="L6" s="41">
        <v>55.384615384615401</v>
      </c>
      <c r="M6" s="13">
        <v>4</v>
      </c>
      <c r="N6" s="13">
        <v>20.2</v>
      </c>
      <c r="O6" s="13">
        <v>0.76</v>
      </c>
      <c r="P6" s="13">
        <v>22.5</v>
      </c>
      <c r="Q6" s="14">
        <f t="shared" si="1"/>
        <v>8.6538461538461495E-2</v>
      </c>
      <c r="R6" s="14">
        <v>0</v>
      </c>
      <c r="S6" s="21">
        <v>7.15583333333333E-3</v>
      </c>
      <c r="T6" s="21">
        <v>1.6666666666666701E-2</v>
      </c>
      <c r="U6" s="13">
        <v>0</v>
      </c>
      <c r="V6" s="14">
        <f t="shared" ref="V6:V21" si="2">(I6+Q6+(N6*O6/K6/M6)/2)/H6*1.11+R6*1.03+S6+T6+U6</f>
        <v>0.179767276363094</v>
      </c>
      <c r="W6" s="13">
        <v>0.09</v>
      </c>
      <c r="X6" s="42">
        <f t="shared" ref="X6:X37" si="3">V6-W6</f>
        <v>8.9767276363094006E-2</v>
      </c>
      <c r="Y6" s="44">
        <f t="shared" ref="Y6:Y37" si="4">T6/V6</f>
        <v>9.27124613770271E-2</v>
      </c>
      <c r="Z6" s="45">
        <f t="shared" ref="Z6:Z37" si="5">Q6/V6</f>
        <v>0.48139162638071598</v>
      </c>
      <c r="AA6" s="15">
        <f t="shared" ref="AA6:AA37" si="6">(N6*O6/K6/M6)/2</f>
        <v>2.9523076923076898E-2</v>
      </c>
      <c r="AB6" s="45">
        <f t="shared" ref="AB6:AB37" si="7">AA6/V6</f>
        <v>0.16422942773770599</v>
      </c>
      <c r="AC6" s="46">
        <f t="shared" ref="AC6:AC37" si="8">S6/V6</f>
        <v>3.98060952922265E-2</v>
      </c>
      <c r="AD6" s="46">
        <f t="shared" ref="AD6:AD37" si="9">U6/V6</f>
        <v>0</v>
      </c>
      <c r="AE6" s="46">
        <f t="shared" ref="AE6:AE37" si="10">1-I6/V6</f>
        <v>0.90318198099751301</v>
      </c>
      <c r="AF6" s="47">
        <v>98000</v>
      </c>
      <c r="AG6" s="137">
        <f t="shared" ref="AG6:AG69" si="11">(I6+Q6+(N6*O6/K6/M6)/2)/H6*1.4+R6*1.1+S6+T6+U6</f>
        <v>0.22050960532282099</v>
      </c>
      <c r="AH6" s="52">
        <f t="shared" ref="AH6:AH37" si="12">AG6*AF6</f>
        <v>21609.941321636499</v>
      </c>
      <c r="AI6" s="53">
        <f t="shared" ref="AI6:AI37" si="13">V6*AF6</f>
        <v>17617.193083583199</v>
      </c>
      <c r="AJ6" s="53">
        <f t="shared" ref="AJ6:AJ37" si="14">W6*AF6</f>
        <v>8820</v>
      </c>
      <c r="AK6" s="45">
        <f t="shared" ref="AK6:AK37" si="15">(AG6-V6)/V6</f>
        <v>0.22663929600533</v>
      </c>
      <c r="AL6" s="45">
        <f t="shared" ref="AL6:AL37" si="16">(AG6-W6)/W6</f>
        <v>1.45010672580912</v>
      </c>
    </row>
    <row r="7" spans="1:38">
      <c r="A7" s="10">
        <v>3</v>
      </c>
      <c r="B7" s="35" t="s">
        <v>48</v>
      </c>
      <c r="C7" s="36" t="s">
        <v>49</v>
      </c>
      <c r="D7" s="13" t="s">
        <v>43</v>
      </c>
      <c r="E7" s="37">
        <v>1.24E-3</v>
      </c>
      <c r="F7" s="37">
        <v>1.426E-3</v>
      </c>
      <c r="G7" s="14">
        <v>15.309699999999999</v>
      </c>
      <c r="H7" s="38">
        <v>0.85</v>
      </c>
      <c r="I7" s="14">
        <f t="shared" si="0"/>
        <v>2.5684273176470599E-2</v>
      </c>
      <c r="J7" s="13" t="s">
        <v>44</v>
      </c>
      <c r="K7" s="14">
        <v>55</v>
      </c>
      <c r="L7" s="41">
        <v>65.454545454545496</v>
      </c>
      <c r="M7" s="13">
        <v>8</v>
      </c>
      <c r="N7" s="13">
        <v>27.15</v>
      </c>
      <c r="O7" s="13">
        <v>0.76</v>
      </c>
      <c r="P7" s="13">
        <v>22.5</v>
      </c>
      <c r="Q7" s="14">
        <f t="shared" si="1"/>
        <v>5.1136363636363598E-2</v>
      </c>
      <c r="R7" s="14">
        <v>0</v>
      </c>
      <c r="S7" s="21">
        <v>2.86233333333333E-3</v>
      </c>
      <c r="T7" s="21">
        <v>6.6666666666666697E-3</v>
      </c>
      <c r="U7" s="13">
        <v>0</v>
      </c>
      <c r="V7" s="14">
        <f t="shared" si="2"/>
        <v>0.14046768721761599</v>
      </c>
      <c r="W7" s="13">
        <v>0.27</v>
      </c>
      <c r="X7" s="42">
        <f t="shared" si="3"/>
        <v>-0.129532312782384</v>
      </c>
      <c r="Y7" s="44">
        <f t="shared" si="4"/>
        <v>4.74604999820245E-2</v>
      </c>
      <c r="Z7" s="45">
        <f t="shared" si="5"/>
        <v>0.364043607816665</v>
      </c>
      <c r="AA7" s="15">
        <f t="shared" si="6"/>
        <v>2.3447727272727301E-2</v>
      </c>
      <c r="AB7" s="45">
        <f t="shared" si="7"/>
        <v>0.166926128970868</v>
      </c>
      <c r="AC7" s="46">
        <f t="shared" si="8"/>
        <v>2.0377165667282201E-2</v>
      </c>
      <c r="AD7" s="46">
        <f t="shared" si="9"/>
        <v>0</v>
      </c>
      <c r="AE7" s="46">
        <f t="shared" si="10"/>
        <v>0.81715173300547095</v>
      </c>
      <c r="AF7" s="47">
        <v>30789</v>
      </c>
      <c r="AG7" s="137">
        <f t="shared" si="11"/>
        <v>0.17467689378798401</v>
      </c>
      <c r="AH7" s="52">
        <f t="shared" si="12"/>
        <v>5378.1268828382299</v>
      </c>
      <c r="AI7" s="53">
        <f t="shared" si="13"/>
        <v>4324.8596217431796</v>
      </c>
      <c r="AJ7" s="53">
        <f t="shared" si="14"/>
        <v>8313.0300000000007</v>
      </c>
      <c r="AK7" s="45">
        <f t="shared" si="15"/>
        <v>0.24353790717269999</v>
      </c>
      <c r="AL7" s="45">
        <f t="shared" si="16"/>
        <v>-0.35304854152598703</v>
      </c>
    </row>
    <row r="8" spans="1:38">
      <c r="A8" s="10">
        <v>4</v>
      </c>
      <c r="B8" s="35" t="s">
        <v>50</v>
      </c>
      <c r="C8" s="36" t="s">
        <v>51</v>
      </c>
      <c r="D8" s="13" t="s">
        <v>43</v>
      </c>
      <c r="E8" s="37">
        <v>1E-3</v>
      </c>
      <c r="F8" s="37">
        <v>1.08E-3</v>
      </c>
      <c r="G8" s="14">
        <v>15.309699999999999</v>
      </c>
      <c r="H8" s="38">
        <v>0.95</v>
      </c>
      <c r="I8" s="14">
        <f t="shared" si="0"/>
        <v>1.74047115789474E-2</v>
      </c>
      <c r="J8" s="13" t="s">
        <v>47</v>
      </c>
      <c r="K8" s="14">
        <v>65</v>
      </c>
      <c r="L8" s="41">
        <v>55.384615384615401</v>
      </c>
      <c r="M8" s="13">
        <v>8</v>
      </c>
      <c r="N8" s="13">
        <v>20.2</v>
      </c>
      <c r="O8" s="13">
        <v>0.76</v>
      </c>
      <c r="P8" s="13">
        <v>22.5</v>
      </c>
      <c r="Q8" s="14">
        <f t="shared" si="1"/>
        <v>4.3269230769230803E-2</v>
      </c>
      <c r="R8" s="14">
        <v>0</v>
      </c>
      <c r="S8" s="21">
        <v>2.86233333333333E-3</v>
      </c>
      <c r="T8" s="21">
        <v>6.6666666666666697E-3</v>
      </c>
      <c r="U8" s="13">
        <v>0</v>
      </c>
      <c r="V8" s="14">
        <f t="shared" si="2"/>
        <v>9.7669403893458406E-2</v>
      </c>
      <c r="W8" s="13">
        <v>0.14000000000000001</v>
      </c>
      <c r="X8" s="42">
        <f t="shared" si="3"/>
        <v>-4.23305961065416E-2</v>
      </c>
      <c r="Y8" s="44">
        <f t="shared" si="4"/>
        <v>6.8257472667069094E-2</v>
      </c>
      <c r="Z8" s="45">
        <f t="shared" si="5"/>
        <v>0.44301725048338098</v>
      </c>
      <c r="AA8" s="15">
        <f t="shared" si="6"/>
        <v>1.47615384615385E-2</v>
      </c>
      <c r="AB8" s="45">
        <f t="shared" si="7"/>
        <v>0.151137796209353</v>
      </c>
      <c r="AC8" s="46">
        <f t="shared" si="8"/>
        <v>2.9306345889606102E-2</v>
      </c>
      <c r="AD8" s="46">
        <f t="shared" si="9"/>
        <v>0</v>
      </c>
      <c r="AE8" s="46">
        <f t="shared" si="10"/>
        <v>0.82179975626826696</v>
      </c>
      <c r="AF8" s="47">
        <v>90140</v>
      </c>
      <c r="AG8" s="137">
        <f t="shared" si="11"/>
        <v>0.12069707698274</v>
      </c>
      <c r="AH8" s="52">
        <f t="shared" si="12"/>
        <v>10879.634519224201</v>
      </c>
      <c r="AI8" s="53">
        <f t="shared" si="13"/>
        <v>8803.9200669563397</v>
      </c>
      <c r="AJ8" s="53">
        <f t="shared" si="14"/>
        <v>12619.6</v>
      </c>
      <c r="AK8" s="45">
        <f t="shared" si="15"/>
        <v>0.23577161497168</v>
      </c>
      <c r="AL8" s="45">
        <f t="shared" si="16"/>
        <v>-0.137878021551855</v>
      </c>
    </row>
    <row r="9" spans="1:38">
      <c r="A9" s="10">
        <v>5</v>
      </c>
      <c r="B9" s="35" t="s">
        <v>52</v>
      </c>
      <c r="C9" s="36" t="s">
        <v>53</v>
      </c>
      <c r="D9" s="13" t="s">
        <v>43</v>
      </c>
      <c r="E9" s="37">
        <v>2E-3</v>
      </c>
      <c r="F9" s="37">
        <v>2.16E-3</v>
      </c>
      <c r="G9" s="14">
        <v>15.309699999999999</v>
      </c>
      <c r="H9" s="38">
        <v>0.95</v>
      </c>
      <c r="I9" s="14">
        <f t="shared" si="0"/>
        <v>3.4809423157894703E-2</v>
      </c>
      <c r="J9" s="13" t="s">
        <v>54</v>
      </c>
      <c r="K9" s="14">
        <v>65</v>
      </c>
      <c r="L9" s="41">
        <v>55.384615384615401</v>
      </c>
      <c r="M9" s="13">
        <v>2</v>
      </c>
      <c r="N9" s="13">
        <v>17.41</v>
      </c>
      <c r="O9" s="13">
        <v>0.76</v>
      </c>
      <c r="P9" s="13">
        <v>22.5</v>
      </c>
      <c r="Q9" s="14">
        <f t="shared" si="1"/>
        <v>0.17307692307692299</v>
      </c>
      <c r="R9" s="14">
        <v>0</v>
      </c>
      <c r="S9" s="21">
        <v>2.86233333333333E-3</v>
      </c>
      <c r="T9" s="21">
        <v>6.6666666666666697E-3</v>
      </c>
      <c r="U9" s="13">
        <v>0</v>
      </c>
      <c r="V9" s="14">
        <f t="shared" si="2"/>
        <v>0.31188962964926498</v>
      </c>
      <c r="W9" s="13">
        <v>0.27</v>
      </c>
      <c r="X9" s="42">
        <f t="shared" si="3"/>
        <v>4.1889629649264702E-2</v>
      </c>
      <c r="Y9" s="44">
        <f t="shared" si="4"/>
        <v>2.1375082827100302E-2</v>
      </c>
      <c r="Z9" s="45">
        <f t="shared" si="5"/>
        <v>0.55493003493433402</v>
      </c>
      <c r="AA9" s="15">
        <f t="shared" si="6"/>
        <v>5.0890769230769198E-2</v>
      </c>
      <c r="AB9" s="45">
        <f t="shared" si="7"/>
        <v>0.163169161116381</v>
      </c>
      <c r="AC9" s="46">
        <f t="shared" si="8"/>
        <v>9.1773918118155003E-3</v>
      </c>
      <c r="AD9" s="46">
        <f t="shared" si="9"/>
        <v>0</v>
      </c>
      <c r="AE9" s="46">
        <f t="shared" si="10"/>
        <v>0.88839185452546299</v>
      </c>
      <c r="AF9" s="47">
        <v>18200</v>
      </c>
      <c r="AG9" s="137">
        <f t="shared" si="11"/>
        <v>0.39088474910718102</v>
      </c>
      <c r="AH9" s="52">
        <f t="shared" si="12"/>
        <v>7114.1024337506897</v>
      </c>
      <c r="AI9" s="53">
        <f t="shared" si="13"/>
        <v>5676.3912596166201</v>
      </c>
      <c r="AJ9" s="53">
        <f t="shared" si="14"/>
        <v>4914</v>
      </c>
      <c r="AK9" s="45">
        <f t="shared" si="15"/>
        <v>0.25327908320244402</v>
      </c>
      <c r="AL9" s="45">
        <f t="shared" si="16"/>
        <v>0.44772129298955798</v>
      </c>
    </row>
    <row r="10" spans="1:38">
      <c r="A10" s="10">
        <v>6</v>
      </c>
      <c r="B10" s="35" t="s">
        <v>55</v>
      </c>
      <c r="C10" s="36" t="s">
        <v>56</v>
      </c>
      <c r="D10" s="13" t="s">
        <v>43</v>
      </c>
      <c r="E10" s="37">
        <v>1E-3</v>
      </c>
      <c r="F10" s="37">
        <v>1.08E-3</v>
      </c>
      <c r="G10" s="14">
        <v>15.309699999999999</v>
      </c>
      <c r="H10" s="38">
        <v>0.95</v>
      </c>
      <c r="I10" s="14">
        <f t="shared" si="0"/>
        <v>1.74047115789474E-2</v>
      </c>
      <c r="J10" s="13" t="s">
        <v>54</v>
      </c>
      <c r="K10" s="14">
        <v>65</v>
      </c>
      <c r="L10" s="41">
        <v>55.384615384615401</v>
      </c>
      <c r="M10" s="13">
        <v>2</v>
      </c>
      <c r="N10" s="13">
        <v>17.41</v>
      </c>
      <c r="O10" s="13">
        <v>0.76</v>
      </c>
      <c r="P10" s="13">
        <v>22.5</v>
      </c>
      <c r="Q10" s="14">
        <f t="shared" si="1"/>
        <v>0.17307692307692299</v>
      </c>
      <c r="R10" s="14">
        <v>0</v>
      </c>
      <c r="S10" s="21">
        <v>2.86233333333333E-3</v>
      </c>
      <c r="T10" s="21">
        <v>6.6666666666666697E-3</v>
      </c>
      <c r="U10" s="13">
        <v>0</v>
      </c>
      <c r="V10" s="14">
        <f t="shared" si="2"/>
        <v>0.29155359822544202</v>
      </c>
      <c r="W10" s="13">
        <v>0.21</v>
      </c>
      <c r="X10" s="42">
        <f t="shared" si="3"/>
        <v>8.1553598225442003E-2</v>
      </c>
      <c r="Y10" s="44">
        <f t="shared" si="4"/>
        <v>2.2866007167271201E-2</v>
      </c>
      <c r="Z10" s="45">
        <f t="shared" si="5"/>
        <v>0.593636724534925</v>
      </c>
      <c r="AA10" s="15">
        <f t="shared" si="6"/>
        <v>5.0890769230769198E-2</v>
      </c>
      <c r="AB10" s="45">
        <f t="shared" si="7"/>
        <v>0.174550304096807</v>
      </c>
      <c r="AC10" s="46">
        <f t="shared" si="8"/>
        <v>9.8175201772678806E-3</v>
      </c>
      <c r="AD10" s="46">
        <f t="shared" si="9"/>
        <v>0</v>
      </c>
      <c r="AE10" s="46">
        <f t="shared" si="10"/>
        <v>0.94030356104372503</v>
      </c>
      <c r="AF10" s="47">
        <v>21300</v>
      </c>
      <c r="AG10" s="137">
        <f t="shared" si="11"/>
        <v>0.36523570046452197</v>
      </c>
      <c r="AH10" s="52">
        <f t="shared" si="12"/>
        <v>7779.5204198943102</v>
      </c>
      <c r="AI10" s="53">
        <f t="shared" si="13"/>
        <v>6210.09164220192</v>
      </c>
      <c r="AJ10" s="53">
        <f t="shared" si="14"/>
        <v>4473</v>
      </c>
      <c r="AK10" s="45">
        <f t="shared" si="15"/>
        <v>0.25272232168476</v>
      </c>
      <c r="AL10" s="45">
        <f t="shared" si="16"/>
        <v>0.73921762125962598</v>
      </c>
    </row>
    <row r="11" spans="1:38">
      <c r="A11" s="10">
        <v>7</v>
      </c>
      <c r="B11" s="39" t="s">
        <v>57</v>
      </c>
      <c r="C11" s="40" t="s">
        <v>58</v>
      </c>
      <c r="D11" s="13" t="s">
        <v>59</v>
      </c>
      <c r="E11" s="37">
        <v>1.2E-2</v>
      </c>
      <c r="F11" s="37">
        <v>1.26E-2</v>
      </c>
      <c r="G11" s="14">
        <v>18.584099999999999</v>
      </c>
      <c r="H11" s="38">
        <v>0.96</v>
      </c>
      <c r="I11" s="14">
        <f t="shared" si="0"/>
        <v>0.24391631250000001</v>
      </c>
      <c r="J11" s="13" t="s">
        <v>44</v>
      </c>
      <c r="K11" s="14">
        <v>51</v>
      </c>
      <c r="L11" s="41">
        <v>70.588235294117695</v>
      </c>
      <c r="M11" s="13">
        <v>2</v>
      </c>
      <c r="N11" s="13">
        <v>27.15</v>
      </c>
      <c r="O11" s="13">
        <v>0.76</v>
      </c>
      <c r="P11" s="13">
        <v>22.5</v>
      </c>
      <c r="Q11" s="14">
        <f t="shared" si="1"/>
        <v>0.220588235294118</v>
      </c>
      <c r="R11" s="14">
        <v>0</v>
      </c>
      <c r="S11" s="21">
        <v>1.43116666666667E-2</v>
      </c>
      <c r="T11" s="21">
        <v>3.3333333333333298E-2</v>
      </c>
      <c r="U11" s="13">
        <v>0.3</v>
      </c>
      <c r="V11" s="14">
        <f t="shared" si="2"/>
        <v>1.0016796701516499</v>
      </c>
      <c r="W11" s="13">
        <v>1.35</v>
      </c>
      <c r="X11" s="42">
        <f t="shared" si="3"/>
        <v>-0.34832032984834999</v>
      </c>
      <c r="Y11" s="44">
        <f t="shared" si="4"/>
        <v>3.3277438213642499E-2</v>
      </c>
      <c r="Z11" s="45">
        <f t="shared" si="5"/>
        <v>0.22021834111969299</v>
      </c>
      <c r="AA11" s="15">
        <f t="shared" si="6"/>
        <v>0.10114705882352901</v>
      </c>
      <c r="AB11" s="45">
        <f t="shared" si="7"/>
        <v>0.10097745001475</v>
      </c>
      <c r="AC11" s="46">
        <f t="shared" si="8"/>
        <v>1.42876680970274E-2</v>
      </c>
      <c r="AD11" s="46">
        <f t="shared" si="9"/>
        <v>0.29949694392278298</v>
      </c>
      <c r="AE11" s="46">
        <f t="shared" si="10"/>
        <v>0.75649269944445197</v>
      </c>
      <c r="AF11" s="47">
        <v>22465</v>
      </c>
      <c r="AG11" s="137">
        <f t="shared" si="11"/>
        <v>1.17255359298407</v>
      </c>
      <c r="AH11" s="52">
        <f t="shared" si="12"/>
        <v>26341.416466387102</v>
      </c>
      <c r="AI11" s="53">
        <f t="shared" si="13"/>
        <v>22502.733789956801</v>
      </c>
      <c r="AJ11" s="53">
        <f t="shared" si="14"/>
        <v>30327.75</v>
      </c>
      <c r="AK11" s="45">
        <f t="shared" si="15"/>
        <v>0.170587392281356</v>
      </c>
      <c r="AL11" s="45">
        <f t="shared" si="16"/>
        <v>-0.131441782974764</v>
      </c>
    </row>
    <row r="12" spans="1:38">
      <c r="A12" s="10">
        <v>8</v>
      </c>
      <c r="B12" s="39" t="s">
        <v>60</v>
      </c>
      <c r="C12" s="40" t="s">
        <v>61</v>
      </c>
      <c r="D12" s="13" t="s">
        <v>59</v>
      </c>
      <c r="E12" s="37">
        <v>1.7000000000000001E-2</v>
      </c>
      <c r="F12" s="37">
        <v>1.7850000000000001E-2</v>
      </c>
      <c r="G12" s="14">
        <v>18.584099999999999</v>
      </c>
      <c r="H12" s="38">
        <v>0.96</v>
      </c>
      <c r="I12" s="14">
        <f t="shared" si="0"/>
        <v>0.34554810937500002</v>
      </c>
      <c r="J12" s="13" t="s">
        <v>44</v>
      </c>
      <c r="K12" s="14">
        <v>51</v>
      </c>
      <c r="L12" s="41">
        <v>70.588235294117695</v>
      </c>
      <c r="M12" s="13">
        <v>2</v>
      </c>
      <c r="N12" s="13">
        <v>27.15</v>
      </c>
      <c r="O12" s="13">
        <v>0.76</v>
      </c>
      <c r="P12" s="13">
        <v>22.5</v>
      </c>
      <c r="Q12" s="14">
        <f t="shared" si="1"/>
        <v>0.220588235294118</v>
      </c>
      <c r="R12" s="14">
        <v>0</v>
      </c>
      <c r="S12" s="21">
        <v>2.8623333333333299E-2</v>
      </c>
      <c r="T12" s="21">
        <v>6.6666666666666693E-2</v>
      </c>
      <c r="U12" s="13">
        <v>0</v>
      </c>
      <c r="V12" s="14">
        <f t="shared" si="2"/>
        <v>0.86683643528837395</v>
      </c>
      <c r="W12" s="13">
        <v>1.23</v>
      </c>
      <c r="X12" s="42">
        <f t="shared" si="3"/>
        <v>-0.36316356471162597</v>
      </c>
      <c r="Y12" s="44">
        <f t="shared" si="4"/>
        <v>7.6908011653303895E-2</v>
      </c>
      <c r="Z12" s="45">
        <f t="shared" si="5"/>
        <v>0.254475038558726</v>
      </c>
      <c r="AA12" s="15">
        <f t="shared" si="6"/>
        <v>0.10114705882352901</v>
      </c>
      <c r="AB12" s="45">
        <f t="shared" si="7"/>
        <v>0.11668528768046101</v>
      </c>
      <c r="AC12" s="46">
        <f t="shared" si="8"/>
        <v>3.3020454803345999E-2</v>
      </c>
      <c r="AD12" s="46">
        <f t="shared" si="9"/>
        <v>0</v>
      </c>
      <c r="AE12" s="46">
        <f t="shared" si="10"/>
        <v>0.60136872966115595</v>
      </c>
      <c r="AF12" s="47">
        <v>22623</v>
      </c>
      <c r="AG12" s="137">
        <f t="shared" si="11"/>
        <v>1.0684116300934401</v>
      </c>
      <c r="AH12" s="52">
        <f t="shared" si="12"/>
        <v>24170.676307604001</v>
      </c>
      <c r="AI12" s="53">
        <f t="shared" si="13"/>
        <v>19610.440675528898</v>
      </c>
      <c r="AJ12" s="53">
        <f t="shared" si="14"/>
        <v>27826.29</v>
      </c>
      <c r="AK12" s="45">
        <f t="shared" si="15"/>
        <v>0.23254121146628001</v>
      </c>
      <c r="AL12" s="45">
        <f t="shared" si="16"/>
        <v>-0.13137265846061499</v>
      </c>
    </row>
    <row r="13" spans="1:38">
      <c r="A13" s="10">
        <v>9</v>
      </c>
      <c r="B13" s="35" t="s">
        <v>62</v>
      </c>
      <c r="C13" s="36" t="s">
        <v>63</v>
      </c>
      <c r="D13" s="13" t="s">
        <v>64</v>
      </c>
      <c r="E13" s="37">
        <v>0</v>
      </c>
      <c r="F13" s="37">
        <v>1.3625E-3</v>
      </c>
      <c r="G13" s="14">
        <v>21.238900000000001</v>
      </c>
      <c r="H13" s="38">
        <v>0.98</v>
      </c>
      <c r="I13" s="14">
        <f t="shared" si="0"/>
        <v>2.9528572704081602E-2</v>
      </c>
      <c r="J13" s="13" t="s">
        <v>65</v>
      </c>
      <c r="K13" s="14">
        <v>51</v>
      </c>
      <c r="L13" s="41">
        <v>70.588235294117695</v>
      </c>
      <c r="M13" s="13">
        <v>2</v>
      </c>
      <c r="N13" s="13">
        <v>48.5</v>
      </c>
      <c r="O13" s="13">
        <v>0.76</v>
      </c>
      <c r="P13" s="13">
        <v>22.5</v>
      </c>
      <c r="Q13" s="14">
        <f t="shared" si="1"/>
        <v>0.220588235294118</v>
      </c>
      <c r="R13" s="14">
        <v>0</v>
      </c>
      <c r="S13" s="21">
        <v>4.2716999999999998E-3</v>
      </c>
      <c r="T13" s="21">
        <v>0.01</v>
      </c>
      <c r="U13" s="13">
        <v>0</v>
      </c>
      <c r="V13" s="14">
        <f t="shared" si="2"/>
        <v>0.50222213018763695</v>
      </c>
      <c r="W13" s="13">
        <v>0.16</v>
      </c>
      <c r="X13" s="42">
        <f t="shared" si="3"/>
        <v>0.34222213018763697</v>
      </c>
      <c r="Y13" s="44">
        <f t="shared" si="4"/>
        <v>1.9911508073656301E-2</v>
      </c>
      <c r="Z13" s="45">
        <f t="shared" si="5"/>
        <v>0.43922444280124301</v>
      </c>
      <c r="AA13" s="15">
        <f t="shared" si="6"/>
        <v>0.18068627450980401</v>
      </c>
      <c r="AB13" s="45">
        <f t="shared" si="7"/>
        <v>0.35977362137008401</v>
      </c>
      <c r="AC13" s="46">
        <f t="shared" si="8"/>
        <v>8.5055989038237603E-3</v>
      </c>
      <c r="AD13" s="46">
        <f t="shared" si="9"/>
        <v>0</v>
      </c>
      <c r="AE13" s="46">
        <f t="shared" si="10"/>
        <v>0.94120415861991302</v>
      </c>
      <c r="AF13" s="47">
        <v>10290</v>
      </c>
      <c r="AG13" s="137">
        <f t="shared" si="11"/>
        <v>0.62970467501143301</v>
      </c>
      <c r="AH13" s="52">
        <f t="shared" si="12"/>
        <v>6479.6611058676499</v>
      </c>
      <c r="AI13" s="53">
        <f t="shared" si="13"/>
        <v>5167.8657196307804</v>
      </c>
      <c r="AJ13" s="53">
        <f t="shared" si="14"/>
        <v>1646.4</v>
      </c>
      <c r="AK13" s="45">
        <f t="shared" si="15"/>
        <v>0.25383697205092798</v>
      </c>
      <c r="AL13" s="45">
        <f t="shared" si="16"/>
        <v>2.93565421882146</v>
      </c>
    </row>
    <row r="14" spans="1:38">
      <c r="A14" s="10">
        <v>10</v>
      </c>
      <c r="B14" s="11" t="s">
        <v>66</v>
      </c>
      <c r="C14" s="16" t="s">
        <v>67</v>
      </c>
      <c r="D14" s="13" t="s">
        <v>64</v>
      </c>
      <c r="E14" s="37">
        <v>0</v>
      </c>
      <c r="F14" s="37">
        <v>1.3625E-3</v>
      </c>
      <c r="G14" s="14">
        <v>21.238900000000001</v>
      </c>
      <c r="H14" s="38">
        <v>0.98</v>
      </c>
      <c r="I14" s="14">
        <f t="shared" si="0"/>
        <v>2.9528572704081602E-2</v>
      </c>
      <c r="J14" s="13" t="s">
        <v>65</v>
      </c>
      <c r="K14" s="14">
        <v>51</v>
      </c>
      <c r="L14" s="41">
        <v>70.588235294117695</v>
      </c>
      <c r="M14" s="13">
        <v>2</v>
      </c>
      <c r="N14" s="13">
        <v>48.5</v>
      </c>
      <c r="O14" s="13">
        <v>0.76</v>
      </c>
      <c r="P14" s="13">
        <v>22.5</v>
      </c>
      <c r="Q14" s="14">
        <f t="shared" si="1"/>
        <v>0.220588235294118</v>
      </c>
      <c r="R14" s="14">
        <v>0</v>
      </c>
      <c r="S14" s="21">
        <v>4.2716999999999998E-3</v>
      </c>
      <c r="T14" s="21">
        <v>0.01</v>
      </c>
      <c r="U14" s="13">
        <v>0</v>
      </c>
      <c r="V14" s="14">
        <f t="shared" si="2"/>
        <v>0.50222213018763695</v>
      </c>
      <c r="W14" s="13">
        <v>0.16</v>
      </c>
      <c r="X14" s="42">
        <f t="shared" si="3"/>
        <v>0.34222213018763697</v>
      </c>
      <c r="Y14" s="44">
        <f t="shared" si="4"/>
        <v>1.9911508073656301E-2</v>
      </c>
      <c r="Z14" s="45">
        <f t="shared" si="5"/>
        <v>0.43922444280124301</v>
      </c>
      <c r="AA14" s="15">
        <f t="shared" si="6"/>
        <v>0.18068627450980401</v>
      </c>
      <c r="AB14" s="45">
        <f t="shared" si="7"/>
        <v>0.35977362137008401</v>
      </c>
      <c r="AC14" s="46">
        <f t="shared" si="8"/>
        <v>8.5055989038237603E-3</v>
      </c>
      <c r="AD14" s="46">
        <f t="shared" si="9"/>
        <v>0</v>
      </c>
      <c r="AE14" s="46">
        <f t="shared" si="10"/>
        <v>0.94120415861991302</v>
      </c>
      <c r="AF14" s="47">
        <v>0</v>
      </c>
      <c r="AG14" s="137">
        <f t="shared" si="11"/>
        <v>0.62970467501143301</v>
      </c>
      <c r="AH14" s="52">
        <f t="shared" si="12"/>
        <v>0</v>
      </c>
      <c r="AI14" s="53">
        <f t="shared" si="13"/>
        <v>0</v>
      </c>
      <c r="AJ14" s="53">
        <f t="shared" si="14"/>
        <v>0</v>
      </c>
      <c r="AK14" s="45">
        <f t="shared" si="15"/>
        <v>0.25383697205092798</v>
      </c>
      <c r="AL14" s="45">
        <f t="shared" si="16"/>
        <v>2.93565421882146</v>
      </c>
    </row>
    <row r="15" spans="1:38">
      <c r="A15" s="10">
        <v>11</v>
      </c>
      <c r="B15" s="11" t="s">
        <v>68</v>
      </c>
      <c r="C15" s="16" t="s">
        <v>69</v>
      </c>
      <c r="D15" s="13" t="s">
        <v>70</v>
      </c>
      <c r="E15" s="37">
        <v>1E-3</v>
      </c>
      <c r="F15" s="37">
        <v>1.1000000000000001E-3</v>
      </c>
      <c r="G15" s="14">
        <v>23.716814159291999</v>
      </c>
      <c r="H15" s="38">
        <v>0.97</v>
      </c>
      <c r="I15" s="14">
        <f t="shared" si="0"/>
        <v>2.6895356263114598E-2</v>
      </c>
      <c r="J15" s="13" t="s">
        <v>47</v>
      </c>
      <c r="K15" s="14">
        <v>80</v>
      </c>
      <c r="L15" s="41">
        <v>45</v>
      </c>
      <c r="M15" s="13">
        <v>8</v>
      </c>
      <c r="N15" s="13">
        <v>20.2</v>
      </c>
      <c r="O15" s="13">
        <v>0.76</v>
      </c>
      <c r="P15" s="13">
        <v>22.5</v>
      </c>
      <c r="Q15" s="14">
        <f t="shared" si="1"/>
        <v>3.515625E-2</v>
      </c>
      <c r="R15" s="14">
        <v>0</v>
      </c>
      <c r="S15" s="21">
        <v>2.8303333333333301E-3</v>
      </c>
      <c r="T15" s="21">
        <v>6.6666666666666697E-3</v>
      </c>
      <c r="U15" s="13">
        <v>0</v>
      </c>
      <c r="V15" s="14">
        <f t="shared" si="2"/>
        <v>9.4229314899027999E-2</v>
      </c>
      <c r="W15" s="13">
        <v>0.12</v>
      </c>
      <c r="X15" s="42">
        <f t="shared" si="3"/>
        <v>-2.5770685100972E-2</v>
      </c>
      <c r="Y15" s="44">
        <f t="shared" si="4"/>
        <v>7.0749391246348103E-2</v>
      </c>
      <c r="Z15" s="45">
        <f t="shared" si="5"/>
        <v>0.37309249290066399</v>
      </c>
      <c r="AA15" s="15">
        <f t="shared" si="6"/>
        <v>1.1993749999999999E-2</v>
      </c>
      <c r="AB15" s="45">
        <f t="shared" si="7"/>
        <v>0.12728257668913301</v>
      </c>
      <c r="AC15" s="46">
        <f t="shared" si="8"/>
        <v>3.0036654053637001E-2</v>
      </c>
      <c r="AD15" s="46">
        <f t="shared" si="9"/>
        <v>0</v>
      </c>
      <c r="AE15" s="46">
        <f t="shared" si="10"/>
        <v>0.71457548755464795</v>
      </c>
      <c r="AF15" s="47">
        <v>1197276</v>
      </c>
      <c r="AG15" s="137">
        <f t="shared" si="11"/>
        <v>0.11636658635913399</v>
      </c>
      <c r="AH15" s="52">
        <f t="shared" si="12"/>
        <v>139322.92104971901</v>
      </c>
      <c r="AI15" s="53">
        <f t="shared" si="13"/>
        <v>112818.497225049</v>
      </c>
      <c r="AJ15" s="53">
        <f t="shared" si="14"/>
        <v>143673.12</v>
      </c>
      <c r="AK15" s="45">
        <f t="shared" si="15"/>
        <v>0.234929771948653</v>
      </c>
      <c r="AL15" s="45">
        <f t="shared" si="16"/>
        <v>-3.02784470072129E-2</v>
      </c>
    </row>
    <row r="16" spans="1:38">
      <c r="A16" s="10">
        <v>12</v>
      </c>
      <c r="B16" s="11" t="s">
        <v>71</v>
      </c>
      <c r="C16" s="12" t="s">
        <v>72</v>
      </c>
      <c r="D16" s="13" t="s">
        <v>70</v>
      </c>
      <c r="E16" s="37">
        <v>1.2999999999999999E-3</v>
      </c>
      <c r="F16" s="37">
        <v>1.4300000000000001E-3</v>
      </c>
      <c r="G16" s="14">
        <v>23.716814159291999</v>
      </c>
      <c r="H16" s="38">
        <v>0.97</v>
      </c>
      <c r="I16" s="14">
        <f t="shared" si="0"/>
        <v>3.4963963142048998E-2</v>
      </c>
      <c r="J16" s="13" t="s">
        <v>47</v>
      </c>
      <c r="K16" s="14">
        <v>80</v>
      </c>
      <c r="L16" s="41">
        <v>45</v>
      </c>
      <c r="M16" s="13">
        <v>2</v>
      </c>
      <c r="N16" s="13">
        <v>20.2</v>
      </c>
      <c r="O16" s="13">
        <v>0.76</v>
      </c>
      <c r="P16" s="13">
        <v>22.5</v>
      </c>
      <c r="Q16" s="14">
        <f t="shared" si="1"/>
        <v>0.140625</v>
      </c>
      <c r="R16" s="14">
        <v>0</v>
      </c>
      <c r="S16" s="21">
        <v>2.8303333333333301E-3</v>
      </c>
      <c r="T16" s="21">
        <v>6.6666666666666697E-3</v>
      </c>
      <c r="U16" s="13">
        <v>0</v>
      </c>
      <c r="V16" s="14">
        <f t="shared" si="2"/>
        <v>0.26532792689451001</v>
      </c>
      <c r="W16" s="13">
        <v>0.19</v>
      </c>
      <c r="X16" s="42">
        <f t="shared" si="3"/>
        <v>7.5327926894509997E-2</v>
      </c>
      <c r="Y16" s="44">
        <f t="shared" si="4"/>
        <v>2.5126140111580601E-2</v>
      </c>
      <c r="Z16" s="45">
        <f t="shared" si="5"/>
        <v>0.530004517978653</v>
      </c>
      <c r="AA16" s="15">
        <f t="shared" si="6"/>
        <v>4.7974999999999997E-2</v>
      </c>
      <c r="AB16" s="45">
        <f t="shared" si="7"/>
        <v>0.18081398577796201</v>
      </c>
      <c r="AC16" s="46">
        <f t="shared" si="8"/>
        <v>1.06673027843715E-2</v>
      </c>
      <c r="AD16" s="46">
        <f t="shared" si="9"/>
        <v>0</v>
      </c>
      <c r="AE16" s="46">
        <f t="shared" si="10"/>
        <v>0.86822358448551096</v>
      </c>
      <c r="AF16" s="47">
        <v>113080</v>
      </c>
      <c r="AG16" s="137">
        <f t="shared" si="11"/>
        <v>0.33216663752460701</v>
      </c>
      <c r="AH16" s="52">
        <f t="shared" si="12"/>
        <v>37561.403371282497</v>
      </c>
      <c r="AI16" s="53">
        <f t="shared" si="13"/>
        <v>30003.281973231198</v>
      </c>
      <c r="AJ16" s="53">
        <f t="shared" si="14"/>
        <v>21485.200000000001</v>
      </c>
      <c r="AK16" s="45">
        <f t="shared" si="15"/>
        <v>0.25190982122538003</v>
      </c>
      <c r="AL16" s="45">
        <f t="shared" si="16"/>
        <v>0.74824546065582498</v>
      </c>
    </row>
    <row r="17" spans="1:38">
      <c r="A17" s="10">
        <v>13</v>
      </c>
      <c r="B17" s="11" t="s">
        <v>73</v>
      </c>
      <c r="C17" s="16" t="s">
        <v>74</v>
      </c>
      <c r="D17" s="13" t="s">
        <v>64</v>
      </c>
      <c r="E17" s="37">
        <v>1E-3</v>
      </c>
      <c r="F17" s="37">
        <v>1.1000000000000001E-3</v>
      </c>
      <c r="G17" s="14">
        <v>21.238900000000001</v>
      </c>
      <c r="H17" s="38">
        <v>0.97</v>
      </c>
      <c r="I17" s="14">
        <f t="shared" si="0"/>
        <v>2.4085350515463899E-2</v>
      </c>
      <c r="J17" s="13" t="s">
        <v>47</v>
      </c>
      <c r="K17" s="14">
        <v>72</v>
      </c>
      <c r="L17" s="41">
        <v>50</v>
      </c>
      <c r="M17" s="13">
        <v>4</v>
      </c>
      <c r="N17" s="13">
        <v>20.2</v>
      </c>
      <c r="O17" s="13">
        <v>0.76</v>
      </c>
      <c r="P17" s="13">
        <v>22.5</v>
      </c>
      <c r="Q17" s="14">
        <f t="shared" si="1"/>
        <v>7.8125E-2</v>
      </c>
      <c r="R17" s="14">
        <v>0</v>
      </c>
      <c r="S17" s="21">
        <v>2.8623333333333299E-2</v>
      </c>
      <c r="T17" s="21">
        <v>6.6666666666666693E-2</v>
      </c>
      <c r="U17" s="13">
        <v>0</v>
      </c>
      <c r="V17" s="14">
        <f t="shared" si="2"/>
        <v>0.24275193031494699</v>
      </c>
      <c r="W17" s="13">
        <v>0.16</v>
      </c>
      <c r="X17" s="42">
        <f t="shared" si="3"/>
        <v>8.2751930314947E-2</v>
      </c>
      <c r="Y17" s="44">
        <f t="shared" si="4"/>
        <v>0.274628780830592</v>
      </c>
      <c r="Z17" s="45">
        <f t="shared" si="5"/>
        <v>0.32183060253585</v>
      </c>
      <c r="AA17" s="15">
        <f t="shared" si="6"/>
        <v>2.66527777777778E-2</v>
      </c>
      <c r="AB17" s="45">
        <f t="shared" si="7"/>
        <v>0.109794298002897</v>
      </c>
      <c r="AC17" s="46">
        <f t="shared" si="8"/>
        <v>0.117911867049614</v>
      </c>
      <c r="AD17" s="46">
        <f t="shared" si="9"/>
        <v>0</v>
      </c>
      <c r="AE17" s="46">
        <f t="shared" si="10"/>
        <v>0.90078204328091005</v>
      </c>
      <c r="AF17" s="47">
        <v>0</v>
      </c>
      <c r="AG17" s="137">
        <f t="shared" si="11"/>
        <v>0.28127802021705001</v>
      </c>
      <c r="AH17" s="52">
        <f t="shared" si="12"/>
        <v>0</v>
      </c>
      <c r="AI17" s="53">
        <f t="shared" si="13"/>
        <v>0</v>
      </c>
      <c r="AJ17" s="53">
        <f t="shared" si="14"/>
        <v>0</v>
      </c>
      <c r="AK17" s="45">
        <f t="shared" si="15"/>
        <v>0.15870559649976401</v>
      </c>
      <c r="AL17" s="45">
        <f t="shared" si="16"/>
        <v>0.75798762635656103</v>
      </c>
    </row>
    <row r="18" spans="1:38">
      <c r="A18" s="10">
        <v>14</v>
      </c>
      <c r="B18" s="11" t="s">
        <v>75</v>
      </c>
      <c r="C18" s="12" t="s">
        <v>76</v>
      </c>
      <c r="D18" s="13" t="s">
        <v>64</v>
      </c>
      <c r="E18" s="37">
        <v>1E-3</v>
      </c>
      <c r="F18" s="37">
        <v>1.1000000000000001E-3</v>
      </c>
      <c r="G18" s="14">
        <v>21.238900000000001</v>
      </c>
      <c r="H18" s="38">
        <v>0.97</v>
      </c>
      <c r="I18" s="14">
        <f t="shared" si="0"/>
        <v>2.4085350515463899E-2</v>
      </c>
      <c r="J18" s="13" t="s">
        <v>47</v>
      </c>
      <c r="K18" s="14">
        <v>72</v>
      </c>
      <c r="L18" s="41">
        <v>50</v>
      </c>
      <c r="M18" s="13">
        <v>4</v>
      </c>
      <c r="N18" s="13">
        <v>20.2</v>
      </c>
      <c r="O18" s="13">
        <v>0.76</v>
      </c>
      <c r="P18" s="13">
        <v>22.5</v>
      </c>
      <c r="Q18" s="14">
        <f t="shared" si="1"/>
        <v>7.8125E-2</v>
      </c>
      <c r="R18" s="14">
        <v>0</v>
      </c>
      <c r="S18" s="21">
        <v>1.43116666666667E-2</v>
      </c>
      <c r="T18" s="21">
        <v>3.3333333333333298E-2</v>
      </c>
      <c r="U18" s="13">
        <v>0</v>
      </c>
      <c r="V18" s="14">
        <f t="shared" si="2"/>
        <v>0.195106930314947</v>
      </c>
      <c r="W18" s="13">
        <v>0.16</v>
      </c>
      <c r="X18" s="42">
        <f t="shared" si="3"/>
        <v>3.5106930314947001E-2</v>
      </c>
      <c r="Y18" s="44">
        <f t="shared" si="4"/>
        <v>0.170846485460694</v>
      </c>
      <c r="Z18" s="45">
        <f t="shared" si="5"/>
        <v>0.40042145029850301</v>
      </c>
      <c r="AA18" s="15">
        <f t="shared" si="6"/>
        <v>2.66527777777778E-2</v>
      </c>
      <c r="AB18" s="45">
        <f t="shared" si="7"/>
        <v>0.13660600233294701</v>
      </c>
      <c r="AC18" s="46">
        <f t="shared" si="8"/>
        <v>7.33529385325494E-2</v>
      </c>
      <c r="AD18" s="46">
        <f t="shared" si="9"/>
        <v>0</v>
      </c>
      <c r="AE18" s="46">
        <f t="shared" si="10"/>
        <v>0.87655307540032201</v>
      </c>
      <c r="AF18" s="47">
        <v>82600</v>
      </c>
      <c r="AG18" s="137">
        <f t="shared" si="11"/>
        <v>0.23363302021705001</v>
      </c>
      <c r="AH18" s="52">
        <f t="shared" si="12"/>
        <v>19298.087469928301</v>
      </c>
      <c r="AI18" s="53">
        <f t="shared" si="13"/>
        <v>16115.832444014601</v>
      </c>
      <c r="AJ18" s="53">
        <f t="shared" si="14"/>
        <v>13216</v>
      </c>
      <c r="AK18" s="45">
        <f t="shared" si="15"/>
        <v>0.19746141174951101</v>
      </c>
      <c r="AL18" s="45">
        <f t="shared" si="16"/>
        <v>0.46020637635656197</v>
      </c>
    </row>
    <row r="19" spans="1:38">
      <c r="A19" s="10">
        <v>15</v>
      </c>
      <c r="B19" s="11" t="s">
        <v>77</v>
      </c>
      <c r="C19" s="16" t="s">
        <v>78</v>
      </c>
      <c r="D19" s="13" t="s">
        <v>64</v>
      </c>
      <c r="E19" s="37">
        <v>1E-3</v>
      </c>
      <c r="F19" s="37">
        <v>1.1000000000000001E-3</v>
      </c>
      <c r="G19" s="14">
        <v>21.238900000000001</v>
      </c>
      <c r="H19" s="38">
        <v>0.97</v>
      </c>
      <c r="I19" s="14">
        <f t="shared" si="0"/>
        <v>2.4085350515463899E-2</v>
      </c>
      <c r="J19" s="13" t="s">
        <v>47</v>
      </c>
      <c r="K19" s="14">
        <v>72</v>
      </c>
      <c r="L19" s="41">
        <v>50</v>
      </c>
      <c r="M19" s="13">
        <v>4</v>
      </c>
      <c r="N19" s="13">
        <v>20.2</v>
      </c>
      <c r="O19" s="13">
        <v>0.76</v>
      </c>
      <c r="P19" s="13">
        <v>22.5</v>
      </c>
      <c r="Q19" s="14">
        <f t="shared" si="1"/>
        <v>7.8125E-2</v>
      </c>
      <c r="R19" s="14">
        <v>0</v>
      </c>
      <c r="S19" s="21">
        <v>1.43116666666667E-2</v>
      </c>
      <c r="T19" s="21">
        <v>3.3333333333333298E-2</v>
      </c>
      <c r="U19" s="13">
        <v>0</v>
      </c>
      <c r="V19" s="14">
        <f t="shared" si="2"/>
        <v>0.195106930314947</v>
      </c>
      <c r="W19" s="13">
        <v>0.16</v>
      </c>
      <c r="X19" s="42">
        <f t="shared" si="3"/>
        <v>3.5106930314947001E-2</v>
      </c>
      <c r="Y19" s="44">
        <f t="shared" si="4"/>
        <v>0.170846485460694</v>
      </c>
      <c r="Z19" s="45">
        <f t="shared" si="5"/>
        <v>0.40042145029850301</v>
      </c>
      <c r="AA19" s="15">
        <f t="shared" si="6"/>
        <v>2.66527777777778E-2</v>
      </c>
      <c r="AB19" s="45">
        <f t="shared" si="7"/>
        <v>0.13660600233294701</v>
      </c>
      <c r="AC19" s="46">
        <f t="shared" si="8"/>
        <v>7.33529385325494E-2</v>
      </c>
      <c r="AD19" s="46">
        <f t="shared" si="9"/>
        <v>0</v>
      </c>
      <c r="AE19" s="46">
        <f t="shared" si="10"/>
        <v>0.87655307540032201</v>
      </c>
      <c r="AF19" s="47">
        <v>183411</v>
      </c>
      <c r="AG19" s="137">
        <f t="shared" si="11"/>
        <v>0.23363302021705001</v>
      </c>
      <c r="AH19" s="52">
        <f t="shared" si="12"/>
        <v>42850.865871029302</v>
      </c>
      <c r="AI19" s="53">
        <f t="shared" si="13"/>
        <v>35784.757195994702</v>
      </c>
      <c r="AJ19" s="53">
        <f t="shared" si="14"/>
        <v>29345.759999999998</v>
      </c>
      <c r="AK19" s="45">
        <f t="shared" si="15"/>
        <v>0.19746141174951101</v>
      </c>
      <c r="AL19" s="45">
        <f t="shared" si="16"/>
        <v>0.46020637635656197</v>
      </c>
    </row>
    <row r="20" spans="1:38" ht="27">
      <c r="A20" s="10">
        <v>16</v>
      </c>
      <c r="B20" s="11" t="s">
        <v>79</v>
      </c>
      <c r="C20" s="12" t="s">
        <v>80</v>
      </c>
      <c r="D20" s="13" t="s">
        <v>59</v>
      </c>
      <c r="E20" s="37">
        <v>3.5000000000000003E-2</v>
      </c>
      <c r="F20" s="37">
        <v>3.6749999999999998E-2</v>
      </c>
      <c r="G20" s="14">
        <v>18.584099999999999</v>
      </c>
      <c r="H20" s="38">
        <v>0.97</v>
      </c>
      <c r="I20" s="14">
        <f t="shared" ref="I20:I42" si="17">F20*G20/H20</f>
        <v>0.70408832474226801</v>
      </c>
      <c r="J20" s="13" t="s">
        <v>81</v>
      </c>
      <c r="K20" s="14">
        <v>42</v>
      </c>
      <c r="L20" s="41">
        <v>85.714285714285694</v>
      </c>
      <c r="M20" s="13">
        <v>2</v>
      </c>
      <c r="N20" s="13">
        <v>39.75</v>
      </c>
      <c r="O20" s="13">
        <v>0.76</v>
      </c>
      <c r="P20" s="13">
        <v>22.5</v>
      </c>
      <c r="Q20" s="14">
        <f t="shared" ref="Q20:Q42" si="18">P20/K20/M20</f>
        <v>0.26785714285714302</v>
      </c>
      <c r="R20" s="14">
        <v>0</v>
      </c>
      <c r="S20" s="21">
        <v>9.4781111111111094E-2</v>
      </c>
      <c r="T20" s="21">
        <v>0.22222222222222199</v>
      </c>
      <c r="U20" s="13">
        <v>0.3</v>
      </c>
      <c r="V20" s="14">
        <f t="shared" si="2"/>
        <v>1.9350046268896499</v>
      </c>
      <c r="W20" s="13">
        <v>2.79</v>
      </c>
      <c r="X20" s="42">
        <f t="shared" si="3"/>
        <v>-0.85499537311035001</v>
      </c>
      <c r="Y20" s="44">
        <f t="shared" si="4"/>
        <v>0.11484325108794401</v>
      </c>
      <c r="Z20" s="45">
        <f t="shared" si="5"/>
        <v>0.13842713300779</v>
      </c>
      <c r="AA20" s="15">
        <f t="shared" si="6"/>
        <v>0.17982142857142899</v>
      </c>
      <c r="AB20" s="45">
        <f t="shared" si="7"/>
        <v>9.2930748625896606E-2</v>
      </c>
      <c r="AC20" s="46">
        <f t="shared" si="8"/>
        <v>4.8982369237774603E-2</v>
      </c>
      <c r="AD20" s="46">
        <f t="shared" si="9"/>
        <v>0.15503838896872499</v>
      </c>
      <c r="AE20" s="46">
        <f t="shared" si="10"/>
        <v>0.63613093480090099</v>
      </c>
      <c r="AF20" s="47">
        <v>36792</v>
      </c>
      <c r="AG20" s="137">
        <f t="shared" si="11"/>
        <v>2.27934730718815</v>
      </c>
      <c r="AH20" s="52">
        <f t="shared" si="12"/>
        <v>83861.7461260665</v>
      </c>
      <c r="AI20" s="53">
        <f t="shared" si="13"/>
        <v>71192.690232523993</v>
      </c>
      <c r="AJ20" s="53">
        <f t="shared" si="14"/>
        <v>102649.68</v>
      </c>
      <c r="AK20" s="45">
        <f t="shared" si="15"/>
        <v>0.177954448022175</v>
      </c>
      <c r="AL20" s="45">
        <f t="shared" si="16"/>
        <v>-0.18302963900066199</v>
      </c>
    </row>
    <row r="21" spans="1:38" ht="27">
      <c r="A21" s="10">
        <v>17</v>
      </c>
      <c r="B21" s="11" t="s">
        <v>82</v>
      </c>
      <c r="C21" s="12" t="s">
        <v>83</v>
      </c>
      <c r="D21" s="13" t="s">
        <v>59</v>
      </c>
      <c r="E21" s="37">
        <v>3.5000000000000003E-2</v>
      </c>
      <c r="F21" s="37">
        <v>3.78E-2</v>
      </c>
      <c r="G21" s="14">
        <v>18.584099999999999</v>
      </c>
      <c r="H21" s="38">
        <v>0.97</v>
      </c>
      <c r="I21" s="14">
        <f t="shared" si="17"/>
        <v>0.72420513402061903</v>
      </c>
      <c r="J21" s="13" t="s">
        <v>81</v>
      </c>
      <c r="K21" s="14">
        <v>42</v>
      </c>
      <c r="L21" s="41">
        <v>85.714285714285694</v>
      </c>
      <c r="M21" s="13">
        <v>2</v>
      </c>
      <c r="N21" s="13">
        <v>39.75</v>
      </c>
      <c r="O21" s="13">
        <v>0.76</v>
      </c>
      <c r="P21" s="13">
        <v>22.5</v>
      </c>
      <c r="Q21" s="14">
        <f t="shared" si="18"/>
        <v>0.26785714285714302</v>
      </c>
      <c r="R21" s="14">
        <v>0</v>
      </c>
      <c r="S21" s="21">
        <v>9.4781111111111094E-2</v>
      </c>
      <c r="T21" s="21">
        <v>0.22222222222222199</v>
      </c>
      <c r="U21" s="13">
        <v>0.3</v>
      </c>
      <c r="V21" s="14">
        <f t="shared" si="2"/>
        <v>1.9580248931772499</v>
      </c>
      <c r="W21" s="13">
        <v>2.79</v>
      </c>
      <c r="X21" s="42">
        <f t="shared" si="3"/>
        <v>-0.831975106822748</v>
      </c>
      <c r="Y21" s="44">
        <f t="shared" si="4"/>
        <v>0.113493052614681</v>
      </c>
      <c r="Z21" s="45">
        <f t="shared" si="5"/>
        <v>0.136799661633768</v>
      </c>
      <c r="AA21" s="15">
        <f t="shared" si="6"/>
        <v>0.17982142857142899</v>
      </c>
      <c r="AB21" s="45">
        <f t="shared" si="7"/>
        <v>9.1838172843469804E-2</v>
      </c>
      <c r="AC21" s="46">
        <f t="shared" si="8"/>
        <v>4.8406489335950903E-2</v>
      </c>
      <c r="AD21" s="46">
        <f t="shared" si="9"/>
        <v>0.15321562102982</v>
      </c>
      <c r="AE21" s="46">
        <f t="shared" si="10"/>
        <v>0.63013486879348901</v>
      </c>
      <c r="AF21" s="47">
        <v>0</v>
      </c>
      <c r="AG21" s="137">
        <f t="shared" si="11"/>
        <v>2.3083818772806199</v>
      </c>
      <c r="AH21" s="52">
        <f t="shared" si="12"/>
        <v>0</v>
      </c>
      <c r="AI21" s="53">
        <f t="shared" si="13"/>
        <v>0</v>
      </c>
      <c r="AJ21" s="53">
        <f t="shared" si="14"/>
        <v>0</v>
      </c>
      <c r="AK21" s="45">
        <f t="shared" si="15"/>
        <v>0.17893387633844199</v>
      </c>
      <c r="AL21" s="45">
        <f t="shared" si="16"/>
        <v>-0.17262298305354201</v>
      </c>
    </row>
    <row r="22" spans="1:38">
      <c r="A22" s="10">
        <v>18</v>
      </c>
      <c r="B22" s="11" t="s">
        <v>84</v>
      </c>
      <c r="C22" s="16" t="s">
        <v>85</v>
      </c>
      <c r="D22" s="13" t="s">
        <v>86</v>
      </c>
      <c r="E22" s="37">
        <v>0</v>
      </c>
      <c r="F22" s="37">
        <v>4.48E-2</v>
      </c>
      <c r="G22" s="14">
        <v>13.716799999999999</v>
      </c>
      <c r="H22" s="38">
        <v>0.94</v>
      </c>
      <c r="I22" s="14">
        <f t="shared" si="17"/>
        <v>0.65373685106382995</v>
      </c>
      <c r="J22" s="13" t="s">
        <v>87</v>
      </c>
      <c r="K22" s="14">
        <v>36</v>
      </c>
      <c r="L22" s="41">
        <v>100</v>
      </c>
      <c r="M22" s="13">
        <v>2</v>
      </c>
      <c r="N22" s="13">
        <v>68.900000000000006</v>
      </c>
      <c r="O22" s="13">
        <v>0.76</v>
      </c>
      <c r="P22" s="13">
        <v>22.5</v>
      </c>
      <c r="Q22" s="14">
        <f t="shared" si="18"/>
        <v>0.3125</v>
      </c>
      <c r="R22" s="14">
        <v>0.9</v>
      </c>
      <c r="S22" s="21">
        <v>3.6575652173913002E-2</v>
      </c>
      <c r="T22" s="21">
        <v>8.6956521739130405E-2</v>
      </c>
      <c r="U22" s="13">
        <v>0</v>
      </c>
      <c r="V22" s="14">
        <f t="shared" ref="V22:V42" si="19">(I22+Q22+(N22*O22/K22/M22)/2)/H22*1.11+R22*1.03+S22+T22+U22</f>
        <v>2.6209173561976402</v>
      </c>
      <c r="W22" s="13">
        <v>4.59</v>
      </c>
      <c r="X22" s="42">
        <f t="shared" si="3"/>
        <v>-1.9690826438023601</v>
      </c>
      <c r="Y22" s="44">
        <f t="shared" si="4"/>
        <v>3.3177895340158602E-2</v>
      </c>
      <c r="Z22" s="45">
        <f t="shared" si="5"/>
        <v>0.11923306137869499</v>
      </c>
      <c r="AA22" s="15">
        <f t="shared" si="6"/>
        <v>0.36363888888888901</v>
      </c>
      <c r="AB22" s="45">
        <f t="shared" si="7"/>
        <v>0.138744889467422</v>
      </c>
      <c r="AC22" s="46">
        <f t="shared" si="8"/>
        <v>1.3955286337977499E-2</v>
      </c>
      <c r="AD22" s="46">
        <f t="shared" si="9"/>
        <v>0</v>
      </c>
      <c r="AE22" s="46">
        <f t="shared" si="10"/>
        <v>0.75056945251709295</v>
      </c>
      <c r="AF22" s="47">
        <v>44889</v>
      </c>
      <c r="AG22" s="137">
        <f t="shared" si="11"/>
        <v>3.09419816958731</v>
      </c>
      <c r="AH22" s="52">
        <f t="shared" si="12"/>
        <v>138895.46163460499</v>
      </c>
      <c r="AI22" s="53">
        <f t="shared" si="13"/>
        <v>117650.359202356</v>
      </c>
      <c r="AJ22" s="53">
        <f t="shared" si="14"/>
        <v>206040.51</v>
      </c>
      <c r="AK22" s="45">
        <f t="shared" si="15"/>
        <v>0.180578304871196</v>
      </c>
      <c r="AL22" s="45">
        <f t="shared" si="16"/>
        <v>-0.32588275172389902</v>
      </c>
    </row>
    <row r="23" spans="1:38">
      <c r="A23" s="10">
        <v>19</v>
      </c>
      <c r="B23" s="11" t="s">
        <v>88</v>
      </c>
      <c r="C23" s="16" t="s">
        <v>89</v>
      </c>
      <c r="D23" s="13" t="s">
        <v>43</v>
      </c>
      <c r="E23" s="37">
        <v>0</v>
      </c>
      <c r="F23" s="37">
        <v>2.1575E-2</v>
      </c>
      <c r="G23" s="14">
        <v>15.309699999999999</v>
      </c>
      <c r="H23" s="38">
        <v>0.95</v>
      </c>
      <c r="I23" s="14">
        <f t="shared" si="17"/>
        <v>0.34769134473684199</v>
      </c>
      <c r="J23" s="13" t="s">
        <v>81</v>
      </c>
      <c r="K23" s="14">
        <v>60</v>
      </c>
      <c r="L23" s="41">
        <v>60</v>
      </c>
      <c r="M23" s="13">
        <v>1</v>
      </c>
      <c r="N23" s="13">
        <v>39.75</v>
      </c>
      <c r="O23" s="13">
        <v>0.76</v>
      </c>
      <c r="P23" s="13">
        <v>22.5</v>
      </c>
      <c r="Q23" s="14">
        <f t="shared" si="18"/>
        <v>0.375</v>
      </c>
      <c r="R23" s="14">
        <v>0</v>
      </c>
      <c r="S23" s="21">
        <v>2.8623333333333299E-2</v>
      </c>
      <c r="T23" s="21">
        <v>6.6666666666666693E-2</v>
      </c>
      <c r="U23" s="13">
        <v>0</v>
      </c>
      <c r="V23" s="14">
        <f t="shared" si="19"/>
        <v>1.2338477817451501</v>
      </c>
      <c r="W23" s="13">
        <v>1.98</v>
      </c>
      <c r="X23" s="42">
        <f t="shared" si="3"/>
        <v>-0.74615221825485001</v>
      </c>
      <c r="Y23" s="44">
        <f t="shared" si="4"/>
        <v>5.4031516409887799E-2</v>
      </c>
      <c r="Z23" s="45">
        <f t="shared" si="5"/>
        <v>0.30392727980561901</v>
      </c>
      <c r="AA23" s="15">
        <f t="shared" si="6"/>
        <v>0.25174999999999997</v>
      </c>
      <c r="AB23" s="45">
        <f t="shared" si="7"/>
        <v>0.204036513842839</v>
      </c>
      <c r="AC23" s="46">
        <f t="shared" si="8"/>
        <v>2.31984315705853E-2</v>
      </c>
      <c r="AD23" s="46">
        <f t="shared" si="9"/>
        <v>0</v>
      </c>
      <c r="AE23" s="46">
        <f t="shared" si="10"/>
        <v>0.71820564101913098</v>
      </c>
      <c r="AF23" s="47">
        <v>65152</v>
      </c>
      <c r="AG23" s="137">
        <f t="shared" si="11"/>
        <v>1.5313088238227099</v>
      </c>
      <c r="AH23" s="52">
        <f t="shared" si="12"/>
        <v>99767.832489697495</v>
      </c>
      <c r="AI23" s="53">
        <f t="shared" si="13"/>
        <v>80387.650676260004</v>
      </c>
      <c r="AJ23" s="53">
        <f t="shared" si="14"/>
        <v>129000.96000000001</v>
      </c>
      <c r="AK23" s="45">
        <f t="shared" si="15"/>
        <v>0.24108406764474299</v>
      </c>
      <c r="AL23" s="45">
        <f t="shared" si="16"/>
        <v>-0.226611705140043</v>
      </c>
    </row>
    <row r="24" spans="1:38">
      <c r="A24" s="10">
        <v>20</v>
      </c>
      <c r="B24" s="11" t="s">
        <v>90</v>
      </c>
      <c r="C24" s="16" t="s">
        <v>91</v>
      </c>
      <c r="D24" s="13" t="s">
        <v>43</v>
      </c>
      <c r="E24" s="37">
        <v>0</v>
      </c>
      <c r="F24" s="37">
        <v>1.6625000000000001E-2</v>
      </c>
      <c r="G24" s="14">
        <v>15.309699999999999</v>
      </c>
      <c r="H24" s="38">
        <v>0.95</v>
      </c>
      <c r="I24" s="14">
        <f t="shared" si="17"/>
        <v>0.26791975000000001</v>
      </c>
      <c r="J24" s="13" t="s">
        <v>81</v>
      </c>
      <c r="K24" s="14">
        <v>60</v>
      </c>
      <c r="L24" s="41">
        <v>60</v>
      </c>
      <c r="M24" s="13">
        <v>1</v>
      </c>
      <c r="N24" s="13">
        <v>39.75</v>
      </c>
      <c r="O24" s="13">
        <v>0.76</v>
      </c>
      <c r="P24" s="13">
        <v>22.5</v>
      </c>
      <c r="Q24" s="14">
        <f t="shared" si="18"/>
        <v>0.375</v>
      </c>
      <c r="R24" s="14">
        <v>0</v>
      </c>
      <c r="S24" s="21">
        <v>2.8623333333333299E-2</v>
      </c>
      <c r="T24" s="21">
        <v>6.6666666666666693E-2</v>
      </c>
      <c r="U24" s="13">
        <v>0</v>
      </c>
      <c r="V24" s="14">
        <f t="shared" si="19"/>
        <v>1.14064097105263</v>
      </c>
      <c r="W24" s="13">
        <v>1.35</v>
      </c>
      <c r="X24" s="42">
        <f t="shared" si="3"/>
        <v>-0.20935902894736999</v>
      </c>
      <c r="Y24" s="44">
        <f t="shared" si="4"/>
        <v>5.8446670213103097E-2</v>
      </c>
      <c r="Z24" s="45">
        <f t="shared" si="5"/>
        <v>0.32876251994870498</v>
      </c>
      <c r="AA24" s="15">
        <f t="shared" si="6"/>
        <v>0.25174999999999997</v>
      </c>
      <c r="AB24" s="45">
        <f t="shared" si="7"/>
        <v>0.22070923839223</v>
      </c>
      <c r="AC24" s="46">
        <f t="shared" si="8"/>
        <v>2.5094077855995801E-2</v>
      </c>
      <c r="AD24" s="46">
        <f t="shared" si="9"/>
        <v>0</v>
      </c>
      <c r="AE24" s="46">
        <f t="shared" si="10"/>
        <v>0.76511474092259502</v>
      </c>
      <c r="AF24" s="47">
        <v>64057</v>
      </c>
      <c r="AG24" s="137">
        <f t="shared" si="11"/>
        <v>1.4137506842105301</v>
      </c>
      <c r="AH24" s="52">
        <f t="shared" si="12"/>
        <v>90560.627578473694</v>
      </c>
      <c r="AI24" s="53">
        <f t="shared" si="13"/>
        <v>73066.038682718296</v>
      </c>
      <c r="AJ24" s="53">
        <f t="shared" si="14"/>
        <v>86476.95</v>
      </c>
      <c r="AK24" s="45">
        <f t="shared" si="15"/>
        <v>0.239435300054021</v>
      </c>
      <c r="AL24" s="45">
        <f t="shared" si="16"/>
        <v>4.7222729044834197E-2</v>
      </c>
    </row>
    <row r="25" spans="1:38">
      <c r="A25" s="10">
        <v>21</v>
      </c>
      <c r="B25" s="11" t="s">
        <v>92</v>
      </c>
      <c r="C25" s="16" t="s">
        <v>93</v>
      </c>
      <c r="D25" s="13" t="s">
        <v>43</v>
      </c>
      <c r="E25" s="37">
        <v>0</v>
      </c>
      <c r="F25" s="37">
        <v>6.7000000000000002E-3</v>
      </c>
      <c r="G25" s="14">
        <v>15.309699999999999</v>
      </c>
      <c r="H25" s="38">
        <v>0.98</v>
      </c>
      <c r="I25" s="14">
        <f t="shared" si="17"/>
        <v>0.10466835714285699</v>
      </c>
      <c r="J25" s="13" t="s">
        <v>44</v>
      </c>
      <c r="K25" s="14">
        <v>102</v>
      </c>
      <c r="L25" s="41">
        <v>35.294117647058798</v>
      </c>
      <c r="M25" s="13">
        <v>4</v>
      </c>
      <c r="N25" s="13">
        <v>27.15</v>
      </c>
      <c r="O25" s="13">
        <v>0.76</v>
      </c>
      <c r="P25" s="13">
        <v>22.5</v>
      </c>
      <c r="Q25" s="14">
        <f t="shared" si="18"/>
        <v>5.5147058823529403E-2</v>
      </c>
      <c r="R25" s="14">
        <v>0</v>
      </c>
      <c r="S25" s="21">
        <v>2.8623333333333299E-2</v>
      </c>
      <c r="T25" s="21">
        <v>6.6666666666666693E-2</v>
      </c>
      <c r="U25" s="13">
        <v>0</v>
      </c>
      <c r="V25" s="14">
        <f t="shared" si="19"/>
        <v>0.30494655157777401</v>
      </c>
      <c r="W25" s="13">
        <v>0.43</v>
      </c>
      <c r="X25" s="42">
        <f t="shared" si="3"/>
        <v>-0.12505344842222599</v>
      </c>
      <c r="Y25" s="44">
        <f t="shared" si="4"/>
        <v>0.21861754567066799</v>
      </c>
      <c r="Z25" s="45">
        <f t="shared" si="5"/>
        <v>0.18084171976433899</v>
      </c>
      <c r="AA25" s="15">
        <f t="shared" si="6"/>
        <v>2.5286764705882401E-2</v>
      </c>
      <c r="AB25" s="45">
        <f t="shared" si="7"/>
        <v>8.2921956569275104E-2</v>
      </c>
      <c r="AC25" s="46">
        <f t="shared" si="8"/>
        <v>9.3863443233701105E-2</v>
      </c>
      <c r="AD25" s="46">
        <f t="shared" si="9"/>
        <v>0</v>
      </c>
      <c r="AE25" s="46">
        <f t="shared" si="10"/>
        <v>0.656764909780715</v>
      </c>
      <c r="AF25" s="47">
        <v>72725</v>
      </c>
      <c r="AG25" s="137">
        <f t="shared" si="11"/>
        <v>0.35972168667467003</v>
      </c>
      <c r="AH25" s="52">
        <f t="shared" si="12"/>
        <v>26160.759663415301</v>
      </c>
      <c r="AI25" s="53">
        <f t="shared" si="13"/>
        <v>22177.237963493601</v>
      </c>
      <c r="AJ25" s="53">
        <f t="shared" si="14"/>
        <v>31271.75</v>
      </c>
      <c r="AK25" s="45">
        <f t="shared" si="15"/>
        <v>0.17962208397993901</v>
      </c>
      <c r="AL25" s="45">
        <f t="shared" si="16"/>
        <v>-0.16343793796588499</v>
      </c>
    </row>
    <row r="26" spans="1:38">
      <c r="A26" s="10">
        <v>22</v>
      </c>
      <c r="B26" s="11" t="s">
        <v>94</v>
      </c>
      <c r="C26" s="16" t="s">
        <v>95</v>
      </c>
      <c r="D26" s="13" t="s">
        <v>43</v>
      </c>
      <c r="E26" s="37">
        <v>2.1000000000000001E-2</v>
      </c>
      <c r="F26" s="37">
        <v>2.247E-2</v>
      </c>
      <c r="G26" s="14">
        <v>15.309699999999999</v>
      </c>
      <c r="H26" s="38">
        <v>0.95</v>
      </c>
      <c r="I26" s="14">
        <f t="shared" si="17"/>
        <v>0.36211469368421101</v>
      </c>
      <c r="J26" s="13" t="s">
        <v>65</v>
      </c>
      <c r="K26" s="14">
        <v>48</v>
      </c>
      <c r="L26" s="41">
        <v>75</v>
      </c>
      <c r="M26" s="13">
        <v>2</v>
      </c>
      <c r="N26" s="13">
        <v>48.5</v>
      </c>
      <c r="O26" s="13">
        <v>0.76</v>
      </c>
      <c r="P26" s="13">
        <v>22.5</v>
      </c>
      <c r="Q26" s="14">
        <f t="shared" si="18"/>
        <v>0.234375</v>
      </c>
      <c r="R26" s="14">
        <v>0</v>
      </c>
      <c r="S26" s="21">
        <v>8.4415000000000004E-2</v>
      </c>
      <c r="T26" s="21">
        <v>0.2</v>
      </c>
      <c r="U26" s="13">
        <v>0</v>
      </c>
      <c r="V26" s="14">
        <f t="shared" si="19"/>
        <v>1.2056786157783901</v>
      </c>
      <c r="W26" s="13">
        <v>1.26</v>
      </c>
      <c r="X26" s="42">
        <f t="shared" si="3"/>
        <v>-5.4321384221609897E-2</v>
      </c>
      <c r="Y26" s="44">
        <f t="shared" si="4"/>
        <v>0.165881684706566</v>
      </c>
      <c r="Z26" s="45">
        <f t="shared" si="5"/>
        <v>0.194392599265507</v>
      </c>
      <c r="AA26" s="15">
        <f t="shared" si="6"/>
        <v>0.19197916666666701</v>
      </c>
      <c r="AB26" s="45">
        <f t="shared" si="7"/>
        <v>0.15922913797614699</v>
      </c>
      <c r="AC26" s="46">
        <f t="shared" si="8"/>
        <v>7.0014512072523905E-2</v>
      </c>
      <c r="AD26" s="46">
        <f t="shared" si="9"/>
        <v>0</v>
      </c>
      <c r="AE26" s="46">
        <f t="shared" si="10"/>
        <v>0.69965902277330505</v>
      </c>
      <c r="AF26" s="47">
        <v>25399</v>
      </c>
      <c r="AG26" s="137">
        <f t="shared" si="11"/>
        <v>1.4463691099907701</v>
      </c>
      <c r="AH26" s="52">
        <f t="shared" si="12"/>
        <v>36736.329024655497</v>
      </c>
      <c r="AI26" s="53">
        <f t="shared" si="13"/>
        <v>30623.031162155301</v>
      </c>
      <c r="AJ26" s="53">
        <f t="shared" si="14"/>
        <v>32002.74</v>
      </c>
      <c r="AK26" s="45">
        <f t="shared" si="15"/>
        <v>0.19963072336402499</v>
      </c>
      <c r="AL26" s="45">
        <f t="shared" si="16"/>
        <v>0.14791199205616401</v>
      </c>
    </row>
    <row r="27" spans="1:38">
      <c r="A27" s="10">
        <v>23</v>
      </c>
      <c r="B27" s="11" t="s">
        <v>96</v>
      </c>
      <c r="C27" s="16" t="s">
        <v>97</v>
      </c>
      <c r="D27" s="13" t="s">
        <v>43</v>
      </c>
      <c r="E27" s="37">
        <v>0</v>
      </c>
      <c r="F27" s="37">
        <v>2.0999999999999999E-3</v>
      </c>
      <c r="G27" s="14">
        <v>15.309699999999999</v>
      </c>
      <c r="H27" s="38">
        <v>0.96</v>
      </c>
      <c r="I27" s="14">
        <f t="shared" si="17"/>
        <v>3.3489968750000002E-2</v>
      </c>
      <c r="J27" s="13" t="s">
        <v>81</v>
      </c>
      <c r="K27" s="14">
        <v>65</v>
      </c>
      <c r="L27" s="41">
        <v>55.384615384615401</v>
      </c>
      <c r="M27" s="13">
        <v>1</v>
      </c>
      <c r="N27" s="13">
        <v>39.75</v>
      </c>
      <c r="O27" s="13">
        <v>0.76</v>
      </c>
      <c r="P27" s="13">
        <v>22.5</v>
      </c>
      <c r="Q27" s="14">
        <f t="shared" si="18"/>
        <v>0.34615384615384598</v>
      </c>
      <c r="R27" s="14">
        <v>0</v>
      </c>
      <c r="S27" s="21">
        <v>7.15583333333333E-3</v>
      </c>
      <c r="T27" s="21">
        <v>1.6666666666666701E-2</v>
      </c>
      <c r="U27" s="13">
        <v>0</v>
      </c>
      <c r="V27" s="14">
        <f t="shared" si="19"/>
        <v>0.73148037252103404</v>
      </c>
      <c r="W27" s="13">
        <v>0.26</v>
      </c>
      <c r="X27" s="42">
        <f t="shared" si="3"/>
        <v>0.47148037252103397</v>
      </c>
      <c r="Y27" s="44">
        <f t="shared" si="4"/>
        <v>2.2784844669482201E-2</v>
      </c>
      <c r="Z27" s="45">
        <f t="shared" si="5"/>
        <v>0.47322369698155098</v>
      </c>
      <c r="AA27" s="15">
        <f t="shared" si="6"/>
        <v>0.232384615384615</v>
      </c>
      <c r="AB27" s="45">
        <f t="shared" si="7"/>
        <v>0.31769084190694802</v>
      </c>
      <c r="AC27" s="46">
        <f t="shared" si="8"/>
        <v>9.7826730588421399E-3</v>
      </c>
      <c r="AD27" s="46">
        <f t="shared" si="9"/>
        <v>0</v>
      </c>
      <c r="AE27" s="46">
        <f t="shared" si="10"/>
        <v>0.954216175842726</v>
      </c>
      <c r="AF27" s="47">
        <v>78132</v>
      </c>
      <c r="AG27" s="137">
        <f t="shared" si="11"/>
        <v>0.91636396083733895</v>
      </c>
      <c r="AH27" s="52">
        <f t="shared" si="12"/>
        <v>71597.348988143</v>
      </c>
      <c r="AI27" s="53">
        <f t="shared" si="13"/>
        <v>57152.024465813403</v>
      </c>
      <c r="AJ27" s="53">
        <f t="shared" si="14"/>
        <v>20314.32</v>
      </c>
      <c r="AK27" s="45">
        <f t="shared" si="15"/>
        <v>0.25275263050341001</v>
      </c>
      <c r="AL27" s="45">
        <f t="shared" si="16"/>
        <v>2.5244767724513002</v>
      </c>
    </row>
    <row r="28" spans="1:38">
      <c r="A28" s="10">
        <v>24</v>
      </c>
      <c r="B28" s="11" t="s">
        <v>98</v>
      </c>
      <c r="C28" s="16" t="s">
        <v>99</v>
      </c>
      <c r="D28" s="13" t="s">
        <v>43</v>
      </c>
      <c r="E28" s="37">
        <v>0</v>
      </c>
      <c r="F28" s="37">
        <v>1.5499999999999999E-3</v>
      </c>
      <c r="G28" s="14">
        <v>15.309699999999999</v>
      </c>
      <c r="H28" s="38">
        <v>0.96</v>
      </c>
      <c r="I28" s="14">
        <f t="shared" si="17"/>
        <v>2.4718786458333301E-2</v>
      </c>
      <c r="J28" s="13" t="s">
        <v>81</v>
      </c>
      <c r="K28" s="14">
        <v>65</v>
      </c>
      <c r="L28" s="41">
        <v>55.384615384615401</v>
      </c>
      <c r="M28" s="13">
        <v>1</v>
      </c>
      <c r="N28" s="13">
        <v>39.75</v>
      </c>
      <c r="O28" s="13">
        <v>0.76</v>
      </c>
      <c r="P28" s="13">
        <v>22.5</v>
      </c>
      <c r="Q28" s="14">
        <f t="shared" si="18"/>
        <v>0.34615384615384598</v>
      </c>
      <c r="R28" s="14">
        <v>0</v>
      </c>
      <c r="S28" s="21">
        <v>7.15583333333333E-3</v>
      </c>
      <c r="T28" s="21">
        <v>1.6666666666666701E-2</v>
      </c>
      <c r="U28" s="13">
        <v>0</v>
      </c>
      <c r="V28" s="14">
        <f t="shared" si="19"/>
        <v>0.72133869299629405</v>
      </c>
      <c r="W28" s="13">
        <v>0.23</v>
      </c>
      <c r="X28" s="42">
        <f t="shared" si="3"/>
        <v>0.49133869299629401</v>
      </c>
      <c r="Y28" s="44">
        <f t="shared" si="4"/>
        <v>2.3105188767064098E-2</v>
      </c>
      <c r="Z28" s="45">
        <f t="shared" si="5"/>
        <v>0.47987699746979201</v>
      </c>
      <c r="AA28" s="15">
        <f t="shared" si="6"/>
        <v>0.232384615384615</v>
      </c>
      <c r="AB28" s="45">
        <f t="shared" si="7"/>
        <v>0.322157424301387</v>
      </c>
      <c r="AC28" s="46">
        <f t="shared" si="8"/>
        <v>9.9202127971389602E-3</v>
      </c>
      <c r="AD28" s="46">
        <f t="shared" si="9"/>
        <v>0</v>
      </c>
      <c r="AE28" s="46">
        <f t="shared" si="10"/>
        <v>0.96573206636724795</v>
      </c>
      <c r="AF28" s="47">
        <v>78202</v>
      </c>
      <c r="AG28" s="137">
        <f t="shared" si="11"/>
        <v>0.90357265332865899</v>
      </c>
      <c r="AH28" s="52">
        <f t="shared" si="12"/>
        <v>70661.188635607803</v>
      </c>
      <c r="AI28" s="53">
        <f t="shared" si="13"/>
        <v>56410.128469696203</v>
      </c>
      <c r="AJ28" s="53">
        <f t="shared" si="14"/>
        <v>17986.46</v>
      </c>
      <c r="AK28" s="45">
        <f t="shared" si="15"/>
        <v>0.25263300319493798</v>
      </c>
      <c r="AL28" s="45">
        <f t="shared" si="16"/>
        <v>2.92857675360287</v>
      </c>
    </row>
    <row r="29" spans="1:38">
      <c r="A29" s="10">
        <v>25</v>
      </c>
      <c r="B29" s="11" t="s">
        <v>100</v>
      </c>
      <c r="C29" s="16" t="s">
        <v>101</v>
      </c>
      <c r="D29" s="13" t="s">
        <v>43</v>
      </c>
      <c r="E29" s="37">
        <v>0</v>
      </c>
      <c r="F29" s="37">
        <v>2.3500000000000001E-3</v>
      </c>
      <c r="G29" s="14">
        <v>15.309699999999999</v>
      </c>
      <c r="H29" s="38">
        <v>0.96</v>
      </c>
      <c r="I29" s="14">
        <f t="shared" si="17"/>
        <v>3.74768697916667E-2</v>
      </c>
      <c r="J29" s="13" t="s">
        <v>81</v>
      </c>
      <c r="K29" s="14">
        <v>65</v>
      </c>
      <c r="L29" s="41">
        <v>55.384615384615401</v>
      </c>
      <c r="M29" s="13">
        <v>1</v>
      </c>
      <c r="N29" s="13">
        <v>39.75</v>
      </c>
      <c r="O29" s="13">
        <v>0.76</v>
      </c>
      <c r="P29" s="13">
        <v>22.5</v>
      </c>
      <c r="Q29" s="14">
        <f t="shared" si="18"/>
        <v>0.34615384615384598</v>
      </c>
      <c r="R29" s="14">
        <v>0</v>
      </c>
      <c r="S29" s="21">
        <v>7.15583333333333E-3</v>
      </c>
      <c r="T29" s="21">
        <v>1.6666666666666701E-2</v>
      </c>
      <c r="U29" s="13">
        <v>0</v>
      </c>
      <c r="V29" s="14">
        <f t="shared" si="19"/>
        <v>0.73609022685046099</v>
      </c>
      <c r="W29" s="13">
        <v>0.26</v>
      </c>
      <c r="X29" s="42">
        <f t="shared" si="3"/>
        <v>0.47609022685046098</v>
      </c>
      <c r="Y29" s="44">
        <f t="shared" si="4"/>
        <v>2.2642151816060701E-2</v>
      </c>
      <c r="Z29" s="45">
        <f t="shared" si="5"/>
        <v>0.47026007617972099</v>
      </c>
      <c r="AA29" s="15">
        <f t="shared" si="6"/>
        <v>0.232384615384615</v>
      </c>
      <c r="AB29" s="45">
        <f t="shared" si="7"/>
        <v>0.31570126447531899</v>
      </c>
      <c r="AC29" s="46">
        <f t="shared" si="8"/>
        <v>9.7214078822256394E-3</v>
      </c>
      <c r="AD29" s="46">
        <f t="shared" si="9"/>
        <v>0</v>
      </c>
      <c r="AE29" s="46">
        <f t="shared" si="10"/>
        <v>0.94908658147518099</v>
      </c>
      <c r="AF29" s="47">
        <v>77246</v>
      </c>
      <c r="AG29" s="137">
        <f t="shared" si="11"/>
        <v>0.92217819152310399</v>
      </c>
      <c r="AH29" s="52">
        <f t="shared" si="12"/>
        <v>71234.576582393696</v>
      </c>
      <c r="AI29" s="53">
        <f t="shared" si="13"/>
        <v>56860.025663290697</v>
      </c>
      <c r="AJ29" s="53">
        <f t="shared" si="14"/>
        <v>20083.96</v>
      </c>
      <c r="AK29" s="45">
        <f t="shared" si="15"/>
        <v>0.25280591683558201</v>
      </c>
      <c r="AL29" s="45">
        <f t="shared" si="16"/>
        <v>2.5468391981657801</v>
      </c>
    </row>
    <row r="30" spans="1:38">
      <c r="A30" s="10">
        <v>26</v>
      </c>
      <c r="B30" s="11" t="s">
        <v>102</v>
      </c>
      <c r="C30" s="12" t="s">
        <v>103</v>
      </c>
      <c r="D30" s="13" t="s">
        <v>86</v>
      </c>
      <c r="E30" s="37">
        <v>2.5999999999999999E-2</v>
      </c>
      <c r="F30" s="37">
        <v>2.7300000000000001E-2</v>
      </c>
      <c r="G30" s="14">
        <v>13.716799999999999</v>
      </c>
      <c r="H30" s="38">
        <v>0.98</v>
      </c>
      <c r="I30" s="14">
        <f t="shared" si="17"/>
        <v>0.38211085714285697</v>
      </c>
      <c r="J30" s="13" t="s">
        <v>44</v>
      </c>
      <c r="K30" s="14">
        <v>60</v>
      </c>
      <c r="L30" s="41">
        <v>60</v>
      </c>
      <c r="M30" s="13">
        <v>2</v>
      </c>
      <c r="N30" s="13">
        <v>27.15</v>
      </c>
      <c r="O30" s="13">
        <v>0.76</v>
      </c>
      <c r="P30" s="13">
        <v>22.5</v>
      </c>
      <c r="Q30" s="14">
        <f t="shared" si="18"/>
        <v>0.1875</v>
      </c>
      <c r="R30" s="14">
        <v>0</v>
      </c>
      <c r="S30" s="21">
        <v>2.9348333333333299E-2</v>
      </c>
      <c r="T30" s="21">
        <v>6.6666666666666693E-2</v>
      </c>
      <c r="U30" s="13">
        <v>0</v>
      </c>
      <c r="V30" s="14">
        <f t="shared" si="19"/>
        <v>0.83856632798833797</v>
      </c>
      <c r="W30" s="13">
        <v>1.76</v>
      </c>
      <c r="X30" s="42">
        <f t="shared" si="3"/>
        <v>-0.92143367201166204</v>
      </c>
      <c r="Y30" s="44">
        <f t="shared" si="4"/>
        <v>7.9500767490384899E-2</v>
      </c>
      <c r="Z30" s="45">
        <f t="shared" si="5"/>
        <v>0.223595908566707</v>
      </c>
      <c r="AA30" s="15">
        <f t="shared" si="6"/>
        <v>8.5974999999999996E-2</v>
      </c>
      <c r="AB30" s="45">
        <f t="shared" si="7"/>
        <v>0.10252617727478799</v>
      </c>
      <c r="AC30" s="46">
        <f t="shared" si="8"/>
        <v>3.4998225368454601E-2</v>
      </c>
      <c r="AD30" s="46">
        <f t="shared" si="9"/>
        <v>0</v>
      </c>
      <c r="AE30" s="46">
        <f t="shared" si="10"/>
        <v>0.544328403861011</v>
      </c>
      <c r="AF30" s="47">
        <v>2385</v>
      </c>
      <c r="AG30" s="137">
        <f t="shared" si="11"/>
        <v>1.0325662244898</v>
      </c>
      <c r="AH30" s="52">
        <f t="shared" si="12"/>
        <v>2462.67044540816</v>
      </c>
      <c r="AI30" s="53">
        <f t="shared" si="13"/>
        <v>1999.98069225219</v>
      </c>
      <c r="AJ30" s="53">
        <f t="shared" si="14"/>
        <v>4197.6000000000004</v>
      </c>
      <c r="AK30" s="45">
        <f t="shared" si="15"/>
        <v>0.23134710997381699</v>
      </c>
      <c r="AL30" s="45">
        <f t="shared" si="16"/>
        <v>-0.41331464517625199</v>
      </c>
    </row>
    <row r="31" spans="1:38">
      <c r="A31" s="10">
        <v>27</v>
      </c>
      <c r="B31" s="11" t="s">
        <v>104</v>
      </c>
      <c r="C31" s="12" t="s">
        <v>105</v>
      </c>
      <c r="D31" s="13" t="s">
        <v>86</v>
      </c>
      <c r="E31" s="37">
        <v>1E-3</v>
      </c>
      <c r="F31" s="37">
        <v>1.0499999999999999E-3</v>
      </c>
      <c r="G31" s="14">
        <v>13.716799999999999</v>
      </c>
      <c r="H31" s="38">
        <v>0.98</v>
      </c>
      <c r="I31" s="14">
        <f t="shared" si="17"/>
        <v>1.4696571428571399E-2</v>
      </c>
      <c r="J31" s="13" t="s">
        <v>44</v>
      </c>
      <c r="K31" s="14">
        <v>60</v>
      </c>
      <c r="L31" s="41">
        <v>60</v>
      </c>
      <c r="M31" s="13">
        <v>2</v>
      </c>
      <c r="N31" s="13">
        <v>27.15</v>
      </c>
      <c r="O31" s="13">
        <v>0.76</v>
      </c>
      <c r="P31" s="13">
        <v>22.5</v>
      </c>
      <c r="Q31" s="14">
        <f t="shared" si="18"/>
        <v>0.1875</v>
      </c>
      <c r="R31" s="14">
        <v>0</v>
      </c>
      <c r="S31" s="21">
        <v>4.77055555555556E-3</v>
      </c>
      <c r="T31" s="21">
        <v>1.1111111111111099E-2</v>
      </c>
      <c r="U31" s="13">
        <v>0</v>
      </c>
      <c r="V31" s="14">
        <f t="shared" si="19"/>
        <v>0.34228007920310999</v>
      </c>
      <c r="W31" s="13">
        <v>0.08</v>
      </c>
      <c r="X31" s="42">
        <f t="shared" si="3"/>
        <v>0.26228007920310997</v>
      </c>
      <c r="Y31" s="44">
        <f t="shared" si="4"/>
        <v>3.24620443497027E-2</v>
      </c>
      <c r="Z31" s="45">
        <f t="shared" si="5"/>
        <v>0.54779699840123297</v>
      </c>
      <c r="AA31" s="15">
        <f t="shared" si="6"/>
        <v>8.5974999999999996E-2</v>
      </c>
      <c r="AB31" s="45">
        <f t="shared" si="7"/>
        <v>0.251183183666912</v>
      </c>
      <c r="AC31" s="46">
        <f t="shared" si="8"/>
        <v>1.3937578741544899E-2</v>
      </c>
      <c r="AD31" s="46">
        <f t="shared" si="9"/>
        <v>0</v>
      </c>
      <c r="AE31" s="46">
        <f t="shared" si="10"/>
        <v>0.95706273218474303</v>
      </c>
      <c r="AF31" s="47">
        <v>1200</v>
      </c>
      <c r="AG31" s="137">
        <f t="shared" si="11"/>
        <v>0.42755534013605401</v>
      </c>
      <c r="AH31" s="52">
        <f t="shared" si="12"/>
        <v>513.06640816326501</v>
      </c>
      <c r="AI31" s="53">
        <f t="shared" si="13"/>
        <v>410.73609504373201</v>
      </c>
      <c r="AJ31" s="53">
        <f t="shared" si="14"/>
        <v>96</v>
      </c>
      <c r="AK31" s="45">
        <f t="shared" si="15"/>
        <v>0.24913883721039401</v>
      </c>
      <c r="AL31" s="45">
        <f t="shared" si="16"/>
        <v>4.3444417517006801</v>
      </c>
    </row>
    <row r="32" spans="1:38">
      <c r="A32" s="10">
        <v>28</v>
      </c>
      <c r="B32" s="11" t="s">
        <v>106</v>
      </c>
      <c r="C32" s="12" t="s">
        <v>107</v>
      </c>
      <c r="D32" s="13" t="s">
        <v>43</v>
      </c>
      <c r="E32" s="37">
        <v>8.9999999999999993E-3</v>
      </c>
      <c r="F32" s="37">
        <v>9.7199999999999995E-3</v>
      </c>
      <c r="G32" s="14">
        <v>15.309699999999999</v>
      </c>
      <c r="H32" s="38">
        <v>0.9</v>
      </c>
      <c r="I32" s="14">
        <f t="shared" si="17"/>
        <v>0.16534476000000001</v>
      </c>
      <c r="J32" s="13" t="s">
        <v>47</v>
      </c>
      <c r="K32" s="14">
        <v>60</v>
      </c>
      <c r="L32" s="41">
        <v>60</v>
      </c>
      <c r="M32" s="13">
        <v>2</v>
      </c>
      <c r="N32" s="13">
        <v>21.2</v>
      </c>
      <c r="O32" s="13">
        <v>0.76</v>
      </c>
      <c r="P32" s="13">
        <v>22.5</v>
      </c>
      <c r="Q32" s="14">
        <f t="shared" si="18"/>
        <v>0.1875</v>
      </c>
      <c r="R32" s="14">
        <v>0</v>
      </c>
      <c r="S32" s="21">
        <v>7.02483333333333E-3</v>
      </c>
      <c r="T32" s="21">
        <v>1.6666666666666701E-2</v>
      </c>
      <c r="U32" s="13">
        <v>0</v>
      </c>
      <c r="V32" s="14">
        <f t="shared" si="19"/>
        <v>0.54166448177777804</v>
      </c>
      <c r="W32" s="13">
        <v>1.35</v>
      </c>
      <c r="X32" s="42">
        <f t="shared" si="3"/>
        <v>-0.80833551822222205</v>
      </c>
      <c r="Y32" s="44">
        <f t="shared" si="4"/>
        <v>3.0769354881763002E-2</v>
      </c>
      <c r="Z32" s="45">
        <f t="shared" si="5"/>
        <v>0.34615524241983298</v>
      </c>
      <c r="AA32" s="15">
        <f t="shared" si="6"/>
        <v>6.7133333333333295E-2</v>
      </c>
      <c r="AB32" s="45">
        <f t="shared" si="7"/>
        <v>0.123938961463741</v>
      </c>
      <c r="AC32" s="46">
        <f t="shared" si="8"/>
        <v>1.29689753891143E-2</v>
      </c>
      <c r="AD32" s="46">
        <f t="shared" si="9"/>
        <v>0</v>
      </c>
      <c r="AE32" s="46">
        <f t="shared" si="10"/>
        <v>0.69474690410320505</v>
      </c>
      <c r="AF32" s="47">
        <v>1000</v>
      </c>
      <c r="AG32" s="137">
        <f t="shared" si="11"/>
        <v>0.67699075629629601</v>
      </c>
      <c r="AH32" s="52">
        <f t="shared" si="12"/>
        <v>676.99075629629601</v>
      </c>
      <c r="AI32" s="53">
        <f t="shared" si="13"/>
        <v>541.66448177777795</v>
      </c>
      <c r="AJ32" s="53">
        <f t="shared" si="14"/>
        <v>1350</v>
      </c>
      <c r="AK32" s="45">
        <f t="shared" si="15"/>
        <v>0.24983412992922999</v>
      </c>
      <c r="AL32" s="45">
        <f t="shared" si="16"/>
        <v>-0.49852536570644701</v>
      </c>
    </row>
    <row r="33" spans="1:38">
      <c r="A33" s="10">
        <v>29</v>
      </c>
      <c r="B33" s="11" t="s">
        <v>108</v>
      </c>
      <c r="C33" s="12" t="s">
        <v>109</v>
      </c>
      <c r="D33" s="13" t="s">
        <v>43</v>
      </c>
      <c r="E33" s="37">
        <v>2E-3</v>
      </c>
      <c r="F33" s="37">
        <v>2.14E-3</v>
      </c>
      <c r="G33" s="14">
        <v>15.309699999999999</v>
      </c>
      <c r="H33" s="38">
        <v>0.98</v>
      </c>
      <c r="I33" s="14">
        <f t="shared" si="17"/>
        <v>3.3431385714285701E-2</v>
      </c>
      <c r="J33" s="13" t="s">
        <v>44</v>
      </c>
      <c r="K33" s="14">
        <v>65.454545454545496</v>
      </c>
      <c r="L33" s="41">
        <v>55</v>
      </c>
      <c r="M33" s="13">
        <v>4</v>
      </c>
      <c r="N33" s="13">
        <v>27.15</v>
      </c>
      <c r="O33" s="13">
        <v>0.76</v>
      </c>
      <c r="P33" s="13">
        <v>22.5</v>
      </c>
      <c r="Q33" s="14">
        <f t="shared" si="18"/>
        <v>8.5937499999999903E-2</v>
      </c>
      <c r="R33" s="14">
        <v>0</v>
      </c>
      <c r="S33" s="21">
        <v>7.02483333333333E-3</v>
      </c>
      <c r="T33" s="21">
        <v>1.6666666666666701E-2</v>
      </c>
      <c r="U33" s="13">
        <v>0</v>
      </c>
      <c r="V33" s="14">
        <f t="shared" si="19"/>
        <v>0.20352746366618099</v>
      </c>
      <c r="W33" s="13">
        <v>0.19</v>
      </c>
      <c r="X33" s="42">
        <f t="shared" si="3"/>
        <v>1.3527463666180999E-2</v>
      </c>
      <c r="Y33" s="44">
        <f t="shared" si="4"/>
        <v>8.1889030435729399E-2</v>
      </c>
      <c r="Z33" s="45">
        <f t="shared" si="5"/>
        <v>0.422240313184228</v>
      </c>
      <c r="AA33" s="15">
        <f t="shared" si="6"/>
        <v>3.9405208333333303E-2</v>
      </c>
      <c r="AB33" s="45">
        <f t="shared" si="7"/>
        <v>0.19361125827207501</v>
      </c>
      <c r="AC33" s="46">
        <f t="shared" si="8"/>
        <v>3.4515407438355503E-2</v>
      </c>
      <c r="AD33" s="46">
        <f t="shared" si="9"/>
        <v>0</v>
      </c>
      <c r="AE33" s="46">
        <f t="shared" si="10"/>
        <v>0.835740174264055</v>
      </c>
      <c r="AF33" s="47"/>
      <c r="AG33" s="137">
        <f t="shared" si="11"/>
        <v>0.25051163435374102</v>
      </c>
      <c r="AH33" s="52">
        <f t="shared" si="12"/>
        <v>0</v>
      </c>
      <c r="AI33" s="53">
        <f t="shared" si="13"/>
        <v>0</v>
      </c>
      <c r="AJ33" s="53">
        <f t="shared" si="14"/>
        <v>0</v>
      </c>
      <c r="AK33" s="45">
        <f t="shared" si="15"/>
        <v>0.23084929100586801</v>
      </c>
      <c r="AL33" s="45">
        <f t="shared" si="16"/>
        <v>0.31848228607232298</v>
      </c>
    </row>
    <row r="34" spans="1:38">
      <c r="A34" s="10">
        <v>30</v>
      </c>
      <c r="B34" s="11" t="s">
        <v>110</v>
      </c>
      <c r="C34" s="12" t="s">
        <v>111</v>
      </c>
      <c r="D34" s="13" t="s">
        <v>43</v>
      </c>
      <c r="E34" s="37">
        <v>3.0000000000000001E-3</v>
      </c>
      <c r="F34" s="37">
        <v>3.2100000000000002E-3</v>
      </c>
      <c r="G34" s="14">
        <v>15.309699999999999</v>
      </c>
      <c r="H34" s="38">
        <v>0.98</v>
      </c>
      <c r="I34" s="14">
        <f t="shared" si="17"/>
        <v>5.0147078571428597E-2</v>
      </c>
      <c r="J34" s="13" t="s">
        <v>44</v>
      </c>
      <c r="K34" s="14">
        <v>65.454545454545496</v>
      </c>
      <c r="L34" s="41">
        <v>55</v>
      </c>
      <c r="M34" s="13">
        <v>4</v>
      </c>
      <c r="N34" s="13">
        <v>27.15</v>
      </c>
      <c r="O34" s="13">
        <v>0.76</v>
      </c>
      <c r="P34" s="13">
        <v>22.5</v>
      </c>
      <c r="Q34" s="14">
        <f t="shared" si="18"/>
        <v>8.5937499999999903E-2</v>
      </c>
      <c r="R34" s="14">
        <v>0</v>
      </c>
      <c r="S34" s="21">
        <v>7.02483333333333E-3</v>
      </c>
      <c r="T34" s="21">
        <v>1.6666666666666701E-2</v>
      </c>
      <c r="U34" s="13">
        <v>0</v>
      </c>
      <c r="V34" s="14">
        <f t="shared" si="19"/>
        <v>0.22246054435131199</v>
      </c>
      <c r="W34" s="13">
        <v>0.2</v>
      </c>
      <c r="X34" s="42">
        <f t="shared" si="3"/>
        <v>2.2460544351311999E-2</v>
      </c>
      <c r="Y34" s="44">
        <f t="shared" si="4"/>
        <v>7.4919652450128493E-2</v>
      </c>
      <c r="Z34" s="45">
        <f t="shared" si="5"/>
        <v>0.38630445794597401</v>
      </c>
      <c r="AA34" s="15">
        <f t="shared" si="6"/>
        <v>3.9405208333333303E-2</v>
      </c>
      <c r="AB34" s="45">
        <f t="shared" si="7"/>
        <v>0.17713347078349401</v>
      </c>
      <c r="AC34" s="46">
        <f t="shared" si="8"/>
        <v>3.1577884311204597E-2</v>
      </c>
      <c r="AD34" s="46">
        <f t="shared" si="9"/>
        <v>0</v>
      </c>
      <c r="AE34" s="46">
        <f t="shared" si="10"/>
        <v>0.77457989812235695</v>
      </c>
      <c r="AF34" s="47"/>
      <c r="AG34" s="137">
        <f t="shared" si="11"/>
        <v>0.274391195578231</v>
      </c>
      <c r="AH34" s="52">
        <f t="shared" si="12"/>
        <v>0</v>
      </c>
      <c r="AI34" s="53">
        <f t="shared" si="13"/>
        <v>0</v>
      </c>
      <c r="AJ34" s="53">
        <f t="shared" si="14"/>
        <v>0</v>
      </c>
      <c r="AK34" s="45">
        <f t="shared" si="15"/>
        <v>0.23343758048577701</v>
      </c>
      <c r="AL34" s="45">
        <f t="shared" si="16"/>
        <v>0.37195597789115598</v>
      </c>
    </row>
    <row r="35" spans="1:38">
      <c r="A35" s="10">
        <v>31</v>
      </c>
      <c r="B35" s="11" t="s">
        <v>112</v>
      </c>
      <c r="C35" s="12" t="s">
        <v>113</v>
      </c>
      <c r="D35" s="13" t="s">
        <v>43</v>
      </c>
      <c r="E35" s="37">
        <v>2E-3</v>
      </c>
      <c r="F35" s="37">
        <v>2.14E-3</v>
      </c>
      <c r="G35" s="14">
        <v>15.309699999999999</v>
      </c>
      <c r="H35" s="38">
        <v>0.98</v>
      </c>
      <c r="I35" s="14">
        <f t="shared" si="17"/>
        <v>3.3431385714285701E-2</v>
      </c>
      <c r="J35" s="13" t="s">
        <v>44</v>
      </c>
      <c r="K35" s="14">
        <v>65.454545454545496</v>
      </c>
      <c r="L35" s="41">
        <v>55</v>
      </c>
      <c r="M35" s="13">
        <v>4</v>
      </c>
      <c r="N35" s="13">
        <v>27.15</v>
      </c>
      <c r="O35" s="13">
        <v>0.76</v>
      </c>
      <c r="P35" s="13">
        <v>22.5</v>
      </c>
      <c r="Q35" s="14">
        <f t="shared" si="18"/>
        <v>8.5937499999999903E-2</v>
      </c>
      <c r="R35" s="14">
        <v>0</v>
      </c>
      <c r="S35" s="21">
        <v>7.02483333333333E-3</v>
      </c>
      <c r="T35" s="21">
        <v>1.6666666666666701E-2</v>
      </c>
      <c r="U35" s="13">
        <v>0</v>
      </c>
      <c r="V35" s="14">
        <f t="shared" si="19"/>
        <v>0.20352746366618099</v>
      </c>
      <c r="W35" s="13">
        <v>0.19</v>
      </c>
      <c r="X35" s="42">
        <f t="shared" si="3"/>
        <v>1.3527463666180999E-2</v>
      </c>
      <c r="Y35" s="44">
        <f t="shared" si="4"/>
        <v>8.1889030435729399E-2</v>
      </c>
      <c r="Z35" s="45">
        <f t="shared" si="5"/>
        <v>0.422240313184228</v>
      </c>
      <c r="AA35" s="15">
        <f t="shared" si="6"/>
        <v>3.9405208333333303E-2</v>
      </c>
      <c r="AB35" s="45">
        <f t="shared" si="7"/>
        <v>0.19361125827207501</v>
      </c>
      <c r="AC35" s="46">
        <f t="shared" si="8"/>
        <v>3.4515407438355503E-2</v>
      </c>
      <c r="AD35" s="46">
        <f t="shared" si="9"/>
        <v>0</v>
      </c>
      <c r="AE35" s="46">
        <f t="shared" si="10"/>
        <v>0.835740174264055</v>
      </c>
      <c r="AF35" s="47"/>
      <c r="AG35" s="137">
        <f t="shared" si="11"/>
        <v>0.25051163435374102</v>
      </c>
      <c r="AH35" s="52">
        <f t="shared" si="12"/>
        <v>0</v>
      </c>
      <c r="AI35" s="53">
        <f t="shared" si="13"/>
        <v>0</v>
      </c>
      <c r="AJ35" s="53">
        <f t="shared" si="14"/>
        <v>0</v>
      </c>
      <c r="AK35" s="45">
        <f t="shared" si="15"/>
        <v>0.23084929100586801</v>
      </c>
      <c r="AL35" s="45">
        <f t="shared" si="16"/>
        <v>0.31848228607232298</v>
      </c>
    </row>
    <row r="36" spans="1:38">
      <c r="A36" s="10">
        <v>32</v>
      </c>
      <c r="B36" s="11" t="s">
        <v>114</v>
      </c>
      <c r="C36" s="12" t="s">
        <v>115</v>
      </c>
      <c r="D36" s="13" t="s">
        <v>43</v>
      </c>
      <c r="E36" s="37">
        <v>1E-3</v>
      </c>
      <c r="F36" s="37">
        <v>1.07E-3</v>
      </c>
      <c r="G36" s="14">
        <v>15.309699999999999</v>
      </c>
      <c r="H36" s="38">
        <v>0.98</v>
      </c>
      <c r="I36" s="14">
        <f t="shared" si="17"/>
        <v>1.6715692857142899E-2</v>
      </c>
      <c r="J36" s="13" t="s">
        <v>44</v>
      </c>
      <c r="K36" s="14">
        <v>65.454545454545496</v>
      </c>
      <c r="L36" s="41">
        <v>55</v>
      </c>
      <c r="M36" s="13">
        <v>4</v>
      </c>
      <c r="N36" s="13">
        <v>27.15</v>
      </c>
      <c r="O36" s="13">
        <v>0.76</v>
      </c>
      <c r="P36" s="13">
        <v>22.5</v>
      </c>
      <c r="Q36" s="14">
        <f t="shared" si="18"/>
        <v>8.5937499999999903E-2</v>
      </c>
      <c r="R36" s="14">
        <v>0</v>
      </c>
      <c r="S36" s="21">
        <v>7.02483333333333E-3</v>
      </c>
      <c r="T36" s="21">
        <v>1.6666666666666701E-2</v>
      </c>
      <c r="U36" s="13">
        <v>0</v>
      </c>
      <c r="V36" s="14">
        <f t="shared" si="19"/>
        <v>0.18459438298104999</v>
      </c>
      <c r="W36" s="13">
        <v>0.17</v>
      </c>
      <c r="X36" s="42">
        <f t="shared" si="3"/>
        <v>1.4594382981049999E-2</v>
      </c>
      <c r="Y36" s="44">
        <f t="shared" si="4"/>
        <v>9.0288048842621899E-2</v>
      </c>
      <c r="Z36" s="45">
        <f t="shared" si="5"/>
        <v>0.46554775184476799</v>
      </c>
      <c r="AA36" s="15">
        <f t="shared" si="6"/>
        <v>3.9405208333333303E-2</v>
      </c>
      <c r="AB36" s="45">
        <f t="shared" si="7"/>
        <v>0.21346916247922099</v>
      </c>
      <c r="AC36" s="46">
        <f t="shared" si="8"/>
        <v>3.80555097066766E-2</v>
      </c>
      <c r="AD36" s="46">
        <f t="shared" si="9"/>
        <v>0</v>
      </c>
      <c r="AE36" s="46">
        <f t="shared" si="10"/>
        <v>0.90944636241256105</v>
      </c>
      <c r="AF36" s="47"/>
      <c r="AG36" s="137">
        <f t="shared" si="11"/>
        <v>0.22663207312925199</v>
      </c>
      <c r="AH36" s="52">
        <f t="shared" si="12"/>
        <v>0</v>
      </c>
      <c r="AI36" s="53">
        <f t="shared" si="13"/>
        <v>0</v>
      </c>
      <c r="AJ36" s="53">
        <f t="shared" si="14"/>
        <v>0</v>
      </c>
      <c r="AK36" s="45">
        <f t="shared" si="15"/>
        <v>0.22773006127991</v>
      </c>
      <c r="AL36" s="45">
        <f t="shared" si="16"/>
        <v>0.33312984193677397</v>
      </c>
    </row>
    <row r="37" spans="1:38">
      <c r="A37" s="10">
        <v>33</v>
      </c>
      <c r="B37" s="11" t="s">
        <v>116</v>
      </c>
      <c r="C37" s="16" t="s">
        <v>117</v>
      </c>
      <c r="D37" s="13" t="s">
        <v>43</v>
      </c>
      <c r="E37" s="37">
        <v>2E-3</v>
      </c>
      <c r="F37" s="37">
        <v>2.14E-3</v>
      </c>
      <c r="G37" s="14">
        <v>15.309699999999999</v>
      </c>
      <c r="H37" s="38">
        <v>0.98</v>
      </c>
      <c r="I37" s="14">
        <f t="shared" si="17"/>
        <v>3.3431385714285701E-2</v>
      </c>
      <c r="J37" s="13" t="s">
        <v>47</v>
      </c>
      <c r="K37" s="14">
        <v>65.454545454545496</v>
      </c>
      <c r="L37" s="41">
        <v>55</v>
      </c>
      <c r="M37" s="13">
        <v>2</v>
      </c>
      <c r="N37" s="13">
        <v>21.2</v>
      </c>
      <c r="O37" s="13">
        <v>0.76</v>
      </c>
      <c r="P37" s="13">
        <v>22.5</v>
      </c>
      <c r="Q37" s="14">
        <f t="shared" si="18"/>
        <v>0.171875</v>
      </c>
      <c r="R37" s="14">
        <v>0</v>
      </c>
      <c r="S37" s="21">
        <v>2.8067533333333301E-3</v>
      </c>
      <c r="T37" s="21">
        <v>6.6666666666666697E-3</v>
      </c>
      <c r="U37" s="13">
        <v>0</v>
      </c>
      <c r="V37" s="14">
        <f t="shared" si="19"/>
        <v>0.31171653715257502</v>
      </c>
      <c r="W37" s="13">
        <v>0.27</v>
      </c>
      <c r="X37" s="42">
        <f t="shared" si="3"/>
        <v>4.1716537152574999E-2</v>
      </c>
      <c r="Y37" s="44">
        <f t="shared" si="4"/>
        <v>2.1386952157124599E-2</v>
      </c>
      <c r="Z37" s="45">
        <f t="shared" si="5"/>
        <v>0.55138236030086796</v>
      </c>
      <c r="AA37" s="15">
        <f t="shared" si="6"/>
        <v>6.1538888888888803E-2</v>
      </c>
      <c r="AB37" s="45">
        <f t="shared" si="7"/>
        <v>0.19741939087039001</v>
      </c>
      <c r="AC37" s="46">
        <f t="shared" si="8"/>
        <v>9.0041848885274792E-3</v>
      </c>
      <c r="AD37" s="46">
        <f t="shared" si="9"/>
        <v>0</v>
      </c>
      <c r="AE37" s="46">
        <f t="shared" si="10"/>
        <v>0.89275068297732896</v>
      </c>
      <c r="AF37" s="47">
        <v>69020</v>
      </c>
      <c r="AG37" s="137">
        <f t="shared" si="11"/>
        <v>0.39068095514739198</v>
      </c>
      <c r="AH37" s="52">
        <f t="shared" si="12"/>
        <v>26964.799524272999</v>
      </c>
      <c r="AI37" s="53">
        <f t="shared" si="13"/>
        <v>21514.6753942707</v>
      </c>
      <c r="AJ37" s="53">
        <f t="shared" si="14"/>
        <v>18635.400000000001</v>
      </c>
      <c r="AK37" s="45">
        <f t="shared" si="15"/>
        <v>0.25332123446555099</v>
      </c>
      <c r="AL37" s="45">
        <f t="shared" si="16"/>
        <v>0.44696650054589698</v>
      </c>
    </row>
    <row r="38" spans="1:38">
      <c r="A38" s="10">
        <v>34</v>
      </c>
      <c r="B38" s="11" t="s">
        <v>118</v>
      </c>
      <c r="C38" s="12" t="s">
        <v>119</v>
      </c>
      <c r="D38" s="13" t="s">
        <v>59</v>
      </c>
      <c r="E38" s="37">
        <v>0</v>
      </c>
      <c r="F38" s="37">
        <v>1.52125E-2</v>
      </c>
      <c r="G38" s="14">
        <v>18.584099999999999</v>
      </c>
      <c r="H38" s="38">
        <v>0.96</v>
      </c>
      <c r="I38" s="14">
        <f t="shared" si="17"/>
        <v>0.29449023046875</v>
      </c>
      <c r="J38" s="13" t="s">
        <v>120</v>
      </c>
      <c r="K38" s="14">
        <v>60</v>
      </c>
      <c r="L38" s="41">
        <v>60</v>
      </c>
      <c r="M38" s="13">
        <v>4</v>
      </c>
      <c r="N38" s="13">
        <v>39.75</v>
      </c>
      <c r="O38" s="13">
        <v>0.76</v>
      </c>
      <c r="P38" s="13">
        <v>22.5</v>
      </c>
      <c r="Q38" s="14">
        <f t="shared" si="18"/>
        <v>9.375E-2</v>
      </c>
      <c r="R38" s="14">
        <v>0</v>
      </c>
      <c r="S38" s="21">
        <v>2.1031000000000001E-2</v>
      </c>
      <c r="T38" s="21">
        <v>0.05</v>
      </c>
      <c r="U38" s="13">
        <v>0</v>
      </c>
      <c r="V38" s="14">
        <f t="shared" si="19"/>
        <v>0.59270525085449199</v>
      </c>
      <c r="W38" s="13">
        <v>0.75</v>
      </c>
      <c r="X38" s="42">
        <f t="shared" ref="X38:X69" si="20">V38-W38</f>
        <v>-0.15729474914550801</v>
      </c>
      <c r="Y38" s="44">
        <f t="shared" ref="Y38:Y69" si="21">T38/V38</f>
        <v>8.4358962448731395E-2</v>
      </c>
      <c r="Z38" s="45">
        <f t="shared" ref="Z38:Z69" si="22">Q38/V38</f>
        <v>0.15817305459137099</v>
      </c>
      <c r="AA38" s="15">
        <f t="shared" ref="AA38:AA69" si="23">(N38*O38/K38/M38)/2</f>
        <v>6.2937499999999993E-2</v>
      </c>
      <c r="AB38" s="45">
        <f t="shared" ref="AB38:AB69" si="24">AA38/V38</f>
        <v>0.106186843982341</v>
      </c>
      <c r="AC38" s="46">
        <f t="shared" ref="AC38:AC69" si="25">S38/V38</f>
        <v>3.5483066785185403E-2</v>
      </c>
      <c r="AD38" s="46">
        <f t="shared" ref="AD38:AD69" si="26">U38/V38</f>
        <v>0</v>
      </c>
      <c r="AE38" s="46">
        <f t="shared" ref="AE38:AE69" si="27">1-I38/V38</f>
        <v>0.50314219412736905</v>
      </c>
      <c r="AF38" s="47">
        <v>29366</v>
      </c>
      <c r="AG38" s="137">
        <f t="shared" si="11"/>
        <v>0.72899852360025996</v>
      </c>
      <c r="AH38" s="52">
        <f t="shared" ref="AH38:AH69" si="28">AG38*AF38</f>
        <v>21407.770644045198</v>
      </c>
      <c r="AI38" s="53">
        <f t="shared" ref="AI38:AI69" si="29">V38*AF38</f>
        <v>17405.382396592999</v>
      </c>
      <c r="AJ38" s="53">
        <f t="shared" ref="AJ38:AJ69" si="30">W38*AF38</f>
        <v>22024.5</v>
      </c>
      <c r="AK38" s="45">
        <f t="shared" ref="AK38:AK69" si="31">(AG38-V38)/V38</f>
        <v>0.22995118155149999</v>
      </c>
      <c r="AL38" s="45">
        <f t="shared" ref="AL38:AL69" si="32">(AG38-W38)/W38</f>
        <v>-2.8001968532986098E-2</v>
      </c>
    </row>
    <row r="39" spans="1:38" ht="27">
      <c r="A39" s="10">
        <v>35</v>
      </c>
      <c r="B39" s="11" t="s">
        <v>121</v>
      </c>
      <c r="C39" s="12" t="s">
        <v>122</v>
      </c>
      <c r="D39" s="13" t="s">
        <v>59</v>
      </c>
      <c r="E39" s="37">
        <v>3.0000000000000001E-3</v>
      </c>
      <c r="F39" s="37">
        <v>3.0333000000000001E-3</v>
      </c>
      <c r="G39" s="14">
        <v>18.584099999999999</v>
      </c>
      <c r="H39" s="38">
        <v>0.98</v>
      </c>
      <c r="I39" s="14">
        <f t="shared" si="17"/>
        <v>5.75215821734694E-2</v>
      </c>
      <c r="J39" s="13" t="s">
        <v>120</v>
      </c>
      <c r="K39" s="14">
        <v>65.454545454545496</v>
      </c>
      <c r="L39" s="41">
        <v>55</v>
      </c>
      <c r="M39" s="13">
        <v>3</v>
      </c>
      <c r="N39" s="13">
        <v>39.75</v>
      </c>
      <c r="O39" s="13">
        <v>0.76</v>
      </c>
      <c r="P39" s="13">
        <v>22.5</v>
      </c>
      <c r="Q39" s="14">
        <f t="shared" si="18"/>
        <v>0.114583333333333</v>
      </c>
      <c r="R39" s="14">
        <v>0</v>
      </c>
      <c r="S39" s="21">
        <v>4.6832222222222197E-3</v>
      </c>
      <c r="T39" s="21">
        <v>1.1111111111111099E-2</v>
      </c>
      <c r="U39" s="13">
        <v>0.2</v>
      </c>
      <c r="V39" s="14">
        <f t="shared" si="19"/>
        <v>0.49785725633933797</v>
      </c>
      <c r="W39" s="13">
        <v>0.21</v>
      </c>
      <c r="X39" s="42">
        <f t="shared" si="20"/>
        <v>0.28785725633933801</v>
      </c>
      <c r="Y39" s="44">
        <f t="shared" si="21"/>
        <v>2.23178651503631E-2</v>
      </c>
      <c r="Z39" s="45">
        <f t="shared" si="22"/>
        <v>0.23015298436311901</v>
      </c>
      <c r="AA39" s="15">
        <f t="shared" si="23"/>
        <v>7.6923611111111095E-2</v>
      </c>
      <c r="AB39" s="45">
        <f t="shared" si="24"/>
        <v>0.15450937016910801</v>
      </c>
      <c r="AC39" s="46">
        <f t="shared" si="25"/>
        <v>9.4067569822265506E-3</v>
      </c>
      <c r="AD39" s="46">
        <f t="shared" si="26"/>
        <v>0.40172157270653602</v>
      </c>
      <c r="AE39" s="46">
        <f t="shared" si="27"/>
        <v>0.88446169772352801</v>
      </c>
      <c r="AF39" s="47">
        <v>18895</v>
      </c>
      <c r="AG39" s="137">
        <f t="shared" si="11"/>
        <v>0.57154937135892403</v>
      </c>
      <c r="AH39" s="52">
        <f t="shared" si="28"/>
        <v>10799.425371826899</v>
      </c>
      <c r="AI39" s="53">
        <f t="shared" si="29"/>
        <v>9407.0128585317907</v>
      </c>
      <c r="AJ39" s="53">
        <f t="shared" si="30"/>
        <v>3967.95</v>
      </c>
      <c r="AK39" s="45">
        <f t="shared" si="31"/>
        <v>0.14801856170869501</v>
      </c>
      <c r="AL39" s="45">
        <f t="shared" si="32"/>
        <v>1.7216636731377299</v>
      </c>
    </row>
    <row r="40" spans="1:38" ht="27">
      <c r="A40" s="10">
        <v>36</v>
      </c>
      <c r="B40" s="11" t="s">
        <v>123</v>
      </c>
      <c r="C40" s="12" t="s">
        <v>124</v>
      </c>
      <c r="D40" s="13" t="s">
        <v>59</v>
      </c>
      <c r="E40" s="37">
        <v>3.0000000000000001E-3</v>
      </c>
      <c r="F40" s="37">
        <v>3.0333000000000001E-3</v>
      </c>
      <c r="G40" s="14">
        <v>18.584099999999999</v>
      </c>
      <c r="H40" s="38">
        <v>0.98</v>
      </c>
      <c r="I40" s="14">
        <f t="shared" si="17"/>
        <v>5.75215821734694E-2</v>
      </c>
      <c r="J40" s="13" t="s">
        <v>120</v>
      </c>
      <c r="K40" s="14">
        <v>65.454545454545496</v>
      </c>
      <c r="L40" s="41">
        <v>55</v>
      </c>
      <c r="M40" s="13">
        <v>3</v>
      </c>
      <c r="N40" s="13">
        <v>39.75</v>
      </c>
      <c r="O40" s="13">
        <v>0.76</v>
      </c>
      <c r="P40" s="13">
        <v>22.5</v>
      </c>
      <c r="Q40" s="14">
        <f t="shared" si="18"/>
        <v>0.114583333333333</v>
      </c>
      <c r="R40" s="14">
        <v>0</v>
      </c>
      <c r="S40" s="21">
        <v>4.6832222222222197E-3</v>
      </c>
      <c r="T40" s="21">
        <v>1.1111111111111099E-2</v>
      </c>
      <c r="U40" s="13">
        <v>0.2</v>
      </c>
      <c r="V40" s="14">
        <f t="shared" si="19"/>
        <v>0.49785725633933797</v>
      </c>
      <c r="W40" s="13">
        <v>0.21</v>
      </c>
      <c r="X40" s="42">
        <f t="shared" si="20"/>
        <v>0.28785725633933801</v>
      </c>
      <c r="Y40" s="44">
        <f t="shared" si="21"/>
        <v>2.23178651503631E-2</v>
      </c>
      <c r="Z40" s="45">
        <f t="shared" si="22"/>
        <v>0.23015298436311901</v>
      </c>
      <c r="AA40" s="15">
        <f t="shared" si="23"/>
        <v>7.6923611111111095E-2</v>
      </c>
      <c r="AB40" s="45">
        <f t="shared" si="24"/>
        <v>0.15450937016910801</v>
      </c>
      <c r="AC40" s="46">
        <f t="shared" si="25"/>
        <v>9.4067569822265506E-3</v>
      </c>
      <c r="AD40" s="46">
        <f t="shared" si="26"/>
        <v>0.40172157270653602</v>
      </c>
      <c r="AE40" s="46">
        <f t="shared" si="27"/>
        <v>0.88446169772352801</v>
      </c>
      <c r="AF40" s="47">
        <v>21830</v>
      </c>
      <c r="AG40" s="137">
        <f t="shared" si="11"/>
        <v>0.57154937135892403</v>
      </c>
      <c r="AH40" s="52">
        <f t="shared" si="28"/>
        <v>12476.922776765299</v>
      </c>
      <c r="AI40" s="53">
        <f t="shared" si="29"/>
        <v>10868.2239058877</v>
      </c>
      <c r="AJ40" s="53">
        <f t="shared" si="30"/>
        <v>4584.3</v>
      </c>
      <c r="AK40" s="45">
        <f t="shared" si="31"/>
        <v>0.14801856170869501</v>
      </c>
      <c r="AL40" s="45">
        <f t="shared" si="32"/>
        <v>1.7216636731377299</v>
      </c>
    </row>
    <row r="41" spans="1:38" ht="27">
      <c r="A41" s="10">
        <v>37</v>
      </c>
      <c r="B41" s="11" t="s">
        <v>125</v>
      </c>
      <c r="C41" s="12" t="s">
        <v>126</v>
      </c>
      <c r="D41" s="13" t="s">
        <v>59</v>
      </c>
      <c r="E41" s="37">
        <v>3.0000000000000001E-3</v>
      </c>
      <c r="F41" s="37">
        <v>3.0333000000000001E-3</v>
      </c>
      <c r="G41" s="14">
        <v>18.584099999999999</v>
      </c>
      <c r="H41" s="38">
        <v>0.98</v>
      </c>
      <c r="I41" s="14">
        <f t="shared" si="17"/>
        <v>5.75215821734694E-2</v>
      </c>
      <c r="J41" s="13" t="s">
        <v>120</v>
      </c>
      <c r="K41" s="14">
        <v>65.454545454545496</v>
      </c>
      <c r="L41" s="41">
        <v>55</v>
      </c>
      <c r="M41" s="13">
        <v>3</v>
      </c>
      <c r="N41" s="13">
        <v>39.75</v>
      </c>
      <c r="O41" s="13">
        <v>0.76</v>
      </c>
      <c r="P41" s="13">
        <v>22.5</v>
      </c>
      <c r="Q41" s="14">
        <f t="shared" si="18"/>
        <v>0.114583333333333</v>
      </c>
      <c r="R41" s="14">
        <v>0</v>
      </c>
      <c r="S41" s="21">
        <v>4.6832222222222197E-3</v>
      </c>
      <c r="T41" s="21">
        <v>1.1111111111111099E-2</v>
      </c>
      <c r="U41" s="13">
        <v>0.2</v>
      </c>
      <c r="V41" s="14">
        <f t="shared" si="19"/>
        <v>0.49785725633933797</v>
      </c>
      <c r="W41" s="13">
        <v>0.21</v>
      </c>
      <c r="X41" s="42">
        <f t="shared" si="20"/>
        <v>0.28785725633933801</v>
      </c>
      <c r="Y41" s="44">
        <f t="shared" si="21"/>
        <v>2.23178651503631E-2</v>
      </c>
      <c r="Z41" s="45">
        <f t="shared" si="22"/>
        <v>0.23015298436311901</v>
      </c>
      <c r="AA41" s="15">
        <f t="shared" si="23"/>
        <v>7.6923611111111095E-2</v>
      </c>
      <c r="AB41" s="45">
        <f t="shared" si="24"/>
        <v>0.15450937016910801</v>
      </c>
      <c r="AC41" s="46">
        <f t="shared" si="25"/>
        <v>9.4067569822265506E-3</v>
      </c>
      <c r="AD41" s="46">
        <f t="shared" si="26"/>
        <v>0.40172157270653602</v>
      </c>
      <c r="AE41" s="46">
        <f t="shared" si="27"/>
        <v>0.88446169772352801</v>
      </c>
      <c r="AF41" s="47">
        <v>3440</v>
      </c>
      <c r="AG41" s="137">
        <f t="shared" si="11"/>
        <v>0.57154937135892403</v>
      </c>
      <c r="AH41" s="52">
        <f t="shared" si="28"/>
        <v>1966.1298374747</v>
      </c>
      <c r="AI41" s="53">
        <f t="shared" si="29"/>
        <v>1712.6289618073199</v>
      </c>
      <c r="AJ41" s="53">
        <f t="shared" si="30"/>
        <v>722.4</v>
      </c>
      <c r="AK41" s="45">
        <f t="shared" si="31"/>
        <v>0.14801856170869501</v>
      </c>
      <c r="AL41" s="45">
        <f t="shared" si="32"/>
        <v>1.7216636731377299</v>
      </c>
    </row>
    <row r="42" spans="1:38">
      <c r="A42" s="10">
        <v>38</v>
      </c>
      <c r="B42" s="11" t="s">
        <v>127</v>
      </c>
      <c r="C42" s="12" t="s">
        <v>128</v>
      </c>
      <c r="D42" s="13" t="s">
        <v>86</v>
      </c>
      <c r="E42" s="37">
        <v>6.0000000000000001E-3</v>
      </c>
      <c r="F42" s="37">
        <v>6.3E-3</v>
      </c>
      <c r="G42" s="14">
        <v>13.716799999999999</v>
      </c>
      <c r="H42" s="38">
        <v>0.98</v>
      </c>
      <c r="I42" s="14">
        <f t="shared" si="17"/>
        <v>8.8179428571428603E-2</v>
      </c>
      <c r="J42" s="13" t="s">
        <v>47</v>
      </c>
      <c r="K42" s="14">
        <v>55.384615384615401</v>
      </c>
      <c r="L42" s="41">
        <v>65</v>
      </c>
      <c r="M42" s="13">
        <v>8</v>
      </c>
      <c r="N42" s="13">
        <v>21.2</v>
      </c>
      <c r="O42" s="13">
        <v>0.76</v>
      </c>
      <c r="P42" s="13">
        <v>22.5</v>
      </c>
      <c r="Q42" s="14">
        <f t="shared" si="18"/>
        <v>5.078125E-2</v>
      </c>
      <c r="R42" s="14">
        <v>0</v>
      </c>
      <c r="S42" s="21">
        <v>4.6832222222222197E-3</v>
      </c>
      <c r="T42" s="21">
        <v>1.1111111111111099E-2</v>
      </c>
      <c r="U42" s="13">
        <v>0</v>
      </c>
      <c r="V42" s="14">
        <f t="shared" si="19"/>
        <v>0.19378240634110799</v>
      </c>
      <c r="W42" s="13">
        <v>0.28000000000000003</v>
      </c>
      <c r="X42" s="42">
        <f t="shared" si="20"/>
        <v>-8.62175936588922E-2</v>
      </c>
      <c r="Y42" s="44">
        <f t="shared" si="21"/>
        <v>5.7338079967655199E-2</v>
      </c>
      <c r="Z42" s="45">
        <f t="shared" si="22"/>
        <v>0.26205294360217402</v>
      </c>
      <c r="AA42" s="15">
        <f t="shared" si="23"/>
        <v>1.81819444444444E-2</v>
      </c>
      <c r="AB42" s="45">
        <f t="shared" si="24"/>
        <v>9.3826600607071806E-2</v>
      </c>
      <c r="AC42" s="46">
        <f t="shared" si="25"/>
        <v>2.4167427325566999E-2</v>
      </c>
      <c r="AD42" s="46">
        <f t="shared" si="26"/>
        <v>0</v>
      </c>
      <c r="AE42" s="46">
        <f t="shared" si="27"/>
        <v>0.54495647857623597</v>
      </c>
      <c r="AF42" s="47">
        <v>13700</v>
      </c>
      <c r="AG42" s="137">
        <f t="shared" si="11"/>
        <v>0.24028379478458101</v>
      </c>
      <c r="AH42" s="52">
        <f t="shared" si="28"/>
        <v>3291.8879885487499</v>
      </c>
      <c r="AI42" s="53">
        <f t="shared" si="29"/>
        <v>2654.8189668731802</v>
      </c>
      <c r="AJ42" s="53">
        <f t="shared" si="30"/>
        <v>3836</v>
      </c>
      <c r="AK42" s="45">
        <f t="shared" si="31"/>
        <v>0.23996702962609401</v>
      </c>
      <c r="AL42" s="45">
        <f t="shared" si="32"/>
        <v>-0.14184359005507</v>
      </c>
    </row>
    <row r="43" spans="1:38">
      <c r="A43" s="10">
        <v>39</v>
      </c>
      <c r="B43" s="11" t="s">
        <v>129</v>
      </c>
      <c r="C43" s="16" t="s">
        <v>130</v>
      </c>
      <c r="D43" s="13" t="s">
        <v>43</v>
      </c>
      <c r="E43" s="37">
        <v>1.2E-2</v>
      </c>
      <c r="F43" s="37">
        <v>1.2959999999999999E-2</v>
      </c>
      <c r="G43" s="14">
        <v>15.309699999999999</v>
      </c>
      <c r="H43" s="38">
        <v>0.94</v>
      </c>
      <c r="I43" s="14">
        <f t="shared" ref="I43:I65" si="33">F43*G43/H43</f>
        <v>0.211078417021277</v>
      </c>
      <c r="J43" s="13" t="s">
        <v>44</v>
      </c>
      <c r="K43" s="14">
        <v>51.428571428571502</v>
      </c>
      <c r="L43" s="41">
        <v>69.999999999999901</v>
      </c>
      <c r="M43" s="13">
        <v>2</v>
      </c>
      <c r="N43" s="13">
        <v>27.15</v>
      </c>
      <c r="O43" s="13">
        <v>0.76</v>
      </c>
      <c r="P43" s="13">
        <v>22.5</v>
      </c>
      <c r="Q43" s="14">
        <f t="shared" ref="Q43:Q65" si="34">P43/K43/M43</f>
        <v>0.21875</v>
      </c>
      <c r="R43" s="14">
        <v>0</v>
      </c>
      <c r="S43" s="21">
        <v>2.2338E-2</v>
      </c>
      <c r="T43" s="21">
        <v>0.05</v>
      </c>
      <c r="U43" s="13">
        <v>0</v>
      </c>
      <c r="V43" s="14">
        <f t="shared" ref="V43:V65" si="35">(I43+Q43+(N43*O43/K43/M43)/2)/H43*1.11+R43*1.03+S43+T43+U43</f>
        <v>0.69834562541874101</v>
      </c>
      <c r="W43" s="13">
        <v>1.33</v>
      </c>
      <c r="X43" s="42">
        <f t="shared" si="20"/>
        <v>-0.63165437458125895</v>
      </c>
      <c r="Y43" s="44">
        <f t="shared" si="21"/>
        <v>7.1597785079585904E-2</v>
      </c>
      <c r="Z43" s="45">
        <f t="shared" si="22"/>
        <v>0.313240309723188</v>
      </c>
      <c r="AA43" s="15">
        <f t="shared" si="23"/>
        <v>0.100304166666667</v>
      </c>
      <c r="AB43" s="45">
        <f t="shared" si="24"/>
        <v>0.143631123351739</v>
      </c>
      <c r="AC43" s="46">
        <f t="shared" si="25"/>
        <v>3.1987026462155801E-2</v>
      </c>
      <c r="AD43" s="46">
        <f t="shared" si="26"/>
        <v>0</v>
      </c>
      <c r="AE43" s="46">
        <f t="shared" si="27"/>
        <v>0.69774505726342795</v>
      </c>
      <c r="AF43" s="47">
        <v>1050</v>
      </c>
      <c r="AG43" s="137">
        <f t="shared" si="11"/>
        <v>0.86189716719481002</v>
      </c>
      <c r="AH43" s="52">
        <f t="shared" si="28"/>
        <v>904.99202555454997</v>
      </c>
      <c r="AI43" s="53">
        <f t="shared" si="29"/>
        <v>733.26290668967795</v>
      </c>
      <c r="AJ43" s="53">
        <f t="shared" si="30"/>
        <v>1396.5</v>
      </c>
      <c r="AK43" s="45">
        <f t="shared" si="31"/>
        <v>0.234198562750357</v>
      </c>
      <c r="AL43" s="45">
        <f t="shared" si="32"/>
        <v>-0.35195701714675998</v>
      </c>
    </row>
    <row r="44" spans="1:38">
      <c r="A44" s="10">
        <v>40</v>
      </c>
      <c r="B44" s="11" t="s">
        <v>131</v>
      </c>
      <c r="C44" s="16" t="s">
        <v>132</v>
      </c>
      <c r="D44" s="13" t="s">
        <v>86</v>
      </c>
      <c r="E44" s="37">
        <v>0</v>
      </c>
      <c r="F44" s="37">
        <v>8.48E-2</v>
      </c>
      <c r="G44" s="14">
        <v>13.716799999999999</v>
      </c>
      <c r="H44" s="38">
        <v>0.95</v>
      </c>
      <c r="I44" s="14">
        <f t="shared" si="33"/>
        <v>1.22440488421053</v>
      </c>
      <c r="J44" s="13" t="s">
        <v>87</v>
      </c>
      <c r="K44" s="14">
        <v>34.285714285714299</v>
      </c>
      <c r="L44" s="41">
        <v>105</v>
      </c>
      <c r="M44" s="13">
        <v>2</v>
      </c>
      <c r="N44" s="13">
        <v>75.900000000000006</v>
      </c>
      <c r="O44" s="13">
        <v>0.76</v>
      </c>
      <c r="P44" s="13">
        <v>22.5</v>
      </c>
      <c r="Q44" s="14">
        <f t="shared" si="34"/>
        <v>0.328125</v>
      </c>
      <c r="R44" s="14">
        <v>0</v>
      </c>
      <c r="S44" s="21">
        <v>5.6082666666666697E-2</v>
      </c>
      <c r="T44" s="21">
        <v>0.133333333333333</v>
      </c>
      <c r="U44" s="13">
        <v>0</v>
      </c>
      <c r="V44" s="14">
        <f t="shared" si="35"/>
        <v>2.4948771015512499</v>
      </c>
      <c r="W44" s="13">
        <v>3.65</v>
      </c>
      <c r="X44" s="42">
        <f t="shared" si="20"/>
        <v>-1.15512289844875</v>
      </c>
      <c r="Y44" s="44">
        <f t="shared" si="21"/>
        <v>5.3442846242979201E-2</v>
      </c>
      <c r="Z44" s="45">
        <f t="shared" si="22"/>
        <v>0.13151950442608201</v>
      </c>
      <c r="AA44" s="15">
        <f t="shared" si="23"/>
        <v>0.4206125</v>
      </c>
      <c r="AB44" s="45">
        <f t="shared" si="24"/>
        <v>0.168590468740313</v>
      </c>
      <c r="AC44" s="46">
        <f t="shared" si="25"/>
        <v>2.2479129986722E-2</v>
      </c>
      <c r="AD44" s="46">
        <f t="shared" si="26"/>
        <v>0</v>
      </c>
      <c r="AE44" s="46">
        <f t="shared" si="27"/>
        <v>0.50923238525487802</v>
      </c>
      <c r="AF44" s="47">
        <v>8451</v>
      </c>
      <c r="AG44" s="137">
        <f t="shared" si="11"/>
        <v>3.09720477673131</v>
      </c>
      <c r="AH44" s="52">
        <f t="shared" si="28"/>
        <v>26174.477568156301</v>
      </c>
      <c r="AI44" s="53">
        <f t="shared" si="29"/>
        <v>21084.2063852096</v>
      </c>
      <c r="AJ44" s="53">
        <f t="shared" si="30"/>
        <v>30846.15</v>
      </c>
      <c r="AK44" s="45">
        <f t="shared" si="31"/>
        <v>0.24142578999404199</v>
      </c>
      <c r="AL44" s="45">
        <f t="shared" si="32"/>
        <v>-0.151450746101012</v>
      </c>
    </row>
    <row r="45" spans="1:38">
      <c r="A45" s="10">
        <v>41</v>
      </c>
      <c r="B45" s="11" t="s">
        <v>133</v>
      </c>
      <c r="C45" s="16" t="s">
        <v>134</v>
      </c>
      <c r="D45" s="13" t="s">
        <v>86</v>
      </c>
      <c r="E45" s="37">
        <v>0</v>
      </c>
      <c r="F45" s="37">
        <v>0.23956</v>
      </c>
      <c r="G45" s="14">
        <v>13.716799999999999</v>
      </c>
      <c r="H45" s="38">
        <v>0.95</v>
      </c>
      <c r="I45" s="14">
        <f t="shared" si="33"/>
        <v>3.4589437978947402</v>
      </c>
      <c r="J45" s="13" t="s">
        <v>87</v>
      </c>
      <c r="K45" s="14">
        <v>34.285714285714299</v>
      </c>
      <c r="L45" s="41">
        <v>105</v>
      </c>
      <c r="M45" s="13">
        <v>2</v>
      </c>
      <c r="N45" s="13">
        <v>75.900000000000006</v>
      </c>
      <c r="O45" s="13">
        <v>0.76</v>
      </c>
      <c r="P45" s="13">
        <v>22.5</v>
      </c>
      <c r="Q45" s="14">
        <f t="shared" si="34"/>
        <v>0.328125</v>
      </c>
      <c r="R45" s="14">
        <v>0</v>
      </c>
      <c r="S45" s="21">
        <v>8.4124000000000004E-2</v>
      </c>
      <c r="T45" s="21">
        <v>0.2</v>
      </c>
      <c r="U45" s="13">
        <v>0</v>
      </c>
      <c r="V45" s="14">
        <f t="shared" si="35"/>
        <v>5.2004674112243796</v>
      </c>
      <c r="W45" s="13">
        <v>8.8699999999999992</v>
      </c>
      <c r="X45" s="42">
        <f t="shared" si="20"/>
        <v>-3.6695325887756201</v>
      </c>
      <c r="Y45" s="44">
        <f t="shared" si="21"/>
        <v>3.8458081588653298E-2</v>
      </c>
      <c r="Z45" s="45">
        <f t="shared" si="22"/>
        <v>6.30952901063844E-2</v>
      </c>
      <c r="AA45" s="15">
        <f t="shared" si="23"/>
        <v>0.4206125</v>
      </c>
      <c r="AB45" s="45">
        <f t="shared" si="24"/>
        <v>8.0879749211037202E-2</v>
      </c>
      <c r="AC45" s="46">
        <f t="shared" si="25"/>
        <v>1.6176238277819398E-2</v>
      </c>
      <c r="AD45" s="46">
        <f t="shared" si="26"/>
        <v>0</v>
      </c>
      <c r="AE45" s="46">
        <f t="shared" si="27"/>
        <v>0.33487828604998798</v>
      </c>
      <c r="AF45" s="47">
        <v>3710</v>
      </c>
      <c r="AG45" s="137">
        <f t="shared" si="11"/>
        <v>6.4849174916343504</v>
      </c>
      <c r="AH45" s="52">
        <f t="shared" si="28"/>
        <v>24059.043893963499</v>
      </c>
      <c r="AI45" s="53">
        <f t="shared" si="29"/>
        <v>19293.734095642401</v>
      </c>
      <c r="AJ45" s="53">
        <f t="shared" si="30"/>
        <v>32907.699999999997</v>
      </c>
      <c r="AK45" s="45">
        <f t="shared" si="31"/>
        <v>0.246987429944796</v>
      </c>
      <c r="AL45" s="45">
        <f t="shared" si="32"/>
        <v>-0.268893180199058</v>
      </c>
    </row>
    <row r="46" spans="1:38" ht="27">
      <c r="A46" s="10">
        <v>42</v>
      </c>
      <c r="B46" s="11" t="s">
        <v>135</v>
      </c>
      <c r="C46" s="12" t="s">
        <v>136</v>
      </c>
      <c r="D46" s="13" t="s">
        <v>86</v>
      </c>
      <c r="E46" s="37">
        <v>8.5000000000000006E-2</v>
      </c>
      <c r="F46" s="37">
        <v>8.9249999999999996E-2</v>
      </c>
      <c r="G46" s="14">
        <v>13.716799999999999</v>
      </c>
      <c r="H46" s="38">
        <v>0.95</v>
      </c>
      <c r="I46" s="14">
        <f t="shared" si="33"/>
        <v>1.2886572631578901</v>
      </c>
      <c r="J46" s="13" t="s">
        <v>87</v>
      </c>
      <c r="K46" s="14">
        <v>48</v>
      </c>
      <c r="L46" s="41">
        <v>75</v>
      </c>
      <c r="M46" s="13">
        <v>2</v>
      </c>
      <c r="N46" s="13">
        <v>75.900000000000006</v>
      </c>
      <c r="O46" s="13">
        <v>0.76</v>
      </c>
      <c r="P46" s="13">
        <v>22.5</v>
      </c>
      <c r="Q46" s="14">
        <f t="shared" si="34"/>
        <v>0.234375</v>
      </c>
      <c r="R46" s="14">
        <v>0</v>
      </c>
      <c r="S46" s="21">
        <v>9.4781111111111094E-2</v>
      </c>
      <c r="T46" s="21">
        <v>0.22222222222222199</v>
      </c>
      <c r="U46" s="13">
        <v>0.3</v>
      </c>
      <c r="V46" s="14">
        <f t="shared" si="35"/>
        <v>2.7475837934441398</v>
      </c>
      <c r="W46" s="13">
        <v>3.45</v>
      </c>
      <c r="X46" s="42">
        <f t="shared" si="20"/>
        <v>-0.70241620655586401</v>
      </c>
      <c r="Y46" s="44">
        <f t="shared" si="21"/>
        <v>8.0879142886362304E-2</v>
      </c>
      <c r="Z46" s="45">
        <f t="shared" si="22"/>
        <v>8.5302221012960297E-2</v>
      </c>
      <c r="AA46" s="15">
        <f t="shared" si="23"/>
        <v>0.30043750000000002</v>
      </c>
      <c r="AB46" s="45">
        <f t="shared" si="24"/>
        <v>0.10934607370914699</v>
      </c>
      <c r="AC46" s="46">
        <f t="shared" si="25"/>
        <v>3.4496167628176901E-2</v>
      </c>
      <c r="AD46" s="46">
        <f t="shared" si="26"/>
        <v>0.109186842896589</v>
      </c>
      <c r="AE46" s="46">
        <f t="shared" si="27"/>
        <v>0.530985272866769</v>
      </c>
      <c r="AF46" s="47">
        <v>4296</v>
      </c>
      <c r="AG46" s="137">
        <f t="shared" si="11"/>
        <v>3.3042219316712802</v>
      </c>
      <c r="AH46" s="52">
        <f t="shared" si="28"/>
        <v>14194.9374184598</v>
      </c>
      <c r="AI46" s="53">
        <f t="shared" si="29"/>
        <v>11803.619976636001</v>
      </c>
      <c r="AJ46" s="53">
        <f t="shared" si="30"/>
        <v>14821.2</v>
      </c>
      <c r="AK46" s="45">
        <f t="shared" si="31"/>
        <v>0.20259186982952099</v>
      </c>
      <c r="AL46" s="45">
        <f t="shared" si="32"/>
        <v>-4.2254512559050397E-2</v>
      </c>
    </row>
    <row r="47" spans="1:38" ht="27">
      <c r="A47" s="10">
        <v>43</v>
      </c>
      <c r="B47" s="11" t="s">
        <v>137</v>
      </c>
      <c r="C47" s="12" t="s">
        <v>138</v>
      </c>
      <c r="D47" s="13" t="s">
        <v>86</v>
      </c>
      <c r="E47" s="37">
        <v>8.5000000000000006E-2</v>
      </c>
      <c r="F47" s="37">
        <v>8.9249999999999996E-2</v>
      </c>
      <c r="G47" s="14">
        <v>13.716799999999999</v>
      </c>
      <c r="H47" s="38">
        <v>0.95</v>
      </c>
      <c r="I47" s="14">
        <f t="shared" si="33"/>
        <v>1.2886572631578901</v>
      </c>
      <c r="J47" s="13" t="s">
        <v>87</v>
      </c>
      <c r="K47" s="14">
        <v>48</v>
      </c>
      <c r="L47" s="41">
        <v>75</v>
      </c>
      <c r="M47" s="13">
        <v>2</v>
      </c>
      <c r="N47" s="13">
        <v>75.900000000000006</v>
      </c>
      <c r="O47" s="13">
        <v>0.76</v>
      </c>
      <c r="P47" s="13">
        <v>22.5</v>
      </c>
      <c r="Q47" s="14">
        <f t="shared" si="34"/>
        <v>0.234375</v>
      </c>
      <c r="R47" s="14">
        <v>0</v>
      </c>
      <c r="S47" s="21">
        <v>9.4781111111111094E-2</v>
      </c>
      <c r="T47" s="21">
        <v>0.22222222222222199</v>
      </c>
      <c r="U47" s="13">
        <v>0</v>
      </c>
      <c r="V47" s="14">
        <f t="shared" si="35"/>
        <v>2.44758379344414</v>
      </c>
      <c r="W47" s="13">
        <v>3.45</v>
      </c>
      <c r="X47" s="42">
        <f t="shared" si="20"/>
        <v>-1.0024162065558599</v>
      </c>
      <c r="Y47" s="44">
        <f t="shared" si="21"/>
        <v>9.0792488011011002E-2</v>
      </c>
      <c r="Z47" s="45">
        <f t="shared" si="22"/>
        <v>9.5757702199113295E-2</v>
      </c>
      <c r="AA47" s="15">
        <f t="shared" si="23"/>
        <v>0.30043750000000002</v>
      </c>
      <c r="AB47" s="45">
        <f t="shared" si="24"/>
        <v>0.122748606525637</v>
      </c>
      <c r="AC47" s="46">
        <f t="shared" si="25"/>
        <v>3.87243580240164E-2</v>
      </c>
      <c r="AD47" s="46">
        <f t="shared" si="26"/>
        <v>0</v>
      </c>
      <c r="AE47" s="46">
        <f t="shared" si="27"/>
        <v>0.47349820397995701</v>
      </c>
      <c r="AF47" s="47">
        <v>6550</v>
      </c>
      <c r="AG47" s="137">
        <f t="shared" si="11"/>
        <v>3.0042219316712799</v>
      </c>
      <c r="AH47" s="52">
        <f t="shared" si="28"/>
        <v>19677.653652446901</v>
      </c>
      <c r="AI47" s="53">
        <f t="shared" si="29"/>
        <v>16031.673847059101</v>
      </c>
      <c r="AJ47" s="53">
        <f t="shared" si="30"/>
        <v>22597.5</v>
      </c>
      <c r="AK47" s="45">
        <f t="shared" si="31"/>
        <v>0.22742352671156499</v>
      </c>
      <c r="AL47" s="45">
        <f t="shared" si="32"/>
        <v>-0.12921103429818101</v>
      </c>
    </row>
    <row r="48" spans="1:38" ht="15" customHeight="1">
      <c r="A48" s="10">
        <v>44</v>
      </c>
      <c r="B48" s="11" t="s">
        <v>139</v>
      </c>
      <c r="C48" s="12" t="s">
        <v>140</v>
      </c>
      <c r="D48" s="13" t="s">
        <v>86</v>
      </c>
      <c r="E48" s="37">
        <v>3.5000000000000003E-2</v>
      </c>
      <c r="F48" s="37">
        <v>3.6749999999999998E-2</v>
      </c>
      <c r="G48" s="14">
        <v>13.716799999999999</v>
      </c>
      <c r="H48" s="38">
        <v>0.93</v>
      </c>
      <c r="I48" s="14">
        <f t="shared" si="33"/>
        <v>0.54203483870967695</v>
      </c>
      <c r="J48" s="13" t="s">
        <v>120</v>
      </c>
      <c r="K48" s="14">
        <v>51.428571428571502</v>
      </c>
      <c r="L48" s="41">
        <v>69.999999999999901</v>
      </c>
      <c r="M48" s="13">
        <v>2</v>
      </c>
      <c r="N48" s="13">
        <v>39.75</v>
      </c>
      <c r="O48" s="13">
        <v>0.76</v>
      </c>
      <c r="P48" s="13">
        <v>22.5</v>
      </c>
      <c r="Q48" s="14">
        <f t="shared" si="34"/>
        <v>0.21875</v>
      </c>
      <c r="R48" s="14">
        <v>0</v>
      </c>
      <c r="S48" s="21">
        <v>1.40496666666667E-2</v>
      </c>
      <c r="T48" s="21">
        <v>3.3333333333333298E-2</v>
      </c>
      <c r="U48" s="13">
        <v>0</v>
      </c>
      <c r="V48" s="14">
        <f t="shared" si="35"/>
        <v>1.13069407093306</v>
      </c>
      <c r="W48" s="13">
        <v>1.56</v>
      </c>
      <c r="X48" s="42">
        <f t="shared" si="20"/>
        <v>-0.42930592906694498</v>
      </c>
      <c r="Y48" s="44">
        <f t="shared" si="21"/>
        <v>2.9480417550811301E-2</v>
      </c>
      <c r="Z48" s="45">
        <f t="shared" si="22"/>
        <v>0.19346524017719999</v>
      </c>
      <c r="AA48" s="15">
        <f t="shared" si="23"/>
        <v>0.14685416666666601</v>
      </c>
      <c r="AB48" s="45">
        <f t="shared" si="24"/>
        <v>0.129879664572293</v>
      </c>
      <c r="AC48" s="46">
        <f t="shared" si="25"/>
        <v>1.24257011934915E-2</v>
      </c>
      <c r="AD48" s="46">
        <f t="shared" si="26"/>
        <v>0</v>
      </c>
      <c r="AE48" s="46">
        <f t="shared" si="27"/>
        <v>0.52061759883256098</v>
      </c>
      <c r="AF48" s="47">
        <v>7368</v>
      </c>
      <c r="AG48" s="137">
        <f t="shared" si="11"/>
        <v>1.4137212876633101</v>
      </c>
      <c r="AH48" s="52">
        <f t="shared" si="28"/>
        <v>10416.298447503301</v>
      </c>
      <c r="AI48" s="53">
        <f t="shared" si="29"/>
        <v>8330.9539146347906</v>
      </c>
      <c r="AJ48" s="53">
        <f t="shared" si="30"/>
        <v>11494.08</v>
      </c>
      <c r="AK48" s="45">
        <f t="shared" si="31"/>
        <v>0.25031281582355502</v>
      </c>
      <c r="AL48" s="45">
        <f t="shared" si="32"/>
        <v>-9.3768405344030498E-2</v>
      </c>
    </row>
    <row r="49" spans="1:38">
      <c r="A49" s="10">
        <v>45</v>
      </c>
      <c r="B49" s="11" t="s">
        <v>141</v>
      </c>
      <c r="C49" s="12" t="s">
        <v>142</v>
      </c>
      <c r="D49" s="13" t="s">
        <v>143</v>
      </c>
      <c r="E49" s="37">
        <v>0</v>
      </c>
      <c r="F49" s="37">
        <v>1.7600000000000001E-2</v>
      </c>
      <c r="G49" s="14">
        <v>60.177</v>
      </c>
      <c r="H49" s="38">
        <v>0.65</v>
      </c>
      <c r="I49" s="14">
        <f t="shared" si="33"/>
        <v>1.629408</v>
      </c>
      <c r="J49" s="13" t="s">
        <v>65</v>
      </c>
      <c r="K49" s="14">
        <v>65</v>
      </c>
      <c r="L49" s="41">
        <v>55.384615384615401</v>
      </c>
      <c r="M49" s="13">
        <v>4</v>
      </c>
      <c r="N49" s="13">
        <v>48.5</v>
      </c>
      <c r="O49" s="13">
        <v>0.76</v>
      </c>
      <c r="P49" s="13">
        <v>22.5</v>
      </c>
      <c r="Q49" s="14">
        <f t="shared" si="34"/>
        <v>8.6538461538461495E-2</v>
      </c>
      <c r="R49" s="14">
        <v>0</v>
      </c>
      <c r="S49" s="21">
        <v>2.2338E-2</v>
      </c>
      <c r="T49" s="21">
        <v>0.05</v>
      </c>
      <c r="U49" s="13">
        <v>0</v>
      </c>
      <c r="V49" s="14">
        <f t="shared" si="35"/>
        <v>3.1236956852071001</v>
      </c>
      <c r="W49" s="13">
        <v>2.87</v>
      </c>
      <c r="X49" s="42">
        <f t="shared" si="20"/>
        <v>0.25369568520710001</v>
      </c>
      <c r="Y49" s="44">
        <f t="shared" si="21"/>
        <v>1.6006680880210299E-2</v>
      </c>
      <c r="Z49" s="45">
        <f t="shared" si="22"/>
        <v>2.77038707542102E-2</v>
      </c>
      <c r="AA49" s="15">
        <f t="shared" si="23"/>
        <v>7.0884615384615393E-2</v>
      </c>
      <c r="AB49" s="45">
        <f t="shared" si="24"/>
        <v>2.26925483555597E-2</v>
      </c>
      <c r="AC49" s="46">
        <f t="shared" si="25"/>
        <v>7.15114475004277E-3</v>
      </c>
      <c r="AD49" s="46">
        <f t="shared" si="26"/>
        <v>0</v>
      </c>
      <c r="AE49" s="46">
        <f t="shared" si="27"/>
        <v>0.47837172240676501</v>
      </c>
      <c r="AF49" s="47">
        <v>68310</v>
      </c>
      <c r="AG49" s="137">
        <f t="shared" si="11"/>
        <v>3.9208972426035502</v>
      </c>
      <c r="AH49" s="52">
        <f t="shared" si="28"/>
        <v>267836.49064224801</v>
      </c>
      <c r="AI49" s="53">
        <f t="shared" si="29"/>
        <v>213379.65225649701</v>
      </c>
      <c r="AJ49" s="53">
        <f t="shared" si="30"/>
        <v>196049.7</v>
      </c>
      <c r="AK49" s="45">
        <f t="shared" si="31"/>
        <v>0.255211018529033</v>
      </c>
      <c r="AL49" s="45">
        <f t="shared" si="32"/>
        <v>0.36616628662144601</v>
      </c>
    </row>
    <row r="50" spans="1:38">
      <c r="A50" s="10">
        <v>46</v>
      </c>
      <c r="B50" s="11" t="s">
        <v>144</v>
      </c>
      <c r="C50" s="12" t="s">
        <v>145</v>
      </c>
      <c r="D50" s="13" t="s">
        <v>86</v>
      </c>
      <c r="E50" s="37">
        <v>1.4999999999999999E-2</v>
      </c>
      <c r="F50" s="37">
        <v>1.575E-2</v>
      </c>
      <c r="G50" s="14">
        <v>13.716799999999999</v>
      </c>
      <c r="H50" s="38">
        <v>0.98</v>
      </c>
      <c r="I50" s="14">
        <f t="shared" si="33"/>
        <v>0.22044857142857099</v>
      </c>
      <c r="J50" s="13" t="s">
        <v>65</v>
      </c>
      <c r="K50" s="14">
        <v>48</v>
      </c>
      <c r="L50" s="41">
        <v>75</v>
      </c>
      <c r="M50" s="13">
        <v>2</v>
      </c>
      <c r="N50" s="13">
        <v>48.5</v>
      </c>
      <c r="O50" s="13">
        <v>0.76</v>
      </c>
      <c r="P50" s="13">
        <v>22.5</v>
      </c>
      <c r="Q50" s="14">
        <f t="shared" si="34"/>
        <v>0.234375</v>
      </c>
      <c r="R50" s="14">
        <v>0</v>
      </c>
      <c r="S50" s="21">
        <v>2.9348333333333299E-2</v>
      </c>
      <c r="T50" s="21">
        <v>6.6666666666666693E-2</v>
      </c>
      <c r="U50" s="13">
        <v>0</v>
      </c>
      <c r="V50" s="14">
        <f t="shared" si="35"/>
        <v>0.82861810131195301</v>
      </c>
      <c r="W50" s="13">
        <v>1.0900000000000001</v>
      </c>
      <c r="X50" s="42">
        <f t="shared" si="20"/>
        <v>-0.26138189868804701</v>
      </c>
      <c r="Y50" s="44">
        <f t="shared" si="21"/>
        <v>8.0455238138188404E-2</v>
      </c>
      <c r="Z50" s="45">
        <f t="shared" si="22"/>
        <v>0.28285044657956798</v>
      </c>
      <c r="AA50" s="15">
        <f t="shared" si="23"/>
        <v>0.19197916666666701</v>
      </c>
      <c r="AB50" s="45">
        <f t="shared" si="24"/>
        <v>0.23168594357606401</v>
      </c>
      <c r="AC50" s="46">
        <f t="shared" si="25"/>
        <v>3.5418407209383898E-2</v>
      </c>
      <c r="AD50" s="46">
        <f t="shared" si="26"/>
        <v>0</v>
      </c>
      <c r="AE50" s="46">
        <f t="shared" si="27"/>
        <v>0.73395636532736297</v>
      </c>
      <c r="AF50" s="47">
        <v>10533</v>
      </c>
      <c r="AG50" s="137">
        <f t="shared" si="11"/>
        <v>1.0200189115646301</v>
      </c>
      <c r="AH50" s="52">
        <f t="shared" si="28"/>
        <v>10743.8591955102</v>
      </c>
      <c r="AI50" s="53">
        <f t="shared" si="29"/>
        <v>8727.8344611188004</v>
      </c>
      <c r="AJ50" s="53">
        <f t="shared" si="30"/>
        <v>11480.97</v>
      </c>
      <c r="AK50" s="45">
        <f t="shared" si="31"/>
        <v>0.23098796653081399</v>
      </c>
      <c r="AL50" s="45">
        <f t="shared" si="32"/>
        <v>-6.4202833426949393E-2</v>
      </c>
    </row>
    <row r="51" spans="1:38">
      <c r="A51" s="10">
        <v>47</v>
      </c>
      <c r="B51" s="11" t="s">
        <v>146</v>
      </c>
      <c r="C51" s="12" t="s">
        <v>147</v>
      </c>
      <c r="D51" s="13" t="s">
        <v>43</v>
      </c>
      <c r="E51" s="37">
        <v>0</v>
      </c>
      <c r="F51" s="37">
        <v>1.6250000000000001E-2</v>
      </c>
      <c r="G51" s="14">
        <v>15.309699999999999</v>
      </c>
      <c r="H51" s="38">
        <v>0.95</v>
      </c>
      <c r="I51" s="14">
        <f t="shared" si="33"/>
        <v>0.26187644736842097</v>
      </c>
      <c r="J51" s="13" t="s">
        <v>44</v>
      </c>
      <c r="K51" s="14">
        <v>65</v>
      </c>
      <c r="L51" s="41">
        <v>55.384615384615401</v>
      </c>
      <c r="M51" s="13">
        <v>2</v>
      </c>
      <c r="N51" s="13">
        <v>27.15</v>
      </c>
      <c r="O51" s="13">
        <v>0.76</v>
      </c>
      <c r="P51" s="13">
        <v>22.5</v>
      </c>
      <c r="Q51" s="14">
        <f t="shared" si="34"/>
        <v>0.17307692307692299</v>
      </c>
      <c r="R51" s="14">
        <v>0</v>
      </c>
      <c r="S51" s="21">
        <v>2.2338E-2</v>
      </c>
      <c r="T51" s="21">
        <v>0.05</v>
      </c>
      <c r="U51" s="13">
        <v>0</v>
      </c>
      <c r="V51" s="14">
        <f t="shared" si="35"/>
        <v>0.67327436724909395</v>
      </c>
      <c r="W51" s="13">
        <v>0.76</v>
      </c>
      <c r="X51" s="42">
        <f t="shared" si="20"/>
        <v>-8.6725632750905599E-2</v>
      </c>
      <c r="Y51" s="44">
        <f t="shared" si="21"/>
        <v>7.4263929286797398E-2</v>
      </c>
      <c r="Z51" s="45">
        <f t="shared" si="22"/>
        <v>0.25706744753122202</v>
      </c>
      <c r="AA51" s="15">
        <f t="shared" si="23"/>
        <v>7.9361538461538497E-2</v>
      </c>
      <c r="AB51" s="45">
        <f t="shared" si="24"/>
        <v>0.11787399360798299</v>
      </c>
      <c r="AC51" s="46">
        <f t="shared" si="25"/>
        <v>3.3178153048169602E-2</v>
      </c>
      <c r="AD51" s="46">
        <f t="shared" si="26"/>
        <v>0</v>
      </c>
      <c r="AE51" s="46">
        <f t="shared" si="27"/>
        <v>0.61104052061507697</v>
      </c>
      <c r="AF51" s="47">
        <v>10565</v>
      </c>
      <c r="AG51" s="137">
        <f t="shared" si="11"/>
        <v>0.83027576049435303</v>
      </c>
      <c r="AH51" s="52">
        <f t="shared" si="28"/>
        <v>8771.8634096228398</v>
      </c>
      <c r="AI51" s="53">
        <f t="shared" si="29"/>
        <v>7113.1436899866803</v>
      </c>
      <c r="AJ51" s="53">
        <f t="shared" si="30"/>
        <v>8029.4</v>
      </c>
      <c r="AK51" s="45">
        <f t="shared" si="31"/>
        <v>0.23319080731789199</v>
      </c>
      <c r="AL51" s="45">
        <f t="shared" si="32"/>
        <v>9.2468105913622395E-2</v>
      </c>
    </row>
    <row r="52" spans="1:38">
      <c r="A52" s="10">
        <v>48</v>
      </c>
      <c r="B52" s="11" t="s">
        <v>148</v>
      </c>
      <c r="C52" s="12" t="s">
        <v>149</v>
      </c>
      <c r="D52" s="13" t="s">
        <v>43</v>
      </c>
      <c r="E52" s="37">
        <v>1.4E-2</v>
      </c>
      <c r="F52" s="37">
        <v>1.47E-2</v>
      </c>
      <c r="G52" s="14">
        <v>15.309699999999999</v>
      </c>
      <c r="H52" s="38">
        <v>0.95</v>
      </c>
      <c r="I52" s="14">
        <f t="shared" si="33"/>
        <v>0.23689746315789501</v>
      </c>
      <c r="J52" s="13" t="s">
        <v>44</v>
      </c>
      <c r="K52" s="14">
        <v>55.384615384615401</v>
      </c>
      <c r="L52" s="41">
        <v>65</v>
      </c>
      <c r="M52" s="13">
        <v>2</v>
      </c>
      <c r="N52" s="13">
        <v>27.15</v>
      </c>
      <c r="O52" s="13">
        <v>0.76</v>
      </c>
      <c r="P52" s="13">
        <v>22.5</v>
      </c>
      <c r="Q52" s="14">
        <f t="shared" si="34"/>
        <v>0.203125</v>
      </c>
      <c r="R52" s="14">
        <v>0</v>
      </c>
      <c r="S52" s="21">
        <v>3.7573599999999999E-2</v>
      </c>
      <c r="T52" s="21">
        <v>0.08</v>
      </c>
      <c r="U52" s="13">
        <v>0</v>
      </c>
      <c r="V52" s="14">
        <f t="shared" si="35"/>
        <v>0.74053135958448801</v>
      </c>
      <c r="W52" s="13">
        <v>0.76</v>
      </c>
      <c r="X52" s="42">
        <f t="shared" si="20"/>
        <v>-1.9468640415512401E-2</v>
      </c>
      <c r="Y52" s="44">
        <f t="shared" si="21"/>
        <v>0.10803053640414099</v>
      </c>
      <c r="Z52" s="45">
        <f t="shared" si="22"/>
        <v>0.27429628383863902</v>
      </c>
      <c r="AA52" s="15">
        <f t="shared" si="23"/>
        <v>9.3139583333333303E-2</v>
      </c>
      <c r="AB52" s="45">
        <f t="shared" si="24"/>
        <v>0.12577398934947701</v>
      </c>
      <c r="AC52" s="46">
        <f t="shared" si="25"/>
        <v>5.0738702032932903E-2</v>
      </c>
      <c r="AD52" s="46">
        <f t="shared" si="26"/>
        <v>0</v>
      </c>
      <c r="AE52" s="46">
        <f t="shared" si="27"/>
        <v>0.68009799977840502</v>
      </c>
      <c r="AF52" s="47">
        <v>0</v>
      </c>
      <c r="AG52" s="137">
        <f t="shared" si="11"/>
        <v>0.90328608956602097</v>
      </c>
      <c r="AH52" s="52">
        <f t="shared" si="28"/>
        <v>0</v>
      </c>
      <c r="AI52" s="53">
        <f t="shared" si="29"/>
        <v>0</v>
      </c>
      <c r="AJ52" s="53">
        <f t="shared" si="30"/>
        <v>0</v>
      </c>
      <c r="AK52" s="45">
        <f t="shared" si="31"/>
        <v>0.21978100977770099</v>
      </c>
      <c r="AL52" s="45">
        <f t="shared" si="32"/>
        <v>0.18853432837634301</v>
      </c>
    </row>
    <row r="53" spans="1:38">
      <c r="A53" s="10">
        <v>49</v>
      </c>
      <c r="B53" s="11" t="s">
        <v>150</v>
      </c>
      <c r="C53" s="12" t="s">
        <v>151</v>
      </c>
      <c r="D53" s="13" t="s">
        <v>86</v>
      </c>
      <c r="E53" s="37">
        <v>8.0000000000000002E-3</v>
      </c>
      <c r="F53" s="37">
        <v>8.4799999999999997E-3</v>
      </c>
      <c r="G53" s="14">
        <v>13.716799999999999</v>
      </c>
      <c r="H53" s="38">
        <v>0.99</v>
      </c>
      <c r="I53" s="14">
        <f t="shared" si="33"/>
        <v>0.11749339797979801</v>
      </c>
      <c r="J53" s="13" t="s">
        <v>120</v>
      </c>
      <c r="K53" s="14">
        <v>55.384615384615401</v>
      </c>
      <c r="L53" s="41">
        <v>65</v>
      </c>
      <c r="M53" s="13">
        <v>2</v>
      </c>
      <c r="N53" s="13">
        <v>39.75</v>
      </c>
      <c r="O53" s="13">
        <v>0.76</v>
      </c>
      <c r="P53" s="13">
        <v>22.5</v>
      </c>
      <c r="Q53" s="14">
        <f t="shared" si="34"/>
        <v>0.203125</v>
      </c>
      <c r="R53" s="14">
        <v>0</v>
      </c>
      <c r="S53" s="21">
        <v>2.8623333333333299E-2</v>
      </c>
      <c r="T53" s="21">
        <v>6.6666666666666693E-2</v>
      </c>
      <c r="U53" s="13">
        <v>0</v>
      </c>
      <c r="V53" s="14">
        <f t="shared" si="35"/>
        <v>0.60766485783593505</v>
      </c>
      <c r="W53" s="13">
        <v>0.72</v>
      </c>
      <c r="X53" s="42">
        <f t="shared" si="20"/>
        <v>-0.112335142164065</v>
      </c>
      <c r="Y53" s="44">
        <f t="shared" si="21"/>
        <v>0.109709597003989</v>
      </c>
      <c r="Z53" s="45">
        <f t="shared" si="22"/>
        <v>0.33427142837152901</v>
      </c>
      <c r="AA53" s="15">
        <f t="shared" si="23"/>
        <v>0.13636458333333301</v>
      </c>
      <c r="AB53" s="45">
        <f t="shared" si="24"/>
        <v>0.22440755224675299</v>
      </c>
      <c r="AC53" s="46">
        <f t="shared" si="25"/>
        <v>4.7103815473662602E-2</v>
      </c>
      <c r="AD53" s="46">
        <f t="shared" si="26"/>
        <v>0</v>
      </c>
      <c r="AE53" s="46">
        <f t="shared" si="27"/>
        <v>0.80664769985510598</v>
      </c>
      <c r="AF53" s="47">
        <v>9608</v>
      </c>
      <c r="AG53" s="137">
        <f t="shared" si="11"/>
        <v>0.74152855943271101</v>
      </c>
      <c r="AH53" s="52">
        <f t="shared" si="28"/>
        <v>7124.6063990294897</v>
      </c>
      <c r="AI53" s="53">
        <f t="shared" si="29"/>
        <v>5838.4439540876601</v>
      </c>
      <c r="AJ53" s="53">
        <f t="shared" si="30"/>
        <v>6917.76</v>
      </c>
      <c r="AK53" s="45">
        <f t="shared" si="31"/>
        <v>0.22029199133466801</v>
      </c>
      <c r="AL53" s="45">
        <f t="shared" si="32"/>
        <v>2.9900776989876299E-2</v>
      </c>
    </row>
    <row r="54" spans="1:38">
      <c r="A54" s="10">
        <v>50</v>
      </c>
      <c r="B54" s="11" t="s">
        <v>152</v>
      </c>
      <c r="C54" s="12" t="s">
        <v>153</v>
      </c>
      <c r="D54" s="13" t="s">
        <v>86</v>
      </c>
      <c r="E54" s="37">
        <v>5.1999999999999998E-2</v>
      </c>
      <c r="F54" s="37">
        <v>5.6160000000000002E-2</v>
      </c>
      <c r="G54" s="14">
        <v>13.716799999999999</v>
      </c>
      <c r="H54" s="38">
        <v>0.98</v>
      </c>
      <c r="I54" s="14">
        <f t="shared" si="33"/>
        <v>0.78605662040816304</v>
      </c>
      <c r="J54" s="13" t="s">
        <v>87</v>
      </c>
      <c r="K54" s="14">
        <v>48</v>
      </c>
      <c r="L54" s="41">
        <v>75</v>
      </c>
      <c r="M54" s="13">
        <v>2</v>
      </c>
      <c r="N54" s="13">
        <v>75.900000000000006</v>
      </c>
      <c r="O54" s="13">
        <v>0.76</v>
      </c>
      <c r="P54" s="13">
        <v>22.5</v>
      </c>
      <c r="Q54" s="14">
        <f t="shared" si="34"/>
        <v>0.234375</v>
      </c>
      <c r="R54" s="14">
        <v>0</v>
      </c>
      <c r="S54" s="21">
        <v>9.7224000000000005E-2</v>
      </c>
      <c r="T54" s="21">
        <v>0.2</v>
      </c>
      <c r="U54" s="13">
        <v>0.3</v>
      </c>
      <c r="V54" s="14">
        <f t="shared" si="35"/>
        <v>2.0933104527072102</v>
      </c>
      <c r="W54" s="13">
        <v>3.15</v>
      </c>
      <c r="X54" s="42">
        <f t="shared" si="20"/>
        <v>-1.05668954729279</v>
      </c>
      <c r="Y54" s="44">
        <f t="shared" si="21"/>
        <v>9.5542445575307097E-2</v>
      </c>
      <c r="Z54" s="45">
        <f t="shared" si="22"/>
        <v>0.111963803408563</v>
      </c>
      <c r="AA54" s="15">
        <f t="shared" si="23"/>
        <v>0.30043750000000002</v>
      </c>
      <c r="AB54" s="45">
        <f t="shared" si="24"/>
        <v>0.14352266746265699</v>
      </c>
      <c r="AC54" s="46">
        <f t="shared" si="25"/>
        <v>4.64450936430683E-2</v>
      </c>
      <c r="AD54" s="46">
        <f t="shared" si="26"/>
        <v>0.143313668362961</v>
      </c>
      <c r="AE54" s="46">
        <f t="shared" si="27"/>
        <v>0.62449114062771605</v>
      </c>
      <c r="AF54" s="47">
        <v>19664</v>
      </c>
      <c r="AG54" s="137">
        <f t="shared" si="11"/>
        <v>2.4841798862973801</v>
      </c>
      <c r="AH54" s="52">
        <f t="shared" si="28"/>
        <v>48848.913284151597</v>
      </c>
      <c r="AI54" s="53">
        <f t="shared" si="29"/>
        <v>41162.856742034601</v>
      </c>
      <c r="AJ54" s="53">
        <f t="shared" si="30"/>
        <v>61941.599999999999</v>
      </c>
      <c r="AK54" s="45">
        <f t="shared" si="31"/>
        <v>0.186723107929197</v>
      </c>
      <c r="AL54" s="45">
        <f t="shared" si="32"/>
        <v>-0.21137146466750001</v>
      </c>
    </row>
    <row r="55" spans="1:38">
      <c r="A55" s="10">
        <v>51</v>
      </c>
      <c r="B55" s="11" t="s">
        <v>154</v>
      </c>
      <c r="C55" s="12" t="s">
        <v>155</v>
      </c>
      <c r="D55" s="13" t="s">
        <v>86</v>
      </c>
      <c r="E55" s="37">
        <v>5.1999999999999998E-2</v>
      </c>
      <c r="F55" s="37">
        <v>5.6160000000000002E-2</v>
      </c>
      <c r="G55" s="14">
        <v>13.716799999999999</v>
      </c>
      <c r="H55" s="38">
        <v>0.98</v>
      </c>
      <c r="I55" s="14">
        <f t="shared" si="33"/>
        <v>0.78605662040816304</v>
      </c>
      <c r="J55" s="13" t="s">
        <v>87</v>
      </c>
      <c r="K55" s="14">
        <v>48</v>
      </c>
      <c r="L55" s="41">
        <v>75</v>
      </c>
      <c r="M55" s="13">
        <v>2</v>
      </c>
      <c r="N55" s="13">
        <v>75.900000000000006</v>
      </c>
      <c r="O55" s="13">
        <v>0.76</v>
      </c>
      <c r="P55" s="13">
        <v>22.5</v>
      </c>
      <c r="Q55" s="14">
        <f t="shared" si="34"/>
        <v>0.234375</v>
      </c>
      <c r="R55" s="14">
        <v>0</v>
      </c>
      <c r="S55" s="21">
        <v>0.10657111111111101</v>
      </c>
      <c r="T55" s="21">
        <v>0.22222222222222199</v>
      </c>
      <c r="U55" s="13">
        <v>0.3</v>
      </c>
      <c r="V55" s="14">
        <f t="shared" si="35"/>
        <v>2.1248797860405402</v>
      </c>
      <c r="W55" s="13">
        <v>3.15</v>
      </c>
      <c r="X55" s="42">
        <f t="shared" si="20"/>
        <v>-1.02512021395946</v>
      </c>
      <c r="Y55" s="44">
        <f t="shared" si="21"/>
        <v>0.10458107968371499</v>
      </c>
      <c r="Z55" s="45">
        <f t="shared" si="22"/>
        <v>0.110300357478919</v>
      </c>
      <c r="AA55" s="15">
        <f t="shared" si="23"/>
        <v>0.30043750000000002</v>
      </c>
      <c r="AB55" s="45">
        <f t="shared" si="24"/>
        <v>0.14139035157364299</v>
      </c>
      <c r="AC55" s="46">
        <f t="shared" si="25"/>
        <v>5.01539483839194E-2</v>
      </c>
      <c r="AD55" s="46">
        <f t="shared" si="26"/>
        <v>0.14118445757301601</v>
      </c>
      <c r="AE55" s="46">
        <f t="shared" si="27"/>
        <v>0.630070074753318</v>
      </c>
      <c r="AF55" s="47">
        <v>0</v>
      </c>
      <c r="AG55" s="137">
        <f t="shared" si="11"/>
        <v>2.5157492196307101</v>
      </c>
      <c r="AH55" s="52">
        <f t="shared" si="28"/>
        <v>0</v>
      </c>
      <c r="AI55" s="53">
        <f t="shared" si="29"/>
        <v>0</v>
      </c>
      <c r="AJ55" s="53">
        <f t="shared" si="30"/>
        <v>0</v>
      </c>
      <c r="AK55" s="45">
        <f t="shared" si="31"/>
        <v>0.18394896321099999</v>
      </c>
      <c r="AL55" s="45">
        <f t="shared" si="32"/>
        <v>-0.20134945408548899</v>
      </c>
    </row>
    <row r="56" spans="1:38">
      <c r="A56" s="10">
        <v>52</v>
      </c>
      <c r="B56" s="11" t="s">
        <v>156</v>
      </c>
      <c r="C56" s="12" t="s">
        <v>157</v>
      </c>
      <c r="D56" s="13" t="s">
        <v>86</v>
      </c>
      <c r="E56" s="37">
        <v>7.8E-2</v>
      </c>
      <c r="F56" s="37">
        <v>8.1900000000000001E-2</v>
      </c>
      <c r="G56" s="14">
        <v>13.716799999999999</v>
      </c>
      <c r="H56" s="38">
        <v>0.96</v>
      </c>
      <c r="I56" s="14">
        <f t="shared" si="33"/>
        <v>1.1702144999999999</v>
      </c>
      <c r="J56" s="13" t="s">
        <v>87</v>
      </c>
      <c r="K56" s="14">
        <v>45</v>
      </c>
      <c r="L56" s="41">
        <v>80</v>
      </c>
      <c r="M56" s="13">
        <v>2</v>
      </c>
      <c r="N56" s="13">
        <v>75.900000000000006</v>
      </c>
      <c r="O56" s="13">
        <v>0.76</v>
      </c>
      <c r="P56" s="13">
        <v>22.5</v>
      </c>
      <c r="Q56" s="14">
        <f t="shared" si="34"/>
        <v>0.25</v>
      </c>
      <c r="R56" s="14">
        <v>0</v>
      </c>
      <c r="S56" s="21">
        <v>8.4124000000000004E-2</v>
      </c>
      <c r="T56" s="21">
        <v>0.2</v>
      </c>
      <c r="U56" s="13">
        <v>0</v>
      </c>
      <c r="V56" s="14">
        <f t="shared" si="35"/>
        <v>2.29678659895833</v>
      </c>
      <c r="W56" s="13">
        <v>3.31</v>
      </c>
      <c r="X56" s="42">
        <f t="shared" si="20"/>
        <v>-1.01321340104167</v>
      </c>
      <c r="Y56" s="44">
        <f t="shared" si="21"/>
        <v>8.7078181355946097E-2</v>
      </c>
      <c r="Z56" s="45">
        <f t="shared" si="22"/>
        <v>0.10884772669493301</v>
      </c>
      <c r="AA56" s="15">
        <f t="shared" si="23"/>
        <v>0.32046666666666701</v>
      </c>
      <c r="AB56" s="45">
        <f t="shared" si="24"/>
        <v>0.139528272592678</v>
      </c>
      <c r="AC56" s="46">
        <f t="shared" si="25"/>
        <v>3.6626824641937998E-2</v>
      </c>
      <c r="AD56" s="46">
        <f t="shared" si="26"/>
        <v>0</v>
      </c>
      <c r="AE56" s="46">
        <f t="shared" si="27"/>
        <v>0.49049924771821102</v>
      </c>
      <c r="AF56" s="47">
        <v>58120</v>
      </c>
      <c r="AG56" s="137">
        <f t="shared" si="11"/>
        <v>2.82261736805556</v>
      </c>
      <c r="AH56" s="52">
        <f t="shared" si="28"/>
        <v>164050.521431389</v>
      </c>
      <c r="AI56" s="53">
        <f t="shared" si="29"/>
        <v>133489.23713145801</v>
      </c>
      <c r="AJ56" s="53">
        <f t="shared" si="30"/>
        <v>192377.2</v>
      </c>
      <c r="AK56" s="45">
        <f t="shared" si="31"/>
        <v>0.22894193536992399</v>
      </c>
      <c r="AL56" s="45">
        <f t="shared" si="32"/>
        <v>-0.14724550814031601</v>
      </c>
    </row>
    <row r="57" spans="1:38" ht="27">
      <c r="A57" s="10">
        <v>53</v>
      </c>
      <c r="B57" s="11" t="s">
        <v>158</v>
      </c>
      <c r="C57" s="12" t="s">
        <v>159</v>
      </c>
      <c r="D57" s="13" t="s">
        <v>86</v>
      </c>
      <c r="E57" s="37">
        <v>7.8E-2</v>
      </c>
      <c r="F57" s="37">
        <v>8.1900000000000001E-2</v>
      </c>
      <c r="G57" s="14">
        <v>13.716799999999999</v>
      </c>
      <c r="H57" s="38">
        <v>0.96</v>
      </c>
      <c r="I57" s="14">
        <f t="shared" si="33"/>
        <v>1.1702144999999999</v>
      </c>
      <c r="J57" s="13" t="s">
        <v>87</v>
      </c>
      <c r="K57" s="14">
        <v>45</v>
      </c>
      <c r="L57" s="41">
        <v>80</v>
      </c>
      <c r="M57" s="13">
        <v>2</v>
      </c>
      <c r="N57" s="13">
        <v>75.900000000000006</v>
      </c>
      <c r="O57" s="13">
        <v>0.76</v>
      </c>
      <c r="P57" s="13">
        <v>22.5</v>
      </c>
      <c r="Q57" s="14">
        <f t="shared" si="34"/>
        <v>0.25</v>
      </c>
      <c r="R57" s="14">
        <v>0</v>
      </c>
      <c r="S57" s="21">
        <v>8.4124000000000004E-2</v>
      </c>
      <c r="T57" s="21">
        <v>0.2</v>
      </c>
      <c r="U57" s="13">
        <v>0</v>
      </c>
      <c r="V57" s="14">
        <f t="shared" si="35"/>
        <v>2.29678659895833</v>
      </c>
      <c r="W57" s="13">
        <v>3.31</v>
      </c>
      <c r="X57" s="42">
        <f t="shared" si="20"/>
        <v>-1.01321340104167</v>
      </c>
      <c r="Y57" s="44">
        <f t="shared" si="21"/>
        <v>8.7078181355946097E-2</v>
      </c>
      <c r="Z57" s="45">
        <f t="shared" si="22"/>
        <v>0.10884772669493301</v>
      </c>
      <c r="AA57" s="15">
        <f t="shared" si="23"/>
        <v>0.32046666666666701</v>
      </c>
      <c r="AB57" s="45">
        <f t="shared" si="24"/>
        <v>0.139528272592678</v>
      </c>
      <c r="AC57" s="46">
        <f t="shared" si="25"/>
        <v>3.6626824641937998E-2</v>
      </c>
      <c r="AD57" s="46">
        <f t="shared" si="26"/>
        <v>0</v>
      </c>
      <c r="AE57" s="46">
        <f t="shared" si="27"/>
        <v>0.49049924771821102</v>
      </c>
      <c r="AF57" s="47">
        <v>0</v>
      </c>
      <c r="AG57" s="137">
        <f t="shared" si="11"/>
        <v>2.82261736805556</v>
      </c>
      <c r="AH57" s="52">
        <f t="shared" si="28"/>
        <v>0</v>
      </c>
      <c r="AI57" s="53">
        <f t="shared" si="29"/>
        <v>0</v>
      </c>
      <c r="AJ57" s="53">
        <f t="shared" si="30"/>
        <v>0</v>
      </c>
      <c r="AK57" s="45">
        <f t="shared" si="31"/>
        <v>0.22894193536992399</v>
      </c>
      <c r="AL57" s="45">
        <f t="shared" si="32"/>
        <v>-0.14724550814031601</v>
      </c>
    </row>
    <row r="58" spans="1:38">
      <c r="A58" s="10">
        <v>54</v>
      </c>
      <c r="B58" s="11" t="s">
        <v>160</v>
      </c>
      <c r="C58" s="12" t="s">
        <v>161</v>
      </c>
      <c r="D58" s="13" t="s">
        <v>143</v>
      </c>
      <c r="E58" s="37">
        <v>1.4999999999999999E-2</v>
      </c>
      <c r="F58" s="37">
        <v>2.1000000000000001E-2</v>
      </c>
      <c r="G58" s="14">
        <v>60.177</v>
      </c>
      <c r="H58" s="38">
        <v>0.65</v>
      </c>
      <c r="I58" s="14">
        <f t="shared" si="33"/>
        <v>1.94418</v>
      </c>
      <c r="J58" s="13" t="s">
        <v>87</v>
      </c>
      <c r="K58" s="14">
        <v>36</v>
      </c>
      <c r="L58" s="41">
        <v>100</v>
      </c>
      <c r="M58" s="13">
        <v>2</v>
      </c>
      <c r="N58" s="13">
        <v>75.900000000000006</v>
      </c>
      <c r="O58" s="13">
        <v>0.76</v>
      </c>
      <c r="P58" s="13">
        <v>22.5</v>
      </c>
      <c r="Q58" s="14">
        <f t="shared" si="34"/>
        <v>0.3125</v>
      </c>
      <c r="R58" s="14">
        <v>0</v>
      </c>
      <c r="S58" s="21">
        <v>4.4676E-2</v>
      </c>
      <c r="T58" s="21">
        <v>0.1</v>
      </c>
      <c r="U58" s="13">
        <v>0</v>
      </c>
      <c r="V58" s="14">
        <f t="shared" si="35"/>
        <v>4.6824641538461496</v>
      </c>
      <c r="W58" s="13">
        <v>2.52</v>
      </c>
      <c r="X58" s="42">
        <f t="shared" si="20"/>
        <v>2.16246415384615</v>
      </c>
      <c r="Y58" s="44">
        <f t="shared" si="21"/>
        <v>2.13562766770698E-2</v>
      </c>
      <c r="Z58" s="45">
        <f t="shared" si="22"/>
        <v>6.6738364615843204E-2</v>
      </c>
      <c r="AA58" s="15">
        <f t="shared" si="23"/>
        <v>0.40058333333333301</v>
      </c>
      <c r="AB58" s="45">
        <f t="shared" si="24"/>
        <v>8.5549684988895494E-2</v>
      </c>
      <c r="AC58" s="46">
        <f t="shared" si="25"/>
        <v>9.5411301682477093E-3</v>
      </c>
      <c r="AD58" s="46">
        <f t="shared" si="26"/>
        <v>0</v>
      </c>
      <c r="AE58" s="46">
        <f t="shared" si="27"/>
        <v>0.58479554009974399</v>
      </c>
      <c r="AF58" s="47"/>
      <c r="AG58" s="137">
        <f t="shared" si="11"/>
        <v>5.8680124102564104</v>
      </c>
      <c r="AH58" s="52">
        <f t="shared" si="28"/>
        <v>0</v>
      </c>
      <c r="AI58" s="53">
        <f t="shared" si="29"/>
        <v>0</v>
      </c>
      <c r="AJ58" s="53">
        <f t="shared" si="30"/>
        <v>0</v>
      </c>
      <c r="AK58" s="45">
        <f t="shared" si="31"/>
        <v>0.25318896577915201</v>
      </c>
      <c r="AL58" s="45">
        <f t="shared" si="32"/>
        <v>1.3285763532763499</v>
      </c>
    </row>
    <row r="59" spans="1:38">
      <c r="A59" s="10">
        <v>55</v>
      </c>
      <c r="B59" s="11" t="s">
        <v>162</v>
      </c>
      <c r="C59" s="12" t="s">
        <v>163</v>
      </c>
      <c r="D59" s="13" t="s">
        <v>143</v>
      </c>
      <c r="E59" s="37">
        <v>1.4999999999999999E-2</v>
      </c>
      <c r="F59" s="37">
        <v>2.1000000000000001E-2</v>
      </c>
      <c r="G59" s="14">
        <v>60.177</v>
      </c>
      <c r="H59" s="38">
        <v>0.65</v>
      </c>
      <c r="I59" s="14">
        <f t="shared" si="33"/>
        <v>1.94418</v>
      </c>
      <c r="J59" s="13" t="s">
        <v>87</v>
      </c>
      <c r="K59" s="14">
        <v>36</v>
      </c>
      <c r="L59" s="41">
        <v>100</v>
      </c>
      <c r="M59" s="13">
        <v>2</v>
      </c>
      <c r="N59" s="13">
        <v>75.900000000000006</v>
      </c>
      <c r="O59" s="13">
        <v>0.76</v>
      </c>
      <c r="P59" s="13">
        <v>22.5</v>
      </c>
      <c r="Q59" s="14">
        <f t="shared" si="34"/>
        <v>0.3125</v>
      </c>
      <c r="R59" s="14">
        <v>0</v>
      </c>
      <c r="S59" s="21">
        <v>4.4676E-2</v>
      </c>
      <c r="T59" s="21">
        <v>0.1</v>
      </c>
      <c r="U59" s="13">
        <v>0</v>
      </c>
      <c r="V59" s="14">
        <f t="shared" si="35"/>
        <v>4.6824641538461496</v>
      </c>
      <c r="W59" s="13">
        <v>2.52</v>
      </c>
      <c r="X59" s="42">
        <f t="shared" si="20"/>
        <v>2.16246415384615</v>
      </c>
      <c r="Y59" s="44">
        <f t="shared" si="21"/>
        <v>2.13562766770698E-2</v>
      </c>
      <c r="Z59" s="45">
        <f t="shared" si="22"/>
        <v>6.6738364615843204E-2</v>
      </c>
      <c r="AA59" s="15">
        <f t="shared" si="23"/>
        <v>0.40058333333333301</v>
      </c>
      <c r="AB59" s="45">
        <f t="shared" si="24"/>
        <v>8.5549684988895494E-2</v>
      </c>
      <c r="AC59" s="46">
        <f t="shared" si="25"/>
        <v>9.5411301682477093E-3</v>
      </c>
      <c r="AD59" s="46">
        <f t="shared" si="26"/>
        <v>0</v>
      </c>
      <c r="AE59" s="46">
        <f t="shared" si="27"/>
        <v>0.58479554009974399</v>
      </c>
      <c r="AF59" s="47"/>
      <c r="AG59" s="137">
        <f t="shared" si="11"/>
        <v>5.8680124102564104</v>
      </c>
      <c r="AH59" s="52">
        <f t="shared" si="28"/>
        <v>0</v>
      </c>
      <c r="AI59" s="53">
        <f t="shared" si="29"/>
        <v>0</v>
      </c>
      <c r="AJ59" s="53">
        <f t="shared" si="30"/>
        <v>0</v>
      </c>
      <c r="AK59" s="45">
        <f t="shared" si="31"/>
        <v>0.25318896577915201</v>
      </c>
      <c r="AL59" s="45">
        <f t="shared" si="32"/>
        <v>1.3285763532763499</v>
      </c>
    </row>
    <row r="60" spans="1:38">
      <c r="A60" s="10">
        <v>56</v>
      </c>
      <c r="B60" s="11" t="s">
        <v>164</v>
      </c>
      <c r="C60" s="12" t="s">
        <v>145</v>
      </c>
      <c r="D60" s="13" t="s">
        <v>59</v>
      </c>
      <c r="E60" s="37">
        <v>4.7E-2</v>
      </c>
      <c r="F60" s="37">
        <v>4.9349999999999998E-2</v>
      </c>
      <c r="G60" s="14">
        <v>18.584099999999999</v>
      </c>
      <c r="H60" s="38">
        <v>0.96</v>
      </c>
      <c r="I60" s="14">
        <f t="shared" si="33"/>
        <v>0.95533889062499999</v>
      </c>
      <c r="J60" s="13" t="s">
        <v>165</v>
      </c>
      <c r="K60" s="14">
        <v>45</v>
      </c>
      <c r="L60" s="41">
        <v>80</v>
      </c>
      <c r="M60" s="13">
        <v>2</v>
      </c>
      <c r="N60" s="13">
        <v>67.900000000000006</v>
      </c>
      <c r="O60" s="13">
        <v>0.76</v>
      </c>
      <c r="P60" s="13">
        <v>22.5</v>
      </c>
      <c r="Q60" s="14">
        <f t="shared" si="34"/>
        <v>0.25</v>
      </c>
      <c r="R60" s="14">
        <v>0</v>
      </c>
      <c r="S60" s="21">
        <v>0.10657111111111101</v>
      </c>
      <c r="T60" s="21">
        <v>0.22222222222222199</v>
      </c>
      <c r="U60" s="13">
        <v>0.3</v>
      </c>
      <c r="V60" s="14">
        <f t="shared" si="35"/>
        <v>2.3539504533962701</v>
      </c>
      <c r="W60" s="13">
        <v>2.88</v>
      </c>
      <c r="X60" s="42">
        <f t="shared" si="20"/>
        <v>-0.52604954660373304</v>
      </c>
      <c r="Y60" s="44">
        <f t="shared" si="21"/>
        <v>9.4403950559622293E-2</v>
      </c>
      <c r="Z60" s="45">
        <f t="shared" si="22"/>
        <v>0.10620444437957501</v>
      </c>
      <c r="AA60" s="15">
        <f t="shared" si="23"/>
        <v>0.28668888888888899</v>
      </c>
      <c r="AB60" s="45">
        <f t="shared" si="24"/>
        <v>0.12179053661696899</v>
      </c>
      <c r="AC60" s="46">
        <f t="shared" si="25"/>
        <v>4.5273302569878097E-2</v>
      </c>
      <c r="AD60" s="46">
        <f t="shared" si="26"/>
        <v>0.12744533325549001</v>
      </c>
      <c r="AE60" s="46">
        <f t="shared" si="27"/>
        <v>0.59415505570788896</v>
      </c>
      <c r="AF60" s="47"/>
      <c r="AG60" s="137">
        <f t="shared" si="11"/>
        <v>2.8046671784577502</v>
      </c>
      <c r="AH60" s="52">
        <f t="shared" si="28"/>
        <v>0</v>
      </c>
      <c r="AI60" s="53">
        <f t="shared" si="29"/>
        <v>0</v>
      </c>
      <c r="AJ60" s="53">
        <f t="shared" si="30"/>
        <v>0</v>
      </c>
      <c r="AK60" s="45">
        <f t="shared" si="31"/>
        <v>0.191472477430947</v>
      </c>
      <c r="AL60" s="45">
        <f t="shared" si="32"/>
        <v>-2.6157229702168699E-2</v>
      </c>
    </row>
    <row r="61" spans="1:38">
      <c r="A61" s="10">
        <v>57</v>
      </c>
      <c r="B61" s="11" t="s">
        <v>166</v>
      </c>
      <c r="C61" s="12" t="s">
        <v>167</v>
      </c>
      <c r="D61" s="13" t="s">
        <v>59</v>
      </c>
      <c r="E61" s="37">
        <v>4.7E-2</v>
      </c>
      <c r="F61" s="37">
        <v>4.9349999999999998E-2</v>
      </c>
      <c r="G61" s="14">
        <v>18.584099999999999</v>
      </c>
      <c r="H61" s="38">
        <v>0.96</v>
      </c>
      <c r="I61" s="14">
        <f t="shared" si="33"/>
        <v>0.95533889062499999</v>
      </c>
      <c r="J61" s="13" t="s">
        <v>165</v>
      </c>
      <c r="K61" s="14">
        <v>45</v>
      </c>
      <c r="L61" s="41">
        <v>80</v>
      </c>
      <c r="M61" s="13">
        <v>2</v>
      </c>
      <c r="N61" s="13">
        <v>67.900000000000006</v>
      </c>
      <c r="O61" s="13">
        <v>0.76</v>
      </c>
      <c r="P61" s="13">
        <v>22.5</v>
      </c>
      <c r="Q61" s="14">
        <f t="shared" si="34"/>
        <v>0.25</v>
      </c>
      <c r="R61" s="14">
        <v>0</v>
      </c>
      <c r="S61" s="21">
        <v>0.10657111111111101</v>
      </c>
      <c r="T61" s="21">
        <v>0.22222222222222199</v>
      </c>
      <c r="U61" s="13">
        <v>0.3</v>
      </c>
      <c r="V61" s="14">
        <f t="shared" si="35"/>
        <v>2.3539504533962701</v>
      </c>
      <c r="W61" s="13">
        <v>2.88</v>
      </c>
      <c r="X61" s="42">
        <f t="shared" si="20"/>
        <v>-0.52604954660373304</v>
      </c>
      <c r="Y61" s="44">
        <f t="shared" si="21"/>
        <v>9.4403950559622293E-2</v>
      </c>
      <c r="Z61" s="45">
        <f t="shared" si="22"/>
        <v>0.10620444437957501</v>
      </c>
      <c r="AA61" s="15">
        <f t="shared" si="23"/>
        <v>0.28668888888888899</v>
      </c>
      <c r="AB61" s="45">
        <f t="shared" si="24"/>
        <v>0.12179053661696899</v>
      </c>
      <c r="AC61" s="46">
        <f t="shared" si="25"/>
        <v>4.5273302569878097E-2</v>
      </c>
      <c r="AD61" s="46">
        <f t="shared" si="26"/>
        <v>0.12744533325549001</v>
      </c>
      <c r="AE61" s="46">
        <f t="shared" si="27"/>
        <v>0.59415505570788896</v>
      </c>
      <c r="AF61" s="47"/>
      <c r="AG61" s="137">
        <f t="shared" si="11"/>
        <v>2.8046671784577502</v>
      </c>
      <c r="AH61" s="52">
        <f t="shared" si="28"/>
        <v>0</v>
      </c>
      <c r="AI61" s="53">
        <f t="shared" si="29"/>
        <v>0</v>
      </c>
      <c r="AJ61" s="53">
        <f t="shared" si="30"/>
        <v>0</v>
      </c>
      <c r="AK61" s="45">
        <f t="shared" si="31"/>
        <v>0.191472477430947</v>
      </c>
      <c r="AL61" s="45">
        <f t="shared" si="32"/>
        <v>-2.6157229702168699E-2</v>
      </c>
    </row>
    <row r="62" spans="1:38">
      <c r="A62" s="10">
        <v>58</v>
      </c>
      <c r="B62" s="11" t="s">
        <v>168</v>
      </c>
      <c r="C62" s="12" t="s">
        <v>147</v>
      </c>
      <c r="D62" s="13" t="s">
        <v>86</v>
      </c>
      <c r="E62" s="37">
        <v>2.1999999999999999E-2</v>
      </c>
      <c r="F62" s="37">
        <v>2.3099999999999999E-2</v>
      </c>
      <c r="G62" s="14">
        <v>13.716799999999999</v>
      </c>
      <c r="H62" s="38">
        <v>0.96</v>
      </c>
      <c r="I62" s="14">
        <f t="shared" si="33"/>
        <v>0.33006049999999998</v>
      </c>
      <c r="J62" s="13" t="s">
        <v>87</v>
      </c>
      <c r="K62" s="14">
        <v>48</v>
      </c>
      <c r="L62" s="41">
        <v>75</v>
      </c>
      <c r="M62" s="13">
        <v>2</v>
      </c>
      <c r="N62" s="13">
        <v>75.900000000000006</v>
      </c>
      <c r="O62" s="13">
        <v>0.76</v>
      </c>
      <c r="P62" s="13">
        <v>22.5</v>
      </c>
      <c r="Q62" s="14">
        <f t="shared" si="34"/>
        <v>0.234375</v>
      </c>
      <c r="R62" s="14">
        <v>0</v>
      </c>
      <c r="S62" s="21">
        <v>8.4124000000000004E-2</v>
      </c>
      <c r="T62" s="21">
        <v>0.2</v>
      </c>
      <c r="U62" s="13">
        <v>0</v>
      </c>
      <c r="V62" s="14">
        <f t="shared" si="35"/>
        <v>1.2841334062500001</v>
      </c>
      <c r="W62" s="13">
        <v>1.31</v>
      </c>
      <c r="X62" s="42">
        <f t="shared" si="20"/>
        <v>-2.586659375E-2</v>
      </c>
      <c r="Y62" s="44">
        <f t="shared" si="21"/>
        <v>0.15574705791982399</v>
      </c>
      <c r="Z62" s="45">
        <f t="shared" si="22"/>
        <v>0.18251608349979401</v>
      </c>
      <c r="AA62" s="15">
        <f t="shared" si="23"/>
        <v>0.30043750000000002</v>
      </c>
      <c r="AB62" s="45">
        <f t="shared" si="24"/>
        <v>0.233961283568936</v>
      </c>
      <c r="AC62" s="46">
        <f t="shared" si="25"/>
        <v>6.5510327502236496E-2</v>
      </c>
      <c r="AD62" s="46">
        <f t="shared" si="26"/>
        <v>0</v>
      </c>
      <c r="AE62" s="46">
        <f t="shared" si="27"/>
        <v>0.74297024094726904</v>
      </c>
      <c r="AF62" s="47"/>
      <c r="AG62" s="137">
        <f t="shared" si="11"/>
        <v>1.545397125</v>
      </c>
      <c r="AH62" s="52">
        <f t="shared" si="28"/>
        <v>0</v>
      </c>
      <c r="AI62" s="53">
        <f t="shared" si="29"/>
        <v>0</v>
      </c>
      <c r="AJ62" s="53">
        <f t="shared" si="30"/>
        <v>0</v>
      </c>
      <c r="AK62" s="45">
        <f t="shared" si="31"/>
        <v>0.203455277682525</v>
      </c>
      <c r="AL62" s="45">
        <f t="shared" si="32"/>
        <v>0.179692461832061</v>
      </c>
    </row>
    <row r="63" spans="1:38">
      <c r="A63" s="10">
        <v>59</v>
      </c>
      <c r="B63" s="11" t="s">
        <v>169</v>
      </c>
      <c r="C63" s="12" t="s">
        <v>170</v>
      </c>
      <c r="D63" s="13" t="s">
        <v>143</v>
      </c>
      <c r="E63" s="37">
        <v>6.0000000000000001E-3</v>
      </c>
      <c r="F63" s="37">
        <v>8.3999999999999995E-3</v>
      </c>
      <c r="G63" s="14">
        <v>60.177</v>
      </c>
      <c r="H63" s="38">
        <v>0.7</v>
      </c>
      <c r="I63" s="14">
        <f t="shared" si="33"/>
        <v>0.72212399999999999</v>
      </c>
      <c r="J63" s="13" t="s">
        <v>44</v>
      </c>
      <c r="K63" s="14">
        <v>37.894736842105303</v>
      </c>
      <c r="L63" s="41">
        <v>94.999999999999901</v>
      </c>
      <c r="M63" s="13">
        <v>2</v>
      </c>
      <c r="N63" s="13">
        <v>27.15</v>
      </c>
      <c r="O63" s="13">
        <v>0.76</v>
      </c>
      <c r="P63" s="13">
        <v>22.5</v>
      </c>
      <c r="Q63" s="14">
        <f t="shared" si="34"/>
        <v>0.296875</v>
      </c>
      <c r="R63" s="14">
        <v>0</v>
      </c>
      <c r="S63" s="21">
        <v>1.46026666666667E-2</v>
      </c>
      <c r="T63" s="21">
        <v>3.3333333333333298E-2</v>
      </c>
      <c r="U63" s="13">
        <v>0</v>
      </c>
      <c r="V63" s="14">
        <f t="shared" si="35"/>
        <v>1.87963593214286</v>
      </c>
      <c r="W63" s="13">
        <v>1.1599999999999999</v>
      </c>
      <c r="X63" s="42">
        <f t="shared" si="20"/>
        <v>0.71963593214285704</v>
      </c>
      <c r="Y63" s="44">
        <f t="shared" si="21"/>
        <v>1.7733930684827901E-2</v>
      </c>
      <c r="Z63" s="45">
        <f t="shared" si="22"/>
        <v>0.15794282016174799</v>
      </c>
      <c r="AA63" s="15">
        <f t="shared" si="23"/>
        <v>0.13612708333333301</v>
      </c>
      <c r="AB63" s="45">
        <f t="shared" si="24"/>
        <v>7.2422047804833606E-2</v>
      </c>
      <c r="AC63" s="46">
        <f t="shared" si="25"/>
        <v>7.7688803544094199E-3</v>
      </c>
      <c r="AD63" s="46">
        <f t="shared" si="26"/>
        <v>0</v>
      </c>
      <c r="AE63" s="46">
        <f t="shared" si="27"/>
        <v>0.61581709114448002</v>
      </c>
      <c r="AF63" s="47"/>
      <c r="AG63" s="137">
        <f t="shared" si="11"/>
        <v>2.35818816666667</v>
      </c>
      <c r="AH63" s="52">
        <f t="shared" si="28"/>
        <v>0</v>
      </c>
      <c r="AI63" s="53">
        <f t="shared" si="29"/>
        <v>0</v>
      </c>
      <c r="AJ63" s="53">
        <f t="shared" si="30"/>
        <v>0</v>
      </c>
      <c r="AK63" s="45">
        <f t="shared" si="31"/>
        <v>0.25459836468343999</v>
      </c>
      <c r="AL63" s="45">
        <f t="shared" si="32"/>
        <v>1.03292083333333</v>
      </c>
    </row>
    <row r="64" spans="1:38">
      <c r="A64" s="10">
        <v>60</v>
      </c>
      <c r="B64" s="11" t="s">
        <v>171</v>
      </c>
      <c r="C64" s="12" t="s">
        <v>172</v>
      </c>
      <c r="D64" s="13" t="s">
        <v>43</v>
      </c>
      <c r="E64" s="37">
        <v>2E-3</v>
      </c>
      <c r="F64" s="37">
        <v>2.5999999999999999E-3</v>
      </c>
      <c r="G64" s="14">
        <v>15.309699999999999</v>
      </c>
      <c r="H64" s="38">
        <v>0.95</v>
      </c>
      <c r="I64" s="14">
        <f t="shared" si="33"/>
        <v>4.19002315789474E-2</v>
      </c>
      <c r="J64" s="13" t="s">
        <v>47</v>
      </c>
      <c r="K64" s="14">
        <v>72</v>
      </c>
      <c r="L64" s="41">
        <v>50</v>
      </c>
      <c r="M64" s="13">
        <v>3</v>
      </c>
      <c r="N64" s="13">
        <v>21.2</v>
      </c>
      <c r="O64" s="13">
        <v>0.76</v>
      </c>
      <c r="P64" s="13">
        <v>22.5</v>
      </c>
      <c r="Q64" s="14">
        <f t="shared" si="34"/>
        <v>0.104166666666667</v>
      </c>
      <c r="R64" s="14">
        <v>0</v>
      </c>
      <c r="S64" s="21">
        <v>1.43116666666667E-3</v>
      </c>
      <c r="T64" s="21">
        <v>3.3333333333333301E-3</v>
      </c>
      <c r="U64" s="13">
        <v>0</v>
      </c>
      <c r="V64" s="14">
        <f t="shared" si="35"/>
        <v>0.21900991678054799</v>
      </c>
      <c r="W64" s="13">
        <v>0.2</v>
      </c>
      <c r="X64" s="42">
        <f t="shared" si="20"/>
        <v>1.9009916780547899E-2</v>
      </c>
      <c r="Y64" s="44">
        <f t="shared" si="21"/>
        <v>1.52200109581037E-2</v>
      </c>
      <c r="Z64" s="45">
        <f t="shared" si="22"/>
        <v>0.475625342440744</v>
      </c>
      <c r="AA64" s="15">
        <f t="shared" si="23"/>
        <v>3.72962962962963E-2</v>
      </c>
      <c r="AB64" s="45">
        <f t="shared" si="24"/>
        <v>0.170295011497894</v>
      </c>
      <c r="AC64" s="46">
        <f t="shared" si="25"/>
        <v>6.5347117048618697E-3</v>
      </c>
      <c r="AD64" s="46">
        <f t="shared" si="26"/>
        <v>0</v>
      </c>
      <c r="AE64" s="46">
        <f t="shared" si="27"/>
        <v>0.808683404866401</v>
      </c>
      <c r="AF64" s="47"/>
      <c r="AG64" s="137">
        <f t="shared" si="11"/>
        <v>0.27498394458807901</v>
      </c>
      <c r="AH64" s="52">
        <f t="shared" si="28"/>
        <v>0</v>
      </c>
      <c r="AI64" s="53">
        <f t="shared" si="29"/>
        <v>0</v>
      </c>
      <c r="AJ64" s="53">
        <f t="shared" si="30"/>
        <v>0</v>
      </c>
      <c r="AK64" s="45">
        <f t="shared" si="31"/>
        <v>0.25557759497994798</v>
      </c>
      <c r="AL64" s="45">
        <f t="shared" si="32"/>
        <v>0.37491972294039499</v>
      </c>
    </row>
    <row r="65" spans="1:38">
      <c r="A65" s="10">
        <v>61</v>
      </c>
      <c r="B65" s="11" t="s">
        <v>173</v>
      </c>
      <c r="C65" s="12" t="s">
        <v>174</v>
      </c>
      <c r="D65" s="13" t="s">
        <v>43</v>
      </c>
      <c r="E65" s="37">
        <v>1E-3</v>
      </c>
      <c r="F65" s="37">
        <v>1.2999999999999999E-3</v>
      </c>
      <c r="G65" s="14">
        <v>15.309699999999999</v>
      </c>
      <c r="H65" s="38">
        <v>0.95</v>
      </c>
      <c r="I65" s="14">
        <f t="shared" si="33"/>
        <v>2.09501157894737E-2</v>
      </c>
      <c r="J65" s="13" t="s">
        <v>47</v>
      </c>
      <c r="K65" s="14">
        <v>72</v>
      </c>
      <c r="L65" s="41">
        <v>50</v>
      </c>
      <c r="M65" s="13">
        <v>3</v>
      </c>
      <c r="N65" s="13">
        <v>21.2</v>
      </c>
      <c r="O65" s="13">
        <v>0.76</v>
      </c>
      <c r="P65" s="13">
        <v>22.5</v>
      </c>
      <c r="Q65" s="14">
        <f t="shared" si="34"/>
        <v>0.104166666666667</v>
      </c>
      <c r="R65" s="14">
        <v>0</v>
      </c>
      <c r="S65" s="21">
        <v>1.43116666666667E-3</v>
      </c>
      <c r="T65" s="21">
        <v>3.3333333333333301E-3</v>
      </c>
      <c r="U65" s="13">
        <v>0</v>
      </c>
      <c r="V65" s="14">
        <f t="shared" si="35"/>
        <v>0.19453136043705799</v>
      </c>
      <c r="W65" s="13">
        <v>0.17</v>
      </c>
      <c r="X65" s="42">
        <f t="shared" si="20"/>
        <v>2.45313604370576E-2</v>
      </c>
      <c r="Y65" s="44">
        <f t="shared" si="21"/>
        <v>1.7135197768854599E-2</v>
      </c>
      <c r="Z65" s="45">
        <f t="shared" si="22"/>
        <v>0.535474930276709</v>
      </c>
      <c r="AA65" s="15">
        <f t="shared" si="23"/>
        <v>3.72962962962963E-2</v>
      </c>
      <c r="AB65" s="45">
        <f t="shared" si="24"/>
        <v>0.19172382392485099</v>
      </c>
      <c r="AC65" s="46">
        <f t="shared" si="25"/>
        <v>7.3569971620577601E-3</v>
      </c>
      <c r="AD65" s="46">
        <f t="shared" si="26"/>
        <v>0</v>
      </c>
      <c r="AE65" s="46">
        <f t="shared" si="27"/>
        <v>0.89230468680008901</v>
      </c>
      <c r="AF65" s="47"/>
      <c r="AG65" s="137">
        <f t="shared" si="11"/>
        <v>0.24411008974043399</v>
      </c>
      <c r="AH65" s="52">
        <f t="shared" si="28"/>
        <v>0</v>
      </c>
      <c r="AI65" s="53">
        <f t="shared" si="29"/>
        <v>0</v>
      </c>
      <c r="AJ65" s="53">
        <f t="shared" si="30"/>
        <v>0</v>
      </c>
      <c r="AK65" s="45">
        <f t="shared" si="31"/>
        <v>0.25486239952255502</v>
      </c>
      <c r="AL65" s="45">
        <f t="shared" si="32"/>
        <v>0.43594170435549101</v>
      </c>
    </row>
    <row r="66" spans="1:38">
      <c r="A66" s="10">
        <v>62</v>
      </c>
      <c r="B66" s="11" t="s">
        <v>175</v>
      </c>
      <c r="C66" s="12" t="s">
        <v>176</v>
      </c>
      <c r="D66" s="13" t="s">
        <v>43</v>
      </c>
      <c r="E66" s="37">
        <v>2E-3</v>
      </c>
      <c r="F66" s="37">
        <v>2.5999999999999999E-3</v>
      </c>
      <c r="G66" s="14">
        <v>15.309699999999999</v>
      </c>
      <c r="H66" s="38">
        <v>0.95</v>
      </c>
      <c r="I66" s="14">
        <f t="shared" ref="I66:I97" si="36">F66*G66/H66</f>
        <v>4.19002315789474E-2</v>
      </c>
      <c r="J66" s="13" t="s">
        <v>47</v>
      </c>
      <c r="K66" s="14">
        <v>72</v>
      </c>
      <c r="L66" s="41">
        <v>50</v>
      </c>
      <c r="M66" s="13">
        <v>3</v>
      </c>
      <c r="N66" s="13">
        <v>21.2</v>
      </c>
      <c r="O66" s="13">
        <v>0.76</v>
      </c>
      <c r="P66" s="13">
        <v>22.5</v>
      </c>
      <c r="Q66" s="14">
        <f t="shared" ref="Q66:Q97" si="37">P66/K66/M66</f>
        <v>0.104166666666667</v>
      </c>
      <c r="R66" s="14">
        <v>0</v>
      </c>
      <c r="S66" s="21">
        <v>1.43116666666667E-3</v>
      </c>
      <c r="T66" s="21">
        <v>3.3333333333333301E-3</v>
      </c>
      <c r="U66" s="13">
        <v>0</v>
      </c>
      <c r="V66" s="14">
        <f t="shared" ref="V66:V97" si="38">(I66+Q66+(N66*O66/K66/M66)/2)/H66*1.11+R66*1.03+S66+T66+U66</f>
        <v>0.21900991678054799</v>
      </c>
      <c r="W66" s="13">
        <v>0.2</v>
      </c>
      <c r="X66" s="42">
        <f t="shared" si="20"/>
        <v>1.9009916780547899E-2</v>
      </c>
      <c r="Y66" s="44">
        <f t="shared" si="21"/>
        <v>1.52200109581037E-2</v>
      </c>
      <c r="Z66" s="45">
        <f t="shared" si="22"/>
        <v>0.475625342440744</v>
      </c>
      <c r="AA66" s="15">
        <f t="shared" si="23"/>
        <v>3.72962962962963E-2</v>
      </c>
      <c r="AB66" s="45">
        <f t="shared" si="24"/>
        <v>0.170295011497894</v>
      </c>
      <c r="AC66" s="46">
        <f t="shared" si="25"/>
        <v>6.5347117048618697E-3</v>
      </c>
      <c r="AD66" s="46">
        <f t="shared" si="26"/>
        <v>0</v>
      </c>
      <c r="AE66" s="46">
        <f t="shared" si="27"/>
        <v>0.808683404866401</v>
      </c>
      <c r="AF66" s="47"/>
      <c r="AG66" s="137">
        <f t="shared" si="11"/>
        <v>0.27498394458807901</v>
      </c>
      <c r="AH66" s="52">
        <f t="shared" si="28"/>
        <v>0</v>
      </c>
      <c r="AI66" s="53">
        <f t="shared" si="29"/>
        <v>0</v>
      </c>
      <c r="AJ66" s="53">
        <f t="shared" si="30"/>
        <v>0</v>
      </c>
      <c r="AK66" s="45">
        <f t="shared" si="31"/>
        <v>0.25557759497994798</v>
      </c>
      <c r="AL66" s="45">
        <f t="shared" si="32"/>
        <v>0.37491972294039499</v>
      </c>
    </row>
    <row r="67" spans="1:38">
      <c r="A67" s="10">
        <v>63</v>
      </c>
      <c r="B67" s="11" t="s">
        <v>177</v>
      </c>
      <c r="C67" s="16" t="s">
        <v>178</v>
      </c>
      <c r="D67" s="13" t="s">
        <v>59</v>
      </c>
      <c r="E67" s="37">
        <v>5.1999999999999998E-2</v>
      </c>
      <c r="F67" s="37">
        <v>5.4600000000000003E-2</v>
      </c>
      <c r="G67" s="14">
        <v>18.584099999999999</v>
      </c>
      <c r="H67" s="38">
        <v>0.96</v>
      </c>
      <c r="I67" s="14">
        <f t="shared" si="36"/>
        <v>1.0569706875</v>
      </c>
      <c r="J67" s="13" t="s">
        <v>165</v>
      </c>
      <c r="K67" s="14">
        <v>48</v>
      </c>
      <c r="L67" s="41">
        <v>75</v>
      </c>
      <c r="M67" s="13">
        <v>2</v>
      </c>
      <c r="N67" s="13">
        <v>67.900000000000006</v>
      </c>
      <c r="O67" s="13">
        <v>0.76</v>
      </c>
      <c r="P67" s="13">
        <v>22.5</v>
      </c>
      <c r="Q67" s="14">
        <f t="shared" si="37"/>
        <v>0.234375</v>
      </c>
      <c r="R67" s="14">
        <v>0</v>
      </c>
      <c r="S67" s="21">
        <v>0.10657111111111101</v>
      </c>
      <c r="T67" s="21">
        <v>0.22222222222222199</v>
      </c>
      <c r="U67" s="13">
        <v>0.3</v>
      </c>
      <c r="V67" s="14">
        <f t="shared" si="38"/>
        <v>2.4326780605468699</v>
      </c>
      <c r="W67" s="13">
        <v>3.44</v>
      </c>
      <c r="X67" s="42">
        <f t="shared" si="20"/>
        <v>-1.0073219394531301</v>
      </c>
      <c r="Y67" s="44">
        <f t="shared" si="21"/>
        <v>9.1348800248671702E-2</v>
      </c>
      <c r="Z67" s="45">
        <f t="shared" si="22"/>
        <v>9.6344437762271001E-2</v>
      </c>
      <c r="AA67" s="15">
        <f t="shared" si="23"/>
        <v>0.26877083333333301</v>
      </c>
      <c r="AB67" s="45">
        <f t="shared" si="24"/>
        <v>0.110483519250761</v>
      </c>
      <c r="AC67" s="46">
        <f t="shared" si="25"/>
        <v>4.3808144135255501E-2</v>
      </c>
      <c r="AD67" s="46">
        <f t="shared" si="26"/>
        <v>0.123320880335707</v>
      </c>
      <c r="AE67" s="46">
        <f t="shared" si="27"/>
        <v>0.56551148109487603</v>
      </c>
      <c r="AF67" s="47">
        <v>3730</v>
      </c>
      <c r="AG67" s="137">
        <f t="shared" si="11"/>
        <v>2.9039632595486098</v>
      </c>
      <c r="AH67" s="52">
        <f t="shared" si="28"/>
        <v>10831.782958116301</v>
      </c>
      <c r="AI67" s="53">
        <f t="shared" si="29"/>
        <v>9073.8891658398206</v>
      </c>
      <c r="AJ67" s="53">
        <f t="shared" si="30"/>
        <v>12831.2</v>
      </c>
      <c r="AK67" s="45">
        <f t="shared" si="31"/>
        <v>0.19373101876694501</v>
      </c>
      <c r="AL67" s="45">
        <f t="shared" si="32"/>
        <v>-0.15582463385214801</v>
      </c>
    </row>
    <row r="68" spans="1:38">
      <c r="A68" s="10">
        <v>64</v>
      </c>
      <c r="B68" s="11" t="s">
        <v>179</v>
      </c>
      <c r="C68" s="16" t="s">
        <v>180</v>
      </c>
      <c r="D68" s="13" t="s">
        <v>59</v>
      </c>
      <c r="E68" s="37">
        <v>4.7E-2</v>
      </c>
      <c r="F68" s="37">
        <v>4.9349999999999998E-2</v>
      </c>
      <c r="G68" s="14">
        <v>18.584099999999999</v>
      </c>
      <c r="H68" s="38">
        <v>0.96</v>
      </c>
      <c r="I68" s="14">
        <f t="shared" si="36"/>
        <v>0.95533889062499999</v>
      </c>
      <c r="J68" s="13" t="s">
        <v>165</v>
      </c>
      <c r="K68" s="14">
        <v>48</v>
      </c>
      <c r="L68" s="41">
        <v>75</v>
      </c>
      <c r="M68" s="13">
        <v>2</v>
      </c>
      <c r="N68" s="13">
        <v>67.900000000000006</v>
      </c>
      <c r="O68" s="13">
        <v>0.76</v>
      </c>
      <c r="P68" s="13">
        <v>22.5</v>
      </c>
      <c r="Q68" s="14">
        <f t="shared" si="37"/>
        <v>0.234375</v>
      </c>
      <c r="R68" s="14">
        <v>0</v>
      </c>
      <c r="S68" s="21">
        <v>0.10657111111111101</v>
      </c>
      <c r="T68" s="21">
        <v>0.22222222222222199</v>
      </c>
      <c r="U68" s="13">
        <v>0.3</v>
      </c>
      <c r="V68" s="14">
        <f t="shared" si="38"/>
        <v>2.3151662954101599</v>
      </c>
      <c r="W68" s="13">
        <v>2.97</v>
      </c>
      <c r="X68" s="42">
        <f t="shared" si="20"/>
        <v>-0.65483370458984402</v>
      </c>
      <c r="Y68" s="44">
        <f t="shared" si="21"/>
        <v>9.5985425609719593E-2</v>
      </c>
      <c r="Z68" s="45">
        <f t="shared" si="22"/>
        <v>0.10123462857275101</v>
      </c>
      <c r="AA68" s="15">
        <f t="shared" si="23"/>
        <v>0.26877083333333301</v>
      </c>
      <c r="AB68" s="45">
        <f t="shared" si="24"/>
        <v>0.116091372730406</v>
      </c>
      <c r="AC68" s="46">
        <f t="shared" si="25"/>
        <v>4.6031730559653199E-2</v>
      </c>
      <c r="AD68" s="46">
        <f t="shared" si="26"/>
        <v>0.12958032457312199</v>
      </c>
      <c r="AE68" s="46">
        <f t="shared" si="27"/>
        <v>0.58735625491828902</v>
      </c>
      <c r="AF68" s="47">
        <v>21171</v>
      </c>
      <c r="AG68" s="137">
        <f t="shared" si="11"/>
        <v>2.7557502224392398</v>
      </c>
      <c r="AH68" s="52">
        <f t="shared" si="28"/>
        <v>58341.987959261103</v>
      </c>
      <c r="AI68" s="53">
        <f t="shared" si="29"/>
        <v>49014.385640128501</v>
      </c>
      <c r="AJ68" s="53">
        <f t="shared" si="30"/>
        <v>62877.87</v>
      </c>
      <c r="AK68" s="45">
        <f t="shared" si="31"/>
        <v>0.19030336088709399</v>
      </c>
      <c r="AL68" s="45">
        <f t="shared" si="32"/>
        <v>-7.2137972242681703E-2</v>
      </c>
    </row>
    <row r="69" spans="1:38" ht="27">
      <c r="A69" s="10">
        <v>65</v>
      </c>
      <c r="B69" s="11" t="s">
        <v>181</v>
      </c>
      <c r="C69" s="12" t="s">
        <v>182</v>
      </c>
      <c r="D69" s="13" t="s">
        <v>86</v>
      </c>
      <c r="E69" s="37">
        <v>2.4E-2</v>
      </c>
      <c r="F69" s="37">
        <v>2.52E-2</v>
      </c>
      <c r="G69" s="14">
        <v>13.716799999999999</v>
      </c>
      <c r="H69" s="38">
        <v>0.98</v>
      </c>
      <c r="I69" s="14">
        <f t="shared" si="36"/>
        <v>0.35271771428571402</v>
      </c>
      <c r="J69" s="13" t="s">
        <v>120</v>
      </c>
      <c r="K69" s="14">
        <v>48</v>
      </c>
      <c r="L69" s="41">
        <v>75</v>
      </c>
      <c r="M69" s="13">
        <v>1</v>
      </c>
      <c r="N69" s="13">
        <v>39.75</v>
      </c>
      <c r="O69" s="13">
        <v>0.76</v>
      </c>
      <c r="P69" s="13">
        <v>22.5</v>
      </c>
      <c r="Q69" s="14">
        <f t="shared" si="37"/>
        <v>0.46875</v>
      </c>
      <c r="R69" s="14">
        <v>0</v>
      </c>
      <c r="S69" s="21">
        <v>8.4124000000000004E-2</v>
      </c>
      <c r="T69" s="21">
        <v>0.2</v>
      </c>
      <c r="U69" s="13">
        <v>0</v>
      </c>
      <c r="V69" s="14">
        <f t="shared" si="38"/>
        <v>1.5709936814868799</v>
      </c>
      <c r="W69" s="13">
        <v>1.34</v>
      </c>
      <c r="X69" s="42">
        <f t="shared" si="20"/>
        <v>0.23099368148687999</v>
      </c>
      <c r="Y69" s="44">
        <f t="shared" si="21"/>
        <v>0.12730795951432999</v>
      </c>
      <c r="Z69" s="45">
        <f t="shared" si="22"/>
        <v>0.29837803011171099</v>
      </c>
      <c r="AA69" s="15">
        <f t="shared" si="23"/>
        <v>0.31468750000000001</v>
      </c>
      <c r="AB69" s="45">
        <f t="shared" si="24"/>
        <v>0.200311117548329</v>
      </c>
      <c r="AC69" s="46">
        <f t="shared" si="25"/>
        <v>5.3548273930917503E-2</v>
      </c>
      <c r="AD69" s="46">
        <f t="shared" si="26"/>
        <v>0</v>
      </c>
      <c r="AE69" s="46">
        <f t="shared" si="27"/>
        <v>0.77548113754863601</v>
      </c>
      <c r="AF69" s="47">
        <v>28781</v>
      </c>
      <c r="AG69" s="137">
        <f t="shared" si="11"/>
        <v>1.9072028775510199</v>
      </c>
      <c r="AH69" s="52">
        <f t="shared" si="28"/>
        <v>54891.2060187959</v>
      </c>
      <c r="AI69" s="53">
        <f t="shared" si="29"/>
        <v>45214.769146873899</v>
      </c>
      <c r="AJ69" s="53">
        <f t="shared" si="30"/>
        <v>38566.54</v>
      </c>
      <c r="AK69" s="45">
        <f t="shared" si="31"/>
        <v>0.21401053360439501</v>
      </c>
      <c r="AL69" s="45">
        <f t="shared" si="32"/>
        <v>0.42328572951568699</v>
      </c>
    </row>
    <row r="70" spans="1:38">
      <c r="A70" s="10">
        <v>66</v>
      </c>
      <c r="B70" s="11" t="s">
        <v>183</v>
      </c>
      <c r="C70" s="12" t="s">
        <v>151</v>
      </c>
      <c r="D70" s="13" t="s">
        <v>86</v>
      </c>
      <c r="E70" s="37">
        <v>1.7999999999999999E-2</v>
      </c>
      <c r="F70" s="37">
        <v>1.89E-2</v>
      </c>
      <c r="G70" s="14">
        <v>13.716799999999999</v>
      </c>
      <c r="H70" s="38">
        <v>0.98</v>
      </c>
      <c r="I70" s="14">
        <f t="shared" si="36"/>
        <v>0.264538285714286</v>
      </c>
      <c r="J70" s="13" t="s">
        <v>120</v>
      </c>
      <c r="K70" s="14">
        <v>48</v>
      </c>
      <c r="L70" s="41">
        <v>75</v>
      </c>
      <c r="M70" s="13">
        <v>1</v>
      </c>
      <c r="N70" s="13">
        <v>39.75</v>
      </c>
      <c r="O70" s="13">
        <v>0.76</v>
      </c>
      <c r="P70" s="13">
        <v>22.5</v>
      </c>
      <c r="Q70" s="14">
        <f t="shared" si="37"/>
        <v>0.46875</v>
      </c>
      <c r="R70" s="14">
        <v>0</v>
      </c>
      <c r="S70" s="21">
        <v>1.46026666666667E-2</v>
      </c>
      <c r="T70" s="21">
        <v>3.3333333333333298E-2</v>
      </c>
      <c r="U70" s="13">
        <v>0</v>
      </c>
      <c r="V70" s="14">
        <f t="shared" si="38"/>
        <v>1.2349289817784299</v>
      </c>
      <c r="W70" s="13">
        <v>1.19</v>
      </c>
      <c r="X70" s="42">
        <f t="shared" ref="X70:X101" si="39">V70-W70</f>
        <v>4.4928981778425699E-2</v>
      </c>
      <c r="Y70" s="44">
        <f t="shared" ref="Y70:Y101" si="40">T70/V70</f>
        <v>2.69921054774581E-2</v>
      </c>
      <c r="Z70" s="45">
        <f t="shared" ref="Z70:Z101" si="41">Q70/V70</f>
        <v>0.37957648327675497</v>
      </c>
      <c r="AA70" s="15">
        <f t="shared" ref="AA70:AA101" si="42">(N70*O70/K70/M70)/2</f>
        <v>0.31468750000000001</v>
      </c>
      <c r="AB70" s="45">
        <f t="shared" ref="AB70:AB101" si="43">AA70/V70</f>
        <v>0.25482234577312801</v>
      </c>
      <c r="AC70" s="46">
        <f t="shared" ref="AC70:AC101" si="44">S70/V70</f>
        <v>1.18247015675649E-2</v>
      </c>
      <c r="AD70" s="46">
        <f t="shared" ref="AD70:AD101" si="45">U70/V70</f>
        <v>0</v>
      </c>
      <c r="AE70" s="46">
        <f t="shared" ref="AE70:AE101" si="46">1-I70/V70</f>
        <v>0.78578664067522097</v>
      </c>
      <c r="AF70" s="47">
        <v>16997</v>
      </c>
      <c r="AG70" s="137">
        <f t="shared" ref="AG70:AG133" si="47">(I70+Q70+(N70*O70/K70/M70)/2)/H70*1.4+R70*1.1+S70+T70+U70</f>
        <v>1.54504426530612</v>
      </c>
      <c r="AH70" s="52">
        <f t="shared" ref="AH70:AH101" si="48">AG70*AF70</f>
        <v>26261.117377408202</v>
      </c>
      <c r="AI70" s="53">
        <f t="shared" ref="AI70:AI101" si="49">V70*AF70</f>
        <v>20990.087903288</v>
      </c>
      <c r="AJ70" s="53">
        <f t="shared" ref="AJ70:AJ101" si="50">W70*AF70</f>
        <v>20226.43</v>
      </c>
      <c r="AK70" s="45">
        <f t="shared" ref="AK70:AK101" si="51">(AG70-V70)/V70</f>
        <v>0.25111993329453902</v>
      </c>
      <c r="AL70" s="45">
        <f t="shared" ref="AL70:AL101" si="52">(AG70-W70)/W70</f>
        <v>0.29835652546732999</v>
      </c>
    </row>
    <row r="71" spans="1:38" ht="27">
      <c r="A71" s="10">
        <v>67</v>
      </c>
      <c r="B71" s="11" t="s">
        <v>184</v>
      </c>
      <c r="C71" s="12" t="s">
        <v>185</v>
      </c>
      <c r="D71" s="13" t="s">
        <v>59</v>
      </c>
      <c r="E71" s="37">
        <v>3.5000000000000003E-2</v>
      </c>
      <c r="F71" s="37">
        <v>3.6749999999999998E-2</v>
      </c>
      <c r="G71" s="14">
        <v>18.584099999999999</v>
      </c>
      <c r="H71" s="38">
        <v>0.9</v>
      </c>
      <c r="I71" s="14">
        <f t="shared" si="36"/>
        <v>0.75885075000000002</v>
      </c>
      <c r="J71" s="13" t="s">
        <v>120</v>
      </c>
      <c r="K71" s="14">
        <v>48</v>
      </c>
      <c r="L71" s="41">
        <v>75</v>
      </c>
      <c r="M71" s="13">
        <v>2</v>
      </c>
      <c r="N71" s="13">
        <v>39.75</v>
      </c>
      <c r="O71" s="13">
        <v>0.76</v>
      </c>
      <c r="P71" s="13">
        <v>22.5</v>
      </c>
      <c r="Q71" s="14">
        <f t="shared" si="37"/>
        <v>0.234375</v>
      </c>
      <c r="R71" s="14">
        <v>0</v>
      </c>
      <c r="S71" s="21">
        <v>0.10657111111111101</v>
      </c>
      <c r="T71" s="21">
        <v>0.22222222222222199</v>
      </c>
      <c r="U71" s="13">
        <v>0.3</v>
      </c>
      <c r="V71" s="14">
        <f t="shared" si="38"/>
        <v>2.0478290499999998</v>
      </c>
      <c r="W71" s="13">
        <v>3.27</v>
      </c>
      <c r="X71" s="42">
        <f t="shared" si="39"/>
        <v>-1.22217095</v>
      </c>
      <c r="Y71" s="44">
        <f t="shared" si="40"/>
        <v>0.108516002457442</v>
      </c>
      <c r="Z71" s="45">
        <f t="shared" si="41"/>
        <v>0.114450471341834</v>
      </c>
      <c r="AA71" s="15">
        <f t="shared" si="42"/>
        <v>0.15734375</v>
      </c>
      <c r="AB71" s="45">
        <f t="shared" si="43"/>
        <v>7.6834416427484495E-2</v>
      </c>
      <c r="AC71" s="46">
        <f t="shared" si="44"/>
        <v>5.2041019298515699E-2</v>
      </c>
      <c r="AD71" s="46">
        <f t="shared" si="45"/>
        <v>0.14649660331754699</v>
      </c>
      <c r="AE71" s="46">
        <f t="shared" si="46"/>
        <v>0.62943647566675498</v>
      </c>
      <c r="AF71" s="47">
        <v>6419</v>
      </c>
      <c r="AG71" s="137">
        <f t="shared" si="47"/>
        <v>2.4185681111111101</v>
      </c>
      <c r="AH71" s="52">
        <f t="shared" si="48"/>
        <v>15524.788705222199</v>
      </c>
      <c r="AI71" s="53">
        <f t="shared" si="49"/>
        <v>13145.014671950001</v>
      </c>
      <c r="AJ71" s="53">
        <f t="shared" si="50"/>
        <v>20990.13</v>
      </c>
      <c r="AK71" s="45">
        <f t="shared" si="51"/>
        <v>0.18104004389971501</v>
      </c>
      <c r="AL71" s="45">
        <f t="shared" si="52"/>
        <v>-0.26037672443085302</v>
      </c>
    </row>
    <row r="72" spans="1:38">
      <c r="A72" s="10">
        <v>68</v>
      </c>
      <c r="B72" s="11" t="s">
        <v>186</v>
      </c>
      <c r="C72" s="16" t="s">
        <v>178</v>
      </c>
      <c r="D72" s="13" t="s">
        <v>59</v>
      </c>
      <c r="E72" s="37">
        <v>0</v>
      </c>
      <c r="F72" s="37">
        <v>3.7019999999999997E-2</v>
      </c>
      <c r="G72" s="14">
        <v>18.584099999999999</v>
      </c>
      <c r="H72" s="38">
        <v>0.9</v>
      </c>
      <c r="I72" s="14">
        <f t="shared" si="36"/>
        <v>0.76442597999999995</v>
      </c>
      <c r="J72" s="13" t="s">
        <v>120</v>
      </c>
      <c r="K72" s="14">
        <v>55</v>
      </c>
      <c r="L72" s="41">
        <v>65.454545454545496</v>
      </c>
      <c r="M72" s="13">
        <v>2</v>
      </c>
      <c r="N72" s="13">
        <v>39.75</v>
      </c>
      <c r="O72" s="13">
        <v>0.76</v>
      </c>
      <c r="P72" s="13">
        <v>22.5</v>
      </c>
      <c r="Q72" s="14">
        <f t="shared" si="37"/>
        <v>0.204545454545455</v>
      </c>
      <c r="R72" s="14">
        <v>0</v>
      </c>
      <c r="S72" s="21">
        <v>0.10657111111111101</v>
      </c>
      <c r="T72" s="21">
        <v>0.22222222222222199</v>
      </c>
      <c r="U72" s="13">
        <v>0.3</v>
      </c>
      <c r="V72" s="14">
        <f t="shared" si="38"/>
        <v>1.9932171935151499</v>
      </c>
      <c r="W72" s="13">
        <v>2.79</v>
      </c>
      <c r="X72" s="42">
        <f t="shared" si="39"/>
        <v>-0.796782806484849</v>
      </c>
      <c r="Y72" s="44">
        <f t="shared" si="40"/>
        <v>0.111489215999748</v>
      </c>
      <c r="Z72" s="45">
        <f t="shared" si="41"/>
        <v>0.102620755636132</v>
      </c>
      <c r="AA72" s="15">
        <f t="shared" si="42"/>
        <v>0.13731818181818201</v>
      </c>
      <c r="AB72" s="45">
        <f t="shared" si="43"/>
        <v>6.8892733950389806E-2</v>
      </c>
      <c r="AC72" s="46">
        <f t="shared" si="44"/>
        <v>5.34668833169991E-2</v>
      </c>
      <c r="AD72" s="46">
        <f t="shared" si="45"/>
        <v>0.15051044159966001</v>
      </c>
      <c r="AE72" s="46">
        <f t="shared" si="46"/>
        <v>0.61648636059982398</v>
      </c>
      <c r="AF72" s="47">
        <v>2500</v>
      </c>
      <c r="AG72" s="137">
        <f t="shared" si="47"/>
        <v>2.3496882921212099</v>
      </c>
      <c r="AH72" s="52">
        <f t="shared" si="48"/>
        <v>5874.22073030303</v>
      </c>
      <c r="AI72" s="53">
        <f t="shared" si="49"/>
        <v>4983.0429837878701</v>
      </c>
      <c r="AJ72" s="53">
        <f t="shared" si="50"/>
        <v>6975</v>
      </c>
      <c r="AK72" s="45">
        <f t="shared" si="51"/>
        <v>0.17884207489571399</v>
      </c>
      <c r="AL72" s="45">
        <f t="shared" si="52"/>
        <v>-0.15781781644401</v>
      </c>
    </row>
    <row r="73" spans="1:38">
      <c r="A73" s="10">
        <v>69</v>
      </c>
      <c r="B73" s="11" t="s">
        <v>187</v>
      </c>
      <c r="C73" s="16" t="s">
        <v>188</v>
      </c>
      <c r="D73" s="13" t="s">
        <v>86</v>
      </c>
      <c r="E73" s="37">
        <v>4.8000000000000001E-2</v>
      </c>
      <c r="F73" s="37">
        <v>5.04E-2</v>
      </c>
      <c r="G73" s="14">
        <v>13.716799999999999</v>
      </c>
      <c r="H73" s="38">
        <v>0.95</v>
      </c>
      <c r="I73" s="14">
        <f t="shared" si="36"/>
        <v>0.72771233684210501</v>
      </c>
      <c r="J73" s="13" t="s">
        <v>120</v>
      </c>
      <c r="K73" s="14">
        <v>42.352941176470502</v>
      </c>
      <c r="L73" s="41">
        <v>85.000000000000199</v>
      </c>
      <c r="M73" s="13">
        <v>2</v>
      </c>
      <c r="N73" s="13">
        <v>39.75</v>
      </c>
      <c r="O73" s="13">
        <v>0.76</v>
      </c>
      <c r="P73" s="13">
        <v>22.5</v>
      </c>
      <c r="Q73" s="14">
        <f t="shared" si="37"/>
        <v>0.265625000000001</v>
      </c>
      <c r="R73" s="14">
        <v>0</v>
      </c>
      <c r="S73" s="21">
        <v>4.2062000000000002E-2</v>
      </c>
      <c r="T73" s="21">
        <v>0.1</v>
      </c>
      <c r="U73" s="13">
        <v>0</v>
      </c>
      <c r="V73" s="14">
        <f t="shared" si="38"/>
        <v>1.5110545067312999</v>
      </c>
      <c r="W73" s="13">
        <v>2.48</v>
      </c>
      <c r="X73" s="42">
        <f t="shared" si="39"/>
        <v>-0.96894549326869694</v>
      </c>
      <c r="Y73" s="44">
        <f t="shared" si="40"/>
        <v>6.6178949570998E-2</v>
      </c>
      <c r="Z73" s="45">
        <f t="shared" si="41"/>
        <v>0.175787834797964</v>
      </c>
      <c r="AA73" s="15">
        <f t="shared" si="42"/>
        <v>0.178322916666667</v>
      </c>
      <c r="AB73" s="45">
        <f t="shared" si="43"/>
        <v>0.118012233094366</v>
      </c>
      <c r="AC73" s="46">
        <f t="shared" si="44"/>
        <v>2.7836189768553201E-2</v>
      </c>
      <c r="AD73" s="46">
        <f t="shared" si="45"/>
        <v>0</v>
      </c>
      <c r="AE73" s="46">
        <f t="shared" si="46"/>
        <v>0.51840761957933201</v>
      </c>
      <c r="AF73" s="47">
        <v>10500</v>
      </c>
      <c r="AG73" s="137">
        <f t="shared" si="47"/>
        <v>1.8687192156971399</v>
      </c>
      <c r="AH73" s="52">
        <f t="shared" si="48"/>
        <v>19621.55176482</v>
      </c>
      <c r="AI73" s="53">
        <f t="shared" si="49"/>
        <v>15866.072320678601</v>
      </c>
      <c r="AJ73" s="53">
        <f t="shared" si="50"/>
        <v>26040</v>
      </c>
      <c r="AK73" s="45">
        <f t="shared" si="51"/>
        <v>0.23669874737975999</v>
      </c>
      <c r="AL73" s="45">
        <f t="shared" si="52"/>
        <v>-0.24648418721889501</v>
      </c>
    </row>
    <row r="74" spans="1:38">
      <c r="A74" s="10">
        <v>70</v>
      </c>
      <c r="B74" s="11" t="s">
        <v>189</v>
      </c>
      <c r="C74" s="16" t="s">
        <v>190</v>
      </c>
      <c r="D74" s="13" t="s">
        <v>43</v>
      </c>
      <c r="E74" s="37">
        <v>1.2E-2</v>
      </c>
      <c r="F74" s="37">
        <v>1.26E-2</v>
      </c>
      <c r="G74" s="14">
        <v>15.309699999999999</v>
      </c>
      <c r="H74" s="38">
        <v>0.95</v>
      </c>
      <c r="I74" s="14">
        <f t="shared" si="36"/>
        <v>0.203054968421053</v>
      </c>
      <c r="J74" s="13" t="s">
        <v>65</v>
      </c>
      <c r="K74" s="14">
        <v>55.384615384615401</v>
      </c>
      <c r="L74" s="41">
        <v>65</v>
      </c>
      <c r="M74" s="13">
        <v>2</v>
      </c>
      <c r="N74" s="13">
        <v>48.5</v>
      </c>
      <c r="O74" s="13">
        <v>0.76</v>
      </c>
      <c r="P74" s="13">
        <v>22.5</v>
      </c>
      <c r="Q74" s="14">
        <f t="shared" si="37"/>
        <v>0.203125</v>
      </c>
      <c r="R74" s="14">
        <v>0</v>
      </c>
      <c r="S74" s="21">
        <v>8.4124000000000004E-2</v>
      </c>
      <c r="T74" s="21">
        <v>0.2</v>
      </c>
      <c r="U74" s="13">
        <v>0</v>
      </c>
      <c r="V74" s="14">
        <f t="shared" si="38"/>
        <v>0.953117392927054</v>
      </c>
      <c r="W74" s="13">
        <v>0.72</v>
      </c>
      <c r="X74" s="42">
        <f t="shared" si="39"/>
        <v>0.233117392927054</v>
      </c>
      <c r="Y74" s="44">
        <f t="shared" si="40"/>
        <v>0.209837740328915</v>
      </c>
      <c r="Z74" s="45">
        <f t="shared" si="41"/>
        <v>0.21311645502155499</v>
      </c>
      <c r="AA74" s="15">
        <f t="shared" si="42"/>
        <v>0.16638194444444401</v>
      </c>
      <c r="AB74" s="45">
        <f t="shared" si="43"/>
        <v>0.17456605626876701</v>
      </c>
      <c r="AC74" s="46">
        <f t="shared" si="44"/>
        <v>8.8261950337148398E-2</v>
      </c>
      <c r="AD74" s="46">
        <f t="shared" si="45"/>
        <v>0</v>
      </c>
      <c r="AE74" s="46">
        <f t="shared" si="46"/>
        <v>0.78695702131983503</v>
      </c>
      <c r="AF74" s="47">
        <v>10625</v>
      </c>
      <c r="AG74" s="137">
        <f t="shared" si="47"/>
        <v>1.1278994505386299</v>
      </c>
      <c r="AH74" s="52">
        <f t="shared" si="48"/>
        <v>11983.9316619729</v>
      </c>
      <c r="AI74" s="53">
        <f t="shared" si="49"/>
        <v>10126.8722998499</v>
      </c>
      <c r="AJ74" s="53">
        <f t="shared" si="50"/>
        <v>7650</v>
      </c>
      <c r="AK74" s="45">
        <f t="shared" si="51"/>
        <v>0.183379360096255</v>
      </c>
      <c r="AL74" s="45">
        <f t="shared" si="52"/>
        <v>0.56652701463698296</v>
      </c>
    </row>
    <row r="75" spans="1:38">
      <c r="A75" s="10">
        <v>71</v>
      </c>
      <c r="B75" s="11" t="s">
        <v>191</v>
      </c>
      <c r="C75" s="16" t="s">
        <v>192</v>
      </c>
      <c r="D75" s="13" t="s">
        <v>43</v>
      </c>
      <c r="E75" s="37">
        <v>6.0000000000000001E-3</v>
      </c>
      <c r="F75" s="37">
        <v>6.3E-3</v>
      </c>
      <c r="G75" s="14">
        <v>15.309699999999999</v>
      </c>
      <c r="H75" s="38">
        <v>0.95</v>
      </c>
      <c r="I75" s="14">
        <f t="shared" si="36"/>
        <v>0.101527484210526</v>
      </c>
      <c r="J75" s="13" t="s">
        <v>65</v>
      </c>
      <c r="K75" s="14">
        <v>65.454545454545496</v>
      </c>
      <c r="L75" s="41">
        <v>55</v>
      </c>
      <c r="M75" s="13">
        <v>6</v>
      </c>
      <c r="N75" s="13">
        <v>48.5</v>
      </c>
      <c r="O75" s="13">
        <v>0.76</v>
      </c>
      <c r="P75" s="13">
        <v>22.5</v>
      </c>
      <c r="Q75" s="14">
        <f t="shared" si="37"/>
        <v>5.7291666666666602E-2</v>
      </c>
      <c r="R75" s="14">
        <v>0</v>
      </c>
      <c r="S75" s="21">
        <v>4.77055555555556E-3</v>
      </c>
      <c r="T75" s="21">
        <v>1.1111111111111099E-2</v>
      </c>
      <c r="U75" s="13">
        <v>0</v>
      </c>
      <c r="V75" s="14">
        <f t="shared" si="38"/>
        <v>0.256281250557094</v>
      </c>
      <c r="W75" s="13">
        <v>0.46</v>
      </c>
      <c r="X75" s="42">
        <f t="shared" si="39"/>
        <v>-0.20371874944290599</v>
      </c>
      <c r="Y75" s="44">
        <f t="shared" si="40"/>
        <v>4.3355146297117703E-2</v>
      </c>
      <c r="Z75" s="45">
        <f t="shared" si="41"/>
        <v>0.22354997309451299</v>
      </c>
      <c r="AA75" s="15">
        <f t="shared" si="42"/>
        <v>4.6928240740740701E-2</v>
      </c>
      <c r="AB75" s="45">
        <f t="shared" si="43"/>
        <v>0.18311226685030599</v>
      </c>
      <c r="AC75" s="46">
        <f t="shared" si="44"/>
        <v>1.8614532062667499E-2</v>
      </c>
      <c r="AD75" s="46">
        <f t="shared" si="45"/>
        <v>0</v>
      </c>
      <c r="AE75" s="46">
        <f t="shared" si="46"/>
        <v>0.60384349619869004</v>
      </c>
      <c r="AF75" s="47">
        <v>74291</v>
      </c>
      <c r="AG75" s="137">
        <f t="shared" si="47"/>
        <v>0.31908834905098898</v>
      </c>
      <c r="AH75" s="52">
        <f t="shared" si="48"/>
        <v>23705.3925393471</v>
      </c>
      <c r="AI75" s="53">
        <f t="shared" si="49"/>
        <v>19039.3903851371</v>
      </c>
      <c r="AJ75" s="53">
        <f t="shared" si="50"/>
        <v>34173.86</v>
      </c>
      <c r="AK75" s="45">
        <f t="shared" si="51"/>
        <v>0.24507098493302901</v>
      </c>
      <c r="AL75" s="45">
        <f t="shared" si="52"/>
        <v>-0.30632967597610999</v>
      </c>
    </row>
    <row r="76" spans="1:38">
      <c r="A76" s="10">
        <v>72</v>
      </c>
      <c r="B76" s="11" t="s">
        <v>193</v>
      </c>
      <c r="C76" s="16" t="s">
        <v>194</v>
      </c>
      <c r="D76" s="13" t="s">
        <v>43</v>
      </c>
      <c r="E76" s="37">
        <v>4.0000000000000001E-3</v>
      </c>
      <c r="F76" s="37">
        <v>4.1999999999999997E-3</v>
      </c>
      <c r="G76" s="14">
        <v>15.309699999999999</v>
      </c>
      <c r="H76" s="38">
        <v>0.95</v>
      </c>
      <c r="I76" s="14">
        <f t="shared" si="36"/>
        <v>6.7684989473684204E-2</v>
      </c>
      <c r="J76" s="13" t="s">
        <v>65</v>
      </c>
      <c r="K76" s="14">
        <v>65.454545454545496</v>
      </c>
      <c r="L76" s="41">
        <v>55</v>
      </c>
      <c r="M76" s="13">
        <v>6</v>
      </c>
      <c r="N76" s="13">
        <v>48.5</v>
      </c>
      <c r="O76" s="13">
        <v>0.76</v>
      </c>
      <c r="P76" s="13">
        <v>22.5</v>
      </c>
      <c r="Q76" s="14">
        <f t="shared" si="37"/>
        <v>5.7291666666666602E-2</v>
      </c>
      <c r="R76" s="14">
        <v>0</v>
      </c>
      <c r="S76" s="21">
        <v>4.77055555555556E-3</v>
      </c>
      <c r="T76" s="21">
        <v>1.1111111111111099E-2</v>
      </c>
      <c r="U76" s="13">
        <v>0</v>
      </c>
      <c r="V76" s="14">
        <f t="shared" si="38"/>
        <v>0.21673896723299499</v>
      </c>
      <c r="W76" s="13">
        <v>0.32</v>
      </c>
      <c r="X76" s="42">
        <f t="shared" si="39"/>
        <v>-0.103261032767005</v>
      </c>
      <c r="Y76" s="44">
        <f t="shared" si="40"/>
        <v>5.1264944430443E-2</v>
      </c>
      <c r="Z76" s="45">
        <f t="shared" si="41"/>
        <v>0.26433486971947201</v>
      </c>
      <c r="AA76" s="15">
        <f t="shared" si="42"/>
        <v>4.6928240740740701E-2</v>
      </c>
      <c r="AB76" s="45">
        <f t="shared" si="43"/>
        <v>0.216519628841327</v>
      </c>
      <c r="AC76" s="46">
        <f t="shared" si="44"/>
        <v>2.20106038912108E-2</v>
      </c>
      <c r="AD76" s="46">
        <f t="shared" si="45"/>
        <v>0</v>
      </c>
      <c r="AE76" s="46">
        <f t="shared" si="46"/>
        <v>0.68771194982708095</v>
      </c>
      <c r="AF76" s="47">
        <v>74969</v>
      </c>
      <c r="AG76" s="137">
        <f t="shared" si="47"/>
        <v>0.26921519891248602</v>
      </c>
      <c r="AH76" s="52">
        <f t="shared" si="48"/>
        <v>20182.7942472701</v>
      </c>
      <c r="AI76" s="53">
        <f t="shared" si="49"/>
        <v>16248.703634490401</v>
      </c>
      <c r="AJ76" s="53">
        <f t="shared" si="50"/>
        <v>23990.080000000002</v>
      </c>
      <c r="AK76" s="45">
        <f t="shared" si="51"/>
        <v>0.242117199087133</v>
      </c>
      <c r="AL76" s="45">
        <f t="shared" si="52"/>
        <v>-0.15870250339848199</v>
      </c>
    </row>
    <row r="77" spans="1:38">
      <c r="A77" s="10">
        <v>73</v>
      </c>
      <c r="B77" s="11" t="s">
        <v>195</v>
      </c>
      <c r="C77" s="16" t="s">
        <v>196</v>
      </c>
      <c r="D77" s="13" t="s">
        <v>43</v>
      </c>
      <c r="E77" s="37">
        <v>1E-3</v>
      </c>
      <c r="F77" s="37">
        <v>1.0499999999999999E-3</v>
      </c>
      <c r="G77" s="14">
        <v>15.309699999999999</v>
      </c>
      <c r="H77" s="38">
        <v>0.95</v>
      </c>
      <c r="I77" s="14">
        <f t="shared" si="36"/>
        <v>1.69212473684211E-2</v>
      </c>
      <c r="J77" s="13" t="s">
        <v>65</v>
      </c>
      <c r="K77" s="14">
        <v>65.454545454545496</v>
      </c>
      <c r="L77" s="41">
        <v>55</v>
      </c>
      <c r="M77" s="13">
        <v>6</v>
      </c>
      <c r="N77" s="13">
        <v>48.5</v>
      </c>
      <c r="O77" s="13">
        <v>0.76</v>
      </c>
      <c r="P77" s="13">
        <v>22.5</v>
      </c>
      <c r="Q77" s="14">
        <f t="shared" si="37"/>
        <v>5.7291666666666602E-2</v>
      </c>
      <c r="R77" s="14">
        <v>0</v>
      </c>
      <c r="S77" s="21">
        <v>1.43116666666667E-3</v>
      </c>
      <c r="T77" s="21">
        <v>3.3333333333333301E-3</v>
      </c>
      <c r="U77" s="13">
        <v>0</v>
      </c>
      <c r="V77" s="14">
        <f t="shared" si="38"/>
        <v>0.14630837558017801</v>
      </c>
      <c r="W77" s="13">
        <v>0.18</v>
      </c>
      <c r="X77" s="42">
        <f t="shared" si="39"/>
        <v>-3.36916244198215E-2</v>
      </c>
      <c r="Y77" s="44">
        <f t="shared" si="40"/>
        <v>2.2782929002630101E-2</v>
      </c>
      <c r="Z77" s="45">
        <f t="shared" si="41"/>
        <v>0.391581592232704</v>
      </c>
      <c r="AA77" s="15">
        <f t="shared" si="42"/>
        <v>4.6928240740740701E-2</v>
      </c>
      <c r="AB77" s="45">
        <f t="shared" si="43"/>
        <v>0.32074883310438901</v>
      </c>
      <c r="AC77" s="46">
        <f t="shared" si="44"/>
        <v>9.7818505672792495E-3</v>
      </c>
      <c r="AD77" s="46">
        <f t="shared" si="45"/>
        <v>0</v>
      </c>
      <c r="AE77" s="46">
        <f t="shared" si="46"/>
        <v>0.88434532677079603</v>
      </c>
      <c r="AF77" s="47">
        <v>141071</v>
      </c>
      <c r="AG77" s="137">
        <f t="shared" si="47"/>
        <v>0.18328830703806301</v>
      </c>
      <c r="AH77" s="52">
        <f t="shared" si="48"/>
        <v>25856.664762166602</v>
      </c>
      <c r="AI77" s="53">
        <f t="shared" si="49"/>
        <v>20639.868851471299</v>
      </c>
      <c r="AJ77" s="53">
        <f t="shared" si="50"/>
        <v>25392.78</v>
      </c>
      <c r="AK77" s="45">
        <f t="shared" si="51"/>
        <v>0.25275334587813603</v>
      </c>
      <c r="AL77" s="45">
        <f t="shared" si="52"/>
        <v>1.8268372433682799E-2</v>
      </c>
    </row>
    <row r="78" spans="1:38">
      <c r="A78" s="10">
        <v>74</v>
      </c>
      <c r="B78" s="11" t="s">
        <v>197</v>
      </c>
      <c r="C78" s="12" t="s">
        <v>198</v>
      </c>
      <c r="D78" s="13" t="s">
        <v>59</v>
      </c>
      <c r="E78" s="37">
        <v>1.4E-2</v>
      </c>
      <c r="F78" s="37">
        <v>1.47E-2</v>
      </c>
      <c r="G78" s="14">
        <v>18.584099999999999</v>
      </c>
      <c r="H78" s="38">
        <v>0.96</v>
      </c>
      <c r="I78" s="14">
        <f t="shared" si="36"/>
        <v>0.28456903124999999</v>
      </c>
      <c r="J78" s="13" t="s">
        <v>65</v>
      </c>
      <c r="K78" s="14">
        <v>48</v>
      </c>
      <c r="L78" s="41">
        <v>75</v>
      </c>
      <c r="M78" s="13">
        <v>2</v>
      </c>
      <c r="N78" s="13">
        <v>48.5</v>
      </c>
      <c r="O78" s="13">
        <v>0.76</v>
      </c>
      <c r="P78" s="13">
        <v>22.5</v>
      </c>
      <c r="Q78" s="14">
        <f t="shared" si="37"/>
        <v>0.234375</v>
      </c>
      <c r="R78" s="14">
        <v>0</v>
      </c>
      <c r="S78" s="21">
        <v>3.5437999999999997E-2</v>
      </c>
      <c r="T78" s="21">
        <v>0.05</v>
      </c>
      <c r="U78" s="13">
        <v>0</v>
      </c>
      <c r="V78" s="14">
        <f t="shared" si="38"/>
        <v>0.90744294759114597</v>
      </c>
      <c r="W78" s="13">
        <v>1.04</v>
      </c>
      <c r="X78" s="42">
        <f t="shared" si="39"/>
        <v>-0.13255705240885399</v>
      </c>
      <c r="Y78" s="44">
        <f t="shared" si="40"/>
        <v>5.5099882733925701E-2</v>
      </c>
      <c r="Z78" s="45">
        <f t="shared" si="41"/>
        <v>0.258280700315277</v>
      </c>
      <c r="AA78" s="15">
        <f t="shared" si="42"/>
        <v>0.19197916666666701</v>
      </c>
      <c r="AB78" s="45">
        <f t="shared" si="43"/>
        <v>0.21156059141380201</v>
      </c>
      <c r="AC78" s="46">
        <f t="shared" si="44"/>
        <v>3.9052592886497199E-2</v>
      </c>
      <c r="AD78" s="46">
        <f t="shared" si="45"/>
        <v>0</v>
      </c>
      <c r="AE78" s="46">
        <f t="shared" si="46"/>
        <v>0.68640559496836295</v>
      </c>
      <c r="AF78" s="47">
        <v>27360</v>
      </c>
      <c r="AG78" s="137">
        <f t="shared" si="47"/>
        <v>1.1222009969618101</v>
      </c>
      <c r="AH78" s="52">
        <f t="shared" si="48"/>
        <v>30703.419276875</v>
      </c>
      <c r="AI78" s="53">
        <f t="shared" si="49"/>
        <v>24827.639046093798</v>
      </c>
      <c r="AJ78" s="53">
        <f t="shared" si="50"/>
        <v>28454.400000000001</v>
      </c>
      <c r="AK78" s="45">
        <f t="shared" si="51"/>
        <v>0.236662866729799</v>
      </c>
      <c r="AL78" s="45">
        <f t="shared" si="52"/>
        <v>7.9039420155582296E-2</v>
      </c>
    </row>
    <row r="79" spans="1:38">
      <c r="A79" s="10">
        <v>75</v>
      </c>
      <c r="B79" s="11" t="s">
        <v>199</v>
      </c>
      <c r="C79" s="12" t="s">
        <v>200</v>
      </c>
      <c r="D79" s="13" t="s">
        <v>59</v>
      </c>
      <c r="E79" s="37">
        <v>1.4999999999999999E-2</v>
      </c>
      <c r="F79" s="37">
        <v>1.575E-2</v>
      </c>
      <c r="G79" s="14">
        <v>18.584099999999999</v>
      </c>
      <c r="H79" s="38">
        <v>0.96</v>
      </c>
      <c r="I79" s="14">
        <f t="shared" si="36"/>
        <v>0.30489539062499998</v>
      </c>
      <c r="J79" s="13" t="s">
        <v>65</v>
      </c>
      <c r="K79" s="14">
        <v>48</v>
      </c>
      <c r="L79" s="41">
        <v>75</v>
      </c>
      <c r="M79" s="13">
        <v>2</v>
      </c>
      <c r="N79" s="13">
        <v>48.5</v>
      </c>
      <c r="O79" s="13">
        <v>0.76</v>
      </c>
      <c r="P79" s="13">
        <v>22.5</v>
      </c>
      <c r="Q79" s="14">
        <f t="shared" si="37"/>
        <v>0.234375</v>
      </c>
      <c r="R79" s="14">
        <v>0</v>
      </c>
      <c r="S79" s="21">
        <v>4.3755333333333299E-2</v>
      </c>
      <c r="T79" s="21">
        <v>6.6666666666666693E-2</v>
      </c>
      <c r="U79" s="13">
        <v>0</v>
      </c>
      <c r="V79" s="14">
        <f t="shared" si="38"/>
        <v>0.95592930061849002</v>
      </c>
      <c r="W79" s="13">
        <v>1.04</v>
      </c>
      <c r="X79" s="42">
        <f t="shared" si="39"/>
        <v>-8.4070699381510294E-2</v>
      </c>
      <c r="Y79" s="44">
        <f t="shared" si="40"/>
        <v>6.9740164490755804E-2</v>
      </c>
      <c r="Z79" s="45">
        <f t="shared" si="41"/>
        <v>0.24518026578781299</v>
      </c>
      <c r="AA79" s="15">
        <f t="shared" si="42"/>
        <v>0.19197916666666701</v>
      </c>
      <c r="AB79" s="45">
        <f t="shared" si="43"/>
        <v>0.20082987993197299</v>
      </c>
      <c r="AC79" s="46">
        <f t="shared" si="44"/>
        <v>4.5772562160217703E-2</v>
      </c>
      <c r="AD79" s="46">
        <f t="shared" si="45"/>
        <v>0</v>
      </c>
      <c r="AE79" s="46">
        <f t="shared" si="46"/>
        <v>0.68104817958008901</v>
      </c>
      <c r="AF79" s="47">
        <v>0</v>
      </c>
      <c r="AG79" s="137">
        <f t="shared" si="47"/>
        <v>1.1768276043836801</v>
      </c>
      <c r="AH79" s="52">
        <f t="shared" si="48"/>
        <v>0</v>
      </c>
      <c r="AI79" s="53">
        <f t="shared" si="49"/>
        <v>0</v>
      </c>
      <c r="AJ79" s="53">
        <f t="shared" si="50"/>
        <v>0</v>
      </c>
      <c r="AK79" s="45">
        <f t="shared" si="51"/>
        <v>0.2310822606047</v>
      </c>
      <c r="AL79" s="45">
        <f t="shared" si="52"/>
        <v>0.131565004215078</v>
      </c>
    </row>
    <row r="80" spans="1:38">
      <c r="A80" s="10">
        <v>76</v>
      </c>
      <c r="B80" s="11" t="s">
        <v>201</v>
      </c>
      <c r="C80" s="12" t="s">
        <v>202</v>
      </c>
      <c r="D80" s="13" t="s">
        <v>59</v>
      </c>
      <c r="E80" s="37">
        <v>1.4999999999999999E-2</v>
      </c>
      <c r="F80" s="37">
        <v>1.575E-2</v>
      </c>
      <c r="G80" s="14">
        <v>18.584099999999999</v>
      </c>
      <c r="H80" s="38">
        <v>0.96</v>
      </c>
      <c r="I80" s="14">
        <f t="shared" si="36"/>
        <v>0.30489539062499998</v>
      </c>
      <c r="J80" s="13" t="s">
        <v>65</v>
      </c>
      <c r="K80" s="14">
        <v>48</v>
      </c>
      <c r="L80" s="41">
        <v>75</v>
      </c>
      <c r="M80" s="13">
        <v>2</v>
      </c>
      <c r="N80" s="13">
        <v>48.5</v>
      </c>
      <c r="O80" s="13">
        <v>0.76</v>
      </c>
      <c r="P80" s="13">
        <v>22.5</v>
      </c>
      <c r="Q80" s="14">
        <f t="shared" si="37"/>
        <v>0.234375</v>
      </c>
      <c r="R80" s="14">
        <v>0</v>
      </c>
      <c r="S80" s="21">
        <v>4.3755333333333299E-2</v>
      </c>
      <c r="T80" s="21">
        <v>6.6666666666666693E-2</v>
      </c>
      <c r="U80" s="13">
        <v>0.3</v>
      </c>
      <c r="V80" s="14">
        <f t="shared" si="38"/>
        <v>1.25592930061849</v>
      </c>
      <c r="W80" s="13">
        <v>1.22</v>
      </c>
      <c r="X80" s="42">
        <f t="shared" si="39"/>
        <v>3.5929300618489798E-2</v>
      </c>
      <c r="Y80" s="44">
        <f t="shared" si="40"/>
        <v>5.30815441871101E-2</v>
      </c>
      <c r="Z80" s="45">
        <f t="shared" si="41"/>
        <v>0.18661480378280901</v>
      </c>
      <c r="AA80" s="15">
        <f t="shared" si="42"/>
        <v>0.19197916666666701</v>
      </c>
      <c r="AB80" s="45">
        <f t="shared" si="43"/>
        <v>0.15285825927631899</v>
      </c>
      <c r="AC80" s="46">
        <f t="shared" si="44"/>
        <v>3.48390098963259E-2</v>
      </c>
      <c r="AD80" s="46">
        <f t="shared" si="45"/>
        <v>0.238866948841995</v>
      </c>
      <c r="AE80" s="46">
        <f t="shared" si="46"/>
        <v>0.75723522775139296</v>
      </c>
      <c r="AF80" s="47">
        <v>20551</v>
      </c>
      <c r="AG80" s="137">
        <f t="shared" si="47"/>
        <v>1.4768276043836801</v>
      </c>
      <c r="AH80" s="52">
        <f t="shared" si="48"/>
        <v>30350.284097689</v>
      </c>
      <c r="AI80" s="53">
        <f t="shared" si="49"/>
        <v>25810.603057010601</v>
      </c>
      <c r="AJ80" s="53">
        <f t="shared" si="50"/>
        <v>25072.22</v>
      </c>
      <c r="AK80" s="45">
        <f t="shared" si="51"/>
        <v>0.175884346082545</v>
      </c>
      <c r="AL80" s="45">
        <f t="shared" si="52"/>
        <v>0.210514429822689</v>
      </c>
    </row>
    <row r="81" spans="1:38">
      <c r="A81" s="10">
        <v>77</v>
      </c>
      <c r="B81" s="11" t="s">
        <v>203</v>
      </c>
      <c r="C81" s="16" t="s">
        <v>204</v>
      </c>
      <c r="D81" s="13" t="s">
        <v>86</v>
      </c>
      <c r="E81" s="37">
        <v>0</v>
      </c>
      <c r="F81" s="37">
        <v>0.124</v>
      </c>
      <c r="G81" s="14">
        <v>13.716799999999999</v>
      </c>
      <c r="H81" s="38">
        <v>0.95</v>
      </c>
      <c r="I81" s="14">
        <f t="shared" si="36"/>
        <v>1.7904033684210501</v>
      </c>
      <c r="J81" s="13" t="s">
        <v>87</v>
      </c>
      <c r="K81" s="14">
        <v>45</v>
      </c>
      <c r="L81" s="41">
        <v>80</v>
      </c>
      <c r="M81" s="13">
        <v>2</v>
      </c>
      <c r="N81" s="13">
        <v>75.900000000000006</v>
      </c>
      <c r="O81" s="13">
        <v>0.76</v>
      </c>
      <c r="P81" s="13">
        <v>22.5</v>
      </c>
      <c r="Q81" s="14">
        <f t="shared" si="37"/>
        <v>0.25</v>
      </c>
      <c r="R81" s="14">
        <v>0</v>
      </c>
      <c r="S81" s="21">
        <v>5.6082666666666697E-2</v>
      </c>
      <c r="T81" s="21">
        <v>0.133333333333333</v>
      </c>
      <c r="U81" s="13">
        <v>0</v>
      </c>
      <c r="V81" s="14">
        <f t="shared" si="38"/>
        <v>2.9479062515235501</v>
      </c>
      <c r="W81" s="13">
        <v>5</v>
      </c>
      <c r="X81" s="42">
        <f t="shared" si="39"/>
        <v>-2.0520937484764499</v>
      </c>
      <c r="Y81" s="44">
        <f t="shared" si="40"/>
        <v>4.5229841778185099E-2</v>
      </c>
      <c r="Z81" s="45">
        <f t="shared" si="41"/>
        <v>8.4805953334097295E-2</v>
      </c>
      <c r="AA81" s="15">
        <f t="shared" si="42"/>
        <v>0.32046666666666701</v>
      </c>
      <c r="AB81" s="45">
        <f t="shared" si="43"/>
        <v>0.10870992471386801</v>
      </c>
      <c r="AC81" s="46">
        <f t="shared" si="44"/>
        <v>1.9024576048740301E-2</v>
      </c>
      <c r="AD81" s="46">
        <f t="shared" si="45"/>
        <v>0</v>
      </c>
      <c r="AE81" s="46">
        <f t="shared" si="46"/>
        <v>0.39265254195389498</v>
      </c>
      <c r="AF81" s="47">
        <v>48643</v>
      </c>
      <c r="AG81" s="137">
        <f t="shared" si="47"/>
        <v>3.66859289381348</v>
      </c>
      <c r="AH81" s="52">
        <f t="shared" si="48"/>
        <v>178451.36413376901</v>
      </c>
      <c r="AI81" s="53">
        <f t="shared" si="49"/>
        <v>143395.00379285999</v>
      </c>
      <c r="AJ81" s="53">
        <f t="shared" si="50"/>
        <v>243215</v>
      </c>
      <c r="AK81" s="45">
        <f t="shared" si="51"/>
        <v>0.24447407101818699</v>
      </c>
      <c r="AL81" s="45">
        <f t="shared" si="52"/>
        <v>-0.26628142123730503</v>
      </c>
    </row>
    <row r="82" spans="1:38">
      <c r="A82" s="10">
        <v>78</v>
      </c>
      <c r="B82" s="11" t="s">
        <v>205</v>
      </c>
      <c r="C82" s="16" t="s">
        <v>206</v>
      </c>
      <c r="D82" s="13" t="s">
        <v>86</v>
      </c>
      <c r="E82" s="37">
        <v>0</v>
      </c>
      <c r="F82" s="37">
        <v>9.4750000000000001E-2</v>
      </c>
      <c r="G82" s="14">
        <v>13.716799999999999</v>
      </c>
      <c r="H82" s="38">
        <v>0.95</v>
      </c>
      <c r="I82" s="14">
        <f t="shared" si="36"/>
        <v>1.36807031578947</v>
      </c>
      <c r="J82" s="13" t="s">
        <v>87</v>
      </c>
      <c r="K82" s="14">
        <v>45</v>
      </c>
      <c r="L82" s="41">
        <v>80</v>
      </c>
      <c r="M82" s="13">
        <v>2</v>
      </c>
      <c r="N82" s="13">
        <v>75.900000000000006</v>
      </c>
      <c r="O82" s="13">
        <v>0.76</v>
      </c>
      <c r="P82" s="13">
        <v>22.5</v>
      </c>
      <c r="Q82" s="14">
        <f t="shared" si="37"/>
        <v>0.25</v>
      </c>
      <c r="R82" s="14">
        <v>0</v>
      </c>
      <c r="S82" s="21">
        <v>5.6082666666666697E-2</v>
      </c>
      <c r="T82" s="21">
        <v>0.133333333333333</v>
      </c>
      <c r="U82" s="13">
        <v>0</v>
      </c>
      <c r="V82" s="14">
        <f t="shared" si="38"/>
        <v>2.45444342160665</v>
      </c>
      <c r="W82" s="13">
        <v>4.46</v>
      </c>
      <c r="X82" s="42">
        <f t="shared" si="39"/>
        <v>-2.00555657839335</v>
      </c>
      <c r="Y82" s="44">
        <f t="shared" si="40"/>
        <v>5.4323245815971803E-2</v>
      </c>
      <c r="Z82" s="45">
        <f t="shared" si="41"/>
        <v>0.10185608590494701</v>
      </c>
      <c r="AA82" s="15">
        <f t="shared" si="42"/>
        <v>0.32046666666666701</v>
      </c>
      <c r="AB82" s="45">
        <f t="shared" si="43"/>
        <v>0.13056592131868899</v>
      </c>
      <c r="AC82" s="46">
        <f t="shared" si="44"/>
        <v>2.2849443655114099E-2</v>
      </c>
      <c r="AD82" s="46">
        <f t="shared" si="45"/>
        <v>0</v>
      </c>
      <c r="AE82" s="46">
        <f t="shared" si="46"/>
        <v>0.44261484956375702</v>
      </c>
      <c r="AF82" s="47">
        <v>49383</v>
      </c>
      <c r="AG82" s="137">
        <f t="shared" si="47"/>
        <v>3.04620734256694</v>
      </c>
      <c r="AH82" s="52">
        <f t="shared" si="48"/>
        <v>150430.85719798299</v>
      </c>
      <c r="AI82" s="53">
        <f t="shared" si="49"/>
        <v>121207.779489201</v>
      </c>
      <c r="AJ82" s="53">
        <f t="shared" si="50"/>
        <v>220248.18</v>
      </c>
      <c r="AK82" s="45">
        <f t="shared" si="51"/>
        <v>0.24109902707511799</v>
      </c>
      <c r="AL82" s="45">
        <f t="shared" si="52"/>
        <v>-0.31699386937960999</v>
      </c>
    </row>
    <row r="83" spans="1:38">
      <c r="A83" s="10">
        <v>79</v>
      </c>
      <c r="B83" s="11" t="s">
        <v>207</v>
      </c>
      <c r="C83" s="16" t="s">
        <v>134</v>
      </c>
      <c r="D83" s="13" t="s">
        <v>86</v>
      </c>
      <c r="E83" s="37">
        <v>0.24</v>
      </c>
      <c r="F83" s="37">
        <v>0.25440000000000002</v>
      </c>
      <c r="G83" s="14">
        <v>13.716799999999999</v>
      </c>
      <c r="H83" s="38">
        <v>0.95</v>
      </c>
      <c r="I83" s="14">
        <f t="shared" si="36"/>
        <v>3.6732146526315801</v>
      </c>
      <c r="J83" s="13" t="s">
        <v>208</v>
      </c>
      <c r="K83" s="14">
        <v>32.727272727272698</v>
      </c>
      <c r="L83" s="41">
        <v>110</v>
      </c>
      <c r="M83" s="13">
        <v>2</v>
      </c>
      <c r="N83" s="13">
        <v>84.3</v>
      </c>
      <c r="O83" s="13">
        <v>0.76</v>
      </c>
      <c r="P83" s="13">
        <v>22.5</v>
      </c>
      <c r="Q83" s="14">
        <f t="shared" si="37"/>
        <v>0.34375</v>
      </c>
      <c r="R83" s="14">
        <v>0</v>
      </c>
      <c r="S83" s="21">
        <v>5.6082666666666697E-2</v>
      </c>
      <c r="T83" s="21">
        <v>0.133333333333333</v>
      </c>
      <c r="U83" s="13">
        <v>0</v>
      </c>
      <c r="V83" s="14">
        <f t="shared" si="38"/>
        <v>5.4547570678116397</v>
      </c>
      <c r="W83" s="13">
        <v>8.91</v>
      </c>
      <c r="X83" s="42">
        <f t="shared" si="39"/>
        <v>-3.45524293218836</v>
      </c>
      <c r="Y83" s="44">
        <f t="shared" si="40"/>
        <v>2.4443496140300901E-2</v>
      </c>
      <c r="Z83" s="45">
        <f t="shared" si="41"/>
        <v>6.3018388486713497E-2</v>
      </c>
      <c r="AA83" s="15">
        <f t="shared" si="42"/>
        <v>0.489408333333334</v>
      </c>
      <c r="AB83" s="45">
        <f t="shared" si="43"/>
        <v>8.9721380301483605E-2</v>
      </c>
      <c r="AC83" s="46">
        <f t="shared" si="44"/>
        <v>1.0281423346533401E-2</v>
      </c>
      <c r="AD83" s="46">
        <f t="shared" si="45"/>
        <v>0</v>
      </c>
      <c r="AE83" s="46">
        <f t="shared" si="46"/>
        <v>0.32660343861927199</v>
      </c>
      <c r="AF83" s="47">
        <v>3841</v>
      </c>
      <c r="AG83" s="137">
        <f t="shared" si="47"/>
        <v>6.8303867161588201</v>
      </c>
      <c r="AH83" s="52">
        <f t="shared" si="48"/>
        <v>26235.515376766001</v>
      </c>
      <c r="AI83" s="53">
        <f t="shared" si="49"/>
        <v>20951.7218974645</v>
      </c>
      <c r="AJ83" s="53">
        <f t="shared" si="50"/>
        <v>34223.31</v>
      </c>
      <c r="AK83" s="45">
        <f t="shared" si="51"/>
        <v>0.252188984998934</v>
      </c>
      <c r="AL83" s="45">
        <f t="shared" si="52"/>
        <v>-0.233402164291939</v>
      </c>
    </row>
    <row r="84" spans="1:38">
      <c r="A84" s="10">
        <v>80</v>
      </c>
      <c r="B84" s="11" t="s">
        <v>209</v>
      </c>
      <c r="C84" s="16" t="s">
        <v>210</v>
      </c>
      <c r="D84" s="13" t="s">
        <v>86</v>
      </c>
      <c r="E84" s="37">
        <v>9.8000000000000004E-2</v>
      </c>
      <c r="F84" s="37">
        <v>0.10290000000000001</v>
      </c>
      <c r="G84" s="14">
        <v>13.716799999999999</v>
      </c>
      <c r="H84" s="38">
        <v>0.95</v>
      </c>
      <c r="I84" s="14">
        <f t="shared" si="36"/>
        <v>1.4857460210526301</v>
      </c>
      <c r="J84" s="13" t="s">
        <v>87</v>
      </c>
      <c r="K84" s="14">
        <v>30</v>
      </c>
      <c r="L84" s="41">
        <v>120</v>
      </c>
      <c r="M84" s="13">
        <v>1</v>
      </c>
      <c r="N84" s="13">
        <v>75.900000000000006</v>
      </c>
      <c r="O84" s="13">
        <v>0.76</v>
      </c>
      <c r="P84" s="13">
        <v>22.5</v>
      </c>
      <c r="Q84" s="14">
        <f t="shared" si="37"/>
        <v>0.75</v>
      </c>
      <c r="R84" s="14">
        <v>1.25</v>
      </c>
      <c r="S84" s="21">
        <v>5.6082666666666697E-2</v>
      </c>
      <c r="T84" s="21">
        <v>0.133333333333333</v>
      </c>
      <c r="U84" s="13">
        <v>0</v>
      </c>
      <c r="V84" s="14">
        <f t="shared" si="38"/>
        <v>5.2125287193351797</v>
      </c>
      <c r="W84" s="13">
        <v>5.22</v>
      </c>
      <c r="X84" s="42">
        <f t="shared" si="39"/>
        <v>-7.4712806648191696E-3</v>
      </c>
      <c r="Y84" s="44">
        <f t="shared" si="40"/>
        <v>2.55793954359907E-2</v>
      </c>
      <c r="Z84" s="45">
        <f t="shared" si="41"/>
        <v>0.143884099327448</v>
      </c>
      <c r="AA84" s="15">
        <f t="shared" si="42"/>
        <v>0.96140000000000003</v>
      </c>
      <c r="AB84" s="45">
        <f t="shared" si="43"/>
        <v>0.184440230791212</v>
      </c>
      <c r="AC84" s="46">
        <f t="shared" si="44"/>
        <v>1.07592053082865E-2</v>
      </c>
      <c r="AD84" s="46">
        <f t="shared" si="45"/>
        <v>0</v>
      </c>
      <c r="AE84" s="46">
        <f t="shared" si="46"/>
        <v>0.71496636257533597</v>
      </c>
      <c r="AF84" s="47">
        <v>3630</v>
      </c>
      <c r="AG84" s="137">
        <f t="shared" si="47"/>
        <v>6.2759996099722999</v>
      </c>
      <c r="AH84" s="52">
        <f t="shared" si="48"/>
        <v>22781.878584199399</v>
      </c>
      <c r="AI84" s="53">
        <f t="shared" si="49"/>
        <v>18921.479251186702</v>
      </c>
      <c r="AJ84" s="53">
        <f t="shared" si="50"/>
        <v>18948.599999999999</v>
      </c>
      <c r="AK84" s="45">
        <f t="shared" si="51"/>
        <v>0.20402206834704101</v>
      </c>
      <c r="AL84" s="45">
        <f t="shared" si="52"/>
        <v>0.20229877585676201</v>
      </c>
    </row>
    <row r="85" spans="1:38">
      <c r="A85" s="10">
        <v>81</v>
      </c>
      <c r="B85" s="11" t="s">
        <v>211</v>
      </c>
      <c r="C85" s="16" t="s">
        <v>212</v>
      </c>
      <c r="D85" s="13" t="s">
        <v>86</v>
      </c>
      <c r="E85" s="37">
        <v>0</v>
      </c>
      <c r="F85" s="37">
        <v>0.13719999999999999</v>
      </c>
      <c r="G85" s="14">
        <v>13.716799999999999</v>
      </c>
      <c r="H85" s="38">
        <v>0.95</v>
      </c>
      <c r="I85" s="14">
        <f t="shared" si="36"/>
        <v>1.98099469473684</v>
      </c>
      <c r="J85" s="13" t="s">
        <v>213</v>
      </c>
      <c r="K85" s="14">
        <v>45</v>
      </c>
      <c r="L85" s="41">
        <v>80</v>
      </c>
      <c r="M85" s="13">
        <v>2</v>
      </c>
      <c r="N85" s="13">
        <v>52.05</v>
      </c>
      <c r="O85" s="13">
        <v>0.76</v>
      </c>
      <c r="P85" s="13">
        <v>22.5</v>
      </c>
      <c r="Q85" s="14">
        <f t="shared" si="37"/>
        <v>0.25</v>
      </c>
      <c r="R85" s="14">
        <v>1.05</v>
      </c>
      <c r="S85" s="21">
        <v>5.6082666666666697E-2</v>
      </c>
      <c r="T85" s="21">
        <v>0.133333333333333</v>
      </c>
      <c r="U85" s="13">
        <v>0</v>
      </c>
      <c r="V85" s="14">
        <f t="shared" si="38"/>
        <v>4.1344371696398898</v>
      </c>
      <c r="W85" s="13">
        <v>5.45</v>
      </c>
      <c r="X85" s="42">
        <f t="shared" si="39"/>
        <v>-1.3155628303601099</v>
      </c>
      <c r="Y85" s="44">
        <f t="shared" si="40"/>
        <v>3.2249452068695103E-2</v>
      </c>
      <c r="Z85" s="45">
        <f t="shared" si="41"/>
        <v>6.04677226288034E-2</v>
      </c>
      <c r="AA85" s="15">
        <f t="shared" si="42"/>
        <v>0.219766666666667</v>
      </c>
      <c r="AB85" s="45">
        <f t="shared" si="43"/>
        <v>5.3155159372226798E-2</v>
      </c>
      <c r="AC85" s="46">
        <f t="shared" si="44"/>
        <v>1.3564764529134601E-2</v>
      </c>
      <c r="AD85" s="46">
        <f t="shared" si="45"/>
        <v>0</v>
      </c>
      <c r="AE85" s="46">
        <f t="shared" si="46"/>
        <v>0.520855049078087</v>
      </c>
      <c r="AF85" s="47">
        <v>124551</v>
      </c>
      <c r="AG85" s="137">
        <f t="shared" si="47"/>
        <v>4.9560643220683298</v>
      </c>
      <c r="AH85" s="52">
        <f t="shared" si="48"/>
        <v>617282.76737793197</v>
      </c>
      <c r="AI85" s="53">
        <f t="shared" si="49"/>
        <v>514948.28391581803</v>
      </c>
      <c r="AJ85" s="53">
        <f t="shared" si="50"/>
        <v>678802.95</v>
      </c>
      <c r="AK85" s="45">
        <f t="shared" si="51"/>
        <v>0.19872769102934501</v>
      </c>
      <c r="AL85" s="45">
        <f t="shared" si="52"/>
        <v>-9.0630399620490798E-2</v>
      </c>
    </row>
    <row r="86" spans="1:38">
      <c r="A86" s="10">
        <v>82</v>
      </c>
      <c r="B86" s="11" t="s">
        <v>214</v>
      </c>
      <c r="C86" s="16" t="s">
        <v>215</v>
      </c>
      <c r="D86" s="13" t="s">
        <v>86</v>
      </c>
      <c r="E86" s="37">
        <v>0</v>
      </c>
      <c r="F86" s="37">
        <v>7.7399999999999997E-2</v>
      </c>
      <c r="G86" s="14">
        <v>13.716799999999999</v>
      </c>
      <c r="H86" s="38">
        <v>0.95</v>
      </c>
      <c r="I86" s="14">
        <f t="shared" si="36"/>
        <v>1.1175582315789501</v>
      </c>
      <c r="J86" s="13" t="s">
        <v>213</v>
      </c>
      <c r="K86" s="14">
        <v>45</v>
      </c>
      <c r="L86" s="41">
        <v>80</v>
      </c>
      <c r="M86" s="13">
        <v>2</v>
      </c>
      <c r="N86" s="13">
        <v>52.05</v>
      </c>
      <c r="O86" s="13">
        <v>0.76</v>
      </c>
      <c r="P86" s="13">
        <v>22.5</v>
      </c>
      <c r="Q86" s="14">
        <f t="shared" si="37"/>
        <v>0.25</v>
      </c>
      <c r="R86" s="14">
        <v>1.25</v>
      </c>
      <c r="S86" s="21">
        <v>4.2062000000000002E-2</v>
      </c>
      <c r="T86" s="21">
        <v>0.1</v>
      </c>
      <c r="U86" s="13">
        <v>0</v>
      </c>
      <c r="V86" s="14">
        <f t="shared" si="38"/>
        <v>3.2842258284764498</v>
      </c>
      <c r="W86" s="13">
        <v>3.14</v>
      </c>
      <c r="X86" s="42">
        <f t="shared" si="39"/>
        <v>0.14422582847645499</v>
      </c>
      <c r="Y86" s="44">
        <f t="shared" si="40"/>
        <v>3.0448576079310001E-2</v>
      </c>
      <c r="Z86" s="45">
        <f t="shared" si="41"/>
        <v>7.6121440198274895E-2</v>
      </c>
      <c r="AA86" s="15">
        <f t="shared" si="42"/>
        <v>0.219766666666667</v>
      </c>
      <c r="AB86" s="45">
        <f t="shared" si="43"/>
        <v>6.6915820696963502E-2</v>
      </c>
      <c r="AC86" s="46">
        <f t="shared" si="44"/>
        <v>1.2807280070479401E-2</v>
      </c>
      <c r="AD86" s="46">
        <f t="shared" si="45"/>
        <v>0</v>
      </c>
      <c r="AE86" s="46">
        <f t="shared" si="46"/>
        <v>0.65971943162709201</v>
      </c>
      <c r="AF86" s="47">
        <v>126167</v>
      </c>
      <c r="AG86" s="137">
        <f t="shared" si="47"/>
        <v>3.8562776395198601</v>
      </c>
      <c r="AH86" s="52">
        <f t="shared" si="48"/>
        <v>486534.980945302</v>
      </c>
      <c r="AI86" s="53">
        <f t="shared" si="49"/>
        <v>414360.92010138801</v>
      </c>
      <c r="AJ86" s="53">
        <f t="shared" si="50"/>
        <v>396164.38</v>
      </c>
      <c r="AK86" s="45">
        <f t="shared" si="51"/>
        <v>0.17418163089862199</v>
      </c>
      <c r="AL86" s="45">
        <f t="shared" si="52"/>
        <v>0.22811389793626</v>
      </c>
    </row>
    <row r="87" spans="1:38">
      <c r="A87" s="10">
        <v>83</v>
      </c>
      <c r="B87" s="11" t="s">
        <v>216</v>
      </c>
      <c r="C87" s="16" t="s">
        <v>217</v>
      </c>
      <c r="D87" s="13" t="s">
        <v>43</v>
      </c>
      <c r="E87" s="37">
        <v>0</v>
      </c>
      <c r="F87" s="37">
        <v>1.155E-2</v>
      </c>
      <c r="G87" s="14">
        <v>15.309699999999999</v>
      </c>
      <c r="H87" s="38">
        <v>0.9</v>
      </c>
      <c r="I87" s="14">
        <f t="shared" si="36"/>
        <v>0.19647448333333301</v>
      </c>
      <c r="J87" s="13" t="s">
        <v>47</v>
      </c>
      <c r="K87" s="14">
        <v>65</v>
      </c>
      <c r="L87" s="41">
        <v>55.384615384615401</v>
      </c>
      <c r="M87" s="13">
        <v>1</v>
      </c>
      <c r="N87" s="13">
        <v>21.2</v>
      </c>
      <c r="O87" s="13">
        <v>0.76</v>
      </c>
      <c r="P87" s="13">
        <v>22.5</v>
      </c>
      <c r="Q87" s="14">
        <f t="shared" si="37"/>
        <v>0.34615384615384598</v>
      </c>
      <c r="R87" s="14">
        <v>0</v>
      </c>
      <c r="S87" s="21">
        <v>1.6824800000000001E-2</v>
      </c>
      <c r="T87" s="21">
        <v>0.04</v>
      </c>
      <c r="U87" s="13">
        <v>0</v>
      </c>
      <c r="V87" s="14">
        <f t="shared" si="38"/>
        <v>0.87892384226495701</v>
      </c>
      <c r="W87" s="13">
        <v>2.06</v>
      </c>
      <c r="X87" s="42">
        <f t="shared" si="39"/>
        <v>-1.1810761577350399</v>
      </c>
      <c r="Y87" s="44">
        <f t="shared" si="40"/>
        <v>4.55102001749337E-2</v>
      </c>
      <c r="Z87" s="45">
        <f t="shared" si="41"/>
        <v>0.39383827074461802</v>
      </c>
      <c r="AA87" s="15">
        <f t="shared" si="42"/>
        <v>0.123938461538462</v>
      </c>
      <c r="AB87" s="45">
        <f t="shared" si="43"/>
        <v>0.141011604849717</v>
      </c>
      <c r="AC87" s="46">
        <f t="shared" si="44"/>
        <v>1.91425003975806E-2</v>
      </c>
      <c r="AD87" s="46">
        <f t="shared" si="45"/>
        <v>0</v>
      </c>
      <c r="AE87" s="46">
        <f t="shared" si="46"/>
        <v>0.77646017335583395</v>
      </c>
      <c r="AF87" s="47">
        <v>67497</v>
      </c>
      <c r="AG87" s="137">
        <f t="shared" si="47"/>
        <v>1.0937064749287699</v>
      </c>
      <c r="AH87" s="52">
        <f t="shared" si="48"/>
        <v>73821.905938267504</v>
      </c>
      <c r="AI87" s="53">
        <f t="shared" si="49"/>
        <v>59324.722581357797</v>
      </c>
      <c r="AJ87" s="53">
        <f t="shared" si="50"/>
        <v>139043.82</v>
      </c>
      <c r="AK87" s="45">
        <f t="shared" si="51"/>
        <v>0.244370015165739</v>
      </c>
      <c r="AL87" s="45">
        <f t="shared" si="52"/>
        <v>-0.469074526733605</v>
      </c>
    </row>
    <row r="88" spans="1:38">
      <c r="A88" s="10">
        <v>84</v>
      </c>
      <c r="B88" s="11" t="s">
        <v>218</v>
      </c>
      <c r="C88" s="16" t="s">
        <v>219</v>
      </c>
      <c r="D88" s="13" t="s">
        <v>43</v>
      </c>
      <c r="E88" s="37">
        <v>0</v>
      </c>
      <c r="F88" s="37">
        <v>3.63E-3</v>
      </c>
      <c r="G88" s="14">
        <v>15.309699999999999</v>
      </c>
      <c r="H88" s="38">
        <v>0.88</v>
      </c>
      <c r="I88" s="14">
        <f t="shared" si="36"/>
        <v>6.3152512499999994E-2</v>
      </c>
      <c r="J88" s="13" t="s">
        <v>54</v>
      </c>
      <c r="K88" s="14">
        <v>72</v>
      </c>
      <c r="L88" s="41">
        <v>50</v>
      </c>
      <c r="M88" s="13">
        <v>2</v>
      </c>
      <c r="N88" s="13">
        <v>17.41</v>
      </c>
      <c r="O88" s="13">
        <v>0.76</v>
      </c>
      <c r="P88" s="13">
        <v>22.5</v>
      </c>
      <c r="Q88" s="14">
        <f t="shared" si="37"/>
        <v>0.15625</v>
      </c>
      <c r="R88" s="14">
        <v>0</v>
      </c>
      <c r="S88" s="21">
        <v>1.41516666666667E-3</v>
      </c>
      <c r="T88" s="21">
        <v>3.3333333333333301E-3</v>
      </c>
      <c r="U88" s="13">
        <v>0</v>
      </c>
      <c r="V88" s="14">
        <f t="shared" si="38"/>
        <v>0.33944575061553001</v>
      </c>
      <c r="W88" s="13">
        <v>0.32</v>
      </c>
      <c r="X88" s="42">
        <f t="shared" si="39"/>
        <v>1.9445750615530302E-2</v>
      </c>
      <c r="Y88" s="44">
        <f t="shared" si="40"/>
        <v>9.8199294800093099E-3</v>
      </c>
      <c r="Z88" s="45">
        <f t="shared" si="41"/>
        <v>0.46030919437543699</v>
      </c>
      <c r="AA88" s="15">
        <f t="shared" si="42"/>
        <v>4.5943055555555598E-2</v>
      </c>
      <c r="AB88" s="45">
        <f t="shared" si="43"/>
        <v>0.135347269695512</v>
      </c>
      <c r="AC88" s="46">
        <f t="shared" si="44"/>
        <v>4.1690510607379702E-3</v>
      </c>
      <c r="AD88" s="46">
        <f t="shared" si="45"/>
        <v>0</v>
      </c>
      <c r="AE88" s="46">
        <f t="shared" si="46"/>
        <v>0.81395403422937795</v>
      </c>
      <c r="AF88" s="47">
        <v>128942</v>
      </c>
      <c r="AG88" s="137">
        <f t="shared" si="47"/>
        <v>0.42688917645202001</v>
      </c>
      <c r="AH88" s="52">
        <f t="shared" si="48"/>
        <v>55043.9441900764</v>
      </c>
      <c r="AI88" s="53">
        <f t="shared" si="49"/>
        <v>43768.813975867699</v>
      </c>
      <c r="AJ88" s="53">
        <f t="shared" si="50"/>
        <v>41261.440000000002</v>
      </c>
      <c r="AK88" s="45">
        <f t="shared" si="51"/>
        <v>0.25760648256142699</v>
      </c>
      <c r="AL88" s="45">
        <f t="shared" si="52"/>
        <v>0.33402867641256301</v>
      </c>
    </row>
    <row r="89" spans="1:38">
      <c r="A89" s="10">
        <v>85</v>
      </c>
      <c r="B89" s="11" t="s">
        <v>220</v>
      </c>
      <c r="C89" s="16" t="s">
        <v>221</v>
      </c>
      <c r="D89" s="13" t="s">
        <v>43</v>
      </c>
      <c r="E89" s="37">
        <v>0</v>
      </c>
      <c r="F89" s="37">
        <v>4.6000000000000001E-4</v>
      </c>
      <c r="G89" s="14">
        <v>15.309699999999999</v>
      </c>
      <c r="H89" s="38">
        <v>0.9</v>
      </c>
      <c r="I89" s="14">
        <f t="shared" si="36"/>
        <v>7.8249577777777801E-3</v>
      </c>
      <c r="J89" s="13" t="s">
        <v>54</v>
      </c>
      <c r="K89" s="14">
        <v>65</v>
      </c>
      <c r="L89" s="41">
        <v>55.384615384615401</v>
      </c>
      <c r="M89" s="13">
        <v>2</v>
      </c>
      <c r="N89" s="13">
        <v>17.41</v>
      </c>
      <c r="O89" s="13">
        <v>0.76</v>
      </c>
      <c r="P89" s="13">
        <v>22.5</v>
      </c>
      <c r="Q89" s="14">
        <f t="shared" si="37"/>
        <v>0.17307692307692299</v>
      </c>
      <c r="R89" s="14">
        <v>0</v>
      </c>
      <c r="S89" s="21">
        <v>7.1558333333333305E-4</v>
      </c>
      <c r="T89" s="21">
        <v>1.66666666666667E-3</v>
      </c>
      <c r="U89" s="13">
        <v>0</v>
      </c>
      <c r="V89" s="14">
        <f t="shared" si="38"/>
        <v>0.28825985177208002</v>
      </c>
      <c r="W89" s="13">
        <v>0.23</v>
      </c>
      <c r="X89" s="42">
        <f t="shared" si="39"/>
        <v>5.8259851772079797E-2</v>
      </c>
      <c r="Y89" s="44">
        <f t="shared" si="40"/>
        <v>5.7818203139314104E-3</v>
      </c>
      <c r="Z89" s="45">
        <f t="shared" si="41"/>
        <v>0.60041980183133703</v>
      </c>
      <c r="AA89" s="15">
        <f t="shared" si="42"/>
        <v>5.0890769230769198E-2</v>
      </c>
      <c r="AB89" s="45">
        <f t="shared" si="43"/>
        <v>0.17654476999803401</v>
      </c>
      <c r="AC89" s="46">
        <f t="shared" si="44"/>
        <v>2.4824245517864499E-3</v>
      </c>
      <c r="AD89" s="46">
        <f t="shared" si="45"/>
        <v>0</v>
      </c>
      <c r="AE89" s="46">
        <f t="shared" si="46"/>
        <v>0.97285450009887298</v>
      </c>
      <c r="AF89" s="47">
        <v>25150</v>
      </c>
      <c r="AG89" s="137">
        <f t="shared" si="47"/>
        <v>0.36294859457739798</v>
      </c>
      <c r="AH89" s="52">
        <f t="shared" si="48"/>
        <v>9128.1571536215506</v>
      </c>
      <c r="AI89" s="53">
        <f t="shared" si="49"/>
        <v>7249.73527206781</v>
      </c>
      <c r="AJ89" s="53">
        <f t="shared" si="50"/>
        <v>5784.5</v>
      </c>
      <c r="AK89" s="45">
        <f t="shared" si="51"/>
        <v>0.25910213422426998</v>
      </c>
      <c r="AL89" s="45">
        <f t="shared" si="52"/>
        <v>0.578037367727816</v>
      </c>
    </row>
    <row r="90" spans="1:38">
      <c r="A90" s="10">
        <v>86</v>
      </c>
      <c r="B90" s="11" t="s">
        <v>222</v>
      </c>
      <c r="C90" s="16" t="s">
        <v>223</v>
      </c>
      <c r="D90" s="13" t="s">
        <v>43</v>
      </c>
      <c r="E90" s="37">
        <v>0</v>
      </c>
      <c r="F90" s="37">
        <v>2.2000000000000001E-3</v>
      </c>
      <c r="G90" s="14">
        <v>15.309699999999999</v>
      </c>
      <c r="H90" s="38">
        <v>0.98</v>
      </c>
      <c r="I90" s="14">
        <f t="shared" si="36"/>
        <v>3.4368714285714301E-2</v>
      </c>
      <c r="J90" s="13" t="s">
        <v>54</v>
      </c>
      <c r="K90" s="14">
        <v>65</v>
      </c>
      <c r="L90" s="41">
        <v>55.384615384615401</v>
      </c>
      <c r="M90" s="13">
        <v>4</v>
      </c>
      <c r="N90" s="13">
        <v>17.41</v>
      </c>
      <c r="O90" s="13">
        <v>0.76</v>
      </c>
      <c r="P90" s="13">
        <v>22.5</v>
      </c>
      <c r="Q90" s="14">
        <f t="shared" si="37"/>
        <v>8.6538461538461495E-2</v>
      </c>
      <c r="R90" s="14">
        <v>0</v>
      </c>
      <c r="S90" s="21">
        <v>7.1558333333333305E-4</v>
      </c>
      <c r="T90" s="21">
        <v>1.66666666666667E-3</v>
      </c>
      <c r="U90" s="13">
        <v>0</v>
      </c>
      <c r="V90" s="14">
        <f t="shared" si="38"/>
        <v>0.16814892559990999</v>
      </c>
      <c r="W90" s="13">
        <v>0.14000000000000001</v>
      </c>
      <c r="X90" s="42">
        <f t="shared" si="39"/>
        <v>2.81489255999103E-2</v>
      </c>
      <c r="Y90" s="44">
        <f t="shared" si="40"/>
        <v>9.9118484445883497E-3</v>
      </c>
      <c r="Z90" s="45">
        <f t="shared" si="41"/>
        <v>0.51465366923823996</v>
      </c>
      <c r="AA90" s="15">
        <f t="shared" si="42"/>
        <v>2.5445384615384599E-2</v>
      </c>
      <c r="AB90" s="45">
        <f t="shared" si="43"/>
        <v>0.151326477553171</v>
      </c>
      <c r="AC90" s="46">
        <f t="shared" si="44"/>
        <v>4.255652129684E-3</v>
      </c>
      <c r="AD90" s="46">
        <f t="shared" si="45"/>
        <v>0</v>
      </c>
      <c r="AE90" s="46">
        <f t="shared" si="46"/>
        <v>0.79560550765878502</v>
      </c>
      <c r="AF90" s="47">
        <v>170420</v>
      </c>
      <c r="AG90" s="137">
        <f t="shared" si="47"/>
        <v>0.21145733634222899</v>
      </c>
      <c r="AH90" s="52">
        <f t="shared" si="48"/>
        <v>36036.5592594427</v>
      </c>
      <c r="AI90" s="53">
        <f t="shared" si="49"/>
        <v>28655.939900736699</v>
      </c>
      <c r="AJ90" s="53">
        <f t="shared" si="50"/>
        <v>23858.799999999999</v>
      </c>
      <c r="AK90" s="45">
        <f t="shared" si="51"/>
        <v>0.25755984219230899</v>
      </c>
      <c r="AL90" s="45">
        <f t="shared" si="52"/>
        <v>0.51040954530163696</v>
      </c>
    </row>
    <row r="91" spans="1:38">
      <c r="A91" s="10">
        <v>87</v>
      </c>
      <c r="B91" s="11" t="s">
        <v>224</v>
      </c>
      <c r="C91" s="16" t="s">
        <v>225</v>
      </c>
      <c r="D91" s="13" t="s">
        <v>43</v>
      </c>
      <c r="E91" s="37">
        <v>0</v>
      </c>
      <c r="F91" s="37">
        <v>6.4117999999999996E-3</v>
      </c>
      <c r="G91" s="14">
        <v>15.309699999999999</v>
      </c>
      <c r="H91" s="38">
        <v>0.98</v>
      </c>
      <c r="I91" s="14">
        <f t="shared" si="36"/>
        <v>0.10016605557142901</v>
      </c>
      <c r="J91" s="13" t="s">
        <v>54</v>
      </c>
      <c r="K91" s="14">
        <v>103</v>
      </c>
      <c r="L91" s="41">
        <v>34.951456310679603</v>
      </c>
      <c r="M91" s="13">
        <v>4</v>
      </c>
      <c r="N91" s="13">
        <v>17.41</v>
      </c>
      <c r="O91" s="13">
        <v>0.76</v>
      </c>
      <c r="P91" s="13">
        <v>22.5</v>
      </c>
      <c r="Q91" s="14">
        <f t="shared" si="37"/>
        <v>5.4611650485436897E-2</v>
      </c>
      <c r="R91" s="14">
        <v>0</v>
      </c>
      <c r="S91" s="21">
        <v>2.8303333333333301E-3</v>
      </c>
      <c r="T91" s="21">
        <v>6.6666666666666697E-3</v>
      </c>
      <c r="U91" s="13">
        <v>0</v>
      </c>
      <c r="V91" s="14">
        <f t="shared" si="38"/>
        <v>0.202994321512596</v>
      </c>
      <c r="W91" s="13">
        <v>0.08</v>
      </c>
      <c r="X91" s="42">
        <f t="shared" si="39"/>
        <v>0.122994321512596</v>
      </c>
      <c r="Y91" s="44">
        <f t="shared" si="40"/>
        <v>3.2841641170011697E-2</v>
      </c>
      <c r="Z91" s="45">
        <f t="shared" si="41"/>
        <v>0.26903043434172202</v>
      </c>
      <c r="AA91" s="15">
        <f t="shared" si="42"/>
        <v>1.6057766990291301E-2</v>
      </c>
      <c r="AB91" s="45">
        <f t="shared" si="43"/>
        <v>7.91045132230207E-2</v>
      </c>
      <c r="AC91" s="46">
        <f t="shared" si="44"/>
        <v>1.39429187587285E-2</v>
      </c>
      <c r="AD91" s="46">
        <f t="shared" si="45"/>
        <v>0</v>
      </c>
      <c r="AE91" s="46">
        <f t="shared" si="46"/>
        <v>0.50655735182615103</v>
      </c>
      <c r="AF91" s="47">
        <v>754050</v>
      </c>
      <c r="AG91" s="137">
        <f t="shared" si="47"/>
        <v>0.25354767578165299</v>
      </c>
      <c r="AH91" s="52">
        <f t="shared" si="48"/>
        <v>191187.62492315599</v>
      </c>
      <c r="AI91" s="53">
        <f t="shared" si="49"/>
        <v>153067.868136573</v>
      </c>
      <c r="AJ91" s="53">
        <f t="shared" si="50"/>
        <v>60324</v>
      </c>
      <c r="AK91" s="45">
        <f t="shared" si="51"/>
        <v>0.249038268126728</v>
      </c>
      <c r="AL91" s="45">
        <f t="shared" si="52"/>
        <v>2.16934594727066</v>
      </c>
    </row>
    <row r="92" spans="1:38">
      <c r="A92" s="10">
        <v>88</v>
      </c>
      <c r="B92" s="11" t="s">
        <v>226</v>
      </c>
      <c r="C92" s="12" t="s">
        <v>227</v>
      </c>
      <c r="D92" s="13" t="s">
        <v>86</v>
      </c>
      <c r="E92" s="37">
        <v>3.9199999999999999E-2</v>
      </c>
      <c r="F92" s="37">
        <v>4.2335999999999999E-2</v>
      </c>
      <c r="G92" s="14">
        <v>13.716799999999999</v>
      </c>
      <c r="H92" s="38">
        <v>0.85</v>
      </c>
      <c r="I92" s="14">
        <f t="shared" si="36"/>
        <v>0.68319346447058804</v>
      </c>
      <c r="J92" s="13" t="s">
        <v>87</v>
      </c>
      <c r="K92" s="14">
        <v>45</v>
      </c>
      <c r="L92" s="41">
        <v>80</v>
      </c>
      <c r="M92" s="13">
        <v>2</v>
      </c>
      <c r="N92" s="13">
        <v>75.900000000000006</v>
      </c>
      <c r="O92" s="13">
        <v>0.76</v>
      </c>
      <c r="P92" s="13">
        <v>22.5</v>
      </c>
      <c r="Q92" s="14">
        <f t="shared" si="37"/>
        <v>0.25</v>
      </c>
      <c r="R92" s="14">
        <v>0</v>
      </c>
      <c r="S92" s="21">
        <v>4.4676E-2</v>
      </c>
      <c r="T92" s="21">
        <v>0.1</v>
      </c>
      <c r="U92" s="13">
        <v>0</v>
      </c>
      <c r="V92" s="14">
        <f t="shared" si="38"/>
        <v>1.7818086418380601</v>
      </c>
      <c r="W92" s="13">
        <v>2.0299999999999998</v>
      </c>
      <c r="X92" s="42">
        <f t="shared" si="39"/>
        <v>-0.24819135816193699</v>
      </c>
      <c r="Y92" s="44">
        <f t="shared" si="40"/>
        <v>5.6122749464747802E-2</v>
      </c>
      <c r="Z92" s="45">
        <f t="shared" si="41"/>
        <v>0.14030687366187</v>
      </c>
      <c r="AA92" s="15">
        <f t="shared" si="42"/>
        <v>0.32046666666666701</v>
      </c>
      <c r="AB92" s="45">
        <f t="shared" si="43"/>
        <v>0.17985470445136201</v>
      </c>
      <c r="AC92" s="46">
        <f t="shared" si="44"/>
        <v>2.5073399550870699E-2</v>
      </c>
      <c r="AD92" s="46">
        <f t="shared" si="45"/>
        <v>0</v>
      </c>
      <c r="AE92" s="46">
        <f t="shared" si="46"/>
        <v>0.61657304357564102</v>
      </c>
      <c r="AF92" s="47">
        <v>0</v>
      </c>
      <c r="AG92" s="137">
        <f t="shared" si="47"/>
        <v>2.2095279806966501</v>
      </c>
      <c r="AH92" s="52">
        <f t="shared" si="48"/>
        <v>0</v>
      </c>
      <c r="AI92" s="53">
        <f t="shared" si="49"/>
        <v>0</v>
      </c>
      <c r="AJ92" s="53">
        <f t="shared" si="50"/>
        <v>0</v>
      </c>
      <c r="AK92" s="45">
        <f t="shared" si="51"/>
        <v>0.24004785295988501</v>
      </c>
      <c r="AL92" s="45">
        <f t="shared" si="52"/>
        <v>8.8437428914608499E-2</v>
      </c>
    </row>
    <row r="93" spans="1:38">
      <c r="A93" s="10">
        <v>89</v>
      </c>
      <c r="B93" s="11" t="s">
        <v>228</v>
      </c>
      <c r="C93" s="12" t="s">
        <v>229</v>
      </c>
      <c r="D93" s="13" t="s">
        <v>86</v>
      </c>
      <c r="E93" s="37">
        <v>4.3999999999999997E-2</v>
      </c>
      <c r="F93" s="37">
        <v>4.6199999999999998E-2</v>
      </c>
      <c r="G93" s="14">
        <v>13.716799999999999</v>
      </c>
      <c r="H93" s="38">
        <v>0.98</v>
      </c>
      <c r="I93" s="14">
        <f t="shared" si="36"/>
        <v>0.64664914285714303</v>
      </c>
      <c r="J93" s="13" t="s">
        <v>87</v>
      </c>
      <c r="K93" s="14">
        <v>42.352941176470502</v>
      </c>
      <c r="L93" s="41">
        <v>85.000000000000199</v>
      </c>
      <c r="M93" s="13">
        <v>2</v>
      </c>
      <c r="N93" s="13">
        <v>75.900000000000006</v>
      </c>
      <c r="O93" s="13">
        <v>0.76</v>
      </c>
      <c r="P93" s="13">
        <v>22.5</v>
      </c>
      <c r="Q93" s="14">
        <f t="shared" si="37"/>
        <v>0.265625000000001</v>
      </c>
      <c r="R93" s="14">
        <v>0</v>
      </c>
      <c r="S93" s="21">
        <v>4.4676E-2</v>
      </c>
      <c r="T93" s="21">
        <v>0.1</v>
      </c>
      <c r="U93" s="13">
        <v>0</v>
      </c>
      <c r="V93" s="14">
        <f t="shared" si="38"/>
        <v>1.5636297485422801</v>
      </c>
      <c r="W93" s="13">
        <v>1.74</v>
      </c>
      <c r="X93" s="42">
        <f t="shared" si="39"/>
        <v>-0.176370251457725</v>
      </c>
      <c r="Y93" s="44">
        <f t="shared" si="40"/>
        <v>6.3953758933805602E-2</v>
      </c>
      <c r="Z93" s="45">
        <f t="shared" si="41"/>
        <v>0.169877172167922</v>
      </c>
      <c r="AA93" s="15">
        <f t="shared" si="42"/>
        <v>0.340495833333334</v>
      </c>
      <c r="AB93" s="45">
        <f t="shared" si="43"/>
        <v>0.21775988442965299</v>
      </c>
      <c r="AC93" s="46">
        <f t="shared" si="44"/>
        <v>2.8571981341267001E-2</v>
      </c>
      <c r="AD93" s="46">
        <f t="shared" si="45"/>
        <v>0</v>
      </c>
      <c r="AE93" s="46">
        <f t="shared" si="46"/>
        <v>0.586443566029623</v>
      </c>
      <c r="AF93" s="47"/>
      <c r="AG93" s="137">
        <f t="shared" si="47"/>
        <v>1.93434739455783</v>
      </c>
      <c r="AH93" s="52">
        <f t="shared" si="48"/>
        <v>0</v>
      </c>
      <c r="AI93" s="53">
        <f t="shared" si="49"/>
        <v>0</v>
      </c>
      <c r="AJ93" s="53">
        <f t="shared" si="50"/>
        <v>0</v>
      </c>
      <c r="AK93" s="45">
        <f t="shared" si="51"/>
        <v>0.23708786965786099</v>
      </c>
      <c r="AL93" s="45">
        <f t="shared" si="52"/>
        <v>0.111693904918291</v>
      </c>
    </row>
    <row r="94" spans="1:38">
      <c r="A94" s="10">
        <v>90</v>
      </c>
      <c r="B94" s="11" t="s">
        <v>230</v>
      </c>
      <c r="C94" s="12" t="s">
        <v>231</v>
      </c>
      <c r="D94" s="13" t="s">
        <v>43</v>
      </c>
      <c r="E94" s="37">
        <v>1.2E-2</v>
      </c>
      <c r="F94" s="37">
        <v>1.26E-2</v>
      </c>
      <c r="G94" s="14">
        <v>15.309699999999999</v>
      </c>
      <c r="H94" s="38">
        <v>0.99</v>
      </c>
      <c r="I94" s="14">
        <f t="shared" si="36"/>
        <v>0.19485072727272701</v>
      </c>
      <c r="J94" s="13" t="s">
        <v>120</v>
      </c>
      <c r="K94" s="14">
        <v>36</v>
      </c>
      <c r="L94" s="41">
        <v>100</v>
      </c>
      <c r="M94" s="13">
        <v>4</v>
      </c>
      <c r="N94" s="13">
        <v>39.75</v>
      </c>
      <c r="O94" s="13">
        <v>0.76</v>
      </c>
      <c r="P94" s="13">
        <v>22.5</v>
      </c>
      <c r="Q94" s="14">
        <f t="shared" si="37"/>
        <v>0.15625</v>
      </c>
      <c r="R94" s="14">
        <v>0</v>
      </c>
      <c r="S94" s="21">
        <v>2.8623333333333299E-2</v>
      </c>
      <c r="T94" s="21">
        <v>6.6666666666666693E-2</v>
      </c>
      <c r="U94" s="13">
        <v>0</v>
      </c>
      <c r="V94" s="14">
        <f t="shared" si="38"/>
        <v>0.60655887098255301</v>
      </c>
      <c r="W94" s="13">
        <v>0.68</v>
      </c>
      <c r="X94" s="42">
        <f t="shared" si="39"/>
        <v>-7.3441129017447301E-2</v>
      </c>
      <c r="Y94" s="44">
        <f t="shared" si="40"/>
        <v>0.10990963920563</v>
      </c>
      <c r="Z94" s="45">
        <f t="shared" si="41"/>
        <v>0.25760071688819502</v>
      </c>
      <c r="AA94" s="15">
        <f t="shared" si="42"/>
        <v>0.10489583333333299</v>
      </c>
      <c r="AB94" s="45">
        <f t="shared" si="43"/>
        <v>0.172935947937608</v>
      </c>
      <c r="AC94" s="46">
        <f t="shared" si="44"/>
        <v>4.7189703592937199E-2</v>
      </c>
      <c r="AD94" s="46">
        <f t="shared" si="45"/>
        <v>0</v>
      </c>
      <c r="AE94" s="46">
        <f t="shared" si="46"/>
        <v>0.67876040299749996</v>
      </c>
      <c r="AF94" s="47"/>
      <c r="AG94" s="137">
        <f t="shared" si="47"/>
        <v>0.74013362105907499</v>
      </c>
      <c r="AH94" s="52">
        <f t="shared" si="48"/>
        <v>0</v>
      </c>
      <c r="AI94" s="53">
        <f t="shared" si="49"/>
        <v>0</v>
      </c>
      <c r="AJ94" s="53">
        <f t="shared" si="50"/>
        <v>0</v>
      </c>
      <c r="AK94" s="45">
        <f t="shared" si="51"/>
        <v>0.220217288818391</v>
      </c>
      <c r="AL94" s="45">
        <f t="shared" si="52"/>
        <v>8.8431795675110503E-2</v>
      </c>
    </row>
    <row r="95" spans="1:38">
      <c r="A95" s="10">
        <v>91</v>
      </c>
      <c r="B95" s="11" t="s">
        <v>232</v>
      </c>
      <c r="C95" s="12" t="s">
        <v>233</v>
      </c>
      <c r="D95" s="13" t="s">
        <v>43</v>
      </c>
      <c r="E95" s="37">
        <v>2.7E-2</v>
      </c>
      <c r="F95" s="37">
        <v>2.835E-2</v>
      </c>
      <c r="G95" s="14">
        <v>15.309699999999999</v>
      </c>
      <c r="H95" s="38">
        <v>0.98</v>
      </c>
      <c r="I95" s="14">
        <f t="shared" si="36"/>
        <v>0.44288775000000002</v>
      </c>
      <c r="J95" s="13" t="s">
        <v>120</v>
      </c>
      <c r="K95" s="14">
        <v>36</v>
      </c>
      <c r="L95" s="41">
        <v>100</v>
      </c>
      <c r="M95" s="13">
        <v>4</v>
      </c>
      <c r="N95" s="13">
        <v>39.75</v>
      </c>
      <c r="O95" s="13">
        <v>0.76</v>
      </c>
      <c r="P95" s="13">
        <v>22.5</v>
      </c>
      <c r="Q95" s="14">
        <f t="shared" si="37"/>
        <v>0.15625</v>
      </c>
      <c r="R95" s="14">
        <v>0.45</v>
      </c>
      <c r="S95" s="21">
        <v>2.8623333333333299E-2</v>
      </c>
      <c r="T95" s="21">
        <v>6.6666666666666693E-2</v>
      </c>
      <c r="U95" s="13">
        <v>0</v>
      </c>
      <c r="V95" s="14">
        <f t="shared" si="38"/>
        <v>1.35621579336735</v>
      </c>
      <c r="W95" s="13">
        <v>2.4700000000000002</v>
      </c>
      <c r="X95" s="42">
        <f t="shared" si="39"/>
        <v>-1.11378420663265</v>
      </c>
      <c r="Y95" s="44">
        <f t="shared" si="40"/>
        <v>4.9156385726153502E-2</v>
      </c>
      <c r="Z95" s="45">
        <f t="shared" si="41"/>
        <v>0.11521027904567201</v>
      </c>
      <c r="AA95" s="15">
        <f t="shared" si="42"/>
        <v>0.10489583333333299</v>
      </c>
      <c r="AB95" s="45">
        <f t="shared" si="43"/>
        <v>7.7344500665994603E-2</v>
      </c>
      <c r="AC95" s="46">
        <f t="shared" si="44"/>
        <v>2.1105294211524E-2</v>
      </c>
      <c r="AD95" s="46">
        <f t="shared" si="45"/>
        <v>0</v>
      </c>
      <c r="AE95" s="46">
        <f t="shared" si="46"/>
        <v>0.67343858391417699</v>
      </c>
      <c r="AF95" s="47"/>
      <c r="AG95" s="137">
        <f t="shared" si="47"/>
        <v>1.5960522619047599</v>
      </c>
      <c r="AH95" s="52">
        <f t="shared" si="48"/>
        <v>0</v>
      </c>
      <c r="AI95" s="53">
        <f t="shared" si="49"/>
        <v>0</v>
      </c>
      <c r="AJ95" s="53">
        <f t="shared" si="50"/>
        <v>0</v>
      </c>
      <c r="AK95" s="45">
        <f t="shared" si="51"/>
        <v>0.176842409379352</v>
      </c>
      <c r="AL95" s="45">
        <f t="shared" si="52"/>
        <v>-0.35382499518025801</v>
      </c>
    </row>
    <row r="96" spans="1:38">
      <c r="A96" s="10">
        <v>92</v>
      </c>
      <c r="B96" s="11" t="s">
        <v>234</v>
      </c>
      <c r="C96" s="16" t="s">
        <v>235</v>
      </c>
      <c r="D96" s="13" t="s">
        <v>86</v>
      </c>
      <c r="E96" s="37">
        <v>0</v>
      </c>
      <c r="F96" s="37">
        <v>4.3029999999999999E-2</v>
      </c>
      <c r="G96" s="14">
        <v>13.716799999999999</v>
      </c>
      <c r="H96" s="38">
        <v>0.85</v>
      </c>
      <c r="I96" s="14">
        <f t="shared" si="36"/>
        <v>0.69439282823529402</v>
      </c>
      <c r="J96" s="13" t="s">
        <v>87</v>
      </c>
      <c r="K96" s="14">
        <v>72</v>
      </c>
      <c r="L96" s="41">
        <v>50</v>
      </c>
      <c r="M96" s="13">
        <v>2</v>
      </c>
      <c r="N96" s="13">
        <v>75.900000000000006</v>
      </c>
      <c r="O96" s="13">
        <v>0.76</v>
      </c>
      <c r="P96" s="13">
        <v>22.5</v>
      </c>
      <c r="Q96" s="14">
        <f t="shared" si="37"/>
        <v>0.15625</v>
      </c>
      <c r="R96" s="14">
        <v>0</v>
      </c>
      <c r="S96" s="21">
        <v>8.7133333333333301E-4</v>
      </c>
      <c r="T96" s="21">
        <v>0.133333333333333</v>
      </c>
      <c r="U96" s="13">
        <v>0</v>
      </c>
      <c r="V96" s="14">
        <f t="shared" si="38"/>
        <v>1.5066014776562899</v>
      </c>
      <c r="W96" s="13">
        <v>2.02</v>
      </c>
      <c r="X96" s="42">
        <f t="shared" si="39"/>
        <v>-0.51339852234371397</v>
      </c>
      <c r="Y96" s="44">
        <f t="shared" si="40"/>
        <v>8.8499404328707995E-2</v>
      </c>
      <c r="Z96" s="45">
        <f t="shared" si="41"/>
        <v>0.10371023944770499</v>
      </c>
      <c r="AA96" s="15">
        <f t="shared" si="42"/>
        <v>0.20029166666666701</v>
      </c>
      <c r="AB96" s="45">
        <f t="shared" si="43"/>
        <v>0.132942698940031</v>
      </c>
      <c r="AC96" s="46">
        <f t="shared" si="44"/>
        <v>5.7834360728810797E-4</v>
      </c>
      <c r="AD96" s="46">
        <f t="shared" si="45"/>
        <v>0</v>
      </c>
      <c r="AE96" s="46">
        <f t="shared" si="46"/>
        <v>0.53909986248287101</v>
      </c>
      <c r="AF96" s="47">
        <v>42378</v>
      </c>
      <c r="AG96" s="137">
        <f t="shared" si="47"/>
        <v>1.86515559944637</v>
      </c>
      <c r="AH96" s="52">
        <f t="shared" si="48"/>
        <v>79041.563993338103</v>
      </c>
      <c r="AI96" s="53">
        <f t="shared" si="49"/>
        <v>63846.757420118302</v>
      </c>
      <c r="AJ96" s="53">
        <f t="shared" si="50"/>
        <v>85603.56</v>
      </c>
      <c r="AK96" s="45">
        <f t="shared" si="51"/>
        <v>0.237988696485187</v>
      </c>
      <c r="AL96" s="45">
        <f t="shared" si="52"/>
        <v>-7.6655643838432597E-2</v>
      </c>
    </row>
    <row r="97" spans="1:38">
      <c r="A97" s="10">
        <v>93</v>
      </c>
      <c r="B97" s="11" t="s">
        <v>236</v>
      </c>
      <c r="C97" s="16" t="s">
        <v>237</v>
      </c>
      <c r="D97" s="13" t="s">
        <v>86</v>
      </c>
      <c r="E97" s="37">
        <v>0</v>
      </c>
      <c r="F97" s="37">
        <v>9.8499999999999994E-3</v>
      </c>
      <c r="G97" s="14">
        <v>13.716799999999999</v>
      </c>
      <c r="H97" s="38">
        <v>0.95</v>
      </c>
      <c r="I97" s="14">
        <f t="shared" si="36"/>
        <v>0.14222155789473701</v>
      </c>
      <c r="J97" s="13" t="s">
        <v>65</v>
      </c>
      <c r="K97" s="14">
        <v>65</v>
      </c>
      <c r="L97" s="41">
        <v>55.384615384615401</v>
      </c>
      <c r="M97" s="13">
        <v>2</v>
      </c>
      <c r="N97" s="13">
        <v>48.5</v>
      </c>
      <c r="O97" s="13">
        <v>0.76</v>
      </c>
      <c r="P97" s="13">
        <v>22.5</v>
      </c>
      <c r="Q97" s="14">
        <f t="shared" si="37"/>
        <v>0.17307692307692299</v>
      </c>
      <c r="R97" s="14">
        <v>0</v>
      </c>
      <c r="S97" s="21">
        <v>2.1684499999999999E-2</v>
      </c>
      <c r="T97" s="21">
        <v>0.05</v>
      </c>
      <c r="U97" s="13">
        <v>0</v>
      </c>
      <c r="V97" s="14">
        <f t="shared" si="38"/>
        <v>0.60573203687619903</v>
      </c>
      <c r="W97" s="13">
        <v>1.0900000000000001</v>
      </c>
      <c r="X97" s="42">
        <f t="shared" si="39"/>
        <v>-0.48426796312380099</v>
      </c>
      <c r="Y97" s="44">
        <f t="shared" si="40"/>
        <v>8.2544750741356504E-2</v>
      </c>
      <c r="Z97" s="45">
        <f t="shared" si="41"/>
        <v>0.28573182948931097</v>
      </c>
      <c r="AA97" s="15">
        <f t="shared" si="42"/>
        <v>0.14176923076923101</v>
      </c>
      <c r="AB97" s="45">
        <f t="shared" si="43"/>
        <v>0.23404611633280001</v>
      </c>
      <c r="AC97" s="46">
        <f t="shared" si="44"/>
        <v>3.5798832949018901E-2</v>
      </c>
      <c r="AD97" s="46">
        <f t="shared" si="45"/>
        <v>0</v>
      </c>
      <c r="AE97" s="46">
        <f t="shared" si="46"/>
        <v>0.76520713907063098</v>
      </c>
      <c r="AF97" s="47">
        <v>48938</v>
      </c>
      <c r="AG97" s="137">
        <f t="shared" si="47"/>
        <v>0.745257969933944</v>
      </c>
      <c r="AH97" s="52">
        <f t="shared" si="48"/>
        <v>36471.434532627398</v>
      </c>
      <c r="AI97" s="53">
        <f t="shared" si="49"/>
        <v>29643.314420647399</v>
      </c>
      <c r="AJ97" s="53">
        <f t="shared" si="50"/>
        <v>53342.42</v>
      </c>
      <c r="AK97" s="45">
        <f t="shared" si="51"/>
        <v>0.230342667324136</v>
      </c>
      <c r="AL97" s="45">
        <f t="shared" si="52"/>
        <v>-0.31627709180372099</v>
      </c>
    </row>
    <row r="98" spans="1:38">
      <c r="A98" s="10">
        <v>94</v>
      </c>
      <c r="B98" s="11" t="s">
        <v>238</v>
      </c>
      <c r="C98" s="16" t="s">
        <v>239</v>
      </c>
      <c r="D98" s="13" t="s">
        <v>86</v>
      </c>
      <c r="E98" s="37">
        <v>0</v>
      </c>
      <c r="F98" s="37">
        <v>3.3050000000000003E-2</v>
      </c>
      <c r="G98" s="14">
        <v>13.716799999999999</v>
      </c>
      <c r="H98" s="38">
        <v>0.95</v>
      </c>
      <c r="I98" s="14">
        <f t="shared" ref="I98:I146" si="53">F98*G98/H98</f>
        <v>0.477200252631579</v>
      </c>
      <c r="J98" s="13" t="s">
        <v>65</v>
      </c>
      <c r="K98" s="14">
        <v>42.352941176470502</v>
      </c>
      <c r="L98" s="41">
        <v>85.000000000000199</v>
      </c>
      <c r="M98" s="13">
        <v>2</v>
      </c>
      <c r="N98" s="13">
        <v>48.5</v>
      </c>
      <c r="O98" s="13">
        <v>0.76</v>
      </c>
      <c r="P98" s="13">
        <v>22.5</v>
      </c>
      <c r="Q98" s="14">
        <f t="shared" ref="Q98:Q146" si="54">P98/K98/M98</f>
        <v>0.265625000000001</v>
      </c>
      <c r="R98" s="14">
        <v>0</v>
      </c>
      <c r="S98" s="21">
        <v>2.2338E-2</v>
      </c>
      <c r="T98" s="21">
        <v>0.05</v>
      </c>
      <c r="U98" s="13">
        <v>0</v>
      </c>
      <c r="V98" s="14">
        <f t="shared" ref="V98:V146" si="55">(I98+Q98+(N98*O98/K98/M98)/2)/H98*1.11+R98*1.03+S98+T98+U98</f>
        <v>1.19449149693444</v>
      </c>
      <c r="W98" s="13">
        <v>1.74</v>
      </c>
      <c r="X98" s="42">
        <f t="shared" si="39"/>
        <v>-0.54550850306555798</v>
      </c>
      <c r="Y98" s="44">
        <f t="shared" si="40"/>
        <v>4.1858816181044901E-2</v>
      </c>
      <c r="Z98" s="45">
        <f t="shared" si="41"/>
        <v>0.22237496096180201</v>
      </c>
      <c r="AA98" s="15">
        <f t="shared" si="42"/>
        <v>0.217576388888889</v>
      </c>
      <c r="AB98" s="45">
        <f t="shared" si="43"/>
        <v>0.18214980135671099</v>
      </c>
      <c r="AC98" s="46">
        <f t="shared" si="44"/>
        <v>1.8700844717043599E-2</v>
      </c>
      <c r="AD98" s="46">
        <f t="shared" si="45"/>
        <v>0</v>
      </c>
      <c r="AE98" s="46">
        <f t="shared" si="46"/>
        <v>0.60049924687093104</v>
      </c>
      <c r="AF98" s="47">
        <v>58483</v>
      </c>
      <c r="AG98" s="137">
        <f t="shared" si="47"/>
        <v>1.4876667348722701</v>
      </c>
      <c r="AH98" s="52">
        <f t="shared" si="48"/>
        <v>87003.213655534899</v>
      </c>
      <c r="AI98" s="53">
        <f t="shared" si="49"/>
        <v>69857.446215217002</v>
      </c>
      <c r="AJ98" s="53">
        <f t="shared" si="50"/>
        <v>101760.42</v>
      </c>
      <c r="AK98" s="45">
        <f t="shared" si="51"/>
        <v>0.24543936787347201</v>
      </c>
      <c r="AL98" s="45">
        <f t="shared" si="52"/>
        <v>-0.1450191178895</v>
      </c>
    </row>
    <row r="99" spans="1:38">
      <c r="A99" s="10">
        <v>95</v>
      </c>
      <c r="B99" s="11" t="s">
        <v>240</v>
      </c>
      <c r="C99" s="16" t="s">
        <v>241</v>
      </c>
      <c r="D99" s="13" t="s">
        <v>43</v>
      </c>
      <c r="E99" s="37">
        <v>0</v>
      </c>
      <c r="F99" s="37">
        <v>7.6299999999999996E-3</v>
      </c>
      <c r="G99" s="14">
        <v>15.309699999999999</v>
      </c>
      <c r="H99" s="38">
        <v>0.85</v>
      </c>
      <c r="I99" s="14">
        <f t="shared" si="53"/>
        <v>0.137427071764706</v>
      </c>
      <c r="J99" s="13" t="s">
        <v>44</v>
      </c>
      <c r="K99" s="14">
        <v>60</v>
      </c>
      <c r="L99" s="41">
        <v>60</v>
      </c>
      <c r="M99" s="13">
        <v>4</v>
      </c>
      <c r="N99" s="13">
        <v>27.15</v>
      </c>
      <c r="O99" s="13">
        <v>0.76</v>
      </c>
      <c r="P99" s="13">
        <v>22.5</v>
      </c>
      <c r="Q99" s="14">
        <f t="shared" si="54"/>
        <v>9.375E-2</v>
      </c>
      <c r="R99" s="14">
        <v>0</v>
      </c>
      <c r="S99" s="21">
        <v>1.43116666666667E-2</v>
      </c>
      <c r="T99" s="21">
        <v>3.3333333333333298E-2</v>
      </c>
      <c r="U99" s="13">
        <v>0</v>
      </c>
      <c r="V99" s="14">
        <f t="shared" si="55"/>
        <v>0.40567167606920401</v>
      </c>
      <c r="W99" s="13">
        <v>0.81</v>
      </c>
      <c r="X99" s="42">
        <f t="shared" si="39"/>
        <v>-0.40432832393079599</v>
      </c>
      <c r="Y99" s="44">
        <f t="shared" si="40"/>
        <v>8.2168254033212096E-2</v>
      </c>
      <c r="Z99" s="45">
        <f t="shared" si="41"/>
        <v>0.231098214468409</v>
      </c>
      <c r="AA99" s="15">
        <f t="shared" si="42"/>
        <v>4.2987499999999998E-2</v>
      </c>
      <c r="AB99" s="45">
        <f t="shared" si="43"/>
        <v>0.10596623460758101</v>
      </c>
      <c r="AC99" s="46">
        <f t="shared" si="44"/>
        <v>3.5278939869159698E-2</v>
      </c>
      <c r="AD99" s="46">
        <f t="shared" si="45"/>
        <v>0</v>
      </c>
      <c r="AE99" s="46">
        <f t="shared" si="46"/>
        <v>0.66123572368591499</v>
      </c>
      <c r="AF99" s="47">
        <v>56835</v>
      </c>
      <c r="AG99" s="137">
        <f t="shared" si="47"/>
        <v>0.49921017702422199</v>
      </c>
      <c r="AH99" s="52">
        <f t="shared" si="48"/>
        <v>28372.610411171601</v>
      </c>
      <c r="AI99" s="53">
        <f t="shared" si="49"/>
        <v>23056.349709393198</v>
      </c>
      <c r="AJ99" s="53">
        <f t="shared" si="50"/>
        <v>46036.35</v>
      </c>
      <c r="AK99" s="45">
        <f t="shared" si="51"/>
        <v>0.23057685925073099</v>
      </c>
      <c r="AL99" s="45">
        <f t="shared" si="52"/>
        <v>-0.38369113947626998</v>
      </c>
    </row>
    <row r="100" spans="1:38">
      <c r="A100" s="10">
        <v>96</v>
      </c>
      <c r="B100" s="11" t="s">
        <v>242</v>
      </c>
      <c r="C100" s="16" t="s">
        <v>243</v>
      </c>
      <c r="D100" s="13" t="s">
        <v>43</v>
      </c>
      <c r="E100" s="37">
        <v>0</v>
      </c>
      <c r="F100" s="37">
        <v>3.48E-3</v>
      </c>
      <c r="G100" s="14">
        <v>15.309699999999999</v>
      </c>
      <c r="H100" s="38">
        <v>0.95</v>
      </c>
      <c r="I100" s="14">
        <f t="shared" si="53"/>
        <v>5.6081848421052599E-2</v>
      </c>
      <c r="J100" s="13" t="s">
        <v>44</v>
      </c>
      <c r="K100" s="14">
        <v>60</v>
      </c>
      <c r="L100" s="41">
        <v>60</v>
      </c>
      <c r="M100" s="13">
        <v>4</v>
      </c>
      <c r="N100" s="13">
        <v>27.15</v>
      </c>
      <c r="O100" s="13">
        <v>0.76</v>
      </c>
      <c r="P100" s="13">
        <v>22.5</v>
      </c>
      <c r="Q100" s="14">
        <f t="shared" si="54"/>
        <v>9.375E-2</v>
      </c>
      <c r="R100" s="14">
        <v>0</v>
      </c>
      <c r="S100" s="21">
        <v>4.77055555555556E-3</v>
      </c>
      <c r="T100" s="21">
        <v>1.1111111111111099E-2</v>
      </c>
      <c r="U100" s="13">
        <v>0</v>
      </c>
      <c r="V100" s="14">
        <f t="shared" si="55"/>
        <v>0.241175852716528</v>
      </c>
      <c r="W100" s="13">
        <v>0.68</v>
      </c>
      <c r="X100" s="42">
        <f t="shared" si="39"/>
        <v>-0.43882414728347202</v>
      </c>
      <c r="Y100" s="44">
        <f t="shared" si="40"/>
        <v>4.60705787331488E-2</v>
      </c>
      <c r="Z100" s="45">
        <f t="shared" si="41"/>
        <v>0.38872050806094299</v>
      </c>
      <c r="AA100" s="15">
        <f t="shared" si="42"/>
        <v>4.2987499999999998E-2</v>
      </c>
      <c r="AB100" s="45">
        <f t="shared" si="43"/>
        <v>0.17824131029621099</v>
      </c>
      <c r="AC100" s="46">
        <f t="shared" si="44"/>
        <v>1.9780402979077499E-2</v>
      </c>
      <c r="AD100" s="46">
        <f t="shared" si="45"/>
        <v>0</v>
      </c>
      <c r="AE100" s="46">
        <f t="shared" si="46"/>
        <v>0.76746491081356405</v>
      </c>
      <c r="AF100" s="47">
        <v>48784</v>
      </c>
      <c r="AG100" s="137">
        <f t="shared" si="47"/>
        <v>0.30003649591874398</v>
      </c>
      <c r="AH100" s="52">
        <f t="shared" si="48"/>
        <v>14636.9804169</v>
      </c>
      <c r="AI100" s="53">
        <f t="shared" si="49"/>
        <v>11765.522798923101</v>
      </c>
      <c r="AJ100" s="53">
        <f t="shared" si="50"/>
        <v>33173.120000000003</v>
      </c>
      <c r="AK100" s="45">
        <f t="shared" si="51"/>
        <v>0.24405695072383299</v>
      </c>
      <c r="AL100" s="45">
        <f t="shared" si="52"/>
        <v>-0.558769858943023</v>
      </c>
    </row>
    <row r="101" spans="1:38">
      <c r="A101" s="10">
        <v>97</v>
      </c>
      <c r="B101" s="11" t="s">
        <v>244</v>
      </c>
      <c r="C101" s="16" t="s">
        <v>245</v>
      </c>
      <c r="D101" s="13" t="s">
        <v>43</v>
      </c>
      <c r="E101" s="37">
        <v>0</v>
      </c>
      <c r="F101" s="37">
        <v>1.383E-2</v>
      </c>
      <c r="G101" s="14">
        <v>15.309699999999999</v>
      </c>
      <c r="H101" s="38">
        <v>0.95</v>
      </c>
      <c r="I101" s="14">
        <f t="shared" si="53"/>
        <v>0.222877001052632</v>
      </c>
      <c r="J101" s="13" t="s">
        <v>44</v>
      </c>
      <c r="K101" s="14">
        <v>60</v>
      </c>
      <c r="L101" s="41">
        <v>60</v>
      </c>
      <c r="M101" s="13">
        <v>4</v>
      </c>
      <c r="N101" s="13">
        <v>27.15</v>
      </c>
      <c r="O101" s="13">
        <v>0.76</v>
      </c>
      <c r="P101" s="13">
        <v>22.5</v>
      </c>
      <c r="Q101" s="14">
        <f t="shared" si="54"/>
        <v>9.375E-2</v>
      </c>
      <c r="R101" s="14">
        <v>0.45</v>
      </c>
      <c r="S101" s="21">
        <v>1.43116666666667E-2</v>
      </c>
      <c r="T101" s="21">
        <v>3.3333333333333298E-2</v>
      </c>
      <c r="U101" s="13">
        <v>0</v>
      </c>
      <c r="V101" s="14">
        <f t="shared" si="55"/>
        <v>0.93132615386149598</v>
      </c>
      <c r="W101" s="13">
        <v>1.81</v>
      </c>
      <c r="X101" s="42">
        <f t="shared" si="39"/>
        <v>-0.87867384613850397</v>
      </c>
      <c r="Y101" s="44">
        <f t="shared" si="40"/>
        <v>3.5791256580871803E-2</v>
      </c>
      <c r="Z101" s="45">
        <f t="shared" si="41"/>
        <v>0.100662909133702</v>
      </c>
      <c r="AA101" s="15">
        <f t="shared" si="42"/>
        <v>4.2987499999999998E-2</v>
      </c>
      <c r="AB101" s="45">
        <f t="shared" si="43"/>
        <v>4.61572992681068E-2</v>
      </c>
      <c r="AC101" s="46">
        <f t="shared" si="44"/>
        <v>1.5366976012997399E-2</v>
      </c>
      <c r="AD101" s="46">
        <f t="shared" si="45"/>
        <v>0</v>
      </c>
      <c r="AE101" s="46">
        <f t="shared" si="46"/>
        <v>0.76068856208049995</v>
      </c>
      <c r="AF101" s="47">
        <v>47668</v>
      </c>
      <c r="AG101" s="137">
        <f t="shared" si="47"/>
        <v>1.0726032120775599</v>
      </c>
      <c r="AH101" s="52">
        <f t="shared" si="48"/>
        <v>51128.849913313301</v>
      </c>
      <c r="AI101" s="53">
        <f t="shared" si="49"/>
        <v>44394.4551022698</v>
      </c>
      <c r="AJ101" s="53">
        <f t="shared" si="50"/>
        <v>86279.08</v>
      </c>
      <c r="AK101" s="45">
        <f t="shared" si="51"/>
        <v>0.15169450318805999</v>
      </c>
      <c r="AL101" s="45">
        <f t="shared" si="52"/>
        <v>-0.40740154028863901</v>
      </c>
    </row>
    <row r="102" spans="1:38">
      <c r="A102" s="10">
        <v>98</v>
      </c>
      <c r="B102" s="11" t="s">
        <v>246</v>
      </c>
      <c r="C102" s="16" t="s">
        <v>247</v>
      </c>
      <c r="D102" s="13" t="s">
        <v>43</v>
      </c>
      <c r="E102" s="37">
        <v>0</v>
      </c>
      <c r="F102" s="37">
        <v>2.0799999999999998E-3</v>
      </c>
      <c r="G102" s="14">
        <v>15.309699999999999</v>
      </c>
      <c r="H102" s="38">
        <v>0.95</v>
      </c>
      <c r="I102" s="14">
        <f t="shared" si="53"/>
        <v>3.3520185263157899E-2</v>
      </c>
      <c r="J102" s="13" t="s">
        <v>44</v>
      </c>
      <c r="K102" s="14">
        <v>60</v>
      </c>
      <c r="L102" s="41">
        <v>60</v>
      </c>
      <c r="M102" s="13">
        <v>4</v>
      </c>
      <c r="N102" s="13">
        <v>27.15</v>
      </c>
      <c r="O102" s="13">
        <v>0.76</v>
      </c>
      <c r="P102" s="13">
        <v>22.5</v>
      </c>
      <c r="Q102" s="14">
        <f t="shared" si="54"/>
        <v>9.375E-2</v>
      </c>
      <c r="R102" s="14">
        <v>0</v>
      </c>
      <c r="S102" s="21">
        <v>4.77055555555556E-3</v>
      </c>
      <c r="T102" s="21">
        <v>1.1111111111111099E-2</v>
      </c>
      <c r="U102" s="13">
        <v>0</v>
      </c>
      <c r="V102" s="14">
        <f t="shared" si="55"/>
        <v>0.214814330500462</v>
      </c>
      <c r="W102" s="13">
        <v>0.2</v>
      </c>
      <c r="X102" s="42">
        <f t="shared" ref="X102:X145" si="56">V102-W102</f>
        <v>1.48143305004617E-2</v>
      </c>
      <c r="Y102" s="44">
        <f t="shared" ref="Y102:Y145" si="57">T102/V102</f>
        <v>5.17242545468223E-2</v>
      </c>
      <c r="Z102" s="45">
        <f t="shared" ref="Z102:Z145" si="58">Q102/V102</f>
        <v>0.436423397738814</v>
      </c>
      <c r="AA102" s="15">
        <f t="shared" ref="AA102:AA145" si="59">(N102*O102/K102/M102)/2</f>
        <v>4.2987499999999998E-2</v>
      </c>
      <c r="AB102" s="45">
        <f t="shared" ref="AB102:AB145" si="60">AA102/V102</f>
        <v>0.20011467530983701</v>
      </c>
      <c r="AC102" s="46">
        <f t="shared" ref="AC102:AC145" si="61">S102/V102</f>
        <v>2.2207808689678199E-2</v>
      </c>
      <c r="AD102" s="46">
        <f t="shared" ref="AD102:AD145" si="62">U102/V102</f>
        <v>0</v>
      </c>
      <c r="AE102" s="46">
        <f t="shared" ref="AE102:AE145" si="63">1-I102/V102</f>
        <v>0.84395740644925998</v>
      </c>
      <c r="AF102" s="47">
        <v>57194</v>
      </c>
      <c r="AG102" s="137">
        <f t="shared" si="47"/>
        <v>0.26678772915974103</v>
      </c>
      <c r="AH102" s="52">
        <f t="shared" ref="AH102:AH133" si="64">AG102*AF102</f>
        <v>15258.6573815623</v>
      </c>
      <c r="AI102" s="53">
        <f t="shared" ref="AI102:AI133" si="65">V102*AF102</f>
        <v>12286.090818643401</v>
      </c>
      <c r="AJ102" s="53">
        <f t="shared" ref="AJ102:AJ133" si="66">W102*AF102</f>
        <v>11438.8</v>
      </c>
      <c r="AK102" s="45">
        <f t="shared" ref="AK102:AK133" si="67">(AG102-V102)/V102</f>
        <v>0.241945677172446</v>
      </c>
      <c r="AL102" s="45">
        <f t="shared" ref="AL102:AL133" si="68">(AG102-W102)/W102</f>
        <v>0.33393864579870702</v>
      </c>
    </row>
    <row r="103" spans="1:38" ht="27">
      <c r="A103" s="10">
        <v>99</v>
      </c>
      <c r="B103" s="11" t="s">
        <v>248</v>
      </c>
      <c r="C103" s="12" t="s">
        <v>249</v>
      </c>
      <c r="D103" s="13" t="s">
        <v>43</v>
      </c>
      <c r="E103" s="37">
        <v>2.2000000000000001E-3</v>
      </c>
      <c r="F103" s="37">
        <v>2.31E-3</v>
      </c>
      <c r="G103" s="14">
        <v>15.309699999999999</v>
      </c>
      <c r="H103" s="38">
        <v>0.95</v>
      </c>
      <c r="I103" s="14">
        <f t="shared" si="53"/>
        <v>3.7226744210526297E-2</v>
      </c>
      <c r="J103" s="13" t="s">
        <v>44</v>
      </c>
      <c r="K103" s="14">
        <v>55.384615384615401</v>
      </c>
      <c r="L103" s="41">
        <v>65</v>
      </c>
      <c r="M103" s="13">
        <v>4</v>
      </c>
      <c r="N103" s="13">
        <v>27.15</v>
      </c>
      <c r="O103" s="13">
        <v>0.76</v>
      </c>
      <c r="P103" s="13">
        <v>22.5</v>
      </c>
      <c r="Q103" s="14">
        <f t="shared" si="54"/>
        <v>0.1015625</v>
      </c>
      <c r="R103" s="14">
        <v>0</v>
      </c>
      <c r="S103" s="21">
        <v>4.77055555555556E-3</v>
      </c>
      <c r="T103" s="21">
        <v>1.1111111111111099E-2</v>
      </c>
      <c r="U103" s="13">
        <v>0</v>
      </c>
      <c r="V103" s="14">
        <f t="shared" si="55"/>
        <v>0.23245906648107101</v>
      </c>
      <c r="W103" s="13">
        <v>0.21</v>
      </c>
      <c r="X103" s="42">
        <f t="shared" si="56"/>
        <v>2.2459066481071099E-2</v>
      </c>
      <c r="Y103" s="44">
        <f t="shared" si="57"/>
        <v>4.7798140461068499E-2</v>
      </c>
      <c r="Z103" s="45">
        <f t="shared" si="58"/>
        <v>0.43690487765195501</v>
      </c>
      <c r="AA103" s="15">
        <f t="shared" si="59"/>
        <v>4.65697916666667E-2</v>
      </c>
      <c r="AB103" s="45">
        <f t="shared" si="60"/>
        <v>0.20033544989934299</v>
      </c>
      <c r="AC103" s="46">
        <f t="shared" si="61"/>
        <v>2.0522131606959801E-2</v>
      </c>
      <c r="AD103" s="46">
        <f t="shared" si="62"/>
        <v>0</v>
      </c>
      <c r="AE103" s="46">
        <f t="shared" si="63"/>
        <v>0.83985677661852898</v>
      </c>
      <c r="AF103" s="47">
        <v>16420</v>
      </c>
      <c r="AG103" s="137">
        <f t="shared" si="47"/>
        <v>0.289042351117267</v>
      </c>
      <c r="AH103" s="52">
        <f t="shared" si="64"/>
        <v>4746.0754053455203</v>
      </c>
      <c r="AI103" s="53">
        <f t="shared" si="65"/>
        <v>3816.97787161919</v>
      </c>
      <c r="AJ103" s="53">
        <f t="shared" si="66"/>
        <v>3448.2</v>
      </c>
      <c r="AK103" s="45">
        <f t="shared" si="67"/>
        <v>0.243411820811055</v>
      </c>
      <c r="AL103" s="45">
        <f t="shared" si="68"/>
        <v>0.37639214817746097</v>
      </c>
    </row>
    <row r="104" spans="1:38">
      <c r="A104" s="10">
        <v>100</v>
      </c>
      <c r="B104" s="11" t="s">
        <v>250</v>
      </c>
      <c r="C104" s="16" t="s">
        <v>251</v>
      </c>
      <c r="D104" s="13" t="s">
        <v>252</v>
      </c>
      <c r="E104" s="37">
        <v>2.7E-2</v>
      </c>
      <c r="F104" s="37">
        <v>2.835E-2</v>
      </c>
      <c r="G104" s="14">
        <v>9.0265486725663706</v>
      </c>
      <c r="H104" s="38">
        <v>0.95</v>
      </c>
      <c r="I104" s="14">
        <f t="shared" si="53"/>
        <v>0.26937121564974398</v>
      </c>
      <c r="J104" s="13" t="s">
        <v>65</v>
      </c>
      <c r="K104" s="14">
        <v>55.384615384615401</v>
      </c>
      <c r="L104" s="41">
        <v>65</v>
      </c>
      <c r="M104" s="13">
        <v>2</v>
      </c>
      <c r="N104" s="13">
        <v>48.5</v>
      </c>
      <c r="O104" s="13">
        <v>0.76</v>
      </c>
      <c r="P104" s="13">
        <v>22.5</v>
      </c>
      <c r="Q104" s="14">
        <f t="shared" si="54"/>
        <v>0.203125</v>
      </c>
      <c r="R104" s="14">
        <v>0</v>
      </c>
      <c r="S104" s="21">
        <v>0.10657111111111101</v>
      </c>
      <c r="T104" s="21">
        <v>0.22222222222222199</v>
      </c>
      <c r="U104" s="13">
        <v>0</v>
      </c>
      <c r="V104" s="14">
        <f t="shared" si="55"/>
        <v>1.0752720256539099</v>
      </c>
      <c r="W104" s="13">
        <v>1.1399999999999999</v>
      </c>
      <c r="X104" s="42">
        <f t="shared" si="56"/>
        <v>-6.4727974346088901E-2</v>
      </c>
      <c r="Y104" s="44">
        <f t="shared" si="57"/>
        <v>0.20666605000449101</v>
      </c>
      <c r="Z104" s="45">
        <f t="shared" si="58"/>
        <v>0.18890568633223101</v>
      </c>
      <c r="AA104" s="15">
        <f t="shared" si="59"/>
        <v>0.16638194444444401</v>
      </c>
      <c r="AB104" s="45">
        <f t="shared" si="60"/>
        <v>0.15473474662680001</v>
      </c>
      <c r="AC104" s="46">
        <f t="shared" si="61"/>
        <v>9.9110837600654006E-2</v>
      </c>
      <c r="AD104" s="46">
        <f t="shared" si="62"/>
        <v>0</v>
      </c>
      <c r="AE104" s="46">
        <f t="shared" si="63"/>
        <v>0.74948551694541699</v>
      </c>
      <c r="AF104" s="47">
        <v>1432</v>
      </c>
      <c r="AG104" s="137">
        <f t="shared" si="47"/>
        <v>1.27029799031424</v>
      </c>
      <c r="AH104" s="52">
        <f t="shared" si="64"/>
        <v>1819.06672212999</v>
      </c>
      <c r="AI104" s="53">
        <f t="shared" si="65"/>
        <v>1539.7895407364001</v>
      </c>
      <c r="AJ104" s="53">
        <f t="shared" si="66"/>
        <v>1632.48</v>
      </c>
      <c r="AK104" s="45">
        <f t="shared" si="67"/>
        <v>0.181373605940998</v>
      </c>
      <c r="AL104" s="45">
        <f t="shared" si="68"/>
        <v>0.11429648273179099</v>
      </c>
    </row>
    <row r="105" spans="1:38">
      <c r="A105" s="10">
        <v>101</v>
      </c>
      <c r="B105" s="11" t="s">
        <v>253</v>
      </c>
      <c r="C105" s="16" t="s">
        <v>254</v>
      </c>
      <c r="D105" s="13" t="s">
        <v>252</v>
      </c>
      <c r="E105" s="37">
        <v>3.3000000000000002E-2</v>
      </c>
      <c r="F105" s="37">
        <v>3.465E-2</v>
      </c>
      <c r="G105" s="14">
        <v>9.0265486725663706</v>
      </c>
      <c r="H105" s="38">
        <v>0.95</v>
      </c>
      <c r="I105" s="14">
        <f t="shared" si="53"/>
        <v>0.32923148579413097</v>
      </c>
      <c r="J105" s="13" t="s">
        <v>65</v>
      </c>
      <c r="K105" s="14">
        <v>51.428571428571502</v>
      </c>
      <c r="L105" s="41">
        <v>69.999999999999901</v>
      </c>
      <c r="M105" s="13">
        <v>2</v>
      </c>
      <c r="N105" s="13">
        <v>48.5</v>
      </c>
      <c r="O105" s="13">
        <v>0.76</v>
      </c>
      <c r="P105" s="13">
        <v>22.5</v>
      </c>
      <c r="Q105" s="14">
        <f t="shared" si="54"/>
        <v>0.21875</v>
      </c>
      <c r="R105" s="14">
        <v>0</v>
      </c>
      <c r="S105" s="21">
        <v>0.10657111111111101</v>
      </c>
      <c r="T105" s="21">
        <v>0.22222222222222199</v>
      </c>
      <c r="U105" s="13">
        <v>0</v>
      </c>
      <c r="V105" s="14">
        <f t="shared" si="55"/>
        <v>1.17842477112086</v>
      </c>
      <c r="W105" s="13">
        <v>1.2</v>
      </c>
      <c r="X105" s="42">
        <f t="shared" si="56"/>
        <v>-2.1575228879138899E-2</v>
      </c>
      <c r="Y105" s="44">
        <f t="shared" si="57"/>
        <v>0.188575654270111</v>
      </c>
      <c r="Z105" s="45">
        <f t="shared" si="58"/>
        <v>0.18562915967214</v>
      </c>
      <c r="AA105" s="15">
        <f t="shared" si="59"/>
        <v>0.17918055555555501</v>
      </c>
      <c r="AB105" s="45">
        <f t="shared" si="60"/>
        <v>0.15205090723366901</v>
      </c>
      <c r="AC105" s="46">
        <f t="shared" si="61"/>
        <v>9.0435226518317105E-2</v>
      </c>
      <c r="AD105" s="46">
        <f t="shared" si="62"/>
        <v>0</v>
      </c>
      <c r="AE105" s="46">
        <f t="shared" si="63"/>
        <v>0.72061730722022899</v>
      </c>
      <c r="AF105" s="47">
        <v>4079</v>
      </c>
      <c r="AG105" s="137">
        <f t="shared" si="47"/>
        <v>1.40040055216445</v>
      </c>
      <c r="AH105" s="52">
        <f t="shared" si="64"/>
        <v>5712.2338522787904</v>
      </c>
      <c r="AI105" s="53">
        <f t="shared" si="65"/>
        <v>4806.7946414019898</v>
      </c>
      <c r="AJ105" s="53">
        <f t="shared" si="66"/>
        <v>4894.8</v>
      </c>
      <c r="AK105" s="45">
        <f t="shared" si="67"/>
        <v>0.18836652664086101</v>
      </c>
      <c r="AL105" s="45">
        <f t="shared" si="68"/>
        <v>0.16700046013704101</v>
      </c>
    </row>
    <row r="106" spans="1:38">
      <c r="A106" s="10">
        <v>102</v>
      </c>
      <c r="B106" s="11" t="s">
        <v>255</v>
      </c>
      <c r="C106" s="12" t="s">
        <v>256</v>
      </c>
      <c r="D106" s="13" t="s">
        <v>257</v>
      </c>
      <c r="E106" s="37">
        <v>2.9000000000000001E-2</v>
      </c>
      <c r="F106" s="37">
        <v>3.0450000000000001E-2</v>
      </c>
      <c r="G106" s="14">
        <v>6.6371681415929196</v>
      </c>
      <c r="H106" s="38">
        <v>0.95</v>
      </c>
      <c r="I106" s="14">
        <f t="shared" si="53"/>
        <v>0.21273870517000501</v>
      </c>
      <c r="J106" s="13" t="s">
        <v>65</v>
      </c>
      <c r="K106" s="14">
        <v>51.428571428571502</v>
      </c>
      <c r="L106" s="41">
        <v>69.999999999999901</v>
      </c>
      <c r="M106" s="13">
        <v>2</v>
      </c>
      <c r="N106" s="13">
        <v>48.5</v>
      </c>
      <c r="O106" s="13">
        <v>0.76</v>
      </c>
      <c r="P106" s="13">
        <v>22.5</v>
      </c>
      <c r="Q106" s="14">
        <f t="shared" si="54"/>
        <v>0.21875</v>
      </c>
      <c r="R106" s="14">
        <v>0</v>
      </c>
      <c r="S106" s="21">
        <v>0.10657111111111101</v>
      </c>
      <c r="T106" s="21">
        <v>0.22222222222222199</v>
      </c>
      <c r="U106" s="13">
        <v>0</v>
      </c>
      <c r="V106" s="14">
        <f t="shared" si="55"/>
        <v>1.0423121537600399</v>
      </c>
      <c r="W106" s="13">
        <v>1.2</v>
      </c>
      <c r="X106" s="42">
        <f t="shared" si="56"/>
        <v>-0.15768784623995999</v>
      </c>
      <c r="Y106" s="44">
        <f t="shared" si="57"/>
        <v>0.213201219443309</v>
      </c>
      <c r="Z106" s="45">
        <f t="shared" si="58"/>
        <v>0.20986995038950701</v>
      </c>
      <c r="AA106" s="15">
        <f t="shared" si="59"/>
        <v>0.17918055555555501</v>
      </c>
      <c r="AB106" s="45">
        <f t="shared" si="60"/>
        <v>0.171906808252383</v>
      </c>
      <c r="AC106" s="46">
        <f t="shared" si="61"/>
        <v>0.102244908808428</v>
      </c>
      <c r="AD106" s="46">
        <f t="shared" si="62"/>
        <v>0</v>
      </c>
      <c r="AE106" s="46">
        <f t="shared" si="63"/>
        <v>0.79589731885734005</v>
      </c>
      <c r="AF106" s="47">
        <v>0</v>
      </c>
      <c r="AG106" s="137">
        <f t="shared" si="47"/>
        <v>1.2287269807183701</v>
      </c>
      <c r="AH106" s="52">
        <f t="shared" si="64"/>
        <v>0</v>
      </c>
      <c r="AI106" s="53">
        <f t="shared" si="65"/>
        <v>0</v>
      </c>
      <c r="AJ106" s="53">
        <f t="shared" si="66"/>
        <v>0</v>
      </c>
      <c r="AK106" s="45">
        <f t="shared" si="67"/>
        <v>0.17884740793423101</v>
      </c>
      <c r="AL106" s="45">
        <f t="shared" si="68"/>
        <v>2.3939150598640602E-2</v>
      </c>
    </row>
    <row r="107" spans="1:38">
      <c r="A107" s="10">
        <v>103</v>
      </c>
      <c r="B107" s="11" t="s">
        <v>258</v>
      </c>
      <c r="C107" s="12" t="s">
        <v>259</v>
      </c>
      <c r="D107" s="13" t="s">
        <v>257</v>
      </c>
      <c r="E107" s="37">
        <v>2.9000000000000001E-2</v>
      </c>
      <c r="F107" s="37">
        <v>3.0450000000000001E-2</v>
      </c>
      <c r="G107" s="14">
        <v>6.6371681415929196</v>
      </c>
      <c r="H107" s="38">
        <v>0.95</v>
      </c>
      <c r="I107" s="14">
        <f t="shared" si="53"/>
        <v>0.21273870517000501</v>
      </c>
      <c r="J107" s="13" t="s">
        <v>65</v>
      </c>
      <c r="K107" s="14">
        <v>51.428571428571502</v>
      </c>
      <c r="L107" s="41">
        <v>69.999999999999901</v>
      </c>
      <c r="M107" s="13">
        <v>2</v>
      </c>
      <c r="N107" s="13">
        <v>48.5</v>
      </c>
      <c r="O107" s="13">
        <v>0.76</v>
      </c>
      <c r="P107" s="13">
        <v>22.5</v>
      </c>
      <c r="Q107" s="14">
        <f t="shared" si="54"/>
        <v>0.21875</v>
      </c>
      <c r="R107" s="14">
        <v>0</v>
      </c>
      <c r="S107" s="21">
        <v>0.10657111111111101</v>
      </c>
      <c r="T107" s="21">
        <v>0.22222222222222199</v>
      </c>
      <c r="U107" s="13">
        <v>0</v>
      </c>
      <c r="V107" s="14">
        <f t="shared" si="55"/>
        <v>1.0423121537600399</v>
      </c>
      <c r="W107" s="13">
        <v>1.2</v>
      </c>
      <c r="X107" s="42">
        <f t="shared" si="56"/>
        <v>-0.15768784623995999</v>
      </c>
      <c r="Y107" s="44">
        <f t="shared" si="57"/>
        <v>0.213201219443309</v>
      </c>
      <c r="Z107" s="45">
        <f t="shared" si="58"/>
        <v>0.20986995038950701</v>
      </c>
      <c r="AA107" s="15">
        <f t="shared" si="59"/>
        <v>0.17918055555555501</v>
      </c>
      <c r="AB107" s="45">
        <f t="shared" si="60"/>
        <v>0.171906808252383</v>
      </c>
      <c r="AC107" s="46">
        <f t="shared" si="61"/>
        <v>0.102244908808428</v>
      </c>
      <c r="AD107" s="46">
        <f t="shared" si="62"/>
        <v>0</v>
      </c>
      <c r="AE107" s="46">
        <f t="shared" si="63"/>
        <v>0.79589731885734005</v>
      </c>
      <c r="AF107" s="47"/>
      <c r="AG107" s="137">
        <f t="shared" si="47"/>
        <v>1.2287269807183701</v>
      </c>
      <c r="AH107" s="52">
        <f t="shared" si="64"/>
        <v>0</v>
      </c>
      <c r="AI107" s="53">
        <f t="shared" si="65"/>
        <v>0</v>
      </c>
      <c r="AJ107" s="53">
        <f t="shared" si="66"/>
        <v>0</v>
      </c>
      <c r="AK107" s="45">
        <f t="shared" si="67"/>
        <v>0.17884740793423101</v>
      </c>
      <c r="AL107" s="45">
        <f t="shared" si="68"/>
        <v>2.3939150598640602E-2</v>
      </c>
    </row>
    <row r="108" spans="1:38" ht="40.5">
      <c r="A108" s="10">
        <v>104</v>
      </c>
      <c r="B108" s="11" t="s">
        <v>260</v>
      </c>
      <c r="C108" s="12" t="s">
        <v>261</v>
      </c>
      <c r="D108" s="13" t="s">
        <v>59</v>
      </c>
      <c r="E108" s="37">
        <v>3.1E-2</v>
      </c>
      <c r="F108" s="37">
        <v>3.2550000000000003E-2</v>
      </c>
      <c r="G108" s="14">
        <v>18.584099999999999</v>
      </c>
      <c r="H108" s="38">
        <v>0.95</v>
      </c>
      <c r="I108" s="14">
        <f t="shared" si="53"/>
        <v>0.63674995263157896</v>
      </c>
      <c r="J108" s="13" t="s">
        <v>65</v>
      </c>
      <c r="K108" s="14">
        <v>30</v>
      </c>
      <c r="L108" s="41">
        <v>120</v>
      </c>
      <c r="M108" s="13">
        <v>2</v>
      </c>
      <c r="N108" s="13">
        <v>48.5</v>
      </c>
      <c r="O108" s="13">
        <v>0.76</v>
      </c>
      <c r="P108" s="13">
        <v>22.5</v>
      </c>
      <c r="Q108" s="14">
        <f t="shared" si="54"/>
        <v>0.375</v>
      </c>
      <c r="R108" s="14">
        <v>0.9</v>
      </c>
      <c r="S108" s="21">
        <v>8.4124000000000004E-2</v>
      </c>
      <c r="T108" s="21">
        <v>0.2</v>
      </c>
      <c r="U108" s="13">
        <v>0</v>
      </c>
      <c r="V108" s="14">
        <f t="shared" si="55"/>
        <v>2.7521739446537401</v>
      </c>
      <c r="W108" s="13">
        <v>3.33</v>
      </c>
      <c r="X108" s="42">
        <f t="shared" si="56"/>
        <v>-0.57782605534625997</v>
      </c>
      <c r="Y108" s="44">
        <f t="shared" si="57"/>
        <v>7.2669825389674897E-2</v>
      </c>
      <c r="Z108" s="45">
        <f t="shared" si="58"/>
        <v>0.13625592260564001</v>
      </c>
      <c r="AA108" s="15">
        <f t="shared" si="59"/>
        <v>0.30716666666666698</v>
      </c>
      <c r="AB108" s="45">
        <f t="shared" si="60"/>
        <v>0.11160874016097599</v>
      </c>
      <c r="AC108" s="46">
        <f t="shared" si="61"/>
        <v>3.0566381955404998E-2</v>
      </c>
      <c r="AD108" s="46">
        <f t="shared" si="62"/>
        <v>0</v>
      </c>
      <c r="AE108" s="46">
        <f t="shared" si="63"/>
        <v>0.76863746062689697</v>
      </c>
      <c r="AF108" s="47">
        <v>6856</v>
      </c>
      <c r="AG108" s="137">
        <f t="shared" si="47"/>
        <v>3.2177905968605698</v>
      </c>
      <c r="AH108" s="52">
        <f t="shared" si="64"/>
        <v>22061.172332076101</v>
      </c>
      <c r="AI108" s="53">
        <f t="shared" si="65"/>
        <v>18868.904564545999</v>
      </c>
      <c r="AJ108" s="53">
        <f t="shared" si="66"/>
        <v>22830.48</v>
      </c>
      <c r="AK108" s="45">
        <f t="shared" si="67"/>
        <v>0.16918140407197799</v>
      </c>
      <c r="AL108" s="45">
        <f t="shared" si="68"/>
        <v>-3.3696517459287402E-2</v>
      </c>
    </row>
    <row r="109" spans="1:38" ht="40.5">
      <c r="A109" s="10">
        <v>105</v>
      </c>
      <c r="B109" s="11" t="s">
        <v>262</v>
      </c>
      <c r="C109" s="12" t="s">
        <v>263</v>
      </c>
      <c r="D109" s="13" t="s">
        <v>59</v>
      </c>
      <c r="E109" s="37">
        <v>2.5999999999999999E-2</v>
      </c>
      <c r="F109" s="37">
        <v>2.7300000000000001E-2</v>
      </c>
      <c r="G109" s="14">
        <v>18.584099999999999</v>
      </c>
      <c r="H109" s="38">
        <v>0.9</v>
      </c>
      <c r="I109" s="14">
        <f t="shared" si="53"/>
        <v>0.56371769999999999</v>
      </c>
      <c r="J109" s="13" t="s">
        <v>65</v>
      </c>
      <c r="K109" s="14">
        <v>30</v>
      </c>
      <c r="L109" s="41">
        <v>120</v>
      </c>
      <c r="M109" s="13">
        <v>2</v>
      </c>
      <c r="N109" s="13">
        <v>48.5</v>
      </c>
      <c r="O109" s="13">
        <v>0.76</v>
      </c>
      <c r="P109" s="13">
        <v>22.5</v>
      </c>
      <c r="Q109" s="14">
        <f t="shared" si="54"/>
        <v>0.375</v>
      </c>
      <c r="R109" s="14">
        <v>0.9</v>
      </c>
      <c r="S109" s="21">
        <v>8.4124000000000004E-2</v>
      </c>
      <c r="T109" s="21">
        <v>0.2</v>
      </c>
      <c r="U109" s="13">
        <v>0</v>
      </c>
      <c r="V109" s="14">
        <f t="shared" si="55"/>
        <v>2.74771471888889</v>
      </c>
      <c r="W109" s="13">
        <v>4.28</v>
      </c>
      <c r="X109" s="42">
        <f t="shared" si="56"/>
        <v>-1.5322852811111101</v>
      </c>
      <c r="Y109" s="44">
        <f t="shared" si="57"/>
        <v>7.2787760179439304E-2</v>
      </c>
      <c r="Z109" s="45">
        <f t="shared" si="58"/>
        <v>0.136477050336449</v>
      </c>
      <c r="AA109" s="15">
        <f t="shared" si="59"/>
        <v>0.30716666666666698</v>
      </c>
      <c r="AB109" s="45">
        <f t="shared" si="60"/>
        <v>0.111789868342256</v>
      </c>
      <c r="AC109" s="46">
        <f t="shared" si="61"/>
        <v>3.06159876866758E-2</v>
      </c>
      <c r="AD109" s="46">
        <f t="shared" si="62"/>
        <v>0</v>
      </c>
      <c r="AE109" s="46">
        <f t="shared" si="63"/>
        <v>0.79484125621747403</v>
      </c>
      <c r="AF109" s="47">
        <v>0</v>
      </c>
      <c r="AG109" s="137">
        <f t="shared" si="47"/>
        <v>3.2121663481481502</v>
      </c>
      <c r="AH109" s="52">
        <f t="shared" si="64"/>
        <v>0</v>
      </c>
      <c r="AI109" s="53">
        <f t="shared" si="65"/>
        <v>0</v>
      </c>
      <c r="AJ109" s="53">
        <f t="shared" si="66"/>
        <v>0</v>
      </c>
      <c r="AK109" s="45">
        <f t="shared" si="67"/>
        <v>0.169031969027364</v>
      </c>
      <c r="AL109" s="45">
        <f t="shared" si="68"/>
        <v>-0.24949384389061999</v>
      </c>
    </row>
    <row r="110" spans="1:38" ht="27">
      <c r="A110" s="10">
        <v>106</v>
      </c>
      <c r="B110" s="11" t="s">
        <v>264</v>
      </c>
      <c r="C110" s="12" t="s">
        <v>265</v>
      </c>
      <c r="D110" s="13" t="s">
        <v>59</v>
      </c>
      <c r="E110" s="37">
        <v>2.5999999999999999E-2</v>
      </c>
      <c r="F110" s="37">
        <v>2.7300000000000001E-2</v>
      </c>
      <c r="G110" s="14">
        <v>18.584099999999999</v>
      </c>
      <c r="H110" s="38">
        <v>0.9</v>
      </c>
      <c r="I110" s="14">
        <f t="shared" si="53"/>
        <v>0.56371769999999999</v>
      </c>
      <c r="J110" s="13" t="s">
        <v>120</v>
      </c>
      <c r="K110" s="14">
        <v>48</v>
      </c>
      <c r="L110" s="41">
        <v>75</v>
      </c>
      <c r="M110" s="13">
        <v>2</v>
      </c>
      <c r="N110" s="13">
        <v>39.75</v>
      </c>
      <c r="O110" s="13">
        <v>0.76</v>
      </c>
      <c r="P110" s="13">
        <v>22.5</v>
      </c>
      <c r="Q110" s="14">
        <f t="shared" si="54"/>
        <v>0.234375</v>
      </c>
      <c r="R110" s="14">
        <v>0</v>
      </c>
      <c r="S110" s="21">
        <v>0.10657111111111101</v>
      </c>
      <c r="T110" s="21">
        <v>0.22222222222222199</v>
      </c>
      <c r="U110" s="13">
        <v>0.3</v>
      </c>
      <c r="V110" s="14">
        <f t="shared" si="55"/>
        <v>1.807164955</v>
      </c>
      <c r="W110" s="13">
        <v>3.27</v>
      </c>
      <c r="X110" s="42">
        <f t="shared" si="56"/>
        <v>-1.4628350450000001</v>
      </c>
      <c r="Y110" s="44">
        <f t="shared" si="57"/>
        <v>0.12296731496888801</v>
      </c>
      <c r="Z110" s="45">
        <f t="shared" si="58"/>
        <v>0.12969209000625001</v>
      </c>
      <c r="AA110" s="15">
        <f t="shared" si="59"/>
        <v>0.15734375</v>
      </c>
      <c r="AB110" s="45">
        <f t="shared" si="60"/>
        <v>8.70666230908623E-2</v>
      </c>
      <c r="AC110" s="46">
        <f t="shared" si="61"/>
        <v>5.8971435239629798E-2</v>
      </c>
      <c r="AD110" s="46">
        <f t="shared" si="62"/>
        <v>0.166005875208</v>
      </c>
      <c r="AE110" s="46">
        <f t="shared" si="63"/>
        <v>0.68806516613753199</v>
      </c>
      <c r="AF110" s="47"/>
      <c r="AG110" s="137">
        <f t="shared" si="47"/>
        <v>2.1150278111111098</v>
      </c>
      <c r="AH110" s="52">
        <f t="shared" si="64"/>
        <v>0</v>
      </c>
      <c r="AI110" s="53">
        <f t="shared" si="65"/>
        <v>0</v>
      </c>
      <c r="AJ110" s="53">
        <f t="shared" si="66"/>
        <v>0</v>
      </c>
      <c r="AK110" s="45">
        <f t="shared" si="67"/>
        <v>0.17035680957586499</v>
      </c>
      <c r="AL110" s="45">
        <f t="shared" si="68"/>
        <v>-0.35320250424736699</v>
      </c>
    </row>
    <row r="111" spans="1:38" ht="27">
      <c r="A111" s="10">
        <v>107</v>
      </c>
      <c r="B111" s="11" t="s">
        <v>266</v>
      </c>
      <c r="C111" s="12" t="s">
        <v>267</v>
      </c>
      <c r="D111" s="13" t="s">
        <v>59</v>
      </c>
      <c r="E111" s="37">
        <v>2.5999999999999999E-2</v>
      </c>
      <c r="F111" s="37">
        <v>2.7300000000000001E-2</v>
      </c>
      <c r="G111" s="14">
        <v>18.584099999999999</v>
      </c>
      <c r="H111" s="38">
        <v>0.9</v>
      </c>
      <c r="I111" s="14">
        <f t="shared" si="53"/>
        <v>0.56371769999999999</v>
      </c>
      <c r="J111" s="13" t="s">
        <v>120</v>
      </c>
      <c r="K111" s="14">
        <v>48</v>
      </c>
      <c r="L111" s="41">
        <v>75</v>
      </c>
      <c r="M111" s="13">
        <v>2</v>
      </c>
      <c r="N111" s="13">
        <v>39.75</v>
      </c>
      <c r="O111" s="13">
        <v>0.76</v>
      </c>
      <c r="P111" s="13">
        <v>22.5</v>
      </c>
      <c r="Q111" s="14">
        <f t="shared" si="54"/>
        <v>0.234375</v>
      </c>
      <c r="R111" s="14">
        <v>0</v>
      </c>
      <c r="S111" s="21">
        <v>0.10657111111111101</v>
      </c>
      <c r="T111" s="21">
        <v>0.22222222222222199</v>
      </c>
      <c r="U111" s="13">
        <v>0.3</v>
      </c>
      <c r="V111" s="14">
        <f t="shared" si="55"/>
        <v>1.807164955</v>
      </c>
      <c r="W111" s="13">
        <v>3.29</v>
      </c>
      <c r="X111" s="42">
        <f t="shared" si="56"/>
        <v>-1.4828350450000001</v>
      </c>
      <c r="Y111" s="44">
        <f t="shared" si="57"/>
        <v>0.12296731496888801</v>
      </c>
      <c r="Z111" s="45">
        <f t="shared" si="58"/>
        <v>0.12969209000625001</v>
      </c>
      <c r="AA111" s="15">
        <f t="shared" si="59"/>
        <v>0.15734375</v>
      </c>
      <c r="AB111" s="45">
        <f t="shared" si="60"/>
        <v>8.70666230908623E-2</v>
      </c>
      <c r="AC111" s="46">
        <f t="shared" si="61"/>
        <v>5.8971435239629798E-2</v>
      </c>
      <c r="AD111" s="46">
        <f t="shared" si="62"/>
        <v>0.166005875208</v>
      </c>
      <c r="AE111" s="46">
        <f t="shared" si="63"/>
        <v>0.68806516613753199</v>
      </c>
      <c r="AF111" s="47"/>
      <c r="AG111" s="137">
        <f t="shared" si="47"/>
        <v>2.1150278111111098</v>
      </c>
      <c r="AH111" s="52">
        <f t="shared" si="64"/>
        <v>0</v>
      </c>
      <c r="AI111" s="53">
        <f t="shared" si="65"/>
        <v>0</v>
      </c>
      <c r="AJ111" s="53">
        <f t="shared" si="66"/>
        <v>0</v>
      </c>
      <c r="AK111" s="45">
        <f t="shared" si="67"/>
        <v>0.17035680957586499</v>
      </c>
      <c r="AL111" s="45">
        <f t="shared" si="68"/>
        <v>-0.35713440391759599</v>
      </c>
    </row>
    <row r="112" spans="1:38" ht="27">
      <c r="A112" s="10">
        <v>108</v>
      </c>
      <c r="B112" s="11" t="s">
        <v>268</v>
      </c>
      <c r="C112" s="12" t="s">
        <v>269</v>
      </c>
      <c r="D112" s="13" t="s">
        <v>86</v>
      </c>
      <c r="E112" s="37">
        <v>0</v>
      </c>
      <c r="F112" s="37">
        <v>2.5729999999999999E-2</v>
      </c>
      <c r="G112" s="14">
        <v>13.716799999999999</v>
      </c>
      <c r="H112" s="38">
        <v>0.98</v>
      </c>
      <c r="I112" s="14">
        <f t="shared" si="53"/>
        <v>0.360135983673469</v>
      </c>
      <c r="J112" s="13" t="s">
        <v>270</v>
      </c>
      <c r="K112" s="14">
        <v>80</v>
      </c>
      <c r="L112" s="41">
        <v>45</v>
      </c>
      <c r="M112" s="13">
        <v>2</v>
      </c>
      <c r="N112" s="13">
        <v>47.5</v>
      </c>
      <c r="O112" s="13">
        <v>0.76</v>
      </c>
      <c r="P112" s="13">
        <v>22.5</v>
      </c>
      <c r="Q112" s="14">
        <f t="shared" si="54"/>
        <v>0.140625</v>
      </c>
      <c r="R112" s="14">
        <v>0</v>
      </c>
      <c r="S112" s="21">
        <v>2.2338E-2</v>
      </c>
      <c r="T112" s="21">
        <v>0.05</v>
      </c>
      <c r="U112" s="13">
        <v>0</v>
      </c>
      <c r="V112" s="14">
        <f t="shared" si="55"/>
        <v>0.76730388456892895</v>
      </c>
      <c r="W112" s="13">
        <v>1.34</v>
      </c>
      <c r="X112" s="42">
        <f t="shared" si="56"/>
        <v>-0.57269611543107102</v>
      </c>
      <c r="Y112" s="44">
        <f t="shared" si="57"/>
        <v>6.5163230638523306E-2</v>
      </c>
      <c r="Z112" s="45">
        <f t="shared" si="58"/>
        <v>0.18327158617084699</v>
      </c>
      <c r="AA112" s="15">
        <f t="shared" si="59"/>
        <v>0.1128125</v>
      </c>
      <c r="AB112" s="45">
        <f t="shared" si="60"/>
        <v>0.14702453912816801</v>
      </c>
      <c r="AC112" s="46">
        <f t="shared" si="61"/>
        <v>2.9112324920066698E-2</v>
      </c>
      <c r="AD112" s="46">
        <f t="shared" si="62"/>
        <v>0</v>
      </c>
      <c r="AE112" s="46">
        <f t="shared" si="63"/>
        <v>0.53064751669308596</v>
      </c>
      <c r="AF112" s="47">
        <v>30594</v>
      </c>
      <c r="AG112" s="137">
        <f t="shared" si="47"/>
        <v>0.948871548104956</v>
      </c>
      <c r="AH112" s="52">
        <f t="shared" si="64"/>
        <v>29029.776142723</v>
      </c>
      <c r="AI112" s="53">
        <f t="shared" si="65"/>
        <v>23474.895044501802</v>
      </c>
      <c r="AJ112" s="53">
        <f t="shared" si="66"/>
        <v>40995.96</v>
      </c>
      <c r="AK112" s="45">
        <f t="shared" si="67"/>
        <v>0.23663071070991801</v>
      </c>
      <c r="AL112" s="45">
        <f t="shared" si="68"/>
        <v>-0.29188690439928699</v>
      </c>
    </row>
    <row r="113" spans="1:38" ht="27">
      <c r="A113" s="10">
        <v>109</v>
      </c>
      <c r="B113" s="11" t="s">
        <v>271</v>
      </c>
      <c r="C113" s="12" t="s">
        <v>272</v>
      </c>
      <c r="D113" s="13" t="s">
        <v>86</v>
      </c>
      <c r="E113" s="37">
        <v>1.7999999999999999E-2</v>
      </c>
      <c r="F113" s="37">
        <v>1.89E-2</v>
      </c>
      <c r="G113" s="14">
        <v>13.716799999999999</v>
      </c>
      <c r="H113" s="38">
        <v>0.98</v>
      </c>
      <c r="I113" s="14">
        <f t="shared" si="53"/>
        <v>0.264538285714286</v>
      </c>
      <c r="J113" s="13" t="s">
        <v>65</v>
      </c>
      <c r="K113" s="14">
        <v>48</v>
      </c>
      <c r="L113" s="41">
        <v>75</v>
      </c>
      <c r="M113" s="13">
        <v>2</v>
      </c>
      <c r="N113" s="13">
        <v>48.5</v>
      </c>
      <c r="O113" s="13">
        <v>0.76</v>
      </c>
      <c r="P113" s="13">
        <v>22.5</v>
      </c>
      <c r="Q113" s="14">
        <f t="shared" si="54"/>
        <v>0.234375</v>
      </c>
      <c r="R113" s="14">
        <v>0</v>
      </c>
      <c r="S113" s="21">
        <v>0.10657111111111101</v>
      </c>
      <c r="T113" s="21">
        <v>0.22222222222222199</v>
      </c>
      <c r="U113" s="13">
        <v>0</v>
      </c>
      <c r="V113" s="14">
        <f t="shared" si="55"/>
        <v>1.1113347844995101</v>
      </c>
      <c r="W113" s="13">
        <v>1.18</v>
      </c>
      <c r="X113" s="42">
        <f t="shared" si="56"/>
        <v>-6.8665215500485904E-2</v>
      </c>
      <c r="Y113" s="44">
        <f t="shared" si="57"/>
        <v>0.199959746893281</v>
      </c>
      <c r="Z113" s="45">
        <f t="shared" si="58"/>
        <v>0.21089504555150801</v>
      </c>
      <c r="AA113" s="15">
        <f t="shared" si="59"/>
        <v>0.19197916666666701</v>
      </c>
      <c r="AB113" s="45">
        <f t="shared" si="60"/>
        <v>0.17274647508952401</v>
      </c>
      <c r="AC113" s="46">
        <f t="shared" si="61"/>
        <v>9.5894695817610898E-2</v>
      </c>
      <c r="AD113" s="46">
        <f t="shared" si="62"/>
        <v>0</v>
      </c>
      <c r="AE113" s="46">
        <f t="shared" si="63"/>
        <v>0.76196346105245005</v>
      </c>
      <c r="AF113" s="47">
        <v>28167</v>
      </c>
      <c r="AG113" s="137">
        <f t="shared" si="47"/>
        <v>1.31578255102041</v>
      </c>
      <c r="AH113" s="52">
        <f t="shared" si="64"/>
        <v>37061.647114591797</v>
      </c>
      <c r="AI113" s="53">
        <f t="shared" si="65"/>
        <v>31302.966874997801</v>
      </c>
      <c r="AJ113" s="53">
        <f t="shared" si="66"/>
        <v>33237.06</v>
      </c>
      <c r="AK113" s="45">
        <f t="shared" si="67"/>
        <v>0.18396595640886601</v>
      </c>
      <c r="AL113" s="45">
        <f t="shared" si="68"/>
        <v>0.115069958491871</v>
      </c>
    </row>
    <row r="114" spans="1:38" ht="27">
      <c r="A114" s="10">
        <v>110</v>
      </c>
      <c r="B114" s="11" t="s">
        <v>273</v>
      </c>
      <c r="C114" s="12" t="s">
        <v>274</v>
      </c>
      <c r="D114" s="13" t="s">
        <v>59</v>
      </c>
      <c r="E114" s="37">
        <v>2.1999999999999999E-2</v>
      </c>
      <c r="F114" s="37">
        <v>2.3099999999999999E-2</v>
      </c>
      <c r="G114" s="14">
        <v>18.584099999999999</v>
      </c>
      <c r="H114" s="38">
        <v>0.9</v>
      </c>
      <c r="I114" s="14">
        <f t="shared" si="53"/>
        <v>0.47699190000000002</v>
      </c>
      <c r="J114" s="13" t="s">
        <v>120</v>
      </c>
      <c r="K114" s="14">
        <v>48</v>
      </c>
      <c r="L114" s="41">
        <v>75</v>
      </c>
      <c r="M114" s="13">
        <v>2</v>
      </c>
      <c r="N114" s="13">
        <v>39.75</v>
      </c>
      <c r="O114" s="13">
        <v>0.76</v>
      </c>
      <c r="P114" s="13">
        <v>22.5</v>
      </c>
      <c r="Q114" s="14">
        <f t="shared" si="54"/>
        <v>0.234375</v>
      </c>
      <c r="R114" s="14">
        <v>0</v>
      </c>
      <c r="S114" s="21">
        <v>0.10657111111111101</v>
      </c>
      <c r="T114" s="21">
        <v>0.22222222222222199</v>
      </c>
      <c r="U114" s="13">
        <v>0.3</v>
      </c>
      <c r="V114" s="14">
        <f t="shared" si="55"/>
        <v>1.700203135</v>
      </c>
      <c r="W114" s="13">
        <v>3.29</v>
      </c>
      <c r="X114" s="42">
        <f t="shared" si="56"/>
        <v>-1.5897968650000001</v>
      </c>
      <c r="Y114" s="44">
        <f t="shared" si="57"/>
        <v>0.13070333635293599</v>
      </c>
      <c r="Z114" s="45">
        <f t="shared" si="58"/>
        <v>0.13785117505973801</v>
      </c>
      <c r="AA114" s="15">
        <f t="shared" si="59"/>
        <v>0.15734375</v>
      </c>
      <c r="AB114" s="45">
        <f t="shared" si="60"/>
        <v>9.2544088856770707E-2</v>
      </c>
      <c r="AC114" s="46">
        <f t="shared" si="61"/>
        <v>6.2681399014777706E-2</v>
      </c>
      <c r="AD114" s="46">
        <f t="shared" si="62"/>
        <v>0.17644950407646401</v>
      </c>
      <c r="AE114" s="46">
        <f t="shared" si="63"/>
        <v>0.71945005265503204</v>
      </c>
      <c r="AF114" s="47">
        <v>1982</v>
      </c>
      <c r="AG114" s="137">
        <f t="shared" si="47"/>
        <v>1.9801210111111101</v>
      </c>
      <c r="AH114" s="52">
        <f t="shared" si="64"/>
        <v>3924.5998440222202</v>
      </c>
      <c r="AI114" s="53">
        <f t="shared" si="65"/>
        <v>3369.8026135700002</v>
      </c>
      <c r="AJ114" s="53">
        <f t="shared" si="66"/>
        <v>6520.78</v>
      </c>
      <c r="AK114" s="45">
        <f t="shared" si="67"/>
        <v>0.16463790140647599</v>
      </c>
      <c r="AL114" s="45">
        <f t="shared" si="68"/>
        <v>-0.39813951030057398</v>
      </c>
    </row>
    <row r="115" spans="1:38" ht="27">
      <c r="A115" s="10">
        <v>111</v>
      </c>
      <c r="B115" s="11" t="s">
        <v>275</v>
      </c>
      <c r="C115" s="12" t="s">
        <v>276</v>
      </c>
      <c r="D115" s="13" t="s">
        <v>59</v>
      </c>
      <c r="E115" s="37">
        <v>0</v>
      </c>
      <c r="F115" s="37">
        <v>4.5524000000000002E-2</v>
      </c>
      <c r="G115" s="14">
        <v>18.584099999999999</v>
      </c>
      <c r="H115" s="38">
        <v>0.9</v>
      </c>
      <c r="I115" s="14">
        <f t="shared" si="53"/>
        <v>0.94002507599999996</v>
      </c>
      <c r="J115" s="13" t="s">
        <v>120</v>
      </c>
      <c r="K115" s="14">
        <v>60</v>
      </c>
      <c r="L115" s="41">
        <v>60</v>
      </c>
      <c r="M115" s="13">
        <v>2</v>
      </c>
      <c r="N115" s="13">
        <v>39.75</v>
      </c>
      <c r="O115" s="13">
        <v>0.76</v>
      </c>
      <c r="P115" s="13">
        <v>22.5</v>
      </c>
      <c r="Q115" s="14">
        <f t="shared" si="54"/>
        <v>0.1875</v>
      </c>
      <c r="R115" s="14">
        <v>0</v>
      </c>
      <c r="S115" s="21">
        <v>0.10657111111111101</v>
      </c>
      <c r="T115" s="21">
        <v>0.22222222222222199</v>
      </c>
      <c r="U115" s="13">
        <v>0.3</v>
      </c>
      <c r="V115" s="14">
        <f t="shared" si="55"/>
        <v>2.1746534270666702</v>
      </c>
      <c r="W115" s="13">
        <v>3.27</v>
      </c>
      <c r="X115" s="42">
        <f t="shared" si="56"/>
        <v>-1.09534657293333</v>
      </c>
      <c r="Y115" s="44">
        <f t="shared" si="57"/>
        <v>0.102187419593554</v>
      </c>
      <c r="Z115" s="45">
        <f t="shared" si="58"/>
        <v>8.6220635282061406E-2</v>
      </c>
      <c r="AA115" s="15">
        <f t="shared" si="59"/>
        <v>0.12587499999999999</v>
      </c>
      <c r="AB115" s="45">
        <f t="shared" si="60"/>
        <v>5.78827864860239E-2</v>
      </c>
      <c r="AC115" s="46">
        <f t="shared" si="61"/>
        <v>4.90060208144808E-2</v>
      </c>
      <c r="AD115" s="46">
        <f t="shared" si="62"/>
        <v>0.13795301645129801</v>
      </c>
      <c r="AE115" s="46">
        <f t="shared" si="63"/>
        <v>0.56773568408646402</v>
      </c>
      <c r="AF115" s="47">
        <v>18428</v>
      </c>
      <c r="AG115" s="137">
        <f t="shared" si="47"/>
        <v>2.57852678488889</v>
      </c>
      <c r="AH115" s="52">
        <f t="shared" si="64"/>
        <v>47517.091591932403</v>
      </c>
      <c r="AI115" s="53">
        <f t="shared" si="65"/>
        <v>40074.513353984497</v>
      </c>
      <c r="AJ115" s="53">
        <f t="shared" si="66"/>
        <v>60259.56</v>
      </c>
      <c r="AK115" s="45">
        <f t="shared" si="67"/>
        <v>0.18571849325296699</v>
      </c>
      <c r="AL115" s="45">
        <f t="shared" si="68"/>
        <v>-0.21145969881073801</v>
      </c>
    </row>
    <row r="116" spans="1:38" ht="27">
      <c r="A116" s="10">
        <v>112</v>
      </c>
      <c r="B116" s="11" t="s">
        <v>277</v>
      </c>
      <c r="C116" s="12" t="s">
        <v>278</v>
      </c>
      <c r="D116" s="13" t="s">
        <v>279</v>
      </c>
      <c r="E116" s="37">
        <v>4.3999999999999997E-2</v>
      </c>
      <c r="F116" s="37">
        <v>4.6199999999999998E-2</v>
      </c>
      <c r="G116" s="14">
        <v>10.5</v>
      </c>
      <c r="H116" s="38">
        <v>0.98</v>
      </c>
      <c r="I116" s="14">
        <f t="shared" si="53"/>
        <v>0.495</v>
      </c>
      <c r="J116" s="13" t="s">
        <v>65</v>
      </c>
      <c r="K116" s="14">
        <v>51.428571428571502</v>
      </c>
      <c r="L116" s="41">
        <v>69.999999999999901</v>
      </c>
      <c r="M116" s="13">
        <v>2</v>
      </c>
      <c r="N116" s="13">
        <v>48.5</v>
      </c>
      <c r="O116" s="13">
        <v>0.76</v>
      </c>
      <c r="P116" s="13">
        <v>22.5</v>
      </c>
      <c r="Q116" s="14">
        <f t="shared" si="54"/>
        <v>0.21875</v>
      </c>
      <c r="R116" s="14">
        <v>0</v>
      </c>
      <c r="S116" s="21">
        <v>0.10657111111111101</v>
      </c>
      <c r="T116" s="21">
        <v>0.22222222222222199</v>
      </c>
      <c r="U116" s="13">
        <v>0.3</v>
      </c>
      <c r="V116" s="14">
        <f t="shared" si="55"/>
        <v>1.64017386054422</v>
      </c>
      <c r="W116" s="13">
        <v>1.85</v>
      </c>
      <c r="X116" s="42">
        <f t="shared" si="56"/>
        <v>-0.20982613945578299</v>
      </c>
      <c r="Y116" s="44">
        <f t="shared" si="57"/>
        <v>0.13548699169518999</v>
      </c>
      <c r="Z116" s="45">
        <f t="shared" si="58"/>
        <v>0.133370007449953</v>
      </c>
      <c r="AA116" s="15">
        <f t="shared" si="59"/>
        <v>0.17918055555555501</v>
      </c>
      <c r="AB116" s="45">
        <f t="shared" si="60"/>
        <v>0.109244854991228</v>
      </c>
      <c r="AC116" s="46">
        <f t="shared" si="61"/>
        <v>6.4975496607262304E-2</v>
      </c>
      <c r="AD116" s="46">
        <f t="shared" si="62"/>
        <v>0.18290743878850699</v>
      </c>
      <c r="AE116" s="46">
        <f t="shared" si="63"/>
        <v>0.69820272599896405</v>
      </c>
      <c r="AF116" s="47">
        <v>1626</v>
      </c>
      <c r="AG116" s="137">
        <f t="shared" si="47"/>
        <v>1.90440841269841</v>
      </c>
      <c r="AH116" s="52">
        <f t="shared" si="64"/>
        <v>3096.5680790476199</v>
      </c>
      <c r="AI116" s="53">
        <f t="shared" si="65"/>
        <v>2666.9226972449001</v>
      </c>
      <c r="AJ116" s="53">
        <f t="shared" si="66"/>
        <v>3008.1</v>
      </c>
      <c r="AK116" s="45">
        <f t="shared" si="67"/>
        <v>0.16110155057983899</v>
      </c>
      <c r="AL116" s="45">
        <f t="shared" si="68"/>
        <v>2.9409952809952001E-2</v>
      </c>
    </row>
    <row r="117" spans="1:38" ht="27">
      <c r="A117" s="10">
        <v>113</v>
      </c>
      <c r="B117" s="11" t="s">
        <v>280</v>
      </c>
      <c r="C117" s="12" t="s">
        <v>281</v>
      </c>
      <c r="D117" s="13" t="s">
        <v>279</v>
      </c>
      <c r="E117" s="37">
        <v>2.5999999999999999E-2</v>
      </c>
      <c r="F117" s="37">
        <v>2.7300000000000001E-2</v>
      </c>
      <c r="G117" s="14">
        <v>10.5</v>
      </c>
      <c r="H117" s="38">
        <v>0.98</v>
      </c>
      <c r="I117" s="14">
        <f t="shared" si="53"/>
        <v>0.29249999999999998</v>
      </c>
      <c r="J117" s="13" t="s">
        <v>65</v>
      </c>
      <c r="K117" s="14">
        <v>51.428571428571502</v>
      </c>
      <c r="L117" s="41">
        <v>69.999999999999901</v>
      </c>
      <c r="M117" s="13">
        <v>2</v>
      </c>
      <c r="N117" s="13">
        <v>48.5</v>
      </c>
      <c r="O117" s="13">
        <v>0.76</v>
      </c>
      <c r="P117" s="13">
        <v>22.5</v>
      </c>
      <c r="Q117" s="14">
        <f t="shared" si="54"/>
        <v>0.21875</v>
      </c>
      <c r="R117" s="14">
        <v>0</v>
      </c>
      <c r="S117" s="21">
        <v>8.4124000000000004E-2</v>
      </c>
      <c r="T117" s="21">
        <v>0.2</v>
      </c>
      <c r="U117" s="13">
        <v>0</v>
      </c>
      <c r="V117" s="14">
        <f t="shared" si="55"/>
        <v>1.0661422823129201</v>
      </c>
      <c r="W117" s="13">
        <v>1.34</v>
      </c>
      <c r="X117" s="42">
        <f t="shared" si="56"/>
        <v>-0.27385771768707601</v>
      </c>
      <c r="Y117" s="44">
        <f t="shared" si="57"/>
        <v>0.18759222227460401</v>
      </c>
      <c r="Z117" s="45">
        <f t="shared" si="58"/>
        <v>0.20517899311284801</v>
      </c>
      <c r="AA117" s="15">
        <f t="shared" si="59"/>
        <v>0.17918055555555501</v>
      </c>
      <c r="AB117" s="45">
        <f t="shared" si="60"/>
        <v>0.168064393025324</v>
      </c>
      <c r="AC117" s="46">
        <f t="shared" si="61"/>
        <v>7.8905040533143997E-2</v>
      </c>
      <c r="AD117" s="46">
        <f t="shared" si="62"/>
        <v>0</v>
      </c>
      <c r="AE117" s="46">
        <f t="shared" si="63"/>
        <v>0.72564637492339101</v>
      </c>
      <c r="AF117" s="47">
        <v>1580</v>
      </c>
      <c r="AG117" s="137">
        <f t="shared" si="47"/>
        <v>1.2704533650793599</v>
      </c>
      <c r="AH117" s="52">
        <f t="shared" si="64"/>
        <v>2007.3163168254</v>
      </c>
      <c r="AI117" s="53">
        <f t="shared" si="65"/>
        <v>1684.50480605442</v>
      </c>
      <c r="AJ117" s="53">
        <f t="shared" si="66"/>
        <v>2117.1999999999998</v>
      </c>
      <c r="AK117" s="45">
        <f t="shared" si="67"/>
        <v>0.19163585025743499</v>
      </c>
      <c r="AL117" s="45">
        <f t="shared" si="68"/>
        <v>-5.1900473821370099E-2</v>
      </c>
    </row>
    <row r="118" spans="1:38">
      <c r="A118" s="10">
        <v>114</v>
      </c>
      <c r="B118" s="11" t="s">
        <v>282</v>
      </c>
      <c r="C118" s="12" t="s">
        <v>283</v>
      </c>
      <c r="D118" s="13" t="s">
        <v>64</v>
      </c>
      <c r="E118" s="37">
        <v>2E-3</v>
      </c>
      <c r="F118" s="37">
        <v>2.0999999999999999E-3</v>
      </c>
      <c r="G118" s="14">
        <v>21.238900000000001</v>
      </c>
      <c r="H118" s="38">
        <v>0.95</v>
      </c>
      <c r="I118" s="14">
        <f t="shared" si="53"/>
        <v>4.6949147368421103E-2</v>
      </c>
      <c r="J118" s="13" t="s">
        <v>120</v>
      </c>
      <c r="K118" s="14">
        <v>65.454545454545496</v>
      </c>
      <c r="L118" s="41">
        <v>55</v>
      </c>
      <c r="M118" s="13">
        <v>2</v>
      </c>
      <c r="N118" s="13">
        <v>39.75</v>
      </c>
      <c r="O118" s="13">
        <v>0.76</v>
      </c>
      <c r="P118" s="13">
        <v>22.5</v>
      </c>
      <c r="Q118" s="14">
        <f t="shared" si="54"/>
        <v>0.171875</v>
      </c>
      <c r="R118" s="14">
        <v>0</v>
      </c>
      <c r="S118" s="21">
        <v>4.77055555555556E-3</v>
      </c>
      <c r="T118" s="21">
        <v>1.1111111111111099E-2</v>
      </c>
      <c r="U118" s="13">
        <v>0</v>
      </c>
      <c r="V118" s="14">
        <f t="shared" si="55"/>
        <v>0.40637915727608498</v>
      </c>
      <c r="W118" s="13">
        <v>0.28000000000000003</v>
      </c>
      <c r="X118" s="42">
        <f t="shared" si="56"/>
        <v>0.12637915727608501</v>
      </c>
      <c r="Y118" s="44">
        <f t="shared" si="57"/>
        <v>2.7341734712940699E-2</v>
      </c>
      <c r="Z118" s="45">
        <f t="shared" si="58"/>
        <v>0.42294245884080101</v>
      </c>
      <c r="AA118" s="15">
        <f t="shared" si="59"/>
        <v>0.115385416666667</v>
      </c>
      <c r="AB118" s="45">
        <f t="shared" si="60"/>
        <v>0.28393537070179098</v>
      </c>
      <c r="AC118" s="46">
        <f t="shared" si="61"/>
        <v>1.17391737990011E-2</v>
      </c>
      <c r="AD118" s="46">
        <f t="shared" si="62"/>
        <v>0</v>
      </c>
      <c r="AE118" s="46">
        <f t="shared" si="63"/>
        <v>0.88446959808884895</v>
      </c>
      <c r="AF118" s="47">
        <v>61647</v>
      </c>
      <c r="AG118" s="137">
        <f t="shared" si="47"/>
        <v>0.50840102419205901</v>
      </c>
      <c r="AH118" s="52">
        <f t="shared" si="64"/>
        <v>31341.3979383679</v>
      </c>
      <c r="AI118" s="53">
        <f t="shared" si="65"/>
        <v>25052.055908598799</v>
      </c>
      <c r="AJ118" s="53">
        <f t="shared" si="66"/>
        <v>17261.16</v>
      </c>
      <c r="AK118" s="45">
        <f t="shared" si="67"/>
        <v>0.25105093381219501</v>
      </c>
      <c r="AL118" s="45">
        <f t="shared" si="68"/>
        <v>0.81571794354306704</v>
      </c>
    </row>
    <row r="119" spans="1:38">
      <c r="A119" s="10">
        <v>115</v>
      </c>
      <c r="B119" s="54" t="s">
        <v>284</v>
      </c>
      <c r="C119" s="55" t="s">
        <v>174</v>
      </c>
      <c r="D119" s="58" t="s">
        <v>43</v>
      </c>
      <c r="E119" s="37">
        <v>2E-3</v>
      </c>
      <c r="F119" s="37">
        <v>2.5999999999999999E-3</v>
      </c>
      <c r="G119" s="14">
        <v>15.309699999999999</v>
      </c>
      <c r="H119" s="38">
        <v>0.95</v>
      </c>
      <c r="I119" s="14">
        <f t="shared" si="53"/>
        <v>4.19002315789474E-2</v>
      </c>
      <c r="J119" s="13" t="s">
        <v>44</v>
      </c>
      <c r="K119" s="14">
        <v>65.454545454545496</v>
      </c>
      <c r="L119" s="41">
        <v>55</v>
      </c>
      <c r="M119" s="58">
        <v>6</v>
      </c>
      <c r="N119" s="13">
        <v>27.15</v>
      </c>
      <c r="O119" s="13">
        <v>0.76</v>
      </c>
      <c r="P119" s="13">
        <v>22.5</v>
      </c>
      <c r="Q119" s="14">
        <f t="shared" si="54"/>
        <v>5.7291666666666602E-2</v>
      </c>
      <c r="R119" s="14">
        <v>0</v>
      </c>
      <c r="S119" s="21">
        <v>8.4124000000000004E-2</v>
      </c>
      <c r="T119" s="21">
        <v>0.2</v>
      </c>
      <c r="U119" s="13">
        <v>0</v>
      </c>
      <c r="V119" s="14">
        <f t="shared" si="55"/>
        <v>0.43071648549399799</v>
      </c>
      <c r="W119" s="13">
        <v>0.2</v>
      </c>
      <c r="X119" s="42">
        <f t="shared" si="56"/>
        <v>0.23071648549399801</v>
      </c>
      <c r="Y119" s="44">
        <f t="shared" si="57"/>
        <v>0.46434257042800597</v>
      </c>
      <c r="Z119" s="45">
        <f t="shared" si="58"/>
        <v>0.133014798820522</v>
      </c>
      <c r="AA119" s="15">
        <f t="shared" si="59"/>
        <v>2.6270138888888898E-2</v>
      </c>
      <c r="AB119" s="45">
        <f t="shared" si="60"/>
        <v>6.09917190858369E-2</v>
      </c>
      <c r="AC119" s="46">
        <f t="shared" si="61"/>
        <v>0.195311771973428</v>
      </c>
      <c r="AD119" s="46">
        <f t="shared" si="62"/>
        <v>0</v>
      </c>
      <c r="AE119" s="46">
        <f t="shared" si="63"/>
        <v>0.90271969383551398</v>
      </c>
      <c r="AF119" s="47">
        <v>58200</v>
      </c>
      <c r="AG119" s="137">
        <f t="shared" si="47"/>
        <v>0.46901542314558298</v>
      </c>
      <c r="AH119" s="52">
        <f t="shared" si="64"/>
        <v>27296.697627072899</v>
      </c>
      <c r="AI119" s="53">
        <f t="shared" si="65"/>
        <v>25067.699455750699</v>
      </c>
      <c r="AJ119" s="53">
        <f t="shared" si="66"/>
        <v>11640</v>
      </c>
      <c r="AK119" s="45">
        <f t="shared" si="67"/>
        <v>8.89191357689946E-2</v>
      </c>
      <c r="AL119" s="45">
        <f t="shared" si="68"/>
        <v>1.34507711572792</v>
      </c>
    </row>
    <row r="120" spans="1:38" ht="27">
      <c r="A120" s="10">
        <v>116</v>
      </c>
      <c r="B120" s="54" t="s">
        <v>285</v>
      </c>
      <c r="C120" s="55" t="s">
        <v>286</v>
      </c>
      <c r="D120" s="58" t="s">
        <v>43</v>
      </c>
      <c r="E120" s="37">
        <v>6.9999999999999999E-4</v>
      </c>
      <c r="F120" s="37">
        <v>9.1E-4</v>
      </c>
      <c r="G120" s="14">
        <v>15.309699999999999</v>
      </c>
      <c r="H120" s="38">
        <v>0.95</v>
      </c>
      <c r="I120" s="14">
        <f t="shared" si="53"/>
        <v>1.46650810526316E-2</v>
      </c>
      <c r="J120" s="13" t="s">
        <v>44</v>
      </c>
      <c r="K120" s="14">
        <v>65.454545454545496</v>
      </c>
      <c r="L120" s="41">
        <v>55</v>
      </c>
      <c r="M120" s="58">
        <v>6</v>
      </c>
      <c r="N120" s="13">
        <v>27.15</v>
      </c>
      <c r="O120" s="13">
        <v>0.76</v>
      </c>
      <c r="P120" s="13">
        <v>22.5</v>
      </c>
      <c r="Q120" s="14">
        <f t="shared" si="54"/>
        <v>5.7291666666666602E-2</v>
      </c>
      <c r="R120" s="14">
        <v>0</v>
      </c>
      <c r="S120" s="21">
        <v>4.77055555555556E-3</v>
      </c>
      <c r="T120" s="21">
        <v>1.1111111111111099E-2</v>
      </c>
      <c r="U120" s="13">
        <v>0</v>
      </c>
      <c r="V120" s="14">
        <f t="shared" si="55"/>
        <v>0.130652028914127</v>
      </c>
      <c r="W120" s="13">
        <v>0.17</v>
      </c>
      <c r="X120" s="42">
        <f t="shared" si="56"/>
        <v>-3.9347971085872603E-2</v>
      </c>
      <c r="Y120" s="44">
        <f t="shared" si="57"/>
        <v>8.5043540490396904E-2</v>
      </c>
      <c r="Z120" s="45">
        <f t="shared" si="58"/>
        <v>0.438505755653609</v>
      </c>
      <c r="AA120" s="15">
        <f t="shared" si="59"/>
        <v>2.6270138888888898E-2</v>
      </c>
      <c r="AB120" s="45">
        <f t="shared" si="60"/>
        <v>0.20106950582570199</v>
      </c>
      <c r="AC120" s="46">
        <f t="shared" si="61"/>
        <v>3.6513444109551998E-2</v>
      </c>
      <c r="AD120" s="46">
        <f t="shared" si="62"/>
        <v>0</v>
      </c>
      <c r="AE120" s="46">
        <f t="shared" si="63"/>
        <v>0.88775466271350101</v>
      </c>
      <c r="AF120" s="47">
        <v>61250</v>
      </c>
      <c r="AG120" s="137">
        <f t="shared" si="47"/>
        <v>0.160637078510311</v>
      </c>
      <c r="AH120" s="52">
        <f t="shared" si="64"/>
        <v>9839.0210587565398</v>
      </c>
      <c r="AI120" s="53">
        <f t="shared" si="65"/>
        <v>8002.4367709902999</v>
      </c>
      <c r="AJ120" s="53">
        <f t="shared" si="66"/>
        <v>10412.5</v>
      </c>
      <c r="AK120" s="45">
        <f t="shared" si="67"/>
        <v>0.229503130149563</v>
      </c>
      <c r="AL120" s="45">
        <f t="shared" si="68"/>
        <v>-5.5076008762877701E-2</v>
      </c>
    </row>
    <row r="121" spans="1:38">
      <c r="A121" s="10">
        <v>117</v>
      </c>
      <c r="B121" s="54" t="s">
        <v>287</v>
      </c>
      <c r="C121" s="55" t="s">
        <v>176</v>
      </c>
      <c r="D121" s="58" t="s">
        <v>43</v>
      </c>
      <c r="E121" s="37">
        <v>2E-3</v>
      </c>
      <c r="F121" s="37">
        <v>2.5999999999999999E-3</v>
      </c>
      <c r="G121" s="14">
        <v>15.309699999999999</v>
      </c>
      <c r="H121" s="38">
        <v>0.95</v>
      </c>
      <c r="I121" s="14">
        <f t="shared" si="53"/>
        <v>4.19002315789474E-2</v>
      </c>
      <c r="J121" s="13" t="s">
        <v>44</v>
      </c>
      <c r="K121" s="14">
        <v>65.454545454545496</v>
      </c>
      <c r="L121" s="41">
        <v>55</v>
      </c>
      <c r="M121" s="58">
        <v>6</v>
      </c>
      <c r="N121" s="13">
        <v>27.15</v>
      </c>
      <c r="O121" s="13">
        <v>0.76</v>
      </c>
      <c r="P121" s="13">
        <v>22.5</v>
      </c>
      <c r="Q121" s="14">
        <f t="shared" si="54"/>
        <v>5.7291666666666602E-2</v>
      </c>
      <c r="R121" s="14">
        <v>0</v>
      </c>
      <c r="S121" s="21">
        <v>4.77055555555556E-3</v>
      </c>
      <c r="T121" s="21">
        <v>1.1111111111111099E-2</v>
      </c>
      <c r="U121" s="13">
        <v>0</v>
      </c>
      <c r="V121" s="14">
        <f t="shared" si="55"/>
        <v>0.16247415216066499</v>
      </c>
      <c r="W121" s="13">
        <v>0.2</v>
      </c>
      <c r="X121" s="42">
        <f t="shared" si="56"/>
        <v>-3.75258478393352E-2</v>
      </c>
      <c r="Y121" s="44">
        <f t="shared" si="57"/>
        <v>6.8386946251756495E-2</v>
      </c>
      <c r="Z121" s="45">
        <f t="shared" si="58"/>
        <v>0.35262019161062003</v>
      </c>
      <c r="AA121" s="15">
        <f t="shared" si="59"/>
        <v>2.6270138888888898E-2</v>
      </c>
      <c r="AB121" s="45">
        <f t="shared" si="60"/>
        <v>0.16168811185985599</v>
      </c>
      <c r="AC121" s="46">
        <f t="shared" si="61"/>
        <v>2.9361935373191698E-2</v>
      </c>
      <c r="AD121" s="46">
        <f t="shared" si="62"/>
        <v>0</v>
      </c>
      <c r="AE121" s="46">
        <f t="shared" si="63"/>
        <v>0.74211140035669299</v>
      </c>
      <c r="AF121" s="47">
        <v>61280</v>
      </c>
      <c r="AG121" s="137">
        <f t="shared" si="47"/>
        <v>0.20077308981225001</v>
      </c>
      <c r="AH121" s="52">
        <f t="shared" si="64"/>
        <v>12303.3749436947</v>
      </c>
      <c r="AI121" s="53">
        <f t="shared" si="65"/>
        <v>9956.4160444055397</v>
      </c>
      <c r="AJ121" s="53">
        <f t="shared" si="66"/>
        <v>12256</v>
      </c>
      <c r="AK121" s="45">
        <f t="shared" si="67"/>
        <v>0.23572326516104899</v>
      </c>
      <c r="AL121" s="45">
        <f t="shared" si="68"/>
        <v>3.86544906124942E-3</v>
      </c>
    </row>
    <row r="122" spans="1:38" ht="40.5">
      <c r="A122" s="10">
        <v>118</v>
      </c>
      <c r="B122" s="11" t="s">
        <v>288</v>
      </c>
      <c r="C122" s="12" t="s">
        <v>289</v>
      </c>
      <c r="D122" s="13" t="s">
        <v>43</v>
      </c>
      <c r="E122" s="37">
        <v>4.0000000000000001E-3</v>
      </c>
      <c r="F122" s="37">
        <v>4.1999999999999997E-3</v>
      </c>
      <c r="G122" s="14">
        <v>15.309699999999999</v>
      </c>
      <c r="H122" s="38">
        <v>0.95</v>
      </c>
      <c r="I122" s="14">
        <f t="shared" si="53"/>
        <v>6.7684989473684204E-2</v>
      </c>
      <c r="J122" s="13" t="s">
        <v>47</v>
      </c>
      <c r="K122" s="14">
        <v>65.454545454545496</v>
      </c>
      <c r="L122" s="41">
        <v>55</v>
      </c>
      <c r="M122" s="13">
        <v>2</v>
      </c>
      <c r="N122" s="13">
        <v>21.2</v>
      </c>
      <c r="O122" s="13">
        <v>0.76</v>
      </c>
      <c r="P122" s="13">
        <v>22.5</v>
      </c>
      <c r="Q122" s="14">
        <f t="shared" si="54"/>
        <v>0.171875</v>
      </c>
      <c r="R122" s="14">
        <v>0</v>
      </c>
      <c r="S122" s="21">
        <v>2.9348333333333299E-2</v>
      </c>
      <c r="T122" s="21">
        <v>6.6666666666666693E-2</v>
      </c>
      <c r="U122" s="13">
        <v>0</v>
      </c>
      <c r="V122" s="14">
        <f t="shared" si="55"/>
        <v>0.44782526840258502</v>
      </c>
      <c r="W122" s="13">
        <v>0.34</v>
      </c>
      <c r="X122" s="42">
        <f t="shared" si="56"/>
        <v>0.107825268402585</v>
      </c>
      <c r="Y122" s="44">
        <f t="shared" si="57"/>
        <v>0.14886758602181999</v>
      </c>
      <c r="Z122" s="45">
        <f t="shared" si="58"/>
        <v>0.38379924521250502</v>
      </c>
      <c r="AA122" s="15">
        <f t="shared" si="59"/>
        <v>6.1538888888888803E-2</v>
      </c>
      <c r="AB122" s="45">
        <f t="shared" si="60"/>
        <v>0.13741718753030899</v>
      </c>
      <c r="AC122" s="46">
        <f t="shared" si="61"/>
        <v>6.5535233056455797E-2</v>
      </c>
      <c r="AD122" s="46">
        <f t="shared" si="62"/>
        <v>0</v>
      </c>
      <c r="AE122" s="46">
        <f t="shared" si="63"/>
        <v>0.84885848510710504</v>
      </c>
      <c r="AF122" s="47">
        <v>0</v>
      </c>
      <c r="AG122" s="137">
        <f t="shared" si="47"/>
        <v>0.53973966285010699</v>
      </c>
      <c r="AH122" s="52">
        <f t="shared" si="64"/>
        <v>0</v>
      </c>
      <c r="AI122" s="53">
        <f t="shared" si="65"/>
        <v>0</v>
      </c>
      <c r="AJ122" s="53">
        <f t="shared" si="66"/>
        <v>0</v>
      </c>
      <c r="AK122" s="45">
        <f t="shared" si="67"/>
        <v>0.20524611033090101</v>
      </c>
      <c r="AL122" s="45">
        <f t="shared" si="68"/>
        <v>0.58746959661796305</v>
      </c>
    </row>
    <row r="123" spans="1:38">
      <c r="A123" s="10">
        <v>119</v>
      </c>
      <c r="B123" s="11" t="s">
        <v>290</v>
      </c>
      <c r="C123" s="12" t="s">
        <v>291</v>
      </c>
      <c r="D123" s="13" t="s">
        <v>86</v>
      </c>
      <c r="E123" s="37">
        <v>5.1999999999999998E-2</v>
      </c>
      <c r="F123" s="37">
        <v>5.4600000000000003E-2</v>
      </c>
      <c r="G123" s="14">
        <v>13.716799999999999</v>
      </c>
      <c r="H123" s="38">
        <v>0.95</v>
      </c>
      <c r="I123" s="14">
        <f t="shared" si="53"/>
        <v>0.78835503157894704</v>
      </c>
      <c r="J123" s="13" t="s">
        <v>65</v>
      </c>
      <c r="K123" s="14">
        <v>48</v>
      </c>
      <c r="L123" s="41">
        <v>75</v>
      </c>
      <c r="M123" s="13">
        <v>2</v>
      </c>
      <c r="N123" s="13">
        <v>48.5</v>
      </c>
      <c r="O123" s="13">
        <v>0.76</v>
      </c>
      <c r="P123" s="13">
        <v>22.5</v>
      </c>
      <c r="Q123" s="14">
        <f t="shared" si="54"/>
        <v>0.234375</v>
      </c>
      <c r="R123" s="14">
        <v>0</v>
      </c>
      <c r="S123" s="21">
        <v>0.10657111111111101</v>
      </c>
      <c r="T123" s="21">
        <v>0.22222222222222199</v>
      </c>
      <c r="U123" s="13">
        <v>0</v>
      </c>
      <c r="V123" s="14">
        <f t="shared" si="55"/>
        <v>1.74808513338873</v>
      </c>
      <c r="W123" s="13">
        <v>2.56</v>
      </c>
      <c r="X123" s="42">
        <f t="shared" si="56"/>
        <v>-0.811914866611266</v>
      </c>
      <c r="Y123" s="44">
        <f t="shared" si="57"/>
        <v>0.127123226425154</v>
      </c>
      <c r="Z123" s="45">
        <f t="shared" si="58"/>
        <v>0.13407527787028001</v>
      </c>
      <c r="AA123" s="15">
        <f t="shared" si="59"/>
        <v>0.19197916666666701</v>
      </c>
      <c r="AB123" s="45">
        <f t="shared" si="60"/>
        <v>0.109822549828856</v>
      </c>
      <c r="AC123" s="46">
        <f t="shared" si="61"/>
        <v>6.0964485696711201E-2</v>
      </c>
      <c r="AD123" s="46">
        <f t="shared" si="62"/>
        <v>0</v>
      </c>
      <c r="AE123" s="46">
        <f t="shared" si="63"/>
        <v>0.549017941677309</v>
      </c>
      <c r="AF123" s="47"/>
      <c r="AG123" s="137">
        <f t="shared" si="47"/>
        <v>2.11889109916897</v>
      </c>
      <c r="AH123" s="52">
        <f t="shared" si="64"/>
        <v>0</v>
      </c>
      <c r="AI123" s="53">
        <f t="shared" si="65"/>
        <v>0</v>
      </c>
      <c r="AJ123" s="53">
        <f t="shared" si="66"/>
        <v>0</v>
      </c>
      <c r="AK123" s="45">
        <f t="shared" si="67"/>
        <v>0.21212122836455699</v>
      </c>
      <c r="AL123" s="45">
        <f t="shared" si="68"/>
        <v>-0.17230816438711999</v>
      </c>
    </row>
    <row r="124" spans="1:38" ht="27">
      <c r="A124" s="10">
        <v>120</v>
      </c>
      <c r="B124" s="11" t="s">
        <v>292</v>
      </c>
      <c r="C124" s="12" t="s">
        <v>293</v>
      </c>
      <c r="D124" s="13" t="s">
        <v>86</v>
      </c>
      <c r="E124" s="37">
        <v>3.7999999999999999E-2</v>
      </c>
      <c r="F124" s="37">
        <v>3.9899999999999998E-2</v>
      </c>
      <c r="G124" s="14">
        <v>13.716799999999999</v>
      </c>
      <c r="H124" s="38">
        <v>0.95</v>
      </c>
      <c r="I124" s="14">
        <f t="shared" si="53"/>
        <v>0.5761056</v>
      </c>
      <c r="J124" s="13" t="s">
        <v>65</v>
      </c>
      <c r="K124" s="14">
        <v>51.428571428571502</v>
      </c>
      <c r="L124" s="41">
        <v>69.999999999999901</v>
      </c>
      <c r="M124" s="13">
        <v>2</v>
      </c>
      <c r="N124" s="13">
        <v>48.5</v>
      </c>
      <c r="O124" s="13">
        <v>0.76</v>
      </c>
      <c r="P124" s="13">
        <v>22.5</v>
      </c>
      <c r="Q124" s="14">
        <f t="shared" si="54"/>
        <v>0.21875</v>
      </c>
      <c r="R124" s="14">
        <v>0</v>
      </c>
      <c r="S124" s="21">
        <v>8.4124000000000004E-2</v>
      </c>
      <c r="T124" s="21">
        <v>0.2</v>
      </c>
      <c r="U124" s="13">
        <v>0</v>
      </c>
      <c r="V124" s="14">
        <f t="shared" si="55"/>
        <v>1.4222083501754399</v>
      </c>
      <c r="W124" s="13">
        <v>2.25</v>
      </c>
      <c r="X124" s="42">
        <f t="shared" si="56"/>
        <v>-0.82779164982456199</v>
      </c>
      <c r="Y124" s="44">
        <f t="shared" si="57"/>
        <v>0.140626371639098</v>
      </c>
      <c r="Z124" s="45">
        <f t="shared" si="58"/>
        <v>0.15381009398026399</v>
      </c>
      <c r="AA124" s="15">
        <f t="shared" si="59"/>
        <v>0.17918055555555501</v>
      </c>
      <c r="AB124" s="45">
        <f t="shared" si="60"/>
        <v>0.125987556980278</v>
      </c>
      <c r="AC124" s="46">
        <f t="shared" si="61"/>
        <v>5.9150264438837502E-2</v>
      </c>
      <c r="AD124" s="46">
        <f t="shared" si="62"/>
        <v>0</v>
      </c>
      <c r="AE124" s="46">
        <f t="shared" si="63"/>
        <v>0.59492179895517106</v>
      </c>
      <c r="AF124" s="47"/>
      <c r="AG124" s="137">
        <f t="shared" si="47"/>
        <v>1.71954570292398</v>
      </c>
      <c r="AH124" s="52">
        <f t="shared" si="64"/>
        <v>0</v>
      </c>
      <c r="AI124" s="53">
        <f t="shared" si="65"/>
        <v>0</v>
      </c>
      <c r="AJ124" s="53">
        <f t="shared" si="66"/>
        <v>0</v>
      </c>
      <c r="AK124" s="45">
        <f t="shared" si="67"/>
        <v>0.20906736534900799</v>
      </c>
      <c r="AL124" s="45">
        <f t="shared" si="68"/>
        <v>-0.235757465367122</v>
      </c>
    </row>
    <row r="125" spans="1:38" ht="40.5">
      <c r="A125" s="10">
        <v>121</v>
      </c>
      <c r="B125" s="11" t="s">
        <v>294</v>
      </c>
      <c r="C125" s="12" t="s">
        <v>295</v>
      </c>
      <c r="D125" s="13" t="s">
        <v>86</v>
      </c>
      <c r="E125" s="37">
        <v>6.0000000000000001E-3</v>
      </c>
      <c r="F125" s="37">
        <v>6.3E-3</v>
      </c>
      <c r="G125" s="14">
        <v>13.716799999999999</v>
      </c>
      <c r="H125" s="38">
        <v>0.8</v>
      </c>
      <c r="I125" s="14">
        <f t="shared" si="53"/>
        <v>0.1080198</v>
      </c>
      <c r="J125" s="13" t="s">
        <v>120</v>
      </c>
      <c r="K125" s="14">
        <v>48</v>
      </c>
      <c r="L125" s="41">
        <v>75</v>
      </c>
      <c r="M125" s="13">
        <v>2</v>
      </c>
      <c r="N125" s="13">
        <v>39.75</v>
      </c>
      <c r="O125" s="13">
        <v>0.76</v>
      </c>
      <c r="P125" s="13">
        <v>22.5</v>
      </c>
      <c r="Q125" s="14">
        <f t="shared" si="54"/>
        <v>0.234375</v>
      </c>
      <c r="R125" s="14">
        <v>0</v>
      </c>
      <c r="S125" s="21">
        <v>4.77055555555556E-3</v>
      </c>
      <c r="T125" s="21">
        <v>1.1111111111111099E-2</v>
      </c>
      <c r="U125" s="13">
        <v>0</v>
      </c>
      <c r="V125" s="14">
        <f t="shared" si="55"/>
        <v>0.70926890479166704</v>
      </c>
      <c r="W125" s="13">
        <v>0.59</v>
      </c>
      <c r="X125" s="42">
        <f t="shared" si="56"/>
        <v>0.119268904791667</v>
      </c>
      <c r="Y125" s="44">
        <f t="shared" si="57"/>
        <v>1.56655833014063E-2</v>
      </c>
      <c r="Z125" s="45">
        <f t="shared" si="58"/>
        <v>0.33044589776403999</v>
      </c>
      <c r="AA125" s="15">
        <f t="shared" si="59"/>
        <v>0.15734375</v>
      </c>
      <c r="AB125" s="45">
        <f t="shared" si="60"/>
        <v>0.22183934603225899</v>
      </c>
      <c r="AC125" s="46">
        <f t="shared" si="61"/>
        <v>6.7260181904588304E-3</v>
      </c>
      <c r="AD125" s="46">
        <f t="shared" si="62"/>
        <v>0</v>
      </c>
      <c r="AE125" s="46">
        <f t="shared" si="63"/>
        <v>0.847702614240887</v>
      </c>
      <c r="AF125" s="47">
        <v>135954</v>
      </c>
      <c r="AG125" s="137">
        <f t="shared" si="47"/>
        <v>0.89042412916666702</v>
      </c>
      <c r="AH125" s="52">
        <f t="shared" si="64"/>
        <v>121056.722056725</v>
      </c>
      <c r="AI125" s="53">
        <f t="shared" si="65"/>
        <v>96427.944682046305</v>
      </c>
      <c r="AJ125" s="53">
        <f t="shared" si="66"/>
        <v>80212.86</v>
      </c>
      <c r="AK125" s="45">
        <f t="shared" si="67"/>
        <v>0.25541120321383698</v>
      </c>
      <c r="AL125" s="45">
        <f t="shared" si="68"/>
        <v>0.50919343926553695</v>
      </c>
    </row>
    <row r="126" spans="1:38" ht="40.5">
      <c r="A126" s="10">
        <v>122</v>
      </c>
      <c r="B126" s="11" t="s">
        <v>296</v>
      </c>
      <c r="C126" s="12" t="s">
        <v>297</v>
      </c>
      <c r="D126" s="13" t="s">
        <v>86</v>
      </c>
      <c r="E126" s="37">
        <v>2E-3</v>
      </c>
      <c r="F126" s="37">
        <v>2.0999999999999999E-3</v>
      </c>
      <c r="G126" s="14">
        <v>13.716799999999999</v>
      </c>
      <c r="H126" s="38">
        <v>0.8</v>
      </c>
      <c r="I126" s="14">
        <f t="shared" si="53"/>
        <v>3.60066E-2</v>
      </c>
      <c r="J126" s="13" t="s">
        <v>120</v>
      </c>
      <c r="K126" s="14">
        <v>48</v>
      </c>
      <c r="L126" s="41">
        <v>75</v>
      </c>
      <c r="M126" s="13">
        <v>2</v>
      </c>
      <c r="N126" s="13">
        <v>39.75</v>
      </c>
      <c r="O126" s="13">
        <v>0.76</v>
      </c>
      <c r="P126" s="13">
        <v>22.5</v>
      </c>
      <c r="Q126" s="14">
        <f t="shared" si="54"/>
        <v>0.234375</v>
      </c>
      <c r="R126" s="14">
        <v>0</v>
      </c>
      <c r="S126" s="21">
        <v>0.10657111111111101</v>
      </c>
      <c r="T126" s="21">
        <v>0.22222222222222199</v>
      </c>
      <c r="U126" s="13">
        <v>0</v>
      </c>
      <c r="V126" s="14">
        <f t="shared" si="55"/>
        <v>0.92226225645833304</v>
      </c>
      <c r="W126" s="13">
        <v>1.27</v>
      </c>
      <c r="X126" s="42">
        <f t="shared" si="56"/>
        <v>-0.34773774354166698</v>
      </c>
      <c r="Y126" s="44">
        <f t="shared" si="57"/>
        <v>0.240953395486007</v>
      </c>
      <c r="Z126" s="45">
        <f t="shared" si="58"/>
        <v>0.254130534301648</v>
      </c>
      <c r="AA126" s="15">
        <f t="shared" si="59"/>
        <v>0.15734375</v>
      </c>
      <c r="AB126" s="45">
        <f t="shared" si="60"/>
        <v>0.170606298694507</v>
      </c>
      <c r="AC126" s="46">
        <f t="shared" si="61"/>
        <v>0.115554019873224</v>
      </c>
      <c r="AD126" s="46">
        <f t="shared" si="62"/>
        <v>0</v>
      </c>
      <c r="AE126" s="46">
        <f t="shared" si="63"/>
        <v>0.96095839361542101</v>
      </c>
      <c r="AF126" s="47">
        <v>68706</v>
      </c>
      <c r="AG126" s="137">
        <f t="shared" si="47"/>
        <v>1.0773126958333299</v>
      </c>
      <c r="AH126" s="52">
        <f t="shared" si="64"/>
        <v>74017.846079925002</v>
      </c>
      <c r="AI126" s="53">
        <f t="shared" si="65"/>
        <v>63364.950592226203</v>
      </c>
      <c r="AJ126" s="53">
        <f t="shared" si="66"/>
        <v>87256.62</v>
      </c>
      <c r="AK126" s="45">
        <f t="shared" si="67"/>
        <v>0.16811968427551599</v>
      </c>
      <c r="AL126" s="45">
        <f t="shared" si="68"/>
        <v>-0.151722286745407</v>
      </c>
    </row>
    <row r="127" spans="1:38" ht="40.5">
      <c r="A127" s="10">
        <v>123</v>
      </c>
      <c r="B127" s="11" t="s">
        <v>298</v>
      </c>
      <c r="C127" s="12" t="s">
        <v>299</v>
      </c>
      <c r="D127" s="13" t="s">
        <v>86</v>
      </c>
      <c r="E127" s="37">
        <v>8.5000000000000006E-2</v>
      </c>
      <c r="F127" s="37">
        <v>8.9249999999999996E-2</v>
      </c>
      <c r="G127" s="14">
        <v>13.716799999999999</v>
      </c>
      <c r="H127" s="38">
        <v>0.95</v>
      </c>
      <c r="I127" s="14">
        <f t="shared" si="53"/>
        <v>1.2886572631578901</v>
      </c>
      <c r="J127" s="13" t="s">
        <v>120</v>
      </c>
      <c r="K127" s="14">
        <v>48</v>
      </c>
      <c r="L127" s="41">
        <v>75</v>
      </c>
      <c r="M127" s="13">
        <v>2</v>
      </c>
      <c r="N127" s="13">
        <v>39.75</v>
      </c>
      <c r="O127" s="13">
        <v>0.76</v>
      </c>
      <c r="P127" s="13">
        <v>22.5</v>
      </c>
      <c r="Q127" s="14">
        <f t="shared" si="54"/>
        <v>0.234375</v>
      </c>
      <c r="R127" s="14">
        <v>0</v>
      </c>
      <c r="S127" s="21">
        <v>0.10657111111111101</v>
      </c>
      <c r="T127" s="21">
        <v>0.22222222222222199</v>
      </c>
      <c r="U127" s="13">
        <v>0</v>
      </c>
      <c r="V127" s="14">
        <f t="shared" si="55"/>
        <v>2.2921800434441302</v>
      </c>
      <c r="W127" s="13">
        <v>2.98</v>
      </c>
      <c r="X127" s="42">
        <f t="shared" si="56"/>
        <v>-0.68781995655586803</v>
      </c>
      <c r="Y127" s="44">
        <f t="shared" si="57"/>
        <v>9.6947978784563696E-2</v>
      </c>
      <c r="Z127" s="45">
        <f t="shared" si="58"/>
        <v>0.102249821374345</v>
      </c>
      <c r="AA127" s="15">
        <f t="shared" si="59"/>
        <v>0.15734375</v>
      </c>
      <c r="AB127" s="45">
        <f t="shared" si="60"/>
        <v>6.8643713415976707E-2</v>
      </c>
      <c r="AC127" s="46">
        <f t="shared" si="61"/>
        <v>4.6493342185713202E-2</v>
      </c>
      <c r="AD127" s="46">
        <f t="shared" si="62"/>
        <v>0</v>
      </c>
      <c r="AE127" s="46">
        <f t="shared" si="63"/>
        <v>0.43780277345857699</v>
      </c>
      <c r="AF127" s="47">
        <v>912</v>
      </c>
      <c r="AG127" s="137">
        <f t="shared" si="47"/>
        <v>2.8051369316712802</v>
      </c>
      <c r="AH127" s="52">
        <f t="shared" si="64"/>
        <v>2558.2848816842002</v>
      </c>
      <c r="AI127" s="53">
        <f t="shared" si="65"/>
        <v>2090.4681996210502</v>
      </c>
      <c r="AJ127" s="53">
        <f t="shared" si="66"/>
        <v>2717.76</v>
      </c>
      <c r="AK127" s="45">
        <f t="shared" si="67"/>
        <v>0.223785600827585</v>
      </c>
      <c r="AL127" s="45">
        <f t="shared" si="68"/>
        <v>-5.8678881989504501E-2</v>
      </c>
    </row>
    <row r="128" spans="1:38" ht="14.25">
      <c r="A128" s="10">
        <v>124</v>
      </c>
      <c r="B128" s="56" t="s">
        <v>300</v>
      </c>
      <c r="C128" s="57" t="s">
        <v>301</v>
      </c>
      <c r="D128" s="13" t="s">
        <v>43</v>
      </c>
      <c r="E128" s="37">
        <v>0</v>
      </c>
      <c r="F128" s="37">
        <v>1.5900000000000001E-3</v>
      </c>
      <c r="G128" s="14">
        <v>15.309699999999999</v>
      </c>
      <c r="H128" s="38">
        <v>0.98</v>
      </c>
      <c r="I128" s="14">
        <f t="shared" si="53"/>
        <v>2.48392071428571E-2</v>
      </c>
      <c r="J128" s="13" t="s">
        <v>44</v>
      </c>
      <c r="K128" s="14">
        <v>65</v>
      </c>
      <c r="L128" s="41">
        <v>55.384615384615401</v>
      </c>
      <c r="M128" s="13">
        <v>4</v>
      </c>
      <c r="N128" s="13">
        <v>27.15</v>
      </c>
      <c r="O128" s="13">
        <v>0.76</v>
      </c>
      <c r="P128" s="13">
        <v>22.5</v>
      </c>
      <c r="Q128" s="14">
        <f t="shared" si="54"/>
        <v>8.6538461538461495E-2</v>
      </c>
      <c r="R128" s="14">
        <v>0</v>
      </c>
      <c r="S128" s="21">
        <v>4.77055555555556E-3</v>
      </c>
      <c r="T128" s="21">
        <v>1.1111111111111099E-2</v>
      </c>
      <c r="U128" s="13">
        <v>0</v>
      </c>
      <c r="V128" s="14">
        <f t="shared" si="55"/>
        <v>0.186978468791583</v>
      </c>
      <c r="W128" s="13">
        <v>0.35</v>
      </c>
      <c r="X128" s="42">
        <f t="shared" si="56"/>
        <v>-0.163021531208417</v>
      </c>
      <c r="Y128" s="44">
        <f t="shared" si="57"/>
        <v>5.9424548628089401E-2</v>
      </c>
      <c r="Z128" s="45">
        <f t="shared" si="58"/>
        <v>0.46282581143031198</v>
      </c>
      <c r="AA128" s="15">
        <f t="shared" si="59"/>
        <v>3.96807692307692E-2</v>
      </c>
      <c r="AB128" s="45">
        <f t="shared" si="60"/>
        <v>0.21222106206784599</v>
      </c>
      <c r="AC128" s="46">
        <f t="shared" si="61"/>
        <v>2.55139299534703E-2</v>
      </c>
      <c r="AD128" s="46">
        <f t="shared" si="62"/>
        <v>0</v>
      </c>
      <c r="AE128" s="46">
        <f t="shared" si="63"/>
        <v>0.86715471945304901</v>
      </c>
      <c r="AF128" s="47">
        <v>71365</v>
      </c>
      <c r="AG128" s="137">
        <f t="shared" si="47"/>
        <v>0.23167943511250599</v>
      </c>
      <c r="AH128" s="52">
        <f t="shared" si="64"/>
        <v>16533.802886803998</v>
      </c>
      <c r="AI128" s="53">
        <f t="shared" si="65"/>
        <v>13343.718425311299</v>
      </c>
      <c r="AJ128" s="53">
        <f t="shared" si="66"/>
        <v>24977.75</v>
      </c>
      <c r="AK128" s="45">
        <f t="shared" si="67"/>
        <v>0.23907012721743001</v>
      </c>
      <c r="AL128" s="45">
        <f t="shared" si="68"/>
        <v>-0.33805875682141001</v>
      </c>
    </row>
    <row r="129" spans="1:38" ht="14.25">
      <c r="A129" s="10">
        <v>125</v>
      </c>
      <c r="B129" s="56" t="s">
        <v>302</v>
      </c>
      <c r="C129" s="57" t="s">
        <v>303</v>
      </c>
      <c r="D129" s="13" t="s">
        <v>43</v>
      </c>
      <c r="E129" s="37">
        <v>0</v>
      </c>
      <c r="F129" s="37">
        <v>3.7000000000000002E-3</v>
      </c>
      <c r="G129" s="14">
        <v>15.309699999999999</v>
      </c>
      <c r="H129" s="38">
        <v>0.98</v>
      </c>
      <c r="I129" s="14">
        <f t="shared" si="53"/>
        <v>5.7801928571428601E-2</v>
      </c>
      <c r="J129" s="13" t="s">
        <v>44</v>
      </c>
      <c r="K129" s="14">
        <v>65</v>
      </c>
      <c r="L129" s="41">
        <v>55.384615384615401</v>
      </c>
      <c r="M129" s="13">
        <v>4</v>
      </c>
      <c r="N129" s="13">
        <v>27.15</v>
      </c>
      <c r="O129" s="13">
        <v>0.76</v>
      </c>
      <c r="P129" s="13">
        <v>22.5</v>
      </c>
      <c r="Q129" s="14">
        <f t="shared" si="54"/>
        <v>8.6538461538461495E-2</v>
      </c>
      <c r="R129" s="14">
        <v>0</v>
      </c>
      <c r="S129" s="21">
        <v>4.77055555555556E-3</v>
      </c>
      <c r="T129" s="21">
        <v>1.1111111111111099E-2</v>
      </c>
      <c r="U129" s="13">
        <v>0</v>
      </c>
      <c r="V129" s="14">
        <f t="shared" si="55"/>
        <v>0.224313796123944</v>
      </c>
      <c r="W129" s="13">
        <v>0.4</v>
      </c>
      <c r="X129" s="42">
        <f t="shared" si="56"/>
        <v>-0.17568620387605599</v>
      </c>
      <c r="Y129" s="44">
        <f t="shared" si="57"/>
        <v>4.95337839361948E-2</v>
      </c>
      <c r="Z129" s="45">
        <f t="shared" si="58"/>
        <v>0.38579197104151802</v>
      </c>
      <c r="AA129" s="15">
        <f t="shared" si="59"/>
        <v>3.96807692307692E-2</v>
      </c>
      <c r="AB129" s="45">
        <f t="shared" si="60"/>
        <v>0.176898478454904</v>
      </c>
      <c r="AC129" s="46">
        <f t="shared" si="61"/>
        <v>2.1267330133005299E-2</v>
      </c>
      <c r="AD129" s="46">
        <f t="shared" si="62"/>
        <v>0</v>
      </c>
      <c r="AE129" s="46">
        <f t="shared" si="63"/>
        <v>0.74231665831427396</v>
      </c>
      <c r="AF129" s="47">
        <v>37700</v>
      </c>
      <c r="AG129" s="137">
        <f t="shared" si="47"/>
        <v>0.27876903715332302</v>
      </c>
      <c r="AH129" s="52">
        <f t="shared" si="64"/>
        <v>10509.592700680299</v>
      </c>
      <c r="AI129" s="53">
        <f t="shared" si="65"/>
        <v>8456.6301138726903</v>
      </c>
      <c r="AJ129" s="53">
        <f t="shared" si="66"/>
        <v>15080</v>
      </c>
      <c r="AK129" s="45">
        <f t="shared" si="67"/>
        <v>0.242763672900839</v>
      </c>
      <c r="AL129" s="45">
        <f t="shared" si="68"/>
        <v>-0.30307740711669301</v>
      </c>
    </row>
    <row r="130" spans="1:38" ht="14.25">
      <c r="A130" s="10">
        <v>126</v>
      </c>
      <c r="B130" s="56" t="s">
        <v>304</v>
      </c>
      <c r="C130" s="57" t="s">
        <v>305</v>
      </c>
      <c r="D130" s="13" t="s">
        <v>43</v>
      </c>
      <c r="E130" s="37">
        <v>0</v>
      </c>
      <c r="F130" s="37">
        <v>2.32E-3</v>
      </c>
      <c r="G130" s="14">
        <v>15.309699999999999</v>
      </c>
      <c r="H130" s="38">
        <v>0.98</v>
      </c>
      <c r="I130" s="14">
        <f t="shared" si="53"/>
        <v>3.6243371428571397E-2</v>
      </c>
      <c r="J130" s="13" t="s">
        <v>44</v>
      </c>
      <c r="K130" s="14">
        <v>65</v>
      </c>
      <c r="L130" s="41">
        <v>55.384615384615401</v>
      </c>
      <c r="M130" s="13">
        <v>8</v>
      </c>
      <c r="N130" s="13">
        <v>27.15</v>
      </c>
      <c r="O130" s="13">
        <v>0.76</v>
      </c>
      <c r="P130" s="13">
        <v>22.5</v>
      </c>
      <c r="Q130" s="14">
        <f t="shared" si="54"/>
        <v>4.3269230769230803E-2</v>
      </c>
      <c r="R130" s="14">
        <v>0</v>
      </c>
      <c r="S130" s="21">
        <v>4.77055555555556E-3</v>
      </c>
      <c r="T130" s="21">
        <v>1.1111111111111099E-2</v>
      </c>
      <c r="U130" s="13">
        <v>0</v>
      </c>
      <c r="V130" s="14">
        <f t="shared" si="55"/>
        <v>0.128414131322419</v>
      </c>
      <c r="W130" s="13">
        <v>0.17</v>
      </c>
      <c r="X130" s="42">
        <f t="shared" si="56"/>
        <v>-4.1585868677581003E-2</v>
      </c>
      <c r="Y130" s="44">
        <f t="shared" si="57"/>
        <v>8.65256105125502E-2</v>
      </c>
      <c r="Z130" s="45">
        <f t="shared" si="58"/>
        <v>0.336950694784451</v>
      </c>
      <c r="AA130" s="15">
        <f t="shared" si="59"/>
        <v>1.98403846153846E-2</v>
      </c>
      <c r="AB130" s="45">
        <f t="shared" si="60"/>
        <v>0.15450312524849699</v>
      </c>
      <c r="AC130" s="46">
        <f t="shared" si="61"/>
        <v>3.7149770873563498E-2</v>
      </c>
      <c r="AD130" s="46">
        <f t="shared" si="62"/>
        <v>0</v>
      </c>
      <c r="AE130" s="46">
        <f t="shared" si="63"/>
        <v>0.71776181440987696</v>
      </c>
      <c r="AF130" s="47">
        <v>34230</v>
      </c>
      <c r="AG130" s="137">
        <f t="shared" si="47"/>
        <v>0.15781450497121899</v>
      </c>
      <c r="AH130" s="52">
        <f t="shared" si="64"/>
        <v>5401.9905051648302</v>
      </c>
      <c r="AI130" s="53">
        <f t="shared" si="65"/>
        <v>4395.6157151664002</v>
      </c>
      <c r="AJ130" s="53">
        <f t="shared" si="66"/>
        <v>5819.1</v>
      </c>
      <c r="AK130" s="45">
        <f t="shared" si="67"/>
        <v>0.22894967513335801</v>
      </c>
      <c r="AL130" s="45">
        <f t="shared" si="68"/>
        <v>-7.1679382522240195E-2</v>
      </c>
    </row>
    <row r="131" spans="1:38" ht="14.25">
      <c r="A131" s="10">
        <v>127</v>
      </c>
      <c r="B131" s="56" t="s">
        <v>306</v>
      </c>
      <c r="C131" s="57" t="s">
        <v>307</v>
      </c>
      <c r="D131" s="13" t="s">
        <v>59</v>
      </c>
      <c r="E131" s="37">
        <v>0</v>
      </c>
      <c r="F131" s="37">
        <v>3.3E-3</v>
      </c>
      <c r="G131" s="14">
        <v>18.584099999999999</v>
      </c>
      <c r="H131" s="38">
        <v>0.98</v>
      </c>
      <c r="I131" s="14">
        <f t="shared" si="53"/>
        <v>6.2579112244897997E-2</v>
      </c>
      <c r="J131" s="13" t="s">
        <v>44</v>
      </c>
      <c r="K131" s="14">
        <v>65</v>
      </c>
      <c r="L131" s="41">
        <v>55.384615384615401</v>
      </c>
      <c r="M131" s="13">
        <v>3</v>
      </c>
      <c r="N131" s="13">
        <v>27.15</v>
      </c>
      <c r="O131" s="13">
        <v>0.76</v>
      </c>
      <c r="P131" s="13">
        <v>22.5</v>
      </c>
      <c r="Q131" s="14">
        <f t="shared" si="54"/>
        <v>0.115384615384615</v>
      </c>
      <c r="R131" s="14">
        <v>0</v>
      </c>
      <c r="S131" s="21">
        <v>4.77055555555556E-3</v>
      </c>
      <c r="T131" s="21">
        <v>1.1111111111111099E-2</v>
      </c>
      <c r="U131" s="13">
        <v>0.2</v>
      </c>
      <c r="V131" s="14">
        <f t="shared" si="55"/>
        <v>0.47737888720778698</v>
      </c>
      <c r="W131" s="13">
        <v>0.39</v>
      </c>
      <c r="X131" s="42">
        <f t="shared" si="56"/>
        <v>8.7378887207787401E-2</v>
      </c>
      <c r="Y131" s="44">
        <f t="shared" si="57"/>
        <v>2.32752461595035E-2</v>
      </c>
      <c r="Z131" s="45">
        <f t="shared" si="58"/>
        <v>0.24170447934868999</v>
      </c>
      <c r="AA131" s="15">
        <f t="shared" si="59"/>
        <v>5.2907692307692301E-2</v>
      </c>
      <c r="AB131" s="45">
        <f t="shared" si="60"/>
        <v>0.11082956059735299</v>
      </c>
      <c r="AC131" s="46">
        <f t="shared" si="61"/>
        <v>9.9932269385828408E-3</v>
      </c>
      <c r="AD131" s="46">
        <f t="shared" si="62"/>
        <v>0.41895443087106299</v>
      </c>
      <c r="AE131" s="46">
        <f t="shared" si="63"/>
        <v>0.86891101822511196</v>
      </c>
      <c r="AF131" s="47">
        <v>22678</v>
      </c>
      <c r="AG131" s="137">
        <f t="shared" si="47"/>
        <v>0.54569798086267496</v>
      </c>
      <c r="AH131" s="52">
        <f t="shared" si="64"/>
        <v>12375.338810003699</v>
      </c>
      <c r="AI131" s="53">
        <f t="shared" si="65"/>
        <v>10825.9984040982</v>
      </c>
      <c r="AJ131" s="53">
        <f t="shared" si="66"/>
        <v>8844.42</v>
      </c>
      <c r="AK131" s="45">
        <f t="shared" si="67"/>
        <v>0.14311293499905101</v>
      </c>
      <c r="AL131" s="45">
        <f t="shared" si="68"/>
        <v>0.399225591955576</v>
      </c>
    </row>
    <row r="132" spans="1:38" ht="14.25">
      <c r="A132" s="10">
        <v>128</v>
      </c>
      <c r="B132" s="56" t="s">
        <v>308</v>
      </c>
      <c r="C132" s="57" t="s">
        <v>309</v>
      </c>
      <c r="D132" s="13" t="s">
        <v>59</v>
      </c>
      <c r="E132" s="37">
        <v>0</v>
      </c>
      <c r="F132" s="37">
        <v>3.3E-3</v>
      </c>
      <c r="G132" s="14">
        <v>18.584099999999999</v>
      </c>
      <c r="H132" s="38">
        <v>0.98</v>
      </c>
      <c r="I132" s="14">
        <f t="shared" si="53"/>
        <v>6.2579112244897997E-2</v>
      </c>
      <c r="J132" s="13" t="s">
        <v>44</v>
      </c>
      <c r="K132" s="14">
        <v>65</v>
      </c>
      <c r="L132" s="41">
        <v>55.384615384615401</v>
      </c>
      <c r="M132" s="13">
        <v>3</v>
      </c>
      <c r="N132" s="13">
        <v>27.15</v>
      </c>
      <c r="O132" s="13">
        <v>0.76</v>
      </c>
      <c r="P132" s="13">
        <v>22.5</v>
      </c>
      <c r="Q132" s="14">
        <f t="shared" si="54"/>
        <v>0.115384615384615</v>
      </c>
      <c r="R132" s="14">
        <v>0</v>
      </c>
      <c r="S132" s="21">
        <v>4.77055555555556E-3</v>
      </c>
      <c r="T132" s="21">
        <v>1.1111111111111099E-2</v>
      </c>
      <c r="U132" s="13">
        <v>0.2</v>
      </c>
      <c r="V132" s="14">
        <f t="shared" si="55"/>
        <v>0.47737888720778698</v>
      </c>
      <c r="W132" s="13">
        <v>0.39</v>
      </c>
      <c r="X132" s="42">
        <f t="shared" si="56"/>
        <v>8.7378887207787401E-2</v>
      </c>
      <c r="Y132" s="44">
        <f t="shared" si="57"/>
        <v>2.32752461595035E-2</v>
      </c>
      <c r="Z132" s="45">
        <f t="shared" si="58"/>
        <v>0.24170447934868999</v>
      </c>
      <c r="AA132" s="15">
        <f t="shared" si="59"/>
        <v>5.2907692307692301E-2</v>
      </c>
      <c r="AB132" s="45">
        <f t="shared" si="60"/>
        <v>0.11082956059735299</v>
      </c>
      <c r="AC132" s="46">
        <f t="shared" si="61"/>
        <v>9.9932269385828408E-3</v>
      </c>
      <c r="AD132" s="46">
        <f t="shared" si="62"/>
        <v>0.41895443087106299</v>
      </c>
      <c r="AE132" s="46">
        <f t="shared" si="63"/>
        <v>0.86891101822511196</v>
      </c>
      <c r="AF132" s="47">
        <v>23729</v>
      </c>
      <c r="AG132" s="137">
        <f t="shared" si="47"/>
        <v>0.54569798086267496</v>
      </c>
      <c r="AH132" s="52">
        <f t="shared" si="64"/>
        <v>12948.867387890399</v>
      </c>
      <c r="AI132" s="53">
        <f t="shared" si="65"/>
        <v>11327.723614553601</v>
      </c>
      <c r="AJ132" s="53">
        <f t="shared" si="66"/>
        <v>9254.31</v>
      </c>
      <c r="AK132" s="45">
        <f t="shared" si="67"/>
        <v>0.14311293499905101</v>
      </c>
      <c r="AL132" s="45">
        <f t="shared" si="68"/>
        <v>0.399225591955576</v>
      </c>
    </row>
    <row r="133" spans="1:38" ht="14.25">
      <c r="A133" s="10">
        <v>129</v>
      </c>
      <c r="B133" s="56" t="s">
        <v>310</v>
      </c>
      <c r="C133" s="57" t="s">
        <v>311</v>
      </c>
      <c r="D133" s="13" t="s">
        <v>59</v>
      </c>
      <c r="E133" s="37">
        <v>0</v>
      </c>
      <c r="F133" s="37">
        <v>3.3E-3</v>
      </c>
      <c r="G133" s="14">
        <v>18.584099999999999</v>
      </c>
      <c r="H133" s="38">
        <v>0.98</v>
      </c>
      <c r="I133" s="14">
        <f t="shared" si="53"/>
        <v>6.2579112244897997E-2</v>
      </c>
      <c r="J133" s="13" t="s">
        <v>44</v>
      </c>
      <c r="K133" s="14">
        <v>65</v>
      </c>
      <c r="L133" s="41">
        <v>55.384615384615401</v>
      </c>
      <c r="M133" s="13">
        <v>3</v>
      </c>
      <c r="N133" s="13">
        <v>27.15</v>
      </c>
      <c r="O133" s="13">
        <v>0.76</v>
      </c>
      <c r="P133" s="13">
        <v>22.5</v>
      </c>
      <c r="Q133" s="14">
        <f t="shared" si="54"/>
        <v>0.115384615384615</v>
      </c>
      <c r="R133" s="14">
        <v>0</v>
      </c>
      <c r="S133" s="21">
        <v>4.77055555555556E-3</v>
      </c>
      <c r="T133" s="21">
        <v>1.1111111111111099E-2</v>
      </c>
      <c r="U133" s="13">
        <v>0.2</v>
      </c>
      <c r="V133" s="14">
        <f t="shared" si="55"/>
        <v>0.47737888720778698</v>
      </c>
      <c r="W133" s="13">
        <v>0.39</v>
      </c>
      <c r="X133" s="42">
        <f t="shared" si="56"/>
        <v>8.7378887207787401E-2</v>
      </c>
      <c r="Y133" s="44">
        <f t="shared" si="57"/>
        <v>2.32752461595035E-2</v>
      </c>
      <c r="Z133" s="45">
        <f t="shared" si="58"/>
        <v>0.24170447934868999</v>
      </c>
      <c r="AA133" s="15">
        <f t="shared" si="59"/>
        <v>5.2907692307692301E-2</v>
      </c>
      <c r="AB133" s="45">
        <f t="shared" si="60"/>
        <v>0.11082956059735299</v>
      </c>
      <c r="AC133" s="46">
        <f t="shared" si="61"/>
        <v>9.9932269385828408E-3</v>
      </c>
      <c r="AD133" s="46">
        <f t="shared" si="62"/>
        <v>0.41895443087106299</v>
      </c>
      <c r="AE133" s="46">
        <f t="shared" si="63"/>
        <v>0.86891101822511196</v>
      </c>
      <c r="AF133" s="47">
        <v>4480</v>
      </c>
      <c r="AG133" s="137">
        <f t="shared" si="47"/>
        <v>0.54569798086267496</v>
      </c>
      <c r="AH133" s="52">
        <f t="shared" si="64"/>
        <v>2444.72695426478</v>
      </c>
      <c r="AI133" s="53">
        <f t="shared" si="65"/>
        <v>2138.6574146908902</v>
      </c>
      <c r="AJ133" s="53">
        <f t="shared" si="66"/>
        <v>1747.2</v>
      </c>
      <c r="AK133" s="45">
        <f t="shared" si="67"/>
        <v>0.14311293499905101</v>
      </c>
      <c r="AL133" s="45">
        <f t="shared" si="68"/>
        <v>0.399225591955576</v>
      </c>
    </row>
    <row r="134" spans="1:38" ht="14.25">
      <c r="A134" s="10">
        <v>130</v>
      </c>
      <c r="B134" s="56" t="s">
        <v>312</v>
      </c>
      <c r="C134" s="57" t="s">
        <v>313</v>
      </c>
      <c r="D134" s="13" t="s">
        <v>314</v>
      </c>
      <c r="E134" s="37">
        <v>0</v>
      </c>
      <c r="F134" s="37">
        <v>9.7000000000000003E-3</v>
      </c>
      <c r="G134" s="14">
        <v>21.55</v>
      </c>
      <c r="H134" s="38">
        <v>0.98</v>
      </c>
      <c r="I134" s="14">
        <f t="shared" si="53"/>
        <v>0.21330102040816301</v>
      </c>
      <c r="J134" s="13" t="s">
        <v>120</v>
      </c>
      <c r="K134" s="14">
        <v>60</v>
      </c>
      <c r="L134" s="41">
        <v>60</v>
      </c>
      <c r="M134" s="13">
        <v>4</v>
      </c>
      <c r="N134" s="13">
        <v>39.75</v>
      </c>
      <c r="O134" s="13">
        <v>0.76</v>
      </c>
      <c r="P134" s="13">
        <v>22.5</v>
      </c>
      <c r="Q134" s="14">
        <f t="shared" si="54"/>
        <v>9.375E-2</v>
      </c>
      <c r="R134" s="14">
        <v>0</v>
      </c>
      <c r="S134" s="21">
        <v>4.77055555555556E-3</v>
      </c>
      <c r="T134" s="21">
        <v>1.1111111111111099E-2</v>
      </c>
      <c r="U134" s="13">
        <v>0</v>
      </c>
      <c r="V134" s="14">
        <f t="shared" si="55"/>
        <v>0.43495029692489201</v>
      </c>
      <c r="W134" s="13">
        <v>0.98</v>
      </c>
      <c r="X134" s="42">
        <f t="shared" si="56"/>
        <v>-0.54504970307510803</v>
      </c>
      <c r="Y134" s="44">
        <f t="shared" si="57"/>
        <v>2.5545703014038398E-2</v>
      </c>
      <c r="Z134" s="45">
        <f t="shared" si="58"/>
        <v>0.215541869180949</v>
      </c>
      <c r="AA134" s="15">
        <f t="shared" si="59"/>
        <v>6.2937499999999993E-2</v>
      </c>
      <c r="AB134" s="45">
        <f t="shared" si="60"/>
        <v>0.144700441510144</v>
      </c>
      <c r="AC134" s="46">
        <f t="shared" si="61"/>
        <v>1.09680475890774E-2</v>
      </c>
      <c r="AD134" s="46">
        <f t="shared" si="62"/>
        <v>0</v>
      </c>
      <c r="AE134" s="46">
        <f t="shared" si="63"/>
        <v>0.50959679320555495</v>
      </c>
      <c r="AF134" s="47">
        <v>56099</v>
      </c>
      <c r="AG134" s="137">
        <f t="shared" ref="AG134:AG169" si="69">(I134+Q134+(N134*O134/K134/M134)/2)/H134*1.4+R134*1.1+S134+T134+U134</f>
        <v>0.54443669582118503</v>
      </c>
      <c r="AH134" s="52">
        <f t="shared" ref="AH134:AH169" si="70">AG134*AF134</f>
        <v>30542.354198872701</v>
      </c>
      <c r="AI134" s="53">
        <f t="shared" ref="AI134:AI169" si="71">V134*AF134</f>
        <v>24400.2767071895</v>
      </c>
      <c r="AJ134" s="53">
        <f t="shared" ref="AJ134:AJ169" si="72">W134*AF134</f>
        <v>54977.02</v>
      </c>
      <c r="AK134" s="45">
        <f t="shared" ref="AK134:AK169" si="73">(AG134-V134)/V134</f>
        <v>0.25172163272531201</v>
      </c>
      <c r="AL134" s="45">
        <f t="shared" ref="AL134:AL169" si="74">(AG134-W134)/W134</f>
        <v>-0.44445235120287202</v>
      </c>
    </row>
    <row r="135" spans="1:38" ht="14.25">
      <c r="A135" s="10">
        <v>131</v>
      </c>
      <c r="B135" s="56" t="s">
        <v>315</v>
      </c>
      <c r="C135" s="57" t="s">
        <v>316</v>
      </c>
      <c r="D135" s="13" t="s">
        <v>59</v>
      </c>
      <c r="E135" s="37">
        <v>0</v>
      </c>
      <c r="F135" s="37">
        <v>1.2800000000000001E-3</v>
      </c>
      <c r="G135" s="14">
        <v>18.584099999999999</v>
      </c>
      <c r="H135" s="38">
        <v>0.98</v>
      </c>
      <c r="I135" s="14">
        <f t="shared" si="53"/>
        <v>2.4273110204081599E-2</v>
      </c>
      <c r="J135" s="13" t="s">
        <v>44</v>
      </c>
      <c r="K135" s="14">
        <v>72</v>
      </c>
      <c r="L135" s="41">
        <v>50</v>
      </c>
      <c r="M135" s="13">
        <v>4</v>
      </c>
      <c r="N135" s="13">
        <v>27.15</v>
      </c>
      <c r="O135" s="13">
        <v>0.76</v>
      </c>
      <c r="P135" s="13">
        <v>22.5</v>
      </c>
      <c r="Q135" s="14">
        <f t="shared" si="54"/>
        <v>7.8125E-2</v>
      </c>
      <c r="R135" s="14">
        <v>0</v>
      </c>
      <c r="S135" s="21">
        <v>4.77055555555556E-3</v>
      </c>
      <c r="T135" s="21">
        <v>1.1111111111111099E-2</v>
      </c>
      <c r="U135" s="13">
        <v>0</v>
      </c>
      <c r="V135" s="14">
        <f t="shared" si="55"/>
        <v>0.172438135877412</v>
      </c>
      <c r="W135" s="13">
        <v>0.43</v>
      </c>
      <c r="X135" s="42">
        <f t="shared" si="56"/>
        <v>-0.25756186412258802</v>
      </c>
      <c r="Y135" s="44">
        <f t="shared" si="57"/>
        <v>6.4435346940946298E-2</v>
      </c>
      <c r="Z135" s="45">
        <f t="shared" si="58"/>
        <v>0.45306103317852903</v>
      </c>
      <c r="AA135" s="15">
        <f t="shared" si="59"/>
        <v>3.5822916666666697E-2</v>
      </c>
      <c r="AB135" s="45">
        <f t="shared" si="60"/>
        <v>0.207743585746795</v>
      </c>
      <c r="AC135" s="46">
        <f t="shared" si="61"/>
        <v>2.76653162090954E-2</v>
      </c>
      <c r="AD135" s="46">
        <f t="shared" si="62"/>
        <v>0</v>
      </c>
      <c r="AE135" s="46">
        <f t="shared" si="63"/>
        <v>0.85923583503977596</v>
      </c>
      <c r="AF135" s="47">
        <v>55730</v>
      </c>
      <c r="AG135" s="137">
        <f t="shared" si="69"/>
        <v>0.213340276482021</v>
      </c>
      <c r="AH135" s="52">
        <f t="shared" si="70"/>
        <v>11889.453608342999</v>
      </c>
      <c r="AI135" s="53">
        <f t="shared" si="71"/>
        <v>9609.9773124481799</v>
      </c>
      <c r="AJ135" s="53">
        <f t="shared" si="72"/>
        <v>23963.9</v>
      </c>
      <c r="AK135" s="45">
        <f t="shared" si="73"/>
        <v>0.23719892584368299</v>
      </c>
      <c r="AL135" s="45">
        <f t="shared" si="74"/>
        <v>-0.50385982213483405</v>
      </c>
    </row>
    <row r="136" spans="1:38" ht="14.25">
      <c r="A136" s="10">
        <v>132</v>
      </c>
      <c r="B136" s="56" t="s">
        <v>317</v>
      </c>
      <c r="C136" s="57" t="s">
        <v>318</v>
      </c>
      <c r="D136" s="13" t="s">
        <v>59</v>
      </c>
      <c r="E136" s="37">
        <v>0</v>
      </c>
      <c r="F136" s="37">
        <v>2.2000000000000001E-3</v>
      </c>
      <c r="G136" s="14">
        <v>18.584099999999999</v>
      </c>
      <c r="H136" s="38">
        <v>0.98</v>
      </c>
      <c r="I136" s="14">
        <f t="shared" si="53"/>
        <v>4.1719408163265297E-2</v>
      </c>
      <c r="J136" s="13" t="s">
        <v>44</v>
      </c>
      <c r="K136" s="14">
        <v>72</v>
      </c>
      <c r="L136" s="41">
        <v>50</v>
      </c>
      <c r="M136" s="13">
        <v>3</v>
      </c>
      <c r="N136" s="13">
        <v>27.15</v>
      </c>
      <c r="O136" s="13">
        <v>0.76</v>
      </c>
      <c r="P136" s="13">
        <v>22.5</v>
      </c>
      <c r="Q136" s="14">
        <f t="shared" si="54"/>
        <v>0.104166666666667</v>
      </c>
      <c r="R136" s="14">
        <v>0</v>
      </c>
      <c r="S136" s="21">
        <v>4.77055555555556E-3</v>
      </c>
      <c r="T136" s="21">
        <v>1.1111111111111099E-2</v>
      </c>
      <c r="U136" s="13">
        <v>0.2</v>
      </c>
      <c r="V136" s="14">
        <f t="shared" si="55"/>
        <v>0.43521989087880097</v>
      </c>
      <c r="W136" s="13">
        <v>0.61</v>
      </c>
      <c r="X136" s="42">
        <f t="shared" si="56"/>
        <v>-0.17478010912119901</v>
      </c>
      <c r="Y136" s="44">
        <f t="shared" si="57"/>
        <v>2.5529878904834599E-2</v>
      </c>
      <c r="Z136" s="45">
        <f t="shared" si="58"/>
        <v>0.239342614732825</v>
      </c>
      <c r="AA136" s="15">
        <f t="shared" si="59"/>
        <v>4.7763888888888897E-2</v>
      </c>
      <c r="AB136" s="45">
        <f t="shared" si="60"/>
        <v>0.10974656694215799</v>
      </c>
      <c r="AC136" s="46">
        <f t="shared" si="61"/>
        <v>1.09612535077908E-2</v>
      </c>
      <c r="AD136" s="46">
        <f t="shared" si="62"/>
        <v>0.459537820287023</v>
      </c>
      <c r="AE136" s="46">
        <f t="shared" si="63"/>
        <v>0.90414177054494205</v>
      </c>
      <c r="AF136" s="47">
        <v>0</v>
      </c>
      <c r="AG136" s="137">
        <f t="shared" si="69"/>
        <v>0.49252447197926802</v>
      </c>
      <c r="AH136" s="52">
        <f t="shared" si="70"/>
        <v>0</v>
      </c>
      <c r="AI136" s="53">
        <f t="shared" si="71"/>
        <v>0</v>
      </c>
      <c r="AJ136" s="53">
        <f t="shared" si="72"/>
        <v>0</v>
      </c>
      <c r="AK136" s="45">
        <f t="shared" si="73"/>
        <v>0.13166811145684901</v>
      </c>
      <c r="AL136" s="45">
        <f t="shared" si="74"/>
        <v>-0.19258283282087199</v>
      </c>
    </row>
    <row r="137" spans="1:38" ht="14.25">
      <c r="A137" s="10">
        <v>133</v>
      </c>
      <c r="B137" s="56" t="s">
        <v>319</v>
      </c>
      <c r="C137" s="57" t="s">
        <v>320</v>
      </c>
      <c r="D137" s="13" t="s">
        <v>59</v>
      </c>
      <c r="E137" s="37">
        <v>0</v>
      </c>
      <c r="F137" s="37">
        <v>2.2000000000000001E-3</v>
      </c>
      <c r="G137" s="14">
        <v>18.584099999999999</v>
      </c>
      <c r="H137" s="38">
        <v>0.98</v>
      </c>
      <c r="I137" s="14">
        <f t="shared" si="53"/>
        <v>4.1719408163265297E-2</v>
      </c>
      <c r="J137" s="13" t="s">
        <v>44</v>
      </c>
      <c r="K137" s="14">
        <v>72</v>
      </c>
      <c r="L137" s="41">
        <v>50</v>
      </c>
      <c r="M137" s="13">
        <v>3</v>
      </c>
      <c r="N137" s="13">
        <v>27.15</v>
      </c>
      <c r="O137" s="13">
        <v>0.76</v>
      </c>
      <c r="P137" s="13">
        <v>22.5</v>
      </c>
      <c r="Q137" s="14">
        <f t="shared" si="54"/>
        <v>0.104166666666667</v>
      </c>
      <c r="R137" s="14">
        <v>0</v>
      </c>
      <c r="S137" s="21">
        <v>4.77055555555556E-3</v>
      </c>
      <c r="T137" s="21">
        <v>1.1111111111111099E-2</v>
      </c>
      <c r="U137" s="13">
        <v>0.2</v>
      </c>
      <c r="V137" s="14">
        <f t="shared" si="55"/>
        <v>0.43521989087880097</v>
      </c>
      <c r="W137" s="13">
        <v>0.61</v>
      </c>
      <c r="X137" s="42">
        <f t="shared" si="56"/>
        <v>-0.17478010912119901</v>
      </c>
      <c r="Y137" s="44">
        <f t="shared" si="57"/>
        <v>2.5529878904834599E-2</v>
      </c>
      <c r="Z137" s="45">
        <f t="shared" si="58"/>
        <v>0.239342614732825</v>
      </c>
      <c r="AA137" s="15">
        <f t="shared" si="59"/>
        <v>4.7763888888888897E-2</v>
      </c>
      <c r="AB137" s="45">
        <f t="shared" si="60"/>
        <v>0.10974656694215799</v>
      </c>
      <c r="AC137" s="46">
        <f t="shared" si="61"/>
        <v>1.09612535077908E-2</v>
      </c>
      <c r="AD137" s="46">
        <f t="shared" si="62"/>
        <v>0.459537820287023</v>
      </c>
      <c r="AE137" s="46">
        <f t="shared" si="63"/>
        <v>0.90414177054494205</v>
      </c>
      <c r="AF137" s="47"/>
      <c r="AG137" s="137">
        <f t="shared" si="69"/>
        <v>0.49252447197926802</v>
      </c>
      <c r="AH137" s="52">
        <f t="shared" si="70"/>
        <v>0</v>
      </c>
      <c r="AI137" s="53">
        <f t="shared" si="71"/>
        <v>0</v>
      </c>
      <c r="AJ137" s="53">
        <f t="shared" si="72"/>
        <v>0</v>
      </c>
      <c r="AK137" s="45">
        <f t="shared" si="73"/>
        <v>0.13166811145684901</v>
      </c>
      <c r="AL137" s="45">
        <f t="shared" si="74"/>
        <v>-0.19258283282087199</v>
      </c>
    </row>
    <row r="138" spans="1:38" ht="14.25">
      <c r="A138" s="10">
        <v>134</v>
      </c>
      <c r="B138" s="56" t="s">
        <v>321</v>
      </c>
      <c r="C138" s="57" t="s">
        <v>322</v>
      </c>
      <c r="D138" s="13" t="s">
        <v>59</v>
      </c>
      <c r="E138" s="37">
        <v>0</v>
      </c>
      <c r="F138" s="37">
        <v>2.2000000000000001E-3</v>
      </c>
      <c r="G138" s="14">
        <v>18.584099999999999</v>
      </c>
      <c r="H138" s="38">
        <v>0.98</v>
      </c>
      <c r="I138" s="14">
        <f t="shared" si="53"/>
        <v>4.1719408163265297E-2</v>
      </c>
      <c r="J138" s="13" t="s">
        <v>44</v>
      </c>
      <c r="K138" s="14">
        <v>72</v>
      </c>
      <c r="L138" s="41">
        <v>50</v>
      </c>
      <c r="M138" s="13">
        <v>3</v>
      </c>
      <c r="N138" s="13">
        <v>27.15</v>
      </c>
      <c r="O138" s="13">
        <v>0.76</v>
      </c>
      <c r="P138" s="13">
        <v>22.5</v>
      </c>
      <c r="Q138" s="14">
        <f t="shared" si="54"/>
        <v>0.104166666666667</v>
      </c>
      <c r="R138" s="14">
        <v>0</v>
      </c>
      <c r="S138" s="21">
        <v>4.77055555555556E-3</v>
      </c>
      <c r="T138" s="21">
        <v>1.1111111111111099E-2</v>
      </c>
      <c r="U138" s="13">
        <v>0.2</v>
      </c>
      <c r="V138" s="14">
        <f t="shared" si="55"/>
        <v>0.43521989087880097</v>
      </c>
      <c r="W138" s="13">
        <v>0.61</v>
      </c>
      <c r="X138" s="42">
        <f t="shared" si="56"/>
        <v>-0.17478010912119901</v>
      </c>
      <c r="Y138" s="44">
        <f t="shared" si="57"/>
        <v>2.5529878904834599E-2</v>
      </c>
      <c r="Z138" s="45">
        <f t="shared" si="58"/>
        <v>0.239342614732825</v>
      </c>
      <c r="AA138" s="15">
        <f t="shared" si="59"/>
        <v>4.7763888888888897E-2</v>
      </c>
      <c r="AB138" s="45">
        <f t="shared" si="60"/>
        <v>0.10974656694215799</v>
      </c>
      <c r="AC138" s="46">
        <f t="shared" si="61"/>
        <v>1.09612535077908E-2</v>
      </c>
      <c r="AD138" s="46">
        <f t="shared" si="62"/>
        <v>0.459537820287023</v>
      </c>
      <c r="AE138" s="46">
        <f t="shared" si="63"/>
        <v>0.90414177054494205</v>
      </c>
      <c r="AF138" s="47"/>
      <c r="AG138" s="137">
        <f t="shared" si="69"/>
        <v>0.49252447197926802</v>
      </c>
      <c r="AH138" s="52">
        <f t="shared" si="70"/>
        <v>0</v>
      </c>
      <c r="AI138" s="53">
        <f t="shared" si="71"/>
        <v>0</v>
      </c>
      <c r="AJ138" s="53">
        <f t="shared" si="72"/>
        <v>0</v>
      </c>
      <c r="AK138" s="45">
        <f t="shared" si="73"/>
        <v>0.13166811145684901</v>
      </c>
      <c r="AL138" s="45">
        <f t="shared" si="74"/>
        <v>-0.19258283282087199</v>
      </c>
    </row>
    <row r="139" spans="1:38" ht="14.25">
      <c r="A139" s="10">
        <v>135</v>
      </c>
      <c r="B139" s="56" t="s">
        <v>323</v>
      </c>
      <c r="C139" s="57" t="s">
        <v>324</v>
      </c>
      <c r="D139" s="13" t="s">
        <v>43</v>
      </c>
      <c r="E139" s="37">
        <v>0</v>
      </c>
      <c r="F139" s="37">
        <v>1.7600000000000001E-3</v>
      </c>
      <c r="G139" s="14">
        <v>15.309699999999999</v>
      </c>
      <c r="H139" s="38">
        <v>0.98</v>
      </c>
      <c r="I139" s="14">
        <f t="shared" si="53"/>
        <v>2.7494971428571401E-2</v>
      </c>
      <c r="J139" s="13" t="s">
        <v>44</v>
      </c>
      <c r="K139" s="14">
        <v>65</v>
      </c>
      <c r="L139" s="41">
        <v>55.384615384615401</v>
      </c>
      <c r="M139" s="13">
        <v>4</v>
      </c>
      <c r="N139" s="13">
        <v>27.15</v>
      </c>
      <c r="O139" s="13">
        <v>0.76</v>
      </c>
      <c r="P139" s="13">
        <v>22.5</v>
      </c>
      <c r="Q139" s="14">
        <f t="shared" si="54"/>
        <v>8.6538461538461495E-2</v>
      </c>
      <c r="R139" s="14">
        <v>0</v>
      </c>
      <c r="S139" s="21">
        <v>4.77055555555556E-3</v>
      </c>
      <c r="T139" s="21">
        <v>1.1111111111111099E-2</v>
      </c>
      <c r="U139" s="13">
        <v>0</v>
      </c>
      <c r="V139" s="14">
        <f t="shared" si="55"/>
        <v>0.18998652833968799</v>
      </c>
      <c r="W139" s="13">
        <v>0.35</v>
      </c>
      <c r="X139" s="42">
        <f t="shared" si="56"/>
        <v>-0.16001347166031199</v>
      </c>
      <c r="Y139" s="44">
        <f t="shared" si="57"/>
        <v>5.84836788598238E-2</v>
      </c>
      <c r="Z139" s="45">
        <f t="shared" si="58"/>
        <v>0.45549788342747399</v>
      </c>
      <c r="AA139" s="15">
        <f t="shared" si="59"/>
        <v>3.96807692307692E-2</v>
      </c>
      <c r="AB139" s="45">
        <f t="shared" si="60"/>
        <v>0.20886096281427799</v>
      </c>
      <c r="AC139" s="46">
        <f t="shared" si="61"/>
        <v>2.5109967518465399E-2</v>
      </c>
      <c r="AD139" s="46">
        <f t="shared" si="62"/>
        <v>0</v>
      </c>
      <c r="AE139" s="46">
        <f t="shared" si="63"/>
        <v>0.85527936286402595</v>
      </c>
      <c r="AF139" s="47">
        <v>229279</v>
      </c>
      <c r="AG139" s="137">
        <f t="shared" si="69"/>
        <v>0.235473384092098</v>
      </c>
      <c r="AH139" s="52">
        <f t="shared" si="70"/>
        <v>53989.102031252201</v>
      </c>
      <c r="AI139" s="53">
        <f t="shared" si="71"/>
        <v>43559.9212311952</v>
      </c>
      <c r="AJ139" s="53">
        <f t="shared" si="72"/>
        <v>80247.649999999994</v>
      </c>
      <c r="AK139" s="45">
        <f t="shared" si="73"/>
        <v>0.239421479775041</v>
      </c>
      <c r="AL139" s="45">
        <f t="shared" si="74"/>
        <v>-0.32721890259400499</v>
      </c>
    </row>
    <row r="140" spans="1:38">
      <c r="A140" s="10">
        <v>136</v>
      </c>
      <c r="B140" s="10" t="s">
        <v>325</v>
      </c>
      <c r="C140" s="59" t="s">
        <v>326</v>
      </c>
      <c r="D140" s="13" t="s">
        <v>59</v>
      </c>
      <c r="E140" s="37">
        <v>0</v>
      </c>
      <c r="F140" s="37">
        <v>2.2000000000000001E-3</v>
      </c>
      <c r="G140" s="14">
        <v>18.584099999999999</v>
      </c>
      <c r="H140" s="38">
        <v>0.98</v>
      </c>
      <c r="I140" s="14">
        <f t="shared" si="53"/>
        <v>4.1719408163265297E-2</v>
      </c>
      <c r="J140" s="13" t="s">
        <v>44</v>
      </c>
      <c r="K140" s="14">
        <v>72</v>
      </c>
      <c r="L140" s="41">
        <v>50</v>
      </c>
      <c r="M140" s="13">
        <v>3</v>
      </c>
      <c r="N140" s="13">
        <v>27.15</v>
      </c>
      <c r="O140" s="13">
        <v>0.76</v>
      </c>
      <c r="P140" s="13">
        <v>22.5</v>
      </c>
      <c r="Q140" s="14">
        <f t="shared" si="54"/>
        <v>0.104166666666667</v>
      </c>
      <c r="R140" s="14">
        <v>0</v>
      </c>
      <c r="S140" s="21">
        <v>4.77055555555556E-3</v>
      </c>
      <c r="T140" s="21">
        <v>1.1111111111111099E-2</v>
      </c>
      <c r="U140" s="13">
        <v>0.2</v>
      </c>
      <c r="V140" s="14">
        <f t="shared" si="55"/>
        <v>0.43521989087880097</v>
      </c>
      <c r="W140" s="13">
        <v>0.61</v>
      </c>
      <c r="X140" s="42">
        <f t="shared" si="56"/>
        <v>-0.17478010912119901</v>
      </c>
      <c r="Y140" s="44">
        <f t="shared" si="57"/>
        <v>2.5529878904834599E-2</v>
      </c>
      <c r="Z140" s="45">
        <f t="shared" si="58"/>
        <v>0.239342614732825</v>
      </c>
      <c r="AA140" s="15">
        <f t="shared" si="59"/>
        <v>4.7763888888888897E-2</v>
      </c>
      <c r="AB140" s="45">
        <f t="shared" si="60"/>
        <v>0.10974656694215799</v>
      </c>
      <c r="AC140" s="46">
        <f t="shared" si="61"/>
        <v>1.09612535077908E-2</v>
      </c>
      <c r="AD140" s="46">
        <f t="shared" si="62"/>
        <v>0.459537820287023</v>
      </c>
      <c r="AE140" s="46">
        <f t="shared" si="63"/>
        <v>0.90414177054494205</v>
      </c>
      <c r="AF140" s="47">
        <v>0</v>
      </c>
      <c r="AG140" s="137">
        <f t="shared" si="69"/>
        <v>0.49252447197926802</v>
      </c>
      <c r="AH140" s="52">
        <f t="shared" si="70"/>
        <v>0</v>
      </c>
      <c r="AI140" s="53">
        <f t="shared" si="71"/>
        <v>0</v>
      </c>
      <c r="AJ140" s="53">
        <f t="shared" si="72"/>
        <v>0</v>
      </c>
      <c r="AK140" s="45">
        <f t="shared" si="73"/>
        <v>0.13166811145684901</v>
      </c>
      <c r="AL140" s="45">
        <f t="shared" si="74"/>
        <v>-0.19258283282087199</v>
      </c>
    </row>
    <row r="141" spans="1:38">
      <c r="A141" s="10">
        <v>137</v>
      </c>
      <c r="B141" s="10" t="s">
        <v>327</v>
      </c>
      <c r="C141" s="59" t="s">
        <v>328</v>
      </c>
      <c r="D141" s="13" t="s">
        <v>59</v>
      </c>
      <c r="E141" s="37">
        <v>0</v>
      </c>
      <c r="F141" s="37">
        <v>2.2000000000000001E-3</v>
      </c>
      <c r="G141" s="14">
        <v>18.584099999999999</v>
      </c>
      <c r="H141" s="38">
        <v>0.98</v>
      </c>
      <c r="I141" s="14">
        <f t="shared" si="53"/>
        <v>4.1719408163265297E-2</v>
      </c>
      <c r="J141" s="13" t="s">
        <v>44</v>
      </c>
      <c r="K141" s="14">
        <v>72</v>
      </c>
      <c r="L141" s="41">
        <v>50</v>
      </c>
      <c r="M141" s="13">
        <v>3</v>
      </c>
      <c r="N141" s="13">
        <v>27.15</v>
      </c>
      <c r="O141" s="13">
        <v>0.76</v>
      </c>
      <c r="P141" s="13">
        <v>22.5</v>
      </c>
      <c r="Q141" s="14">
        <f t="shared" si="54"/>
        <v>0.104166666666667</v>
      </c>
      <c r="R141" s="14">
        <v>0</v>
      </c>
      <c r="S141" s="21">
        <v>4.77055555555556E-3</v>
      </c>
      <c r="T141" s="21">
        <v>1.1111111111111099E-2</v>
      </c>
      <c r="U141" s="13">
        <v>0.2</v>
      </c>
      <c r="V141" s="14">
        <f t="shared" si="55"/>
        <v>0.43521989087880097</v>
      </c>
      <c r="W141" s="13">
        <v>0.61</v>
      </c>
      <c r="X141" s="42">
        <f t="shared" si="56"/>
        <v>-0.17478010912119901</v>
      </c>
      <c r="Y141" s="44">
        <f t="shared" si="57"/>
        <v>2.5529878904834599E-2</v>
      </c>
      <c r="Z141" s="45">
        <f t="shared" si="58"/>
        <v>0.239342614732825</v>
      </c>
      <c r="AA141" s="15">
        <f t="shared" si="59"/>
        <v>4.7763888888888897E-2</v>
      </c>
      <c r="AB141" s="45">
        <f t="shared" si="60"/>
        <v>0.10974656694215799</v>
      </c>
      <c r="AC141" s="46">
        <f t="shared" si="61"/>
        <v>1.09612535077908E-2</v>
      </c>
      <c r="AD141" s="46">
        <f t="shared" si="62"/>
        <v>0.459537820287023</v>
      </c>
      <c r="AE141" s="46">
        <f t="shared" si="63"/>
        <v>0.90414177054494205</v>
      </c>
      <c r="AF141" s="47"/>
      <c r="AG141" s="137">
        <f t="shared" si="69"/>
        <v>0.49252447197926802</v>
      </c>
      <c r="AH141" s="52">
        <f t="shared" si="70"/>
        <v>0</v>
      </c>
      <c r="AI141" s="53">
        <f t="shared" si="71"/>
        <v>0</v>
      </c>
      <c r="AJ141" s="53">
        <f t="shared" si="72"/>
        <v>0</v>
      </c>
      <c r="AK141" s="45">
        <f t="shared" si="73"/>
        <v>0.13166811145684901</v>
      </c>
      <c r="AL141" s="45">
        <f t="shared" si="74"/>
        <v>-0.19258283282087199</v>
      </c>
    </row>
    <row r="142" spans="1:38">
      <c r="A142" s="10">
        <v>138</v>
      </c>
      <c r="B142" s="10" t="s">
        <v>329</v>
      </c>
      <c r="C142" s="59" t="s">
        <v>330</v>
      </c>
      <c r="D142" s="13" t="s">
        <v>59</v>
      </c>
      <c r="E142" s="37">
        <v>0</v>
      </c>
      <c r="F142" s="37">
        <v>2.2000000000000001E-3</v>
      </c>
      <c r="G142" s="14">
        <v>18.584099999999999</v>
      </c>
      <c r="H142" s="38">
        <v>0.98</v>
      </c>
      <c r="I142" s="14">
        <f t="shared" si="53"/>
        <v>4.1719408163265297E-2</v>
      </c>
      <c r="J142" s="13" t="s">
        <v>44</v>
      </c>
      <c r="K142" s="14">
        <v>72</v>
      </c>
      <c r="L142" s="41">
        <v>50</v>
      </c>
      <c r="M142" s="13">
        <v>3</v>
      </c>
      <c r="N142" s="13">
        <v>27.15</v>
      </c>
      <c r="O142" s="13">
        <v>0.76</v>
      </c>
      <c r="P142" s="13">
        <v>22.5</v>
      </c>
      <c r="Q142" s="14">
        <f t="shared" si="54"/>
        <v>0.104166666666667</v>
      </c>
      <c r="R142" s="14">
        <v>0</v>
      </c>
      <c r="S142" s="21">
        <v>4.77055555555556E-3</v>
      </c>
      <c r="T142" s="21">
        <v>1.1111111111111099E-2</v>
      </c>
      <c r="U142" s="13">
        <v>0.2</v>
      </c>
      <c r="V142" s="14">
        <f t="shared" si="55"/>
        <v>0.43521989087880097</v>
      </c>
      <c r="W142" s="13">
        <v>0.61</v>
      </c>
      <c r="X142" s="42">
        <f t="shared" si="56"/>
        <v>-0.17478010912119901</v>
      </c>
      <c r="Y142" s="44">
        <f t="shared" si="57"/>
        <v>2.5529878904834599E-2</v>
      </c>
      <c r="Z142" s="45">
        <f t="shared" si="58"/>
        <v>0.239342614732825</v>
      </c>
      <c r="AA142" s="15">
        <f t="shared" si="59"/>
        <v>4.7763888888888897E-2</v>
      </c>
      <c r="AB142" s="45">
        <f t="shared" si="60"/>
        <v>0.10974656694215799</v>
      </c>
      <c r="AC142" s="46">
        <f t="shared" si="61"/>
        <v>1.09612535077908E-2</v>
      </c>
      <c r="AD142" s="46">
        <f t="shared" si="62"/>
        <v>0.459537820287023</v>
      </c>
      <c r="AE142" s="46">
        <f t="shared" si="63"/>
        <v>0.90414177054494205</v>
      </c>
      <c r="AF142" s="47"/>
      <c r="AG142" s="137">
        <f t="shared" si="69"/>
        <v>0.49252447197926802</v>
      </c>
      <c r="AH142" s="52">
        <f t="shared" si="70"/>
        <v>0</v>
      </c>
      <c r="AI142" s="53">
        <f t="shared" si="71"/>
        <v>0</v>
      </c>
      <c r="AJ142" s="53">
        <f t="shared" si="72"/>
        <v>0</v>
      </c>
      <c r="AK142" s="45">
        <f t="shared" si="73"/>
        <v>0.13166811145684901</v>
      </c>
      <c r="AL142" s="45">
        <f t="shared" si="74"/>
        <v>-0.19258283282087199</v>
      </c>
    </row>
    <row r="143" spans="1:38">
      <c r="A143" s="10">
        <v>139</v>
      </c>
      <c r="B143" s="10" t="s">
        <v>331</v>
      </c>
      <c r="C143" s="59" t="s">
        <v>332</v>
      </c>
      <c r="D143" s="13" t="s">
        <v>59</v>
      </c>
      <c r="E143" s="37">
        <v>0</v>
      </c>
      <c r="F143" s="37">
        <v>2.2000000000000001E-3</v>
      </c>
      <c r="G143" s="14">
        <v>18.584099999999999</v>
      </c>
      <c r="H143" s="38">
        <v>0.98</v>
      </c>
      <c r="I143" s="14">
        <f t="shared" si="53"/>
        <v>4.1719408163265297E-2</v>
      </c>
      <c r="J143" s="13" t="s">
        <v>44</v>
      </c>
      <c r="K143" s="14">
        <v>72</v>
      </c>
      <c r="L143" s="41">
        <v>50</v>
      </c>
      <c r="M143" s="13">
        <v>3</v>
      </c>
      <c r="N143" s="13">
        <v>27.15</v>
      </c>
      <c r="O143" s="13">
        <v>0.76</v>
      </c>
      <c r="P143" s="13">
        <v>22.5</v>
      </c>
      <c r="Q143" s="14">
        <f t="shared" si="54"/>
        <v>0.104166666666667</v>
      </c>
      <c r="R143" s="14">
        <v>0</v>
      </c>
      <c r="S143" s="21">
        <v>4.77055555555556E-3</v>
      </c>
      <c r="T143" s="21">
        <v>1.1111111111111099E-2</v>
      </c>
      <c r="U143" s="13">
        <v>0.2</v>
      </c>
      <c r="V143" s="14">
        <f t="shared" si="55"/>
        <v>0.43521989087880097</v>
      </c>
      <c r="W143" s="13">
        <v>0.61</v>
      </c>
      <c r="X143" s="42">
        <f t="shared" si="56"/>
        <v>-0.17478010912119901</v>
      </c>
      <c r="Y143" s="44">
        <f t="shared" si="57"/>
        <v>2.5529878904834599E-2</v>
      </c>
      <c r="Z143" s="45">
        <f t="shared" si="58"/>
        <v>0.239342614732825</v>
      </c>
      <c r="AA143" s="15">
        <f t="shared" si="59"/>
        <v>4.7763888888888897E-2</v>
      </c>
      <c r="AB143" s="45">
        <f t="shared" si="60"/>
        <v>0.10974656694215799</v>
      </c>
      <c r="AC143" s="46">
        <f t="shared" si="61"/>
        <v>1.09612535077908E-2</v>
      </c>
      <c r="AD143" s="46">
        <f t="shared" si="62"/>
        <v>0.459537820287023</v>
      </c>
      <c r="AE143" s="46">
        <f t="shared" si="63"/>
        <v>0.90414177054494205</v>
      </c>
      <c r="AF143" s="47"/>
      <c r="AG143" s="137">
        <f t="shared" si="69"/>
        <v>0.49252447197926802</v>
      </c>
      <c r="AH143" s="52">
        <f t="shared" si="70"/>
        <v>0</v>
      </c>
      <c r="AI143" s="53">
        <f t="shared" si="71"/>
        <v>0</v>
      </c>
      <c r="AJ143" s="53">
        <f t="shared" si="72"/>
        <v>0</v>
      </c>
      <c r="AK143" s="45">
        <f t="shared" si="73"/>
        <v>0.13166811145684901</v>
      </c>
      <c r="AL143" s="45">
        <f t="shared" si="74"/>
        <v>-0.19258283282087199</v>
      </c>
    </row>
    <row r="144" spans="1:38" ht="14.25">
      <c r="A144" s="10">
        <v>140</v>
      </c>
      <c r="B144" s="56" t="s">
        <v>333</v>
      </c>
      <c r="C144" s="57" t="s">
        <v>334</v>
      </c>
      <c r="D144" s="13" t="s">
        <v>59</v>
      </c>
      <c r="E144" s="37">
        <v>0</v>
      </c>
      <c r="F144" s="37">
        <v>2.2000000000000001E-3</v>
      </c>
      <c r="G144" s="14">
        <v>18.584099999999999</v>
      </c>
      <c r="H144" s="38">
        <v>0.98</v>
      </c>
      <c r="I144" s="14">
        <f t="shared" si="53"/>
        <v>4.1719408163265297E-2</v>
      </c>
      <c r="J144" s="13" t="s">
        <v>44</v>
      </c>
      <c r="K144" s="14">
        <v>72</v>
      </c>
      <c r="L144" s="41">
        <v>50</v>
      </c>
      <c r="M144" s="13">
        <v>3</v>
      </c>
      <c r="N144" s="13">
        <v>27.15</v>
      </c>
      <c r="O144" s="13">
        <v>0.76</v>
      </c>
      <c r="P144" s="13">
        <v>22.5</v>
      </c>
      <c r="Q144" s="14">
        <f t="shared" si="54"/>
        <v>0.104166666666667</v>
      </c>
      <c r="R144" s="14">
        <v>0</v>
      </c>
      <c r="S144" s="21">
        <v>4.77055555555556E-3</v>
      </c>
      <c r="T144" s="21">
        <v>1.1111111111111099E-2</v>
      </c>
      <c r="U144" s="13">
        <v>0.2</v>
      </c>
      <c r="V144" s="14">
        <f t="shared" si="55"/>
        <v>0.43521989087880097</v>
      </c>
      <c r="W144" s="13">
        <v>0.6</v>
      </c>
      <c r="X144" s="42">
        <f t="shared" si="56"/>
        <v>-0.164780109121199</v>
      </c>
      <c r="Y144" s="44">
        <f t="shared" si="57"/>
        <v>2.5529878904834599E-2</v>
      </c>
      <c r="Z144" s="45">
        <f t="shared" si="58"/>
        <v>0.239342614732825</v>
      </c>
      <c r="AA144" s="15">
        <f t="shared" si="59"/>
        <v>4.7763888888888897E-2</v>
      </c>
      <c r="AB144" s="45">
        <f t="shared" si="60"/>
        <v>0.10974656694215799</v>
      </c>
      <c r="AC144" s="46">
        <f t="shared" si="61"/>
        <v>1.09612535077908E-2</v>
      </c>
      <c r="AD144" s="46">
        <f t="shared" si="62"/>
        <v>0.459537820287023</v>
      </c>
      <c r="AE144" s="46">
        <f t="shared" si="63"/>
        <v>0.90414177054494205</v>
      </c>
      <c r="AF144" s="47">
        <v>64225</v>
      </c>
      <c r="AG144" s="137">
        <f t="shared" si="69"/>
        <v>0.49252447197926802</v>
      </c>
      <c r="AH144" s="52">
        <f t="shared" si="70"/>
        <v>31632.384212868499</v>
      </c>
      <c r="AI144" s="53">
        <f t="shared" si="71"/>
        <v>27951.997491691</v>
      </c>
      <c r="AJ144" s="53">
        <f t="shared" si="72"/>
        <v>38535</v>
      </c>
      <c r="AK144" s="45">
        <f t="shared" si="73"/>
        <v>0.13166811145684901</v>
      </c>
      <c r="AL144" s="45">
        <f t="shared" si="74"/>
        <v>-0.17912588003455299</v>
      </c>
    </row>
    <row r="145" spans="1:38" ht="14.25">
      <c r="A145" s="10">
        <v>141</v>
      </c>
      <c r="B145" s="56" t="s">
        <v>335</v>
      </c>
      <c r="C145" s="57" t="s">
        <v>336</v>
      </c>
      <c r="D145" s="13" t="s">
        <v>59</v>
      </c>
      <c r="E145" s="37">
        <v>0</v>
      </c>
      <c r="F145" s="37">
        <v>2.2000000000000001E-3</v>
      </c>
      <c r="G145" s="14">
        <v>18.584099999999999</v>
      </c>
      <c r="H145" s="38">
        <v>0.98</v>
      </c>
      <c r="I145" s="14">
        <f t="shared" si="53"/>
        <v>4.1719408163265297E-2</v>
      </c>
      <c r="J145" s="13" t="s">
        <v>44</v>
      </c>
      <c r="K145" s="14">
        <v>72</v>
      </c>
      <c r="L145" s="41">
        <v>50</v>
      </c>
      <c r="M145" s="13">
        <v>3</v>
      </c>
      <c r="N145" s="13">
        <v>27.15</v>
      </c>
      <c r="O145" s="13">
        <v>0.76</v>
      </c>
      <c r="P145" s="13">
        <v>22.5</v>
      </c>
      <c r="Q145" s="14">
        <f t="shared" si="54"/>
        <v>0.104166666666667</v>
      </c>
      <c r="R145" s="14">
        <v>0</v>
      </c>
      <c r="S145" s="21">
        <v>4.77055555555556E-3</v>
      </c>
      <c r="T145" s="21">
        <v>1.1111111111111099E-2</v>
      </c>
      <c r="U145" s="13">
        <v>0.2</v>
      </c>
      <c r="V145" s="14">
        <f t="shared" si="55"/>
        <v>0.43521989087880097</v>
      </c>
      <c r="W145" s="13">
        <v>0.6</v>
      </c>
      <c r="X145" s="42">
        <f t="shared" si="56"/>
        <v>-0.164780109121199</v>
      </c>
      <c r="Y145" s="44">
        <f t="shared" si="57"/>
        <v>2.5529878904834599E-2</v>
      </c>
      <c r="Z145" s="45">
        <f t="shared" si="58"/>
        <v>0.239342614732825</v>
      </c>
      <c r="AA145" s="15">
        <f t="shared" si="59"/>
        <v>4.7763888888888897E-2</v>
      </c>
      <c r="AB145" s="45">
        <f t="shared" si="60"/>
        <v>0.10974656694215799</v>
      </c>
      <c r="AC145" s="46">
        <f t="shared" si="61"/>
        <v>1.09612535077908E-2</v>
      </c>
      <c r="AD145" s="46">
        <f t="shared" si="62"/>
        <v>0.459537820287023</v>
      </c>
      <c r="AE145" s="46">
        <f t="shared" si="63"/>
        <v>0.90414177054494205</v>
      </c>
      <c r="AF145" s="47">
        <v>64580</v>
      </c>
      <c r="AG145" s="137">
        <f t="shared" si="69"/>
        <v>0.49252447197926802</v>
      </c>
      <c r="AH145" s="52">
        <f t="shared" si="70"/>
        <v>31807.2304004211</v>
      </c>
      <c r="AI145" s="53">
        <f t="shared" si="71"/>
        <v>28106.500552952901</v>
      </c>
      <c r="AJ145" s="53">
        <f t="shared" si="72"/>
        <v>38748</v>
      </c>
      <c r="AK145" s="45">
        <f t="shared" si="73"/>
        <v>0.13166811145684901</v>
      </c>
      <c r="AL145" s="45">
        <f t="shared" si="74"/>
        <v>-0.17912588003455299</v>
      </c>
    </row>
    <row r="146" spans="1:38" ht="16.5">
      <c r="A146" s="10">
        <v>143</v>
      </c>
      <c r="B146" s="60" t="s">
        <v>337</v>
      </c>
      <c r="C146" s="61" t="s">
        <v>338</v>
      </c>
      <c r="D146" s="62" t="s">
        <v>86</v>
      </c>
      <c r="E146" s="63"/>
      <c r="F146" s="63">
        <v>4.9959999999999997E-2</v>
      </c>
      <c r="G146" s="64">
        <v>15.66372</v>
      </c>
      <c r="H146" s="65">
        <v>0.99</v>
      </c>
      <c r="I146" s="64">
        <f t="shared" si="53"/>
        <v>0.79046409212121205</v>
      </c>
      <c r="J146" s="95" t="s">
        <v>339</v>
      </c>
      <c r="K146" s="96">
        <v>65</v>
      </c>
      <c r="L146" s="97">
        <v>55</v>
      </c>
      <c r="M146" s="62">
        <v>2</v>
      </c>
      <c r="N146" s="96">
        <v>48.5</v>
      </c>
      <c r="O146" s="96">
        <v>0.76</v>
      </c>
      <c r="P146" s="96">
        <v>22.5</v>
      </c>
      <c r="Q146" s="64">
        <f t="shared" si="54"/>
        <v>0.17307692307692299</v>
      </c>
      <c r="R146" s="109">
        <v>0</v>
      </c>
      <c r="S146" s="110">
        <v>0.01</v>
      </c>
      <c r="T146" s="110"/>
      <c r="U146" s="110">
        <v>0.3</v>
      </c>
      <c r="V146" s="64">
        <f t="shared" si="55"/>
        <v>1.54928724547856</v>
      </c>
      <c r="W146" s="13">
        <v>2.15</v>
      </c>
      <c r="X146" s="42">
        <f t="shared" ref="X146:X169" si="75">V146-W146</f>
        <v>-0.60071275452143802</v>
      </c>
      <c r="Y146" s="44">
        <f t="shared" ref="Y146:Y169" si="76">T146/V146</f>
        <v>0</v>
      </c>
      <c r="Z146" s="45">
        <f t="shared" ref="Z146:Z169" si="77">Q146/V146</f>
        <v>0.111713901719665</v>
      </c>
      <c r="AA146" s="15">
        <f t="shared" ref="AA146:AA169" si="78">(N146*O146/K146/M146)/2</f>
        <v>0.14176923076923101</v>
      </c>
      <c r="AB146" s="45">
        <f t="shared" ref="AB146:AB169" si="79">AA146/V146</f>
        <v>9.1506098164152699E-2</v>
      </c>
      <c r="AC146" s="46">
        <f t="shared" ref="AC146:AC169" si="80">S146/V146</f>
        <v>6.45458098824733E-3</v>
      </c>
      <c r="AD146" s="46">
        <f t="shared" ref="AD146:AD169" si="81">U146/V146</f>
        <v>0.19363742964742001</v>
      </c>
      <c r="AE146" s="46">
        <f t="shared" ref="AE146:AE169" si="82">1-I146/V146</f>
        <v>0.48978854991022402</v>
      </c>
      <c r="AF146" s="47">
        <v>37518</v>
      </c>
      <c r="AG146" s="137">
        <f t="shared" si="69"/>
        <v>1.8730649942972899</v>
      </c>
      <c r="AH146" s="52">
        <f t="shared" si="70"/>
        <v>70273.6524560455</v>
      </c>
      <c r="AI146" s="53">
        <f t="shared" si="71"/>
        <v>58126.158875864698</v>
      </c>
      <c r="AJ146" s="53">
        <f t="shared" si="72"/>
        <v>80663.7</v>
      </c>
      <c r="AK146" s="45">
        <f t="shared" si="73"/>
        <v>0.208984970194285</v>
      </c>
      <c r="AL146" s="45">
        <f t="shared" si="74"/>
        <v>-0.12880697939661201</v>
      </c>
    </row>
    <row r="147" spans="1:38" ht="16.5">
      <c r="A147" s="10">
        <v>144</v>
      </c>
      <c r="B147" s="60" t="s">
        <v>340</v>
      </c>
      <c r="C147" s="61" t="s">
        <v>341</v>
      </c>
      <c r="D147" s="66" t="s">
        <v>342</v>
      </c>
      <c r="E147" s="67"/>
      <c r="F147" s="67">
        <v>3.9800000000000002E-2</v>
      </c>
      <c r="G147" s="68">
        <v>19.46</v>
      </c>
      <c r="H147" s="69"/>
      <c r="I147" s="68">
        <f>F147*G147</f>
        <v>0.77450799999999997</v>
      </c>
      <c r="J147" s="98" t="s">
        <v>81</v>
      </c>
      <c r="K147" s="99">
        <f t="shared" ref="K147:K158" si="83">3600/L147</f>
        <v>72</v>
      </c>
      <c r="L147" s="99">
        <v>50</v>
      </c>
      <c r="M147" s="76">
        <v>4</v>
      </c>
      <c r="N147" s="78">
        <v>39.75</v>
      </c>
      <c r="O147" s="78">
        <v>0.76</v>
      </c>
      <c r="P147" s="78">
        <v>22.5</v>
      </c>
      <c r="Q147" s="68">
        <f t="shared" ref="Q147:Q169" si="84">P147/K147/M147</f>
        <v>7.8125E-2</v>
      </c>
      <c r="R147" s="111"/>
      <c r="S147" s="112">
        <v>0.02</v>
      </c>
      <c r="T147" s="112">
        <v>0.02</v>
      </c>
      <c r="U147" s="112"/>
      <c r="V147" s="68">
        <f>(I147+Q147+(N147*O147/K147/M147)/2)*1.11+R147*1.03+S147+T147+U147</f>
        <v>1.0446398175</v>
      </c>
      <c r="W147" s="13">
        <v>1.35</v>
      </c>
      <c r="X147" s="42">
        <f t="shared" si="75"/>
        <v>-0.30536018250000002</v>
      </c>
      <c r="Y147" s="44">
        <f t="shared" si="76"/>
        <v>1.9145354853372699E-2</v>
      </c>
      <c r="Z147" s="45">
        <f t="shared" si="77"/>
        <v>7.4786542395987102E-2</v>
      </c>
      <c r="AA147" s="15">
        <f t="shared" si="78"/>
        <v>5.2447916666666698E-2</v>
      </c>
      <c r="AB147" s="45">
        <f t="shared" si="79"/>
        <v>5.02066987951727E-2</v>
      </c>
      <c r="AC147" s="46">
        <f t="shared" si="80"/>
        <v>1.9145354853372699E-2</v>
      </c>
      <c r="AD147" s="46">
        <f t="shared" si="81"/>
        <v>0</v>
      </c>
      <c r="AE147" s="46">
        <f t="shared" si="82"/>
        <v>0.25858847516120098</v>
      </c>
      <c r="AF147" s="47">
        <v>21517</v>
      </c>
      <c r="AG147" s="137"/>
      <c r="AH147" s="52">
        <f t="shared" si="70"/>
        <v>0</v>
      </c>
      <c r="AI147" s="53">
        <f t="shared" si="71"/>
        <v>22477.5149531475</v>
      </c>
      <c r="AJ147" s="53">
        <f t="shared" si="72"/>
        <v>29047.95</v>
      </c>
      <c r="AK147" s="45"/>
      <c r="AL147" s="45">
        <f t="shared" si="74"/>
        <v>-1</v>
      </c>
    </row>
    <row r="148" spans="1:38" ht="14.25">
      <c r="A148" s="10">
        <v>145</v>
      </c>
      <c r="B148" s="62" t="s">
        <v>343</v>
      </c>
      <c r="C148" s="70" t="s">
        <v>344</v>
      </c>
      <c r="D148" s="71" t="s">
        <v>43</v>
      </c>
      <c r="E148" s="72">
        <f>21/1000</f>
        <v>2.1000000000000001E-2</v>
      </c>
      <c r="F148" s="67">
        <v>2.247E-2</v>
      </c>
      <c r="G148" s="68">
        <v>17.3</v>
      </c>
      <c r="H148" s="73">
        <v>0.95</v>
      </c>
      <c r="I148" s="68">
        <f t="shared" ref="I148:I169" si="85">F148*G148/H148</f>
        <v>0.40919052631579</v>
      </c>
      <c r="J148" s="98" t="s">
        <v>65</v>
      </c>
      <c r="K148" s="99">
        <v>48</v>
      </c>
      <c r="L148" s="99">
        <f>3600/K148</f>
        <v>75</v>
      </c>
      <c r="M148" s="100">
        <v>2</v>
      </c>
      <c r="N148" s="78">
        <v>48.5</v>
      </c>
      <c r="O148" s="78">
        <v>0.76</v>
      </c>
      <c r="P148" s="78">
        <v>22.5</v>
      </c>
      <c r="Q148" s="68">
        <f>P148/K148/M148+P148/200</f>
        <v>0.34687499999999999</v>
      </c>
      <c r="R148" s="113"/>
      <c r="S148" s="112">
        <f>0.00291/10+8.4124/100</f>
        <v>8.4415000000000004E-2</v>
      </c>
      <c r="T148" s="112">
        <f>20/100</f>
        <v>0.2</v>
      </c>
      <c r="U148" s="112"/>
      <c r="V148" s="68">
        <f t="shared" ref="V148:V159" si="86">(I148+Q148+(N148*O148/K148/M148)/2)*1.11+R148*1.03+T148+U148</f>
        <v>1.25232960921053</v>
      </c>
      <c r="W148" s="13">
        <v>1.74</v>
      </c>
      <c r="X148" s="42">
        <f t="shared" si="75"/>
        <v>-0.48767039078947</v>
      </c>
      <c r="Y148" s="44">
        <f t="shared" si="76"/>
        <v>0.159702364720164</v>
      </c>
      <c r="Z148" s="45">
        <f t="shared" si="77"/>
        <v>0.27698378881153402</v>
      </c>
      <c r="AA148" s="15">
        <f t="shared" si="78"/>
        <v>0.19197916666666701</v>
      </c>
      <c r="AB148" s="45">
        <f t="shared" si="79"/>
        <v>0.153297634468365</v>
      </c>
      <c r="AC148" s="46">
        <f t="shared" si="80"/>
        <v>6.7406375589263004E-2</v>
      </c>
      <c r="AD148" s="46">
        <f t="shared" si="81"/>
        <v>0</v>
      </c>
      <c r="AE148" s="46">
        <f t="shared" si="82"/>
        <v>0.67325652663140001</v>
      </c>
      <c r="AF148" s="47">
        <v>1600</v>
      </c>
      <c r="AG148" s="137">
        <f t="shared" si="69"/>
        <v>1.6815334949215199</v>
      </c>
      <c r="AH148" s="52">
        <f t="shared" si="70"/>
        <v>2690.45359187442</v>
      </c>
      <c r="AI148" s="53">
        <f t="shared" si="71"/>
        <v>2003.7273747368499</v>
      </c>
      <c r="AJ148" s="53">
        <f t="shared" si="72"/>
        <v>2784</v>
      </c>
      <c r="AK148" s="45">
        <f t="shared" si="73"/>
        <v>0.342724377475636</v>
      </c>
      <c r="AL148" s="45">
        <f t="shared" si="74"/>
        <v>-3.36014397002787E-2</v>
      </c>
    </row>
    <row r="149" spans="1:38" ht="14.25">
      <c r="A149" s="10">
        <v>146</v>
      </c>
      <c r="B149" s="74" t="s">
        <v>345</v>
      </c>
      <c r="C149" s="75" t="s">
        <v>346</v>
      </c>
      <c r="D149" s="76" t="s">
        <v>347</v>
      </c>
      <c r="E149" s="77"/>
      <c r="F149" s="78">
        <v>5.1499999999999997E-2</v>
      </c>
      <c r="G149" s="79">
        <v>17.399999999999999</v>
      </c>
      <c r="H149" s="80">
        <v>0.95</v>
      </c>
      <c r="I149" s="79">
        <f t="shared" si="85"/>
        <v>0.94326315789473703</v>
      </c>
      <c r="J149" s="101" t="s">
        <v>65</v>
      </c>
      <c r="K149" s="102">
        <f t="shared" si="83"/>
        <v>65.454545454545496</v>
      </c>
      <c r="L149" s="102">
        <v>55</v>
      </c>
      <c r="M149" s="103">
        <v>2</v>
      </c>
      <c r="N149" s="101">
        <v>34</v>
      </c>
      <c r="O149" s="101">
        <v>0.76</v>
      </c>
      <c r="P149" s="101">
        <v>22.5</v>
      </c>
      <c r="Q149" s="79">
        <f t="shared" si="84"/>
        <v>0.171875</v>
      </c>
      <c r="R149" s="101">
        <v>0</v>
      </c>
      <c r="S149" s="114">
        <v>7.15583333333333E-3</v>
      </c>
      <c r="T149" s="114">
        <v>1.6666666666666701E-2</v>
      </c>
      <c r="U149" s="101">
        <v>0.3</v>
      </c>
      <c r="V149" s="68">
        <f t="shared" si="86"/>
        <v>1.6640208552631599</v>
      </c>
      <c r="W149" s="13">
        <v>2.2599999999999998</v>
      </c>
      <c r="X149" s="42">
        <f t="shared" si="75"/>
        <v>-0.59597914473683999</v>
      </c>
      <c r="Y149" s="44">
        <f t="shared" si="76"/>
        <v>1.0015900109635901E-2</v>
      </c>
      <c r="Z149" s="45">
        <f t="shared" si="77"/>
        <v>0.10328896988062</v>
      </c>
      <c r="AA149" s="15">
        <f t="shared" si="78"/>
        <v>9.8694444444444404E-2</v>
      </c>
      <c r="AB149" s="45">
        <f t="shared" si="79"/>
        <v>5.93108218158937E-2</v>
      </c>
      <c r="AC149" s="46">
        <f t="shared" si="80"/>
        <v>4.3003267120721601E-3</v>
      </c>
      <c r="AD149" s="46">
        <f t="shared" si="81"/>
        <v>0.180286201973446</v>
      </c>
      <c r="AE149" s="46">
        <f t="shared" si="82"/>
        <v>0.43314222600559699</v>
      </c>
      <c r="AF149" s="47">
        <v>1512</v>
      </c>
      <c r="AG149" s="137">
        <f t="shared" si="69"/>
        <v>2.1126284402893201</v>
      </c>
      <c r="AH149" s="52">
        <f t="shared" si="70"/>
        <v>3194.2942017174501</v>
      </c>
      <c r="AI149" s="53">
        <f t="shared" si="71"/>
        <v>2515.9995331578998</v>
      </c>
      <c r="AJ149" s="53">
        <f t="shared" si="72"/>
        <v>3417.12</v>
      </c>
      <c r="AK149" s="45">
        <f t="shared" si="73"/>
        <v>0.26959252560281999</v>
      </c>
      <c r="AL149" s="45">
        <f t="shared" si="74"/>
        <v>-6.52086547392388E-2</v>
      </c>
    </row>
    <row r="150" spans="1:38" ht="14.25">
      <c r="A150" s="10">
        <v>147</v>
      </c>
      <c r="B150" s="74" t="s">
        <v>348</v>
      </c>
      <c r="C150" s="70" t="s">
        <v>349</v>
      </c>
      <c r="D150" s="76" t="s">
        <v>350</v>
      </c>
      <c r="E150" s="77"/>
      <c r="F150" s="78">
        <v>1.6480000000000002E-2</v>
      </c>
      <c r="G150" s="79">
        <v>16</v>
      </c>
      <c r="H150" s="80">
        <v>0.85</v>
      </c>
      <c r="I150" s="79">
        <f t="shared" si="85"/>
        <v>0.31021176470588202</v>
      </c>
      <c r="J150" s="101" t="s">
        <v>65</v>
      </c>
      <c r="K150" s="102">
        <f t="shared" si="83"/>
        <v>65.454545454545496</v>
      </c>
      <c r="L150" s="102">
        <v>55</v>
      </c>
      <c r="M150" s="103">
        <v>2</v>
      </c>
      <c r="N150" s="101">
        <v>34</v>
      </c>
      <c r="O150" s="101">
        <v>0.76</v>
      </c>
      <c r="P150" s="101">
        <v>22.5</v>
      </c>
      <c r="Q150" s="79">
        <f t="shared" si="84"/>
        <v>0.171875</v>
      </c>
      <c r="R150" s="101">
        <v>0</v>
      </c>
      <c r="S150" s="114">
        <v>0.03</v>
      </c>
      <c r="T150" s="114">
        <v>6.6666666666666697E-3</v>
      </c>
      <c r="U150" s="101">
        <v>0.3</v>
      </c>
      <c r="V150" s="68">
        <f t="shared" si="86"/>
        <v>0.95133380882352903</v>
      </c>
      <c r="W150" s="13">
        <v>1.43</v>
      </c>
      <c r="X150" s="42">
        <f t="shared" si="75"/>
        <v>-0.47866619117647102</v>
      </c>
      <c r="Y150" s="44">
        <f t="shared" si="76"/>
        <v>7.0077049767746898E-3</v>
      </c>
      <c r="Z150" s="45">
        <f t="shared" si="77"/>
        <v>0.180667393932472</v>
      </c>
      <c r="AA150" s="15">
        <f t="shared" si="78"/>
        <v>9.8694444444444404E-2</v>
      </c>
      <c r="AB150" s="45">
        <f t="shared" si="79"/>
        <v>0.10374323242700199</v>
      </c>
      <c r="AC150" s="46">
        <f t="shared" si="80"/>
        <v>3.1534672395486102E-2</v>
      </c>
      <c r="AD150" s="46">
        <f t="shared" si="81"/>
        <v>0.31534672395486102</v>
      </c>
      <c r="AE150" s="46">
        <f t="shared" si="82"/>
        <v>0.67391912089247996</v>
      </c>
      <c r="AF150" s="47">
        <v>600</v>
      </c>
      <c r="AG150" s="137">
        <f t="shared" si="69"/>
        <v>1.2932474817377899</v>
      </c>
      <c r="AH150" s="52">
        <f t="shared" si="70"/>
        <v>775.94848904267599</v>
      </c>
      <c r="AI150" s="53">
        <f t="shared" si="71"/>
        <v>570.80028529411697</v>
      </c>
      <c r="AJ150" s="53">
        <f t="shared" si="72"/>
        <v>858</v>
      </c>
      <c r="AK150" s="45">
        <f t="shared" si="73"/>
        <v>0.35940452209628998</v>
      </c>
      <c r="AL150" s="45">
        <f t="shared" si="74"/>
        <v>-9.5631131651893297E-2</v>
      </c>
    </row>
    <row r="151" spans="1:38" ht="14.25">
      <c r="A151" s="10">
        <v>148</v>
      </c>
      <c r="B151" s="74" t="s">
        <v>351</v>
      </c>
      <c r="C151" s="70" t="s">
        <v>352</v>
      </c>
      <c r="D151" s="76" t="s">
        <v>350</v>
      </c>
      <c r="E151" s="77"/>
      <c r="F151" s="78">
        <v>8.9249999999999996E-2</v>
      </c>
      <c r="G151" s="79">
        <v>16</v>
      </c>
      <c r="H151" s="80">
        <v>0.95</v>
      </c>
      <c r="I151" s="79">
        <f t="shared" si="85"/>
        <v>1.50315789473684</v>
      </c>
      <c r="J151" s="101" t="s">
        <v>65</v>
      </c>
      <c r="K151" s="102">
        <f t="shared" si="83"/>
        <v>65.454545454545496</v>
      </c>
      <c r="L151" s="102">
        <v>55</v>
      </c>
      <c r="M151" s="103">
        <v>2</v>
      </c>
      <c r="N151" s="101">
        <v>34</v>
      </c>
      <c r="O151" s="101">
        <v>0.76</v>
      </c>
      <c r="P151" s="101">
        <v>22.5</v>
      </c>
      <c r="Q151" s="79">
        <f t="shared" si="84"/>
        <v>0.171875</v>
      </c>
      <c r="R151" s="101">
        <v>0</v>
      </c>
      <c r="S151" s="114">
        <v>0.03</v>
      </c>
      <c r="T151" s="114">
        <v>6.6666666666666697E-3</v>
      </c>
      <c r="U151" s="101">
        <v>0.3</v>
      </c>
      <c r="V151" s="68">
        <f t="shared" si="86"/>
        <v>2.2755040131578901</v>
      </c>
      <c r="W151" s="13">
        <v>3.13</v>
      </c>
      <c r="X151" s="42">
        <f t="shared" si="75"/>
        <v>-0.85449598684211003</v>
      </c>
      <c r="Y151" s="44">
        <f t="shared" si="76"/>
        <v>2.9297538602952502E-3</v>
      </c>
      <c r="Z151" s="45">
        <f t="shared" si="77"/>
        <v>7.5532716710736997E-2</v>
      </c>
      <c r="AA151" s="15">
        <f t="shared" si="78"/>
        <v>9.8694444444444404E-2</v>
      </c>
      <c r="AB151" s="45">
        <f t="shared" si="79"/>
        <v>4.33725644401209E-2</v>
      </c>
      <c r="AC151" s="46">
        <f t="shared" si="80"/>
        <v>1.3183892371328601E-2</v>
      </c>
      <c r="AD151" s="46">
        <f t="shared" si="81"/>
        <v>0.13183892371328601</v>
      </c>
      <c r="AE151" s="46">
        <f t="shared" si="82"/>
        <v>0.33941760328921899</v>
      </c>
      <c r="AF151" s="47">
        <v>178</v>
      </c>
      <c r="AG151" s="137">
        <f t="shared" si="69"/>
        <v>2.9505806401969799</v>
      </c>
      <c r="AH151" s="52">
        <f t="shared" si="70"/>
        <v>525.20335395506299</v>
      </c>
      <c r="AI151" s="53">
        <f t="shared" si="71"/>
        <v>405.03971434210399</v>
      </c>
      <c r="AJ151" s="53">
        <f t="shared" si="72"/>
        <v>557.14</v>
      </c>
      <c r="AK151" s="45">
        <f t="shared" si="73"/>
        <v>0.29667125310943099</v>
      </c>
      <c r="AL151" s="45">
        <f t="shared" si="74"/>
        <v>-5.7322479170293802E-2</v>
      </c>
    </row>
    <row r="152" spans="1:38" ht="14.25">
      <c r="A152" s="10">
        <v>149</v>
      </c>
      <c r="B152" s="74" t="s">
        <v>353</v>
      </c>
      <c r="C152" s="70" t="s">
        <v>354</v>
      </c>
      <c r="D152" s="76" t="s">
        <v>350</v>
      </c>
      <c r="E152" s="77"/>
      <c r="F152" s="78">
        <v>8.9249999999999996E-2</v>
      </c>
      <c r="G152" s="79">
        <v>16</v>
      </c>
      <c r="H152" s="80">
        <v>0.95</v>
      </c>
      <c r="I152" s="79">
        <f t="shared" si="85"/>
        <v>1.50315789473684</v>
      </c>
      <c r="J152" s="101" t="s">
        <v>65</v>
      </c>
      <c r="K152" s="102">
        <f t="shared" si="83"/>
        <v>65</v>
      </c>
      <c r="L152" s="102">
        <v>55.384615384615401</v>
      </c>
      <c r="M152" s="103">
        <v>2</v>
      </c>
      <c r="N152" s="101">
        <v>34</v>
      </c>
      <c r="O152" s="101">
        <v>0.76</v>
      </c>
      <c r="P152" s="101">
        <v>22.5</v>
      </c>
      <c r="Q152" s="79">
        <f t="shared" si="84"/>
        <v>0.17307692307692299</v>
      </c>
      <c r="R152" s="101">
        <v>0</v>
      </c>
      <c r="S152" s="114">
        <v>0.03</v>
      </c>
      <c r="T152" s="114">
        <v>6.6666666666666697E-3</v>
      </c>
      <c r="U152" s="101">
        <v>0.3</v>
      </c>
      <c r="V152" s="68">
        <f t="shared" si="86"/>
        <v>2.2776042375168699</v>
      </c>
      <c r="W152" s="13">
        <v>3.13</v>
      </c>
      <c r="X152" s="42">
        <f t="shared" si="75"/>
        <v>-0.85239576248312998</v>
      </c>
      <c r="Y152" s="44">
        <f t="shared" si="76"/>
        <v>2.9270522757434501E-3</v>
      </c>
      <c r="Z152" s="45">
        <f t="shared" si="77"/>
        <v>7.5990780235647107E-2</v>
      </c>
      <c r="AA152" s="15">
        <f t="shared" si="78"/>
        <v>9.9384615384615405E-2</v>
      </c>
      <c r="AB152" s="45">
        <f t="shared" si="79"/>
        <v>4.3635594695313799E-2</v>
      </c>
      <c r="AC152" s="46">
        <f t="shared" si="80"/>
        <v>1.31717352408455E-2</v>
      </c>
      <c r="AD152" s="46">
        <f t="shared" si="81"/>
        <v>0.131717352408455</v>
      </c>
      <c r="AE152" s="46">
        <f t="shared" si="82"/>
        <v>0.34002673951132101</v>
      </c>
      <c r="AF152" s="47">
        <v>335</v>
      </c>
      <c r="AG152" s="137">
        <f t="shared" si="69"/>
        <v>2.9533689892748001</v>
      </c>
      <c r="AH152" s="52">
        <f t="shared" si="70"/>
        <v>989.378611407059</v>
      </c>
      <c r="AI152" s="53">
        <f t="shared" si="71"/>
        <v>762.99741956815103</v>
      </c>
      <c r="AJ152" s="53">
        <f t="shared" si="72"/>
        <v>1048.55</v>
      </c>
      <c r="AK152" s="45">
        <f t="shared" si="73"/>
        <v>0.29669981317503902</v>
      </c>
      <c r="AL152" s="45">
        <f t="shared" si="74"/>
        <v>-5.6431632819551797E-2</v>
      </c>
    </row>
    <row r="153" spans="1:38" ht="14.25">
      <c r="A153" s="10">
        <v>150</v>
      </c>
      <c r="B153" s="74" t="s">
        <v>355</v>
      </c>
      <c r="C153" s="70" t="s">
        <v>356</v>
      </c>
      <c r="D153" s="76" t="s">
        <v>357</v>
      </c>
      <c r="E153" s="77"/>
      <c r="F153" s="78">
        <v>3.8600000000000001E-3</v>
      </c>
      <c r="G153" s="79">
        <v>19</v>
      </c>
      <c r="H153" s="80">
        <v>0.95</v>
      </c>
      <c r="I153" s="79">
        <f t="shared" si="85"/>
        <v>7.7200000000000005E-2</v>
      </c>
      <c r="J153" s="101" t="s">
        <v>65</v>
      </c>
      <c r="K153" s="102">
        <f t="shared" si="83"/>
        <v>65</v>
      </c>
      <c r="L153" s="102">
        <v>55.384615384615401</v>
      </c>
      <c r="M153" s="103">
        <v>2</v>
      </c>
      <c r="N153" s="101">
        <v>34</v>
      </c>
      <c r="O153" s="101">
        <v>0.76</v>
      </c>
      <c r="P153" s="101">
        <v>22.5</v>
      </c>
      <c r="Q153" s="79">
        <f t="shared" si="84"/>
        <v>0.17307692307692299</v>
      </c>
      <c r="R153" s="101">
        <v>0</v>
      </c>
      <c r="S153" s="114">
        <v>0.01</v>
      </c>
      <c r="T153" s="114">
        <v>6.6666666666666697E-3</v>
      </c>
      <c r="U153" s="101">
        <v>0.3</v>
      </c>
      <c r="V153" s="68">
        <f t="shared" si="86"/>
        <v>0.69479097435897397</v>
      </c>
      <c r="W153" s="13">
        <v>0.95</v>
      </c>
      <c r="X153" s="42">
        <f t="shared" si="75"/>
        <v>-0.25520902564102599</v>
      </c>
      <c r="Y153" s="44">
        <f t="shared" si="76"/>
        <v>9.5952119597083798E-3</v>
      </c>
      <c r="Z153" s="45">
        <f t="shared" si="77"/>
        <v>0.24910646433858299</v>
      </c>
      <c r="AA153" s="15">
        <f t="shared" si="78"/>
        <v>9.9384615384615405E-2</v>
      </c>
      <c r="AB153" s="45">
        <f t="shared" si="79"/>
        <v>0.143042467522422</v>
      </c>
      <c r="AC153" s="46">
        <f t="shared" si="80"/>
        <v>1.43928179395626E-2</v>
      </c>
      <c r="AD153" s="46">
        <f t="shared" si="81"/>
        <v>0.43178453818687701</v>
      </c>
      <c r="AE153" s="46">
        <f t="shared" si="82"/>
        <v>0.88888744550657695</v>
      </c>
      <c r="AF153" s="47">
        <v>610</v>
      </c>
      <c r="AG153" s="137">
        <f t="shared" si="69"/>
        <v>0.83195735492577605</v>
      </c>
      <c r="AH153" s="52">
        <f t="shared" si="70"/>
        <v>507.49398650472301</v>
      </c>
      <c r="AI153" s="53">
        <f t="shared" si="71"/>
        <v>423.82249435897398</v>
      </c>
      <c r="AJ153" s="53">
        <f t="shared" si="72"/>
        <v>579.5</v>
      </c>
      <c r="AK153" s="45">
        <f t="shared" si="73"/>
        <v>0.197421074292673</v>
      </c>
      <c r="AL153" s="45">
        <f t="shared" si="74"/>
        <v>-0.124255415867604</v>
      </c>
    </row>
    <row r="154" spans="1:38" ht="14.25">
      <c r="A154" s="10">
        <v>151</v>
      </c>
      <c r="B154" s="62" t="s">
        <v>358</v>
      </c>
      <c r="C154" s="70" t="s">
        <v>359</v>
      </c>
      <c r="D154" s="76" t="s">
        <v>360</v>
      </c>
      <c r="E154" s="77"/>
      <c r="F154" s="78">
        <v>2.1579999999999998E-2</v>
      </c>
      <c r="G154" s="79">
        <v>17.3</v>
      </c>
      <c r="H154" s="80">
        <v>0.96</v>
      </c>
      <c r="I154" s="79">
        <f t="shared" si="85"/>
        <v>0.38888958333333301</v>
      </c>
      <c r="J154" s="98" t="s">
        <v>81</v>
      </c>
      <c r="K154" s="102">
        <f t="shared" si="83"/>
        <v>72</v>
      </c>
      <c r="L154" s="102">
        <v>50</v>
      </c>
      <c r="M154" s="103">
        <v>2</v>
      </c>
      <c r="N154" s="101">
        <v>39.75</v>
      </c>
      <c r="O154" s="101">
        <v>0.76</v>
      </c>
      <c r="P154" s="101">
        <v>22.5</v>
      </c>
      <c r="Q154" s="79">
        <f t="shared" si="84"/>
        <v>0.15625</v>
      </c>
      <c r="R154" s="101">
        <v>0</v>
      </c>
      <c r="S154" s="114">
        <v>1.43116666666667E-2</v>
      </c>
      <c r="T154" s="114">
        <v>3.3333333333333298E-2</v>
      </c>
      <c r="U154" s="101">
        <v>0</v>
      </c>
      <c r="V154" s="68">
        <f t="shared" si="86"/>
        <v>0.75487264583333302</v>
      </c>
      <c r="W154" s="13">
        <v>1.04</v>
      </c>
      <c r="X154" s="42">
        <f t="shared" si="75"/>
        <v>-0.28512735416666701</v>
      </c>
      <c r="Y154" s="44">
        <f t="shared" si="76"/>
        <v>4.4157558917153998E-2</v>
      </c>
      <c r="Z154" s="45">
        <f t="shared" si="77"/>
        <v>0.206988557424159</v>
      </c>
      <c r="AA154" s="15">
        <f t="shared" si="78"/>
        <v>0.10489583333333299</v>
      </c>
      <c r="AB154" s="45">
        <f t="shared" si="79"/>
        <v>0.138958318217419</v>
      </c>
      <c r="AC154" s="46">
        <f t="shared" si="80"/>
        <v>1.8959047921080101E-2</v>
      </c>
      <c r="AD154" s="46">
        <f t="shared" si="81"/>
        <v>0</v>
      </c>
      <c r="AE154" s="46">
        <f t="shared" si="82"/>
        <v>0.48482755935072602</v>
      </c>
      <c r="AF154" s="47">
        <v>1960</v>
      </c>
      <c r="AG154" s="137">
        <f t="shared" si="69"/>
        <v>0.99561331597222202</v>
      </c>
      <c r="AH154" s="52">
        <f t="shared" si="70"/>
        <v>1951.4020993055501</v>
      </c>
      <c r="AI154" s="53">
        <f t="shared" si="71"/>
        <v>1479.55038583333</v>
      </c>
      <c r="AJ154" s="53">
        <f t="shared" si="72"/>
        <v>2038.4</v>
      </c>
      <c r="AK154" s="45">
        <f t="shared" si="73"/>
        <v>0.31891560976239303</v>
      </c>
      <c r="AL154" s="45">
        <f t="shared" si="74"/>
        <v>-4.2679503872863803E-2</v>
      </c>
    </row>
    <row r="155" spans="1:38" ht="14.25">
      <c r="A155" s="10">
        <v>152</v>
      </c>
      <c r="B155" s="62" t="s">
        <v>361</v>
      </c>
      <c r="C155" s="70" t="s">
        <v>119</v>
      </c>
      <c r="D155" s="76" t="s">
        <v>357</v>
      </c>
      <c r="E155" s="77"/>
      <c r="F155" s="78">
        <v>1.536E-2</v>
      </c>
      <c r="G155" s="79">
        <v>19</v>
      </c>
      <c r="H155" s="80">
        <v>0.96</v>
      </c>
      <c r="I155" s="79">
        <f t="shared" si="85"/>
        <v>0.30399999999999999</v>
      </c>
      <c r="J155" s="101" t="s">
        <v>65</v>
      </c>
      <c r="K155" s="102">
        <f t="shared" si="83"/>
        <v>72</v>
      </c>
      <c r="L155" s="102">
        <v>50</v>
      </c>
      <c r="M155" s="103">
        <v>2</v>
      </c>
      <c r="N155" s="101">
        <v>34</v>
      </c>
      <c r="O155" s="101">
        <v>0.76</v>
      </c>
      <c r="P155" s="101">
        <v>22.5</v>
      </c>
      <c r="Q155" s="79">
        <f t="shared" si="84"/>
        <v>0.15625</v>
      </c>
      <c r="R155" s="101">
        <v>0</v>
      </c>
      <c r="S155" s="114">
        <v>2.8623333333333299E-2</v>
      </c>
      <c r="T155" s="114">
        <v>6.6666666666666693E-2</v>
      </c>
      <c r="U155" s="101">
        <v>0</v>
      </c>
      <c r="V155" s="68">
        <f t="shared" si="86"/>
        <v>0.67713583333333305</v>
      </c>
      <c r="W155" s="13">
        <v>0.95</v>
      </c>
      <c r="X155" s="42">
        <f t="shared" si="75"/>
        <v>-0.27286416666666702</v>
      </c>
      <c r="Y155" s="44">
        <f t="shared" si="76"/>
        <v>9.8453904497251402E-2</v>
      </c>
      <c r="Z155" s="45">
        <f t="shared" si="77"/>
        <v>0.23075133866543299</v>
      </c>
      <c r="AA155" s="15">
        <f t="shared" si="78"/>
        <v>8.9722222222222203E-2</v>
      </c>
      <c r="AB155" s="45">
        <f t="shared" si="79"/>
        <v>0.132502546469217</v>
      </c>
      <c r="AC155" s="46">
        <f t="shared" si="80"/>
        <v>4.22711838958948E-2</v>
      </c>
      <c r="AD155" s="46">
        <f t="shared" si="81"/>
        <v>0</v>
      </c>
      <c r="AE155" s="46">
        <f t="shared" si="82"/>
        <v>0.55105019549253398</v>
      </c>
      <c r="AF155" s="47">
        <v>300</v>
      </c>
      <c r="AG155" s="137">
        <f t="shared" si="69"/>
        <v>0.897332824074074</v>
      </c>
      <c r="AH155" s="52">
        <f t="shared" si="70"/>
        <v>269.19984722222199</v>
      </c>
      <c r="AI155" s="53">
        <f t="shared" si="71"/>
        <v>203.14075</v>
      </c>
      <c r="AJ155" s="53">
        <f t="shared" si="72"/>
        <v>285</v>
      </c>
      <c r="AK155" s="45">
        <f t="shared" si="73"/>
        <v>0.325188802454565</v>
      </c>
      <c r="AL155" s="45">
        <f t="shared" si="74"/>
        <v>-5.5439132553606399E-2</v>
      </c>
    </row>
    <row r="156" spans="1:38" ht="14.25">
      <c r="A156" s="10">
        <v>153</v>
      </c>
      <c r="B156" s="62" t="s">
        <v>362</v>
      </c>
      <c r="C156" s="70" t="s">
        <v>363</v>
      </c>
      <c r="D156" s="76" t="s">
        <v>357</v>
      </c>
      <c r="E156" s="77"/>
      <c r="F156" s="78">
        <v>3.0599999999999998E-3</v>
      </c>
      <c r="G156" s="79">
        <v>19</v>
      </c>
      <c r="H156" s="80">
        <v>0.98</v>
      </c>
      <c r="I156" s="79">
        <f t="shared" si="85"/>
        <v>5.9326530612244903E-2</v>
      </c>
      <c r="J156" s="101" t="s">
        <v>65</v>
      </c>
      <c r="K156" s="102">
        <f t="shared" si="83"/>
        <v>80</v>
      </c>
      <c r="L156" s="102">
        <v>45</v>
      </c>
      <c r="M156" s="103">
        <v>2</v>
      </c>
      <c r="N156" s="101">
        <v>34</v>
      </c>
      <c r="O156" s="101">
        <v>0.76</v>
      </c>
      <c r="P156" s="101">
        <v>22.5</v>
      </c>
      <c r="Q156" s="79">
        <f t="shared" si="84"/>
        <v>0.140625</v>
      </c>
      <c r="R156" s="101">
        <v>0</v>
      </c>
      <c r="S156" s="114">
        <v>0.01</v>
      </c>
      <c r="T156" s="114">
        <v>0.01</v>
      </c>
      <c r="U156" s="101">
        <v>0.3</v>
      </c>
      <c r="V156" s="68">
        <f t="shared" si="86"/>
        <v>0.62157869897959195</v>
      </c>
      <c r="W156" s="13">
        <v>0.83</v>
      </c>
      <c r="X156" s="42">
        <f t="shared" si="75"/>
        <v>-0.20842130102040801</v>
      </c>
      <c r="Y156" s="44">
        <f t="shared" si="76"/>
        <v>1.60880673942276E-2</v>
      </c>
      <c r="Z156" s="45">
        <f t="shared" si="77"/>
        <v>0.22623844773132601</v>
      </c>
      <c r="AA156" s="15">
        <f t="shared" si="78"/>
        <v>8.0750000000000002E-2</v>
      </c>
      <c r="AB156" s="45">
        <f t="shared" si="79"/>
        <v>0.12991114420838801</v>
      </c>
      <c r="AC156" s="46">
        <f t="shared" si="80"/>
        <v>1.60880673942276E-2</v>
      </c>
      <c r="AD156" s="46">
        <f t="shared" si="81"/>
        <v>0.48264202182682903</v>
      </c>
      <c r="AE156" s="46">
        <f t="shared" si="82"/>
        <v>0.90455507772444999</v>
      </c>
      <c r="AF156" s="47">
        <v>410</v>
      </c>
      <c r="AG156" s="137">
        <f t="shared" si="69"/>
        <v>0.72100218658892101</v>
      </c>
      <c r="AH156" s="52">
        <f t="shared" si="70"/>
        <v>295.610896501458</v>
      </c>
      <c r="AI156" s="53">
        <f t="shared" si="71"/>
        <v>254.84726658163299</v>
      </c>
      <c r="AJ156" s="53">
        <f t="shared" si="72"/>
        <v>340.3</v>
      </c>
      <c r="AK156" s="45">
        <f t="shared" si="73"/>
        <v>0.159953176922805</v>
      </c>
      <c r="AL156" s="45">
        <f t="shared" si="74"/>
        <v>-0.13132266676033599</v>
      </c>
    </row>
    <row r="157" spans="1:38" ht="14.25">
      <c r="A157" s="10">
        <v>154</v>
      </c>
      <c r="B157" s="62" t="s">
        <v>364</v>
      </c>
      <c r="C157" s="70" t="s">
        <v>365</v>
      </c>
      <c r="D157" s="76" t="s">
        <v>357</v>
      </c>
      <c r="E157" s="77"/>
      <c r="F157" s="78">
        <v>3.0599999999999998E-3</v>
      </c>
      <c r="G157" s="79">
        <v>19</v>
      </c>
      <c r="H157" s="80">
        <v>0.98</v>
      </c>
      <c r="I157" s="79">
        <f t="shared" si="85"/>
        <v>5.9326530612244903E-2</v>
      </c>
      <c r="J157" s="101" t="s">
        <v>65</v>
      </c>
      <c r="K157" s="102">
        <f t="shared" si="83"/>
        <v>80</v>
      </c>
      <c r="L157" s="102">
        <v>45</v>
      </c>
      <c r="M157" s="103">
        <v>2</v>
      </c>
      <c r="N157" s="101">
        <v>34</v>
      </c>
      <c r="O157" s="101">
        <v>0.76</v>
      </c>
      <c r="P157" s="101">
        <v>22.5</v>
      </c>
      <c r="Q157" s="79">
        <f t="shared" si="84"/>
        <v>0.140625</v>
      </c>
      <c r="R157" s="101">
        <v>0</v>
      </c>
      <c r="S157" s="114">
        <v>0.01</v>
      </c>
      <c r="T157" s="114">
        <v>0.01</v>
      </c>
      <c r="U157" s="101">
        <v>0.3</v>
      </c>
      <c r="V157" s="68">
        <f t="shared" si="86"/>
        <v>0.62157869897959195</v>
      </c>
      <c r="W157" s="13">
        <v>0.83</v>
      </c>
      <c r="X157" s="42">
        <f t="shared" si="75"/>
        <v>-0.20842130102040801</v>
      </c>
      <c r="Y157" s="44">
        <f t="shared" si="76"/>
        <v>1.60880673942276E-2</v>
      </c>
      <c r="Z157" s="45">
        <f t="shared" si="77"/>
        <v>0.22623844773132601</v>
      </c>
      <c r="AA157" s="15">
        <f t="shared" si="78"/>
        <v>8.0750000000000002E-2</v>
      </c>
      <c r="AB157" s="45">
        <f t="shared" si="79"/>
        <v>0.12991114420838801</v>
      </c>
      <c r="AC157" s="46">
        <f t="shared" si="80"/>
        <v>1.60880673942276E-2</v>
      </c>
      <c r="AD157" s="46">
        <f t="shared" si="81"/>
        <v>0.48264202182682903</v>
      </c>
      <c r="AE157" s="46">
        <f t="shared" si="82"/>
        <v>0.90455507772444999</v>
      </c>
      <c r="AF157" s="47"/>
      <c r="AG157" s="137">
        <f t="shared" si="69"/>
        <v>0.72100218658892101</v>
      </c>
      <c r="AH157" s="52">
        <f t="shared" si="70"/>
        <v>0</v>
      </c>
      <c r="AI157" s="53">
        <f t="shared" si="71"/>
        <v>0</v>
      </c>
      <c r="AJ157" s="53">
        <f t="shared" si="72"/>
        <v>0</v>
      </c>
      <c r="AK157" s="45">
        <f t="shared" si="73"/>
        <v>0.159953176922805</v>
      </c>
      <c r="AL157" s="45">
        <f t="shared" si="74"/>
        <v>-0.13132266676033599</v>
      </c>
    </row>
    <row r="158" spans="1:38" ht="14.25">
      <c r="A158" s="10">
        <v>155</v>
      </c>
      <c r="B158" s="62" t="s">
        <v>366</v>
      </c>
      <c r="C158" s="70" t="s">
        <v>367</v>
      </c>
      <c r="D158" s="76" t="s">
        <v>357</v>
      </c>
      <c r="E158" s="77"/>
      <c r="F158" s="78">
        <v>3.0599999999999998E-3</v>
      </c>
      <c r="G158" s="79">
        <v>19</v>
      </c>
      <c r="H158" s="80">
        <v>0.97</v>
      </c>
      <c r="I158" s="79">
        <f t="shared" si="85"/>
        <v>5.99381443298969E-2</v>
      </c>
      <c r="J158" s="101" t="s">
        <v>368</v>
      </c>
      <c r="K158" s="102">
        <f t="shared" si="83"/>
        <v>80</v>
      </c>
      <c r="L158" s="102">
        <v>45</v>
      </c>
      <c r="M158" s="103">
        <v>2</v>
      </c>
      <c r="N158" s="101">
        <v>34</v>
      </c>
      <c r="O158" s="101">
        <v>0.76</v>
      </c>
      <c r="P158" s="101">
        <v>22.5</v>
      </c>
      <c r="Q158" s="79">
        <f t="shared" si="84"/>
        <v>0.140625</v>
      </c>
      <c r="R158" s="101">
        <v>0</v>
      </c>
      <c r="S158" s="114">
        <v>0.01</v>
      </c>
      <c r="T158" s="114">
        <v>6.6666666666666697E-3</v>
      </c>
      <c r="U158" s="101">
        <v>0.3</v>
      </c>
      <c r="V158" s="68">
        <f t="shared" si="86"/>
        <v>0.61892425687285202</v>
      </c>
      <c r="W158" s="13">
        <v>0.83</v>
      </c>
      <c r="X158" s="42">
        <f t="shared" si="75"/>
        <v>-0.211075743127148</v>
      </c>
      <c r="Y158" s="44">
        <f t="shared" si="76"/>
        <v>1.0771377260846701E-2</v>
      </c>
      <c r="Z158" s="45">
        <f t="shared" si="77"/>
        <v>0.22720873909598499</v>
      </c>
      <c r="AA158" s="15">
        <f t="shared" si="78"/>
        <v>8.0750000000000002E-2</v>
      </c>
      <c r="AB158" s="45">
        <f t="shared" si="79"/>
        <v>0.13046830707200499</v>
      </c>
      <c r="AC158" s="46">
        <f t="shared" si="80"/>
        <v>1.615706589127E-2</v>
      </c>
      <c r="AD158" s="46">
        <f t="shared" si="81"/>
        <v>0.48471197673810101</v>
      </c>
      <c r="AE158" s="46">
        <f t="shared" si="82"/>
        <v>0.90315754526614</v>
      </c>
      <c r="AF158" s="47">
        <v>370</v>
      </c>
      <c r="AG158" s="137">
        <f t="shared" si="69"/>
        <v>0.72268563786445605</v>
      </c>
      <c r="AH158" s="52">
        <f t="shared" si="70"/>
        <v>267.39368600984898</v>
      </c>
      <c r="AI158" s="53">
        <f t="shared" si="71"/>
        <v>229.001975042955</v>
      </c>
      <c r="AJ158" s="53">
        <f t="shared" si="72"/>
        <v>307.10000000000002</v>
      </c>
      <c r="AK158" s="45">
        <f t="shared" si="73"/>
        <v>0.167647946965052</v>
      </c>
      <c r="AL158" s="45">
        <f t="shared" si="74"/>
        <v>-0.12929441221149901</v>
      </c>
    </row>
    <row r="159" spans="1:38" ht="14.25">
      <c r="A159" s="10">
        <v>156</v>
      </c>
      <c r="B159" s="62" t="s">
        <v>369</v>
      </c>
      <c r="C159" s="70" t="s">
        <v>370</v>
      </c>
      <c r="D159" s="66" t="s">
        <v>360</v>
      </c>
      <c r="E159" s="67"/>
      <c r="F159" s="67">
        <v>1.6629999999999999E-2</v>
      </c>
      <c r="G159" s="68">
        <v>17.3</v>
      </c>
      <c r="H159" s="69">
        <v>0.96</v>
      </c>
      <c r="I159" s="104">
        <f t="shared" si="85"/>
        <v>0.29968645833333302</v>
      </c>
      <c r="J159" s="99" t="s">
        <v>81</v>
      </c>
      <c r="K159" s="99">
        <v>60</v>
      </c>
      <c r="L159" s="78">
        <v>60</v>
      </c>
      <c r="M159" s="76">
        <v>1</v>
      </c>
      <c r="N159" s="78">
        <v>39.75</v>
      </c>
      <c r="O159" s="78">
        <v>0.76</v>
      </c>
      <c r="P159" s="78">
        <v>22.5</v>
      </c>
      <c r="Q159" s="79">
        <f t="shared" si="84"/>
        <v>0.375</v>
      </c>
      <c r="R159" s="68"/>
      <c r="S159" s="111"/>
      <c r="T159" s="68">
        <v>0.01</v>
      </c>
      <c r="U159" s="78"/>
      <c r="V159" s="68">
        <f t="shared" si="86"/>
        <v>1.0383444687500001</v>
      </c>
      <c r="W159" s="13">
        <v>1.35</v>
      </c>
      <c r="X159" s="42">
        <f t="shared" si="75"/>
        <v>-0.31165553125000001</v>
      </c>
      <c r="Y159" s="44">
        <f t="shared" si="76"/>
        <v>9.6307153367305894E-3</v>
      </c>
      <c r="Z159" s="45">
        <f t="shared" si="77"/>
        <v>0.36115182512739702</v>
      </c>
      <c r="AA159" s="15">
        <f t="shared" si="78"/>
        <v>0.25174999999999997</v>
      </c>
      <c r="AB159" s="45">
        <f t="shared" si="79"/>
        <v>0.24245325860219299</v>
      </c>
      <c r="AC159" s="46">
        <f t="shared" si="80"/>
        <v>0</v>
      </c>
      <c r="AD159" s="46">
        <f t="shared" si="81"/>
        <v>0</v>
      </c>
      <c r="AE159" s="46">
        <f t="shared" si="82"/>
        <v>0.71138050295187005</v>
      </c>
      <c r="AF159" s="47">
        <v>720</v>
      </c>
      <c r="AG159" s="137">
        <f t="shared" si="69"/>
        <v>1.36105316840278</v>
      </c>
      <c r="AH159" s="52">
        <f t="shared" si="70"/>
        <v>979.95828125000003</v>
      </c>
      <c r="AI159" s="53">
        <f t="shared" si="71"/>
        <v>747.60801749999996</v>
      </c>
      <c r="AJ159" s="53">
        <f t="shared" si="72"/>
        <v>972</v>
      </c>
      <c r="AK159" s="45">
        <f t="shared" si="73"/>
        <v>0.31079156230423799</v>
      </c>
      <c r="AL159" s="45">
        <f t="shared" si="74"/>
        <v>8.1875321502052102E-3</v>
      </c>
    </row>
    <row r="160" spans="1:38" ht="14.25">
      <c r="A160" s="10">
        <v>157</v>
      </c>
      <c r="B160" s="74" t="s">
        <v>371</v>
      </c>
      <c r="C160" s="75" t="s">
        <v>372</v>
      </c>
      <c r="D160" s="76" t="s">
        <v>43</v>
      </c>
      <c r="E160" s="67"/>
      <c r="F160" s="67">
        <v>2.52E-2</v>
      </c>
      <c r="G160" s="68">
        <v>17.3</v>
      </c>
      <c r="H160" s="69">
        <v>0.96</v>
      </c>
      <c r="I160" s="68">
        <f t="shared" si="85"/>
        <v>0.454125</v>
      </c>
      <c r="J160" s="98" t="s">
        <v>65</v>
      </c>
      <c r="K160" s="78">
        <v>55</v>
      </c>
      <c r="L160" s="99">
        <f>3600/K160</f>
        <v>65.454545454545496</v>
      </c>
      <c r="M160" s="76">
        <v>2</v>
      </c>
      <c r="N160" s="78">
        <v>34</v>
      </c>
      <c r="O160" s="78">
        <v>0.76</v>
      </c>
      <c r="P160" s="78">
        <v>22.5</v>
      </c>
      <c r="Q160" s="68">
        <f t="shared" si="84"/>
        <v>0.204545454545455</v>
      </c>
      <c r="R160" s="111"/>
      <c r="S160" s="112">
        <v>0.27</v>
      </c>
      <c r="T160" s="112">
        <v>0.01</v>
      </c>
      <c r="U160" s="112"/>
      <c r="V160" s="68">
        <f t="shared" ref="V160:V169" si="87">(I160+Q160+(N160*O160/K160/M160)/2)*1.11+R160*1.03+S160+T160+U160</f>
        <v>1.14149875</v>
      </c>
      <c r="W160" s="13">
        <v>1.48</v>
      </c>
      <c r="X160" s="42">
        <f t="shared" si="75"/>
        <v>-0.33850124999999998</v>
      </c>
      <c r="Y160" s="44">
        <f t="shared" si="76"/>
        <v>8.7604125716300597E-3</v>
      </c>
      <c r="Z160" s="45">
        <f t="shared" si="77"/>
        <v>0.179190257146979</v>
      </c>
      <c r="AA160" s="15">
        <f t="shared" si="78"/>
        <v>0.11745454545454501</v>
      </c>
      <c r="AB160" s="45">
        <f t="shared" si="79"/>
        <v>0.102895027659509</v>
      </c>
      <c r="AC160" s="46">
        <f t="shared" si="80"/>
        <v>0.23653113943401199</v>
      </c>
      <c r="AD160" s="46">
        <f t="shared" si="81"/>
        <v>0</v>
      </c>
      <c r="AE160" s="46">
        <f t="shared" si="82"/>
        <v>0.60216776409085004</v>
      </c>
      <c r="AF160" s="47">
        <v>314</v>
      </c>
      <c r="AG160" s="137">
        <f t="shared" si="69"/>
        <v>1.41184895833333</v>
      </c>
      <c r="AH160" s="52">
        <f t="shared" si="70"/>
        <v>443.320572916667</v>
      </c>
      <c r="AI160" s="53">
        <f t="shared" si="71"/>
        <v>358.43060750000001</v>
      </c>
      <c r="AJ160" s="53">
        <f t="shared" si="72"/>
        <v>464.72</v>
      </c>
      <c r="AK160" s="45">
        <f t="shared" si="73"/>
        <v>0.23683793638261499</v>
      </c>
      <c r="AL160" s="45">
        <f t="shared" si="74"/>
        <v>-4.6048001126125698E-2</v>
      </c>
    </row>
    <row r="161" spans="1:38" ht="14.25">
      <c r="A161" s="10">
        <v>158</v>
      </c>
      <c r="B161" s="74" t="s">
        <v>373</v>
      </c>
      <c r="C161" s="75" t="s">
        <v>374</v>
      </c>
      <c r="D161" s="76" t="s">
        <v>347</v>
      </c>
      <c r="E161" s="67"/>
      <c r="F161" s="67">
        <v>0.02</v>
      </c>
      <c r="G161" s="79">
        <v>17.399999999999999</v>
      </c>
      <c r="H161" s="69">
        <v>0.96</v>
      </c>
      <c r="I161" s="68">
        <f t="shared" si="85"/>
        <v>0.36249999999999999</v>
      </c>
      <c r="J161" s="98" t="s">
        <v>65</v>
      </c>
      <c r="K161" s="78">
        <v>65</v>
      </c>
      <c r="L161" s="99">
        <v>55</v>
      </c>
      <c r="M161" s="76">
        <v>2</v>
      </c>
      <c r="N161" s="78">
        <v>34</v>
      </c>
      <c r="O161" s="78">
        <v>0.76</v>
      </c>
      <c r="P161" s="78">
        <v>22.5</v>
      </c>
      <c r="Q161" s="68">
        <f t="shared" si="84"/>
        <v>0.17307692307692299</v>
      </c>
      <c r="R161" s="111"/>
      <c r="S161" s="112">
        <f>0.1307/200</f>
        <v>6.535E-4</v>
      </c>
      <c r="T161" s="112">
        <v>0.01</v>
      </c>
      <c r="U161" s="112"/>
      <c r="V161" s="68">
        <f t="shared" si="87"/>
        <v>0.71546080769230802</v>
      </c>
      <c r="W161" s="13">
        <v>0.94</v>
      </c>
      <c r="X161" s="42">
        <f t="shared" si="75"/>
        <v>-0.22453919230769201</v>
      </c>
      <c r="Y161" s="44">
        <f t="shared" si="76"/>
        <v>1.3977005997372E-2</v>
      </c>
      <c r="Z161" s="45">
        <f t="shared" si="77"/>
        <v>0.241909719185285</v>
      </c>
      <c r="AA161" s="15">
        <f t="shared" si="78"/>
        <v>9.9384615384615405E-2</v>
      </c>
      <c r="AB161" s="45">
        <f t="shared" si="79"/>
        <v>0.13890993652772801</v>
      </c>
      <c r="AC161" s="46">
        <f t="shared" si="80"/>
        <v>9.1339734192826005E-4</v>
      </c>
      <c r="AD161" s="46">
        <f t="shared" si="81"/>
        <v>0</v>
      </c>
      <c r="AE161" s="46">
        <f t="shared" si="82"/>
        <v>0.49333353259526502</v>
      </c>
      <c r="AF161" s="47">
        <v>370</v>
      </c>
      <c r="AG161" s="137">
        <f t="shared" si="69"/>
        <v>0.93663907692307702</v>
      </c>
      <c r="AH161" s="52">
        <f t="shared" si="70"/>
        <v>346.556458461538</v>
      </c>
      <c r="AI161" s="53">
        <f t="shared" si="71"/>
        <v>264.72049884615399</v>
      </c>
      <c r="AJ161" s="53">
        <f t="shared" si="72"/>
        <v>347.8</v>
      </c>
      <c r="AK161" s="45">
        <f t="shared" si="73"/>
        <v>0.30914099955268098</v>
      </c>
      <c r="AL161" s="45">
        <f t="shared" si="74"/>
        <v>-3.5754500818331401E-3</v>
      </c>
    </row>
    <row r="162" spans="1:38" ht="14.25">
      <c r="A162" s="10">
        <v>159</v>
      </c>
      <c r="B162" s="74" t="s">
        <v>375</v>
      </c>
      <c r="C162" s="75" t="s">
        <v>376</v>
      </c>
      <c r="D162" s="76" t="s">
        <v>350</v>
      </c>
      <c r="E162" s="67"/>
      <c r="F162" s="67">
        <v>1.7000000000000001E-2</v>
      </c>
      <c r="G162" s="68">
        <v>19</v>
      </c>
      <c r="H162" s="69">
        <v>0.96</v>
      </c>
      <c r="I162" s="68">
        <f t="shared" si="85"/>
        <v>0.33645833333333303</v>
      </c>
      <c r="J162" s="98" t="s">
        <v>65</v>
      </c>
      <c r="K162" s="78">
        <v>65</v>
      </c>
      <c r="L162" s="99">
        <v>55</v>
      </c>
      <c r="M162" s="76">
        <v>2</v>
      </c>
      <c r="N162" s="78">
        <v>34</v>
      </c>
      <c r="O162" s="78">
        <v>0.76</v>
      </c>
      <c r="P162" s="78">
        <v>22.5</v>
      </c>
      <c r="Q162" s="68">
        <f t="shared" si="84"/>
        <v>0.17307692307692299</v>
      </c>
      <c r="R162" s="111"/>
      <c r="S162" s="112">
        <f>0.1307/200</f>
        <v>6.535E-4</v>
      </c>
      <c r="T162" s="112">
        <v>0.01</v>
      </c>
      <c r="U162" s="112">
        <v>0.5</v>
      </c>
      <c r="V162" s="68">
        <f t="shared" si="87"/>
        <v>1.18655455769231</v>
      </c>
      <c r="W162" s="13">
        <v>1.55</v>
      </c>
      <c r="X162" s="42">
        <f t="shared" si="75"/>
        <v>-0.36344544230768999</v>
      </c>
      <c r="Y162" s="44">
        <f t="shared" si="76"/>
        <v>8.4277624953450602E-3</v>
      </c>
      <c r="Z162" s="45">
        <f t="shared" si="77"/>
        <v>0.14586512011174099</v>
      </c>
      <c r="AA162" s="15">
        <f t="shared" si="78"/>
        <v>9.9384615384615405E-2</v>
      </c>
      <c r="AB162" s="45">
        <f t="shared" si="79"/>
        <v>8.3758993415275595E-2</v>
      </c>
      <c r="AC162" s="46">
        <f t="shared" si="80"/>
        <v>5.5075427907079998E-4</v>
      </c>
      <c r="AD162" s="46">
        <f t="shared" si="81"/>
        <v>0.42138812476725301</v>
      </c>
      <c r="AE162" s="46">
        <f t="shared" si="82"/>
        <v>0.71644090770870295</v>
      </c>
      <c r="AF162" s="47">
        <v>400</v>
      </c>
      <c r="AG162" s="137">
        <f t="shared" si="69"/>
        <v>1.3986616463675201</v>
      </c>
      <c r="AH162" s="52">
        <f t="shared" si="70"/>
        <v>559.46465854700796</v>
      </c>
      <c r="AI162" s="53">
        <f t="shared" si="71"/>
        <v>474.62182307692399</v>
      </c>
      <c r="AJ162" s="53">
        <f t="shared" si="72"/>
        <v>620</v>
      </c>
      <c r="AK162" s="45">
        <f t="shared" si="73"/>
        <v>0.17875881669337701</v>
      </c>
      <c r="AL162" s="45">
        <f t="shared" si="74"/>
        <v>-9.7637647504825495E-2</v>
      </c>
    </row>
    <row r="163" spans="1:38" ht="14.25">
      <c r="A163" s="10">
        <v>160</v>
      </c>
      <c r="B163" s="74" t="s">
        <v>377</v>
      </c>
      <c r="C163" s="75" t="s">
        <v>378</v>
      </c>
      <c r="D163" s="76" t="s">
        <v>347</v>
      </c>
      <c r="E163" s="67"/>
      <c r="F163" s="67">
        <v>7.5999999999999998E-2</v>
      </c>
      <c r="G163" s="79">
        <v>17.399999999999999</v>
      </c>
      <c r="H163" s="69">
        <v>0.96</v>
      </c>
      <c r="I163" s="68">
        <f t="shared" si="85"/>
        <v>1.3774999999999999</v>
      </c>
      <c r="J163" s="98" t="s">
        <v>65</v>
      </c>
      <c r="K163" s="78">
        <v>65</v>
      </c>
      <c r="L163" s="99">
        <f>3600/K163</f>
        <v>55.384615384615401</v>
      </c>
      <c r="M163" s="76">
        <v>2</v>
      </c>
      <c r="N163" s="78">
        <v>34</v>
      </c>
      <c r="O163" s="78">
        <v>0.76</v>
      </c>
      <c r="P163" s="78">
        <v>22.5</v>
      </c>
      <c r="Q163" s="68">
        <f t="shared" si="84"/>
        <v>0.17307692307692299</v>
      </c>
      <c r="R163" s="111"/>
      <c r="S163" s="112">
        <f>0.0131+0.1307/100</f>
        <v>1.4407E-2</v>
      </c>
      <c r="T163" s="112">
        <v>0.01</v>
      </c>
      <c r="U163" s="112">
        <v>0.5</v>
      </c>
      <c r="V163" s="68">
        <f t="shared" si="87"/>
        <v>2.3558643076923098</v>
      </c>
      <c r="W163" s="13">
        <v>3.07</v>
      </c>
      <c r="X163" s="42">
        <f t="shared" si="75"/>
        <v>-0.71413569230769003</v>
      </c>
      <c r="Y163" s="44">
        <f t="shared" si="76"/>
        <v>4.2447266454813401E-3</v>
      </c>
      <c r="Z163" s="45">
        <f t="shared" si="77"/>
        <v>7.3466422710253901E-2</v>
      </c>
      <c r="AA163" s="15">
        <f t="shared" si="78"/>
        <v>9.9384615384615405E-2</v>
      </c>
      <c r="AB163" s="45">
        <f t="shared" si="79"/>
        <v>4.2186052507399201E-2</v>
      </c>
      <c r="AC163" s="46">
        <f t="shared" si="80"/>
        <v>6.1153776781449698E-3</v>
      </c>
      <c r="AD163" s="46">
        <f t="shared" si="81"/>
        <v>0.21223633227406699</v>
      </c>
      <c r="AE163" s="46">
        <f t="shared" si="82"/>
        <v>0.415288904584945</v>
      </c>
      <c r="AF163" s="47">
        <v>320</v>
      </c>
      <c r="AG163" s="137">
        <f t="shared" si="69"/>
        <v>2.9306009102564099</v>
      </c>
      <c r="AH163" s="52">
        <f t="shared" si="70"/>
        <v>937.792291282051</v>
      </c>
      <c r="AI163" s="53">
        <f t="shared" si="71"/>
        <v>753.876578461539</v>
      </c>
      <c r="AJ163" s="53">
        <f t="shared" si="72"/>
        <v>982.4</v>
      </c>
      <c r="AK163" s="45">
        <f t="shared" si="73"/>
        <v>0.243959977103725</v>
      </c>
      <c r="AL163" s="45">
        <f t="shared" si="74"/>
        <v>-4.5406869623319399E-2</v>
      </c>
    </row>
    <row r="164" spans="1:38" ht="14.25">
      <c r="A164" s="10">
        <v>161</v>
      </c>
      <c r="B164" s="74" t="s">
        <v>379</v>
      </c>
      <c r="C164" s="75" t="s">
        <v>380</v>
      </c>
      <c r="D164" s="76" t="s">
        <v>381</v>
      </c>
      <c r="E164" s="67"/>
      <c r="F164" s="67">
        <v>6.0000000000000001E-3</v>
      </c>
      <c r="G164" s="68">
        <v>17.3</v>
      </c>
      <c r="H164" s="69">
        <v>0.96</v>
      </c>
      <c r="I164" s="68">
        <f t="shared" si="85"/>
        <v>0.108125</v>
      </c>
      <c r="J164" s="98" t="s">
        <v>120</v>
      </c>
      <c r="K164" s="78">
        <v>72</v>
      </c>
      <c r="L164" s="99">
        <v>50</v>
      </c>
      <c r="M164" s="76">
        <v>2</v>
      </c>
      <c r="N164" s="78">
        <v>32.75</v>
      </c>
      <c r="O164" s="78">
        <v>0.76</v>
      </c>
      <c r="P164" s="78">
        <v>22.5</v>
      </c>
      <c r="Q164" s="68">
        <f t="shared" si="84"/>
        <v>0.15625</v>
      </c>
      <c r="R164" s="111"/>
      <c r="S164" s="112">
        <v>1E-3</v>
      </c>
      <c r="T164" s="112">
        <v>1E-3</v>
      </c>
      <c r="U164" s="112"/>
      <c r="V164" s="68">
        <f t="shared" si="87"/>
        <v>0.39138645833333302</v>
      </c>
      <c r="W164" s="13">
        <v>1</v>
      </c>
      <c r="X164" s="42">
        <f t="shared" si="75"/>
        <v>-0.60861354166666704</v>
      </c>
      <c r="Y164" s="44">
        <f t="shared" si="76"/>
        <v>2.55501941548608E-3</v>
      </c>
      <c r="Z164" s="45">
        <f t="shared" si="77"/>
        <v>0.39922178366970001</v>
      </c>
      <c r="AA164" s="15">
        <f t="shared" si="78"/>
        <v>8.6423611111111104E-2</v>
      </c>
      <c r="AB164" s="45">
        <f t="shared" si="79"/>
        <v>0.22081400434530801</v>
      </c>
      <c r="AC164" s="46">
        <f t="shared" si="80"/>
        <v>2.55501941548608E-3</v>
      </c>
      <c r="AD164" s="46">
        <f t="shared" si="81"/>
        <v>0</v>
      </c>
      <c r="AE164" s="46">
        <f t="shared" si="82"/>
        <v>0.72373852570056796</v>
      </c>
      <c r="AF164" s="47">
        <v>17359</v>
      </c>
      <c r="AG164" s="137">
        <f t="shared" si="69"/>
        <v>0.51358130787037004</v>
      </c>
      <c r="AH164" s="52">
        <f t="shared" si="70"/>
        <v>8915.2579233217602</v>
      </c>
      <c r="AI164" s="53">
        <f t="shared" si="71"/>
        <v>6794.0775302083302</v>
      </c>
      <c r="AJ164" s="53">
        <f t="shared" si="72"/>
        <v>17359</v>
      </c>
      <c r="AK164" s="45">
        <f t="shared" si="73"/>
        <v>0.312210213039531</v>
      </c>
      <c r="AL164" s="45">
        <f t="shared" si="74"/>
        <v>-0.48641869212963001</v>
      </c>
    </row>
    <row r="165" spans="1:38" ht="14.25">
      <c r="A165" s="10">
        <v>162</v>
      </c>
      <c r="B165" s="74" t="s">
        <v>382</v>
      </c>
      <c r="C165" s="75" t="s">
        <v>383</v>
      </c>
      <c r="D165" s="76" t="s">
        <v>381</v>
      </c>
      <c r="E165" s="67"/>
      <c r="F165" s="67">
        <v>2.3800000000000002E-2</v>
      </c>
      <c r="G165" s="68">
        <v>17.3</v>
      </c>
      <c r="H165" s="69">
        <v>0.96</v>
      </c>
      <c r="I165" s="68">
        <f t="shared" si="85"/>
        <v>0.42889583333333298</v>
      </c>
      <c r="J165" s="98" t="s">
        <v>384</v>
      </c>
      <c r="K165" s="78">
        <v>65</v>
      </c>
      <c r="L165" s="99">
        <v>55</v>
      </c>
      <c r="M165" s="76">
        <v>2</v>
      </c>
      <c r="N165" s="78">
        <v>32.75</v>
      </c>
      <c r="O165" s="78">
        <v>0.76</v>
      </c>
      <c r="P165" s="78">
        <v>22.5</v>
      </c>
      <c r="Q165" s="68">
        <f t="shared" si="84"/>
        <v>0.17307692307692299</v>
      </c>
      <c r="R165" s="111"/>
      <c r="S165" s="112">
        <v>1E-3</v>
      </c>
      <c r="T165" s="112">
        <v>0.01</v>
      </c>
      <c r="U165" s="112"/>
      <c r="V165" s="68">
        <f t="shared" si="87"/>
        <v>0.78545091346153895</v>
      </c>
      <c r="W165" s="13">
        <v>1.26</v>
      </c>
      <c r="X165" s="42">
        <f t="shared" si="75"/>
        <v>-0.47454908653846101</v>
      </c>
      <c r="Y165" s="44">
        <f t="shared" si="76"/>
        <v>1.2731540352953799E-2</v>
      </c>
      <c r="Z165" s="45">
        <f t="shared" si="77"/>
        <v>0.22035358303189201</v>
      </c>
      <c r="AA165" s="15">
        <f t="shared" si="78"/>
        <v>9.5730769230769203E-2</v>
      </c>
      <c r="AB165" s="45">
        <f t="shared" si="79"/>
        <v>0.121880015148085</v>
      </c>
      <c r="AC165" s="46">
        <f t="shared" si="80"/>
        <v>1.27315403529538E-3</v>
      </c>
      <c r="AD165" s="46">
        <f t="shared" si="81"/>
        <v>0</v>
      </c>
      <c r="AE165" s="46">
        <f t="shared" si="82"/>
        <v>0.45394953907029301</v>
      </c>
      <c r="AF165" s="47">
        <v>54840</v>
      </c>
      <c r="AG165" s="137">
        <f t="shared" si="69"/>
        <v>1.0284843082264901</v>
      </c>
      <c r="AH165" s="52">
        <f t="shared" si="70"/>
        <v>56402.079463141003</v>
      </c>
      <c r="AI165" s="53">
        <f t="shared" si="71"/>
        <v>43074.1280942308</v>
      </c>
      <c r="AJ165" s="53">
        <f t="shared" si="72"/>
        <v>69098.399999999994</v>
      </c>
      <c r="AK165" s="45">
        <f t="shared" si="73"/>
        <v>0.30941894725653801</v>
      </c>
      <c r="AL165" s="45">
        <f t="shared" si="74"/>
        <v>-0.18374261251865501</v>
      </c>
    </row>
    <row r="166" spans="1:38" ht="14.25">
      <c r="A166" s="10">
        <v>163</v>
      </c>
      <c r="B166" s="62" t="s">
        <v>385</v>
      </c>
      <c r="C166" s="70" t="s">
        <v>386</v>
      </c>
      <c r="D166" s="66" t="s">
        <v>387</v>
      </c>
      <c r="E166" s="67"/>
      <c r="F166" s="67">
        <v>3.3E-3</v>
      </c>
      <c r="G166" s="81">
        <v>24</v>
      </c>
      <c r="H166" s="73">
        <v>0.98</v>
      </c>
      <c r="I166" s="68">
        <f t="shared" si="85"/>
        <v>8.0816326530612201E-2</v>
      </c>
      <c r="J166" s="98" t="s">
        <v>44</v>
      </c>
      <c r="K166" s="99">
        <v>65</v>
      </c>
      <c r="L166" s="99">
        <v>55</v>
      </c>
      <c r="M166" s="100">
        <v>3</v>
      </c>
      <c r="N166" s="78">
        <v>27.15</v>
      </c>
      <c r="O166" s="78">
        <v>0.76</v>
      </c>
      <c r="P166" s="78">
        <v>22.5</v>
      </c>
      <c r="Q166" s="68">
        <f t="shared" si="84"/>
        <v>0.115384615384615</v>
      </c>
      <c r="R166" s="113"/>
      <c r="S166" s="112">
        <f>0.0291/300+8.4124/1800</f>
        <v>4.77055555555556E-3</v>
      </c>
      <c r="T166" s="112">
        <v>1.1111111111111099E-2</v>
      </c>
      <c r="U166" s="112">
        <v>0.2</v>
      </c>
      <c r="V166" s="68">
        <f t="shared" si="87"/>
        <v>0.49239225065410802</v>
      </c>
      <c r="W166" s="13">
        <v>0.47</v>
      </c>
      <c r="X166" s="42">
        <f t="shared" si="75"/>
        <v>2.2392250654107999E-2</v>
      </c>
      <c r="Y166" s="44">
        <f t="shared" si="76"/>
        <v>2.2565568601761701E-2</v>
      </c>
      <c r="Z166" s="45">
        <f t="shared" si="77"/>
        <v>0.23433475086444799</v>
      </c>
      <c r="AA166" s="15">
        <f t="shared" si="78"/>
        <v>5.2907692307692301E-2</v>
      </c>
      <c r="AB166" s="45">
        <f t="shared" si="79"/>
        <v>0.107450294429712</v>
      </c>
      <c r="AC166" s="46">
        <f t="shared" si="80"/>
        <v>9.6885268791663901E-3</v>
      </c>
      <c r="AD166" s="46">
        <f t="shared" si="81"/>
        <v>0.40618023483171001</v>
      </c>
      <c r="AE166" s="46">
        <f t="shared" si="82"/>
        <v>0.83587002755779904</v>
      </c>
      <c r="AF166" s="47">
        <v>14695</v>
      </c>
      <c r="AG166" s="137">
        <f t="shared" si="69"/>
        <v>0.57175114412798</v>
      </c>
      <c r="AH166" s="52">
        <f t="shared" si="70"/>
        <v>8401.8830629606691</v>
      </c>
      <c r="AI166" s="53">
        <f t="shared" si="71"/>
        <v>7235.7041233621203</v>
      </c>
      <c r="AJ166" s="53">
        <f t="shared" si="72"/>
        <v>6906.65</v>
      </c>
      <c r="AK166" s="45">
        <f t="shared" si="73"/>
        <v>0.16117006993601099</v>
      </c>
      <c r="AL166" s="45">
        <f t="shared" si="74"/>
        <v>0.21649179601697999</v>
      </c>
    </row>
    <row r="167" spans="1:38" ht="14.25">
      <c r="A167" s="10">
        <v>164</v>
      </c>
      <c r="B167" s="62" t="s">
        <v>388</v>
      </c>
      <c r="C167" s="70" t="s">
        <v>386</v>
      </c>
      <c r="D167" s="66" t="s">
        <v>387</v>
      </c>
      <c r="E167" s="67"/>
      <c r="F167" s="67">
        <v>3.3E-3</v>
      </c>
      <c r="G167" s="81">
        <v>24</v>
      </c>
      <c r="H167" s="73">
        <v>0.98</v>
      </c>
      <c r="I167" s="68">
        <f t="shared" si="85"/>
        <v>8.0816326530612201E-2</v>
      </c>
      <c r="J167" s="98" t="s">
        <v>44</v>
      </c>
      <c r="K167" s="99">
        <v>65</v>
      </c>
      <c r="L167" s="99">
        <v>55</v>
      </c>
      <c r="M167" s="100">
        <v>3</v>
      </c>
      <c r="N167" s="78">
        <v>27.15</v>
      </c>
      <c r="O167" s="78">
        <v>0.76</v>
      </c>
      <c r="P167" s="78">
        <v>22.5</v>
      </c>
      <c r="Q167" s="68">
        <f t="shared" si="84"/>
        <v>0.115384615384615</v>
      </c>
      <c r="R167" s="113"/>
      <c r="S167" s="112">
        <f>0.0291/300+8.4124/1800</f>
        <v>4.77055555555556E-3</v>
      </c>
      <c r="T167" s="112">
        <v>1.1111111111111099E-2</v>
      </c>
      <c r="U167" s="112">
        <v>0.2</v>
      </c>
      <c r="V167" s="68">
        <f t="shared" si="87"/>
        <v>0.49239225065410802</v>
      </c>
      <c r="W167" s="13">
        <v>0.47</v>
      </c>
      <c r="X167" s="42">
        <f t="shared" si="75"/>
        <v>2.2392250654107999E-2</v>
      </c>
      <c r="Y167" s="44">
        <f t="shared" si="76"/>
        <v>2.2565568601761701E-2</v>
      </c>
      <c r="Z167" s="45">
        <f t="shared" si="77"/>
        <v>0.23433475086444799</v>
      </c>
      <c r="AA167" s="15">
        <f t="shared" si="78"/>
        <v>5.2907692307692301E-2</v>
      </c>
      <c r="AB167" s="45">
        <f t="shared" si="79"/>
        <v>0.107450294429712</v>
      </c>
      <c r="AC167" s="46">
        <f t="shared" si="80"/>
        <v>9.6885268791663901E-3</v>
      </c>
      <c r="AD167" s="46">
        <f t="shared" si="81"/>
        <v>0.40618023483171001</v>
      </c>
      <c r="AE167" s="46">
        <f t="shared" si="82"/>
        <v>0.83587002755779904</v>
      </c>
      <c r="AF167" s="47">
        <v>14699</v>
      </c>
      <c r="AG167" s="137">
        <f t="shared" si="69"/>
        <v>0.57175114412798</v>
      </c>
      <c r="AH167" s="52">
        <f t="shared" si="70"/>
        <v>8404.1700675371794</v>
      </c>
      <c r="AI167" s="53">
        <f t="shared" si="71"/>
        <v>7237.6736923647304</v>
      </c>
      <c r="AJ167" s="53">
        <f t="shared" si="72"/>
        <v>6908.53</v>
      </c>
      <c r="AK167" s="45">
        <f t="shared" si="73"/>
        <v>0.16117006993601099</v>
      </c>
      <c r="AL167" s="45">
        <f t="shared" si="74"/>
        <v>0.21649179601697999</v>
      </c>
    </row>
    <row r="168" spans="1:38" ht="14.25">
      <c r="A168" s="10">
        <v>165</v>
      </c>
      <c r="B168" s="82" t="s">
        <v>389</v>
      </c>
      <c r="C168" s="83" t="s">
        <v>390</v>
      </c>
      <c r="D168" s="76" t="s">
        <v>391</v>
      </c>
      <c r="E168" s="67"/>
      <c r="F168" s="67">
        <v>4.0000000000000001E-3</v>
      </c>
      <c r="G168" s="67">
        <f>40/1.13</f>
        <v>35.398230088495602</v>
      </c>
      <c r="H168" s="69">
        <v>0.98</v>
      </c>
      <c r="I168" s="68">
        <f t="shared" si="85"/>
        <v>0.144482571789778</v>
      </c>
      <c r="J168" s="98" t="s">
        <v>47</v>
      </c>
      <c r="K168" s="78">
        <v>72</v>
      </c>
      <c r="L168" s="99">
        <v>50</v>
      </c>
      <c r="M168" s="76">
        <v>4</v>
      </c>
      <c r="N168" s="78">
        <v>27.5</v>
      </c>
      <c r="O168" s="78">
        <v>0.76</v>
      </c>
      <c r="P168" s="78">
        <v>22.5</v>
      </c>
      <c r="Q168" s="68">
        <f t="shared" si="84"/>
        <v>7.8125E-2</v>
      </c>
      <c r="R168" s="111"/>
      <c r="S168" s="112">
        <v>0.01</v>
      </c>
      <c r="T168" s="112">
        <v>0.02</v>
      </c>
      <c r="U168" s="112"/>
      <c r="V168" s="68">
        <f t="shared" si="87"/>
        <v>0.31737044635332001</v>
      </c>
      <c r="W168" s="13">
        <v>0.9</v>
      </c>
      <c r="X168" s="42">
        <f t="shared" si="75"/>
        <v>-0.58262955364668001</v>
      </c>
      <c r="Y168" s="44">
        <f t="shared" si="76"/>
        <v>6.3017839971572301E-2</v>
      </c>
      <c r="Z168" s="45">
        <f t="shared" si="77"/>
        <v>0.24616343738895399</v>
      </c>
      <c r="AA168" s="15">
        <f t="shared" si="78"/>
        <v>3.6284722222222197E-2</v>
      </c>
      <c r="AB168" s="45">
        <f t="shared" si="79"/>
        <v>0.114329240920648</v>
      </c>
      <c r="AC168" s="46">
        <f t="shared" si="80"/>
        <v>3.1508919985786199E-2</v>
      </c>
      <c r="AD168" s="46">
        <f t="shared" si="81"/>
        <v>0</v>
      </c>
      <c r="AE168" s="46">
        <f t="shared" si="82"/>
        <v>0.54475102061352798</v>
      </c>
      <c r="AF168" s="47">
        <v>19300</v>
      </c>
      <c r="AG168" s="137">
        <f t="shared" si="69"/>
        <v>0.39984613430285698</v>
      </c>
      <c r="AH168" s="52">
        <f t="shared" si="70"/>
        <v>7717.0303920451497</v>
      </c>
      <c r="AI168" s="53">
        <f t="shared" si="71"/>
        <v>6125.2496146190797</v>
      </c>
      <c r="AJ168" s="53">
        <f t="shared" si="72"/>
        <v>17370</v>
      </c>
      <c r="AK168" s="45">
        <f t="shared" si="73"/>
        <v>0.25987198523746402</v>
      </c>
      <c r="AL168" s="45">
        <f t="shared" si="74"/>
        <v>-0.55572651744127</v>
      </c>
    </row>
    <row r="169" spans="1:38" ht="14.25">
      <c r="A169" s="84">
        <v>166</v>
      </c>
      <c r="B169" s="85" t="s">
        <v>392</v>
      </c>
      <c r="C169" s="86" t="s">
        <v>393</v>
      </c>
      <c r="D169" s="87" t="s">
        <v>381</v>
      </c>
      <c r="E169" s="88"/>
      <c r="F169" s="88">
        <v>1.2999999999999999E-3</v>
      </c>
      <c r="G169" s="89">
        <v>17.3</v>
      </c>
      <c r="H169" s="90">
        <v>0.98</v>
      </c>
      <c r="I169" s="89">
        <f t="shared" si="85"/>
        <v>2.2948979591836699E-2</v>
      </c>
      <c r="J169" s="105" t="s">
        <v>394</v>
      </c>
      <c r="K169" s="106">
        <v>51</v>
      </c>
      <c r="L169" s="107">
        <v>70</v>
      </c>
      <c r="M169" s="87">
        <v>4</v>
      </c>
      <c r="N169" s="106">
        <v>27.5</v>
      </c>
      <c r="O169" s="106">
        <v>0.76</v>
      </c>
      <c r="P169" s="106">
        <v>22.5</v>
      </c>
      <c r="Q169" s="89">
        <f t="shared" si="84"/>
        <v>0.110294117647059</v>
      </c>
      <c r="R169" s="115"/>
      <c r="S169" s="116">
        <v>7.15583333333333E-3</v>
      </c>
      <c r="T169" s="116">
        <v>1.6666666666666701E-2</v>
      </c>
      <c r="U169" s="116"/>
      <c r="V169" s="89">
        <f t="shared" si="87"/>
        <v>0.22858263205282101</v>
      </c>
      <c r="W169" s="117">
        <v>0.5</v>
      </c>
      <c r="X169" s="118">
        <f t="shared" si="75"/>
        <v>-0.27141736794717902</v>
      </c>
      <c r="Y169" s="119">
        <f t="shared" si="76"/>
        <v>7.2913092814572894E-2</v>
      </c>
      <c r="Z169" s="120">
        <f t="shared" si="77"/>
        <v>0.48251311421408499</v>
      </c>
      <c r="AA169" s="121">
        <f t="shared" si="78"/>
        <v>5.1225490196078402E-2</v>
      </c>
      <c r="AB169" s="120">
        <f t="shared" si="79"/>
        <v>0.224100535268319</v>
      </c>
      <c r="AC169" s="122">
        <f t="shared" si="80"/>
        <v>3.1305236399936799E-2</v>
      </c>
      <c r="AD169" s="122">
        <f t="shared" si="81"/>
        <v>0</v>
      </c>
      <c r="AE169" s="122">
        <f t="shared" si="82"/>
        <v>0.89960313526124003</v>
      </c>
      <c r="AF169" s="123">
        <v>19364</v>
      </c>
      <c r="AG169" s="137">
        <f t="shared" si="69"/>
        <v>0.28734905347853501</v>
      </c>
      <c r="AH169" s="138">
        <f t="shared" si="70"/>
        <v>5564.22707155834</v>
      </c>
      <c r="AI169" s="128">
        <f t="shared" si="71"/>
        <v>4426.2740870708303</v>
      </c>
      <c r="AJ169" s="128">
        <f t="shared" si="72"/>
        <v>9682</v>
      </c>
      <c r="AK169" s="120">
        <f t="shared" si="73"/>
        <v>0.25709049238760101</v>
      </c>
      <c r="AL169" s="120">
        <f t="shared" si="74"/>
        <v>-0.42530189304293098</v>
      </c>
    </row>
    <row r="170" spans="1:38">
      <c r="A170" s="13"/>
      <c r="B170" s="10"/>
      <c r="C170" s="59"/>
      <c r="D170" s="13"/>
      <c r="E170" s="37"/>
      <c r="F170" s="37"/>
      <c r="G170" s="14"/>
      <c r="H170" s="38"/>
      <c r="I170" s="21"/>
      <c r="J170" s="13"/>
      <c r="K170" s="14"/>
      <c r="L170" s="13"/>
      <c r="M170" s="13"/>
      <c r="N170" s="13"/>
      <c r="O170" s="13"/>
      <c r="P170" s="13"/>
      <c r="Q170" s="13"/>
      <c r="R170" s="14"/>
      <c r="S170" s="21"/>
      <c r="T170" s="21"/>
      <c r="U170" s="13"/>
      <c r="V170" s="13"/>
      <c r="W170" s="13"/>
      <c r="X170" s="13"/>
      <c r="Y170" s="124">
        <v>6.5000000000000002E-2</v>
      </c>
      <c r="Z170" s="125">
        <v>0.26</v>
      </c>
      <c r="AA170" s="14">
        <v>0.14199999999999999</v>
      </c>
      <c r="AB170" s="126">
        <v>0.15</v>
      </c>
      <c r="AC170" s="126">
        <v>3.1E-2</v>
      </c>
      <c r="AD170" s="126">
        <v>8.2000000000000003E-2</v>
      </c>
      <c r="AE170" s="126">
        <v>0.72</v>
      </c>
      <c r="AF170" s="23"/>
      <c r="AG170" s="25"/>
      <c r="AH170" s="129">
        <f>SUM(AH5:AH169)</f>
        <v>5077249.6880291104</v>
      </c>
      <c r="AI170" s="129">
        <f>SUM(AI5:AI169)</f>
        <v>4193648.84363952</v>
      </c>
      <c r="AJ170" s="129">
        <f>SUM(AJ5:AJ169)</f>
        <v>5193715.76</v>
      </c>
      <c r="AK170" s="23"/>
      <c r="AL170" s="13"/>
    </row>
    <row r="172" spans="1:38">
      <c r="AH172" s="31">
        <f>AH170-AJ170</f>
        <v>-116466.07197089</v>
      </c>
      <c r="AI172" s="17"/>
    </row>
    <row r="173" spans="1:38">
      <c r="AH173" s="130">
        <f>AH172/AJ170</f>
        <v>-2.2424421618885498E-2</v>
      </c>
      <c r="AI173" s="33"/>
    </row>
    <row r="174" spans="1:38" s="27" customFormat="1" ht="18.75">
      <c r="B174" s="43" t="s">
        <v>395</v>
      </c>
      <c r="C174" s="91" t="s">
        <v>396</v>
      </c>
      <c r="E174" s="92"/>
      <c r="F174" s="92"/>
      <c r="G174" s="93"/>
      <c r="H174" s="94"/>
      <c r="I174" s="108"/>
      <c r="K174" s="93"/>
      <c r="R174" s="93"/>
      <c r="S174" s="108"/>
      <c r="T174" s="108"/>
      <c r="AA174" s="93"/>
      <c r="AF174" s="127"/>
      <c r="AG174" s="139"/>
      <c r="AH174" s="132"/>
      <c r="AI174" s="133"/>
      <c r="AJ174" s="133"/>
      <c r="AK174" s="127"/>
    </row>
    <row r="175" spans="1:38" s="27" customFormat="1" ht="18.75">
      <c r="B175" s="43"/>
      <c r="C175" s="91" t="s">
        <v>397</v>
      </c>
      <c r="E175" s="92"/>
      <c r="F175" s="92"/>
      <c r="G175" s="93"/>
      <c r="H175" s="94"/>
      <c r="I175" s="108"/>
      <c r="K175" s="93"/>
      <c r="R175" s="93"/>
      <c r="S175" s="108"/>
      <c r="T175" s="108"/>
      <c r="AA175" s="93"/>
      <c r="AF175" s="127"/>
      <c r="AG175" s="139"/>
      <c r="AH175" s="132"/>
      <c r="AI175" s="133"/>
      <c r="AJ175" s="133"/>
      <c r="AK175" s="127"/>
    </row>
    <row r="176" spans="1:38" s="27" customFormat="1" ht="18.75">
      <c r="B176" s="43"/>
      <c r="C176" s="91" t="s">
        <v>398</v>
      </c>
      <c r="E176" s="92"/>
      <c r="F176" s="92"/>
      <c r="G176" s="93"/>
      <c r="H176" s="94"/>
      <c r="I176" s="108"/>
      <c r="K176" s="93"/>
      <c r="R176" s="93"/>
      <c r="S176" s="108"/>
      <c r="T176" s="108"/>
      <c r="AA176" s="93"/>
      <c r="AF176" s="127"/>
      <c r="AG176" s="139"/>
      <c r="AH176" s="132"/>
      <c r="AI176" s="133"/>
      <c r="AJ176" s="133"/>
      <c r="AK176" s="127"/>
    </row>
    <row r="177" spans="2:37" s="27" customFormat="1" ht="18.75">
      <c r="B177" s="43"/>
      <c r="C177" s="91" t="s">
        <v>399</v>
      </c>
      <c r="E177" s="92"/>
      <c r="F177" s="92"/>
      <c r="G177" s="93"/>
      <c r="H177" s="94"/>
      <c r="I177" s="108"/>
      <c r="K177" s="93"/>
      <c r="R177" s="93"/>
      <c r="S177" s="108"/>
      <c r="T177" s="108"/>
      <c r="AA177" s="93"/>
      <c r="AF177" s="127"/>
      <c r="AG177" s="139"/>
      <c r="AH177" s="132"/>
      <c r="AI177" s="133"/>
      <c r="AJ177" s="133"/>
      <c r="AK177" s="127"/>
    </row>
  </sheetData>
  <autoFilter ref="A4:AL170"/>
  <mergeCells count="38">
    <mergeCell ref="AL3:AL4"/>
    <mergeCell ref="AA3:AB4"/>
    <mergeCell ref="AE3:AE4"/>
    <mergeCell ref="AF3:AF4"/>
    <mergeCell ref="AI3:AI4"/>
    <mergeCell ref="AJ3:AJ4"/>
    <mergeCell ref="AK3:AK4"/>
    <mergeCell ref="X3:X4"/>
    <mergeCell ref="Y3:Y4"/>
    <mergeCell ref="Z3:Z4"/>
    <mergeCell ref="AC3:AC4"/>
    <mergeCell ref="AD3:AD4"/>
    <mergeCell ref="S3:S4"/>
    <mergeCell ref="T3:T4"/>
    <mergeCell ref="U3:U4"/>
    <mergeCell ref="V3:V4"/>
    <mergeCell ref="W3:W4"/>
    <mergeCell ref="N3:N4"/>
    <mergeCell ref="O3:O4"/>
    <mergeCell ref="P3:P4"/>
    <mergeCell ref="Q3:Q4"/>
    <mergeCell ref="R3:R4"/>
    <mergeCell ref="A2:X2"/>
    <mergeCell ref="Y2:AE2"/>
    <mergeCell ref="AG2:AH2"/>
    <mergeCell ref="E3:F3"/>
    <mergeCell ref="AG3:AH3"/>
    <mergeCell ref="A3:A4"/>
    <mergeCell ref="B3:B4"/>
    <mergeCell ref="C3:C4"/>
    <mergeCell ref="D3:D4"/>
    <mergeCell ref="G3:G4"/>
    <mergeCell ref="H3:H4"/>
    <mergeCell ref="I3:I4"/>
    <mergeCell ref="J3:J4"/>
    <mergeCell ref="K3:K4"/>
    <mergeCell ref="L3:L4"/>
    <mergeCell ref="M3:M4"/>
  </mergeCells>
  <phoneticPr fontId="20" type="noConversion"/>
  <conditionalFormatting sqref="B16">
    <cfRule type="duplicateValues" dxfId="134" priority="71"/>
  </conditionalFormatting>
  <conditionalFormatting sqref="B18">
    <cfRule type="duplicateValues" dxfId="133" priority="96"/>
  </conditionalFormatting>
  <conditionalFormatting sqref="B30">
    <cfRule type="duplicateValues" dxfId="132" priority="67"/>
  </conditionalFormatting>
  <conditionalFormatting sqref="B31">
    <cfRule type="duplicateValues" dxfId="131" priority="61"/>
  </conditionalFormatting>
  <conditionalFormatting sqref="B32">
    <cfRule type="duplicateValues" dxfId="130" priority="66"/>
  </conditionalFormatting>
  <conditionalFormatting sqref="B33">
    <cfRule type="duplicateValues" dxfId="129" priority="65"/>
  </conditionalFormatting>
  <conditionalFormatting sqref="B34">
    <cfRule type="duplicateValues" dxfId="128" priority="64"/>
  </conditionalFormatting>
  <conditionalFormatting sqref="B35">
    <cfRule type="duplicateValues" dxfId="127" priority="63"/>
  </conditionalFormatting>
  <conditionalFormatting sqref="B36">
    <cfRule type="duplicateValues" dxfId="126" priority="62"/>
  </conditionalFormatting>
  <conditionalFormatting sqref="B38">
    <cfRule type="duplicateValues" dxfId="125" priority="93"/>
  </conditionalFormatting>
  <conditionalFormatting sqref="B39">
    <cfRule type="duplicateValues" dxfId="124" priority="92"/>
  </conditionalFormatting>
  <conditionalFormatting sqref="B40">
    <cfRule type="duplicateValues" dxfId="123" priority="91"/>
  </conditionalFormatting>
  <conditionalFormatting sqref="B41">
    <cfRule type="duplicateValues" dxfId="122" priority="90"/>
  </conditionalFormatting>
  <conditionalFormatting sqref="B42">
    <cfRule type="duplicateValues" dxfId="121" priority="89"/>
  </conditionalFormatting>
  <conditionalFormatting sqref="B46">
    <cfRule type="duplicateValues" dxfId="120" priority="69"/>
  </conditionalFormatting>
  <conditionalFormatting sqref="B52">
    <cfRule type="duplicateValues" dxfId="119" priority="68"/>
  </conditionalFormatting>
  <conditionalFormatting sqref="B55">
    <cfRule type="duplicateValues" dxfId="118" priority="80"/>
  </conditionalFormatting>
  <conditionalFormatting sqref="B57">
    <cfRule type="duplicateValues" dxfId="117" priority="79"/>
  </conditionalFormatting>
  <conditionalFormatting sqref="B58">
    <cfRule type="duplicateValues" dxfId="116" priority="85"/>
  </conditionalFormatting>
  <conditionalFormatting sqref="B59">
    <cfRule type="duplicateValues" dxfId="115" priority="78"/>
  </conditionalFormatting>
  <conditionalFormatting sqref="B60">
    <cfRule type="duplicateValues" dxfId="114" priority="86"/>
  </conditionalFormatting>
  <conditionalFormatting sqref="B61">
    <cfRule type="duplicateValues" dxfId="113" priority="73"/>
  </conditionalFormatting>
  <conditionalFormatting sqref="B62">
    <cfRule type="duplicateValues" dxfId="112" priority="87"/>
  </conditionalFormatting>
  <conditionalFormatting sqref="B63">
    <cfRule type="duplicateValues" dxfId="111" priority="84"/>
  </conditionalFormatting>
  <conditionalFormatting sqref="B64">
    <cfRule type="duplicateValues" dxfId="110" priority="83"/>
  </conditionalFormatting>
  <conditionalFormatting sqref="B65">
    <cfRule type="duplicateValues" dxfId="109" priority="82"/>
  </conditionalFormatting>
  <conditionalFormatting sqref="B66">
    <cfRule type="duplicateValues" dxfId="108" priority="81"/>
  </conditionalFormatting>
  <conditionalFormatting sqref="B71">
    <cfRule type="duplicateValues" dxfId="107" priority="70"/>
  </conditionalFormatting>
  <conditionalFormatting sqref="B78">
    <cfRule type="duplicateValues" dxfId="106" priority="77"/>
  </conditionalFormatting>
  <conditionalFormatting sqref="B79">
    <cfRule type="duplicateValues" dxfId="105" priority="76"/>
  </conditionalFormatting>
  <conditionalFormatting sqref="B80">
    <cfRule type="duplicateValues" dxfId="104" priority="75"/>
  </conditionalFormatting>
  <conditionalFormatting sqref="B92">
    <cfRule type="duplicateValues" dxfId="103" priority="53"/>
  </conditionalFormatting>
  <conditionalFormatting sqref="B93">
    <cfRule type="duplicateValues" dxfId="102" priority="105"/>
  </conditionalFormatting>
  <conditionalFormatting sqref="B94">
    <cfRule type="duplicateValues" dxfId="101" priority="103"/>
  </conditionalFormatting>
  <conditionalFormatting sqref="B95">
    <cfRule type="duplicateValues" dxfId="100" priority="104"/>
  </conditionalFormatting>
  <conditionalFormatting sqref="B103">
    <cfRule type="duplicateValues" dxfId="99" priority="332"/>
  </conditionalFormatting>
  <conditionalFormatting sqref="B106">
    <cfRule type="duplicateValues" dxfId="98" priority="112"/>
  </conditionalFormatting>
  <conditionalFormatting sqref="B107">
    <cfRule type="duplicateValues" dxfId="97" priority="111"/>
  </conditionalFormatting>
  <conditionalFormatting sqref="B108">
    <cfRule type="duplicateValues" dxfId="96" priority="110"/>
  </conditionalFormatting>
  <conditionalFormatting sqref="B109">
    <cfRule type="duplicateValues" dxfId="95" priority="109"/>
  </conditionalFormatting>
  <conditionalFormatting sqref="B110">
    <cfRule type="duplicateValues" dxfId="94" priority="108"/>
  </conditionalFormatting>
  <conditionalFormatting sqref="B111">
    <cfRule type="duplicateValues" dxfId="93" priority="107"/>
  </conditionalFormatting>
  <conditionalFormatting sqref="B112">
    <cfRule type="duplicateValues" dxfId="92" priority="102"/>
  </conditionalFormatting>
  <conditionalFormatting sqref="B113">
    <cfRule type="duplicateValues" dxfId="91" priority="101"/>
  </conditionalFormatting>
  <conditionalFormatting sqref="B114">
    <cfRule type="duplicateValues" dxfId="90" priority="100"/>
  </conditionalFormatting>
  <conditionalFormatting sqref="B115">
    <cfRule type="duplicateValues" dxfId="89" priority="99"/>
  </conditionalFormatting>
  <conditionalFormatting sqref="B116">
    <cfRule type="duplicateValues" dxfId="88" priority="95"/>
  </conditionalFormatting>
  <conditionalFormatting sqref="B117">
    <cfRule type="duplicateValues" dxfId="87" priority="94"/>
  </conditionalFormatting>
  <conditionalFormatting sqref="B122">
    <cfRule type="duplicateValues" dxfId="86" priority="52"/>
  </conditionalFormatting>
  <conditionalFormatting sqref="B123">
    <cfRule type="duplicateValues" dxfId="85" priority="55"/>
  </conditionalFormatting>
  <conditionalFormatting sqref="B124">
    <cfRule type="duplicateValues" dxfId="84" priority="54"/>
  </conditionalFormatting>
  <conditionalFormatting sqref="B127">
    <cfRule type="duplicateValues" dxfId="83" priority="30"/>
  </conditionalFormatting>
  <conditionalFormatting sqref="B158">
    <cfRule type="duplicateValues" dxfId="82" priority="5"/>
  </conditionalFormatting>
  <conditionalFormatting sqref="B1:B1048576">
    <cfRule type="duplicateValues" dxfId="81" priority="1"/>
  </conditionalFormatting>
  <conditionalFormatting sqref="B83:B84">
    <cfRule type="duplicateValues" dxfId="80" priority="330"/>
  </conditionalFormatting>
  <conditionalFormatting sqref="B146:B169">
    <cfRule type="duplicateValues" dxfId="79" priority="2"/>
  </conditionalFormatting>
  <conditionalFormatting sqref="B149:B157">
    <cfRule type="duplicateValues" dxfId="78" priority="4"/>
  </conditionalFormatting>
  <conditionalFormatting sqref="B149:B158">
    <cfRule type="duplicateValues" dxfId="77" priority="3"/>
  </conditionalFormatting>
  <conditionalFormatting sqref="B19:B22 B43 B102 B104:B105 B72 B67:B68 B100 B5:B14">
    <cfRule type="duplicateValues" dxfId="76" priority="335"/>
  </conditionalFormatting>
  <conditionalFormatting sqref="B19:B29 B56 B43:B45 B53:B54 B47:B51 B67:B68 B81:B82 B72:B77 B96:B102 B85:B91 B118:B121 B104:B105 B125:B126 B37 B5:B15 B17">
    <cfRule type="duplicateValues" dxfId="75" priority="334"/>
  </conditionalFormatting>
  <conditionalFormatting sqref="B17 B118:B121 B56 B53:B54 B47:B51 B43:B45 B67:B70 B81:B91 B72:B77 B96:B105 B125:B126 B37 B5:B15 B19:B29">
    <cfRule type="duplicateValues" dxfId="74" priority="329"/>
  </conditionalFormatting>
  <conditionalFormatting sqref="B15 B85:B91 B96:B99 B44:B45 B81:B82 B73:B77 B101 B23:B29 B37 B17">
    <cfRule type="duplicateValues" dxfId="73" priority="336"/>
  </conditionalFormatting>
  <conditionalFormatting sqref="B125:B126 B47:B51 B53:B54 B56 B69:B70 B118:B121">
    <cfRule type="duplicateValues" dxfId="72" priority="337"/>
  </conditionalFormatting>
  <pageMargins left="0.7" right="0.7" top="0.75" bottom="0.75" header="0.3" footer="0.3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L177"/>
  <sheetViews>
    <sheetView tabSelected="1" workbookViewId="0">
      <pane xSplit="4" ySplit="4" topLeftCell="E5" activePane="bottomRight" state="frozen"/>
      <selection pane="topRight"/>
      <selection pane="bottomLeft"/>
      <selection pane="bottomRight" activeCell="H157" sqref="H157"/>
    </sheetView>
  </sheetViews>
  <sheetFormatPr defaultColWidth="8.875" defaultRowHeight="13.5"/>
  <cols>
    <col min="1" max="1" width="5.25" style="1" customWidth="1"/>
    <col min="2" max="2" width="15.75" style="212" customWidth="1"/>
    <col min="3" max="3" width="16.5" style="213" customWidth="1"/>
    <col min="4" max="4" width="9.25" style="214" customWidth="1"/>
    <col min="5" max="5" width="10.625" style="28" customWidth="1"/>
    <col min="6" max="6" width="8.5" style="28" customWidth="1"/>
    <col min="7" max="7" width="8.75" style="9" customWidth="1"/>
    <col min="8" max="8" width="7.125" style="29" customWidth="1"/>
    <col min="9" max="9" width="8.125" style="8" customWidth="1"/>
    <col min="10" max="10" width="11.75" style="1" customWidth="1"/>
    <col min="11" max="11" width="9.125" style="9" customWidth="1"/>
    <col min="12" max="12" width="5.625" style="1" customWidth="1"/>
    <col min="13" max="13" width="5.5" style="1" customWidth="1"/>
    <col min="14" max="14" width="7.5" style="1" customWidth="1"/>
    <col min="15" max="15" width="8.625" style="1" customWidth="1"/>
    <col min="16" max="16" width="6.5" style="1" customWidth="1"/>
    <col min="17" max="17" width="7.625" style="1" customWidth="1"/>
    <col min="18" max="18" width="7.125" style="9" customWidth="1"/>
    <col min="19" max="20" width="8.125" style="8" customWidth="1"/>
    <col min="21" max="21" width="6.25" style="1" customWidth="1"/>
    <col min="22" max="23" width="8.875" style="1" hidden="1" customWidth="1"/>
    <col min="24" max="24" width="7.375" style="1" hidden="1" customWidth="1"/>
    <col min="25" max="25" width="5.5" style="1" hidden="1" customWidth="1"/>
    <col min="26" max="26" width="6.5" style="1" hidden="1" customWidth="1"/>
    <col min="27" max="27" width="7.25" style="9" hidden="1" customWidth="1"/>
    <col min="28" max="28" width="5.25" style="1" hidden="1" customWidth="1"/>
    <col min="29" max="30" width="5.125" style="1" hidden="1" customWidth="1"/>
    <col min="31" max="31" width="8" style="1" hidden="1" customWidth="1"/>
    <col min="32" max="32" width="16.25" style="17" hidden="1" customWidth="1"/>
    <col min="33" max="33" width="21.625" style="30" customWidth="1"/>
    <col min="34" max="34" width="21.625" style="31" hidden="1" customWidth="1"/>
    <col min="35" max="35" width="17.5" style="32" hidden="1" customWidth="1"/>
    <col min="36" max="36" width="15.5" style="32" hidden="1" customWidth="1"/>
    <col min="37" max="37" width="12.875" style="1" hidden="1" customWidth="1"/>
    <col min="38" max="38" width="12.875" style="33" hidden="1" customWidth="1"/>
    <col min="39" max="16384" width="8.875" style="1"/>
  </cols>
  <sheetData>
    <row r="2" spans="1:38" ht="39.950000000000003" customHeight="1">
      <c r="A2" s="140" t="s">
        <v>0</v>
      </c>
      <c r="B2" s="140"/>
      <c r="C2" s="140"/>
      <c r="D2" s="140"/>
      <c r="E2" s="140"/>
      <c r="F2" s="140"/>
      <c r="G2" s="140"/>
      <c r="H2" s="141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2" t="s">
        <v>1</v>
      </c>
      <c r="Z2" s="143"/>
      <c r="AA2" s="143"/>
      <c r="AB2" s="143"/>
      <c r="AC2" s="143"/>
      <c r="AD2" s="143"/>
      <c r="AE2" s="143"/>
      <c r="AF2" s="18"/>
      <c r="AG2" s="175" t="s">
        <v>400</v>
      </c>
      <c r="AH2" s="175"/>
    </row>
    <row r="3" spans="1:38" s="2" customFormat="1" ht="36" customHeight="1">
      <c r="A3" s="148" t="s">
        <v>3</v>
      </c>
      <c r="B3" s="183" t="s">
        <v>4</v>
      </c>
      <c r="C3" s="184" t="s">
        <v>5</v>
      </c>
      <c r="D3" s="183" t="s">
        <v>6</v>
      </c>
      <c r="E3" s="145" t="s">
        <v>7</v>
      </c>
      <c r="F3" s="145"/>
      <c r="G3" s="150" t="s">
        <v>8</v>
      </c>
      <c r="H3" s="151" t="s">
        <v>9</v>
      </c>
      <c r="I3" s="152" t="s">
        <v>10</v>
      </c>
      <c r="J3" s="153" t="s">
        <v>11</v>
      </c>
      <c r="K3" s="150" t="s">
        <v>12</v>
      </c>
      <c r="L3" s="154" t="s">
        <v>13</v>
      </c>
      <c r="M3" s="155" t="s">
        <v>14</v>
      </c>
      <c r="N3" s="148" t="s">
        <v>15</v>
      </c>
      <c r="O3" s="155" t="s">
        <v>16</v>
      </c>
      <c r="P3" s="155" t="s">
        <v>17</v>
      </c>
      <c r="Q3" s="150" t="s">
        <v>18</v>
      </c>
      <c r="R3" s="156" t="s">
        <v>19</v>
      </c>
      <c r="S3" s="157" t="s">
        <v>20</v>
      </c>
      <c r="T3" s="157" t="s">
        <v>21</v>
      </c>
      <c r="U3" s="159" t="s">
        <v>22</v>
      </c>
      <c r="V3" s="160" t="s">
        <v>23</v>
      </c>
      <c r="W3" s="160" t="s">
        <v>24</v>
      </c>
      <c r="X3" s="161" t="s">
        <v>25</v>
      </c>
      <c r="Y3" s="162" t="s">
        <v>26</v>
      </c>
      <c r="Z3" s="164" t="s">
        <v>27</v>
      </c>
      <c r="AA3" s="173" t="s">
        <v>28</v>
      </c>
      <c r="AB3" s="173"/>
      <c r="AC3" s="165" t="s">
        <v>29</v>
      </c>
      <c r="AD3" s="165" t="s">
        <v>22</v>
      </c>
      <c r="AE3" s="167" t="s">
        <v>30</v>
      </c>
      <c r="AF3" s="169" t="s">
        <v>31</v>
      </c>
      <c r="AG3" s="175" t="s">
        <v>401</v>
      </c>
      <c r="AH3" s="176"/>
      <c r="AI3" s="170" t="s">
        <v>33</v>
      </c>
      <c r="AJ3" s="170" t="s">
        <v>34</v>
      </c>
      <c r="AL3" s="48"/>
    </row>
    <row r="4" spans="1:38" s="2" customFormat="1">
      <c r="A4" s="148"/>
      <c r="B4" s="183"/>
      <c r="C4" s="184"/>
      <c r="D4" s="183"/>
      <c r="E4" s="34" t="s">
        <v>37</v>
      </c>
      <c r="F4" s="34" t="s">
        <v>38</v>
      </c>
      <c r="G4" s="150"/>
      <c r="H4" s="151"/>
      <c r="I4" s="152"/>
      <c r="J4" s="153"/>
      <c r="K4" s="150"/>
      <c r="L4" s="154"/>
      <c r="M4" s="155"/>
      <c r="N4" s="148"/>
      <c r="O4" s="155"/>
      <c r="P4" s="155"/>
      <c r="Q4" s="150"/>
      <c r="R4" s="156"/>
      <c r="S4" s="158"/>
      <c r="T4" s="158"/>
      <c r="U4" s="159"/>
      <c r="V4" s="160"/>
      <c r="W4" s="160"/>
      <c r="X4" s="161"/>
      <c r="Y4" s="163"/>
      <c r="Z4" s="155"/>
      <c r="AA4" s="174"/>
      <c r="AB4" s="174"/>
      <c r="AC4" s="166"/>
      <c r="AD4" s="166"/>
      <c r="AE4" s="168"/>
      <c r="AF4" s="169"/>
      <c r="AG4" s="49" t="s">
        <v>402</v>
      </c>
      <c r="AH4" s="50" t="s">
        <v>40</v>
      </c>
      <c r="AI4" s="170"/>
      <c r="AJ4" s="170"/>
      <c r="AL4" s="48"/>
    </row>
    <row r="5" spans="1:38">
      <c r="A5" s="10">
        <v>1</v>
      </c>
      <c r="B5" s="185" t="s">
        <v>41</v>
      </c>
      <c r="C5" s="186" t="s">
        <v>42</v>
      </c>
      <c r="D5" s="187" t="s">
        <v>43</v>
      </c>
      <c r="E5" s="37">
        <v>5.0000000000000001E-3</v>
      </c>
      <c r="F5" s="37">
        <v>5.4999999999999997E-3</v>
      </c>
      <c r="G5" s="14">
        <v>15.309699999999999</v>
      </c>
      <c r="H5" s="38">
        <v>0.9</v>
      </c>
      <c r="I5" s="14">
        <f t="shared" ref="I5:I68" si="0">F5*G5/H5</f>
        <v>9.3559277777777797E-2</v>
      </c>
      <c r="J5" s="13" t="s">
        <v>44</v>
      </c>
      <c r="K5" s="14">
        <v>55</v>
      </c>
      <c r="L5" s="41">
        <v>65.454545454545496</v>
      </c>
      <c r="M5" s="13">
        <v>1</v>
      </c>
      <c r="N5" s="13">
        <v>27.15</v>
      </c>
      <c r="O5" s="13">
        <v>0.76</v>
      </c>
      <c r="P5" s="13">
        <v>22.5</v>
      </c>
      <c r="Q5" s="14">
        <f t="shared" ref="Q5:Q68" si="1">P5/K5/M5</f>
        <v>0.40909090909090901</v>
      </c>
      <c r="R5" s="14">
        <v>0</v>
      </c>
      <c r="S5" s="21">
        <v>2.8662E-2</v>
      </c>
      <c r="T5" s="21">
        <v>6.6666666666666693E-2</v>
      </c>
      <c r="U5" s="13">
        <v>0</v>
      </c>
      <c r="V5" s="14">
        <f>(I5+Q5+AA5)/H5*1.11+R5*1.03+S5+T5+U5</f>
        <v>0.946614806228956</v>
      </c>
      <c r="W5" s="13">
        <v>0.99</v>
      </c>
      <c r="X5" s="42">
        <f t="shared" ref="X5:X68" si="2">V5-W5</f>
        <v>-4.3385193771043697E-2</v>
      </c>
      <c r="Y5" s="44">
        <f t="shared" ref="Y5:Y68" si="3">T5/V5</f>
        <v>7.04263933206873E-2</v>
      </c>
      <c r="Z5" s="45">
        <f t="shared" ref="Z5:Z68" si="4">Q5/V5</f>
        <v>0.43216195901330801</v>
      </c>
      <c r="AA5" s="15">
        <f t="shared" ref="AA5:AA68" si="5">(N5*O5/K5/M5)/2</f>
        <v>0.18758181818181799</v>
      </c>
      <c r="AB5" s="45">
        <f t="shared" ref="AB5:AB68" si="6">AA5/V5</f>
        <v>0.19816066360623599</v>
      </c>
      <c r="AC5" s="46">
        <f t="shared" ref="AC5:AC68" si="7">S5/V5</f>
        <v>3.0278419280363102E-2</v>
      </c>
      <c r="AD5" s="46">
        <f t="shared" ref="AD5:AD68" si="8">U5/V5</f>
        <v>0</v>
      </c>
      <c r="AE5" s="46">
        <f t="shared" ref="AE5:AE68" si="9">1-I5/V5</f>
        <v>0.90116436256634203</v>
      </c>
      <c r="AF5" s="47">
        <v>22900</v>
      </c>
      <c r="AG5" s="51">
        <f t="shared" ref="AG5:AG68" si="10">(I5+Q5+(N5*O5/K5/M5)/2)*1.5+R5*1.1+S5+T5+U5</f>
        <v>1.1306766742424199</v>
      </c>
      <c r="AH5" s="52">
        <f t="shared" ref="AH5:AH68" si="11">AG5*AF5</f>
        <v>25892.4958401515</v>
      </c>
      <c r="AI5" s="53">
        <f t="shared" ref="AI5:AI68" si="12">V5*AF5</f>
        <v>21677.479062643099</v>
      </c>
      <c r="AJ5" s="53">
        <f t="shared" ref="AJ5:AJ68" si="13">W5*AF5</f>
        <v>22671</v>
      </c>
      <c r="AK5" s="1">
        <f>AG5/I5</f>
        <v>12.0851368362207</v>
      </c>
      <c r="AL5" s="33">
        <f>(AG5-W5)/W5</f>
        <v>0.142097650749924</v>
      </c>
    </row>
    <row r="6" spans="1:38">
      <c r="A6" s="10">
        <v>2</v>
      </c>
      <c r="B6" s="185" t="s">
        <v>45</v>
      </c>
      <c r="C6" s="186" t="s">
        <v>46</v>
      </c>
      <c r="D6" s="187" t="s">
        <v>43</v>
      </c>
      <c r="E6" s="37">
        <v>1E-3</v>
      </c>
      <c r="F6" s="37">
        <v>1.08E-3</v>
      </c>
      <c r="G6" s="14">
        <v>15.309699999999999</v>
      </c>
      <c r="H6" s="38">
        <v>0.95</v>
      </c>
      <c r="I6" s="14">
        <f t="shared" si="0"/>
        <v>1.74047115789474E-2</v>
      </c>
      <c r="J6" s="13" t="s">
        <v>47</v>
      </c>
      <c r="K6" s="14">
        <v>65</v>
      </c>
      <c r="L6" s="41">
        <v>55.384615384615401</v>
      </c>
      <c r="M6" s="13">
        <v>4</v>
      </c>
      <c r="N6" s="13">
        <v>20.2</v>
      </c>
      <c r="O6" s="13">
        <v>0.76</v>
      </c>
      <c r="P6" s="13">
        <v>22.5</v>
      </c>
      <c r="Q6" s="14">
        <f t="shared" si="1"/>
        <v>8.6538461538461495E-2</v>
      </c>
      <c r="R6" s="14">
        <v>0</v>
      </c>
      <c r="S6" s="21">
        <v>7.15583333333333E-3</v>
      </c>
      <c r="T6" s="21">
        <v>1.6666666666666701E-2</v>
      </c>
      <c r="U6" s="13">
        <v>0</v>
      </c>
      <c r="V6" s="14">
        <f t="shared" ref="V6:V69" si="14">(I6+Q6+(N6*O6/K6/M6)/2)/H6*1.11+R6*1.03+S6+T6+U6</f>
        <v>0.179767276363094</v>
      </c>
      <c r="W6" s="13">
        <v>0.09</v>
      </c>
      <c r="X6" s="42">
        <f t="shared" si="2"/>
        <v>8.9767276363094103E-2</v>
      </c>
      <c r="Y6" s="44">
        <f t="shared" si="3"/>
        <v>9.2712461377027003E-2</v>
      </c>
      <c r="Z6" s="45">
        <f t="shared" si="4"/>
        <v>0.48139162638071598</v>
      </c>
      <c r="AA6" s="15">
        <f t="shared" si="5"/>
        <v>2.9523076923076898E-2</v>
      </c>
      <c r="AB6" s="45">
        <f t="shared" si="6"/>
        <v>0.16422942773770599</v>
      </c>
      <c r="AC6" s="46">
        <f t="shared" si="7"/>
        <v>3.98060952922265E-2</v>
      </c>
      <c r="AD6" s="46">
        <f t="shared" si="8"/>
        <v>0</v>
      </c>
      <c r="AE6" s="46">
        <f t="shared" si="9"/>
        <v>0.90318198099751301</v>
      </c>
      <c r="AF6" s="47">
        <v>98000</v>
      </c>
      <c r="AG6" s="51">
        <f t="shared" si="10"/>
        <v>0.22402187506072899</v>
      </c>
      <c r="AH6" s="52">
        <f t="shared" si="11"/>
        <v>21954.143755951402</v>
      </c>
      <c r="AI6" s="53">
        <f t="shared" si="12"/>
        <v>17617.193083583199</v>
      </c>
      <c r="AJ6" s="53">
        <f t="shared" si="13"/>
        <v>8820</v>
      </c>
      <c r="AK6" s="1">
        <f t="shared" ref="AK6:AK37" si="15">AG6/I6</f>
        <v>12.871335100531301</v>
      </c>
      <c r="AL6" s="33">
        <f t="shared" ref="AL6:AL37" si="16">(AG6-W6)/W6</f>
        <v>1.48913194511921</v>
      </c>
    </row>
    <row r="7" spans="1:38">
      <c r="A7" s="10">
        <v>3</v>
      </c>
      <c r="B7" s="185" t="s">
        <v>48</v>
      </c>
      <c r="C7" s="186" t="s">
        <v>49</v>
      </c>
      <c r="D7" s="187" t="s">
        <v>43</v>
      </c>
      <c r="E7" s="37">
        <v>1.24E-3</v>
      </c>
      <c r="F7" s="37">
        <v>1.426E-3</v>
      </c>
      <c r="G7" s="14">
        <v>15.309699999999999</v>
      </c>
      <c r="H7" s="38">
        <v>0.85</v>
      </c>
      <c r="I7" s="14">
        <f t="shared" si="0"/>
        <v>2.5684273176470599E-2</v>
      </c>
      <c r="J7" s="13" t="s">
        <v>44</v>
      </c>
      <c r="K7" s="14">
        <v>55</v>
      </c>
      <c r="L7" s="41">
        <v>65.454545454545496</v>
      </c>
      <c r="M7" s="13">
        <v>8</v>
      </c>
      <c r="N7" s="13">
        <v>27.15</v>
      </c>
      <c r="O7" s="13">
        <v>0.76</v>
      </c>
      <c r="P7" s="13">
        <v>22.5</v>
      </c>
      <c r="Q7" s="14">
        <f t="shared" si="1"/>
        <v>5.1136363636363598E-2</v>
      </c>
      <c r="R7" s="14">
        <v>0</v>
      </c>
      <c r="S7" s="21">
        <v>2.86233333333333E-3</v>
      </c>
      <c r="T7" s="21">
        <v>6.6666666666666697E-3</v>
      </c>
      <c r="U7" s="13">
        <v>0</v>
      </c>
      <c r="V7" s="14">
        <f t="shared" si="14"/>
        <v>0.14046768721761599</v>
      </c>
      <c r="W7" s="13">
        <v>0.27</v>
      </c>
      <c r="X7" s="42">
        <f t="shared" si="2"/>
        <v>-0.129532312782384</v>
      </c>
      <c r="Y7" s="44">
        <f t="shared" si="3"/>
        <v>4.74604999820245E-2</v>
      </c>
      <c r="Z7" s="45">
        <f t="shared" si="4"/>
        <v>0.364043607816665</v>
      </c>
      <c r="AA7" s="15">
        <f t="shared" si="5"/>
        <v>2.3447727272727301E-2</v>
      </c>
      <c r="AB7" s="45">
        <f t="shared" si="6"/>
        <v>0.166926128970868</v>
      </c>
      <c r="AC7" s="46">
        <f t="shared" si="7"/>
        <v>2.0377165667282201E-2</v>
      </c>
      <c r="AD7" s="46">
        <f t="shared" si="8"/>
        <v>0</v>
      </c>
      <c r="AE7" s="46">
        <f t="shared" si="9"/>
        <v>0.81715173300547095</v>
      </c>
      <c r="AF7" s="47">
        <v>30789</v>
      </c>
      <c r="AG7" s="51">
        <f t="shared" si="10"/>
        <v>0.15993154612834201</v>
      </c>
      <c r="AH7" s="52">
        <f t="shared" si="11"/>
        <v>4924.1323737455295</v>
      </c>
      <c r="AI7" s="53">
        <f t="shared" si="12"/>
        <v>4324.8596217431696</v>
      </c>
      <c r="AJ7" s="53">
        <f t="shared" si="13"/>
        <v>8313.0300000000007</v>
      </c>
      <c r="AK7" s="1">
        <f t="shared" si="15"/>
        <v>6.2268277957289397</v>
      </c>
      <c r="AL7" s="33">
        <f t="shared" si="16"/>
        <v>-0.40766094026539901</v>
      </c>
    </row>
    <row r="8" spans="1:38">
      <c r="A8" s="10">
        <v>4</v>
      </c>
      <c r="B8" s="185" t="s">
        <v>50</v>
      </c>
      <c r="C8" s="186" t="s">
        <v>51</v>
      </c>
      <c r="D8" s="187" t="s">
        <v>43</v>
      </c>
      <c r="E8" s="37">
        <v>1E-3</v>
      </c>
      <c r="F8" s="37">
        <v>1.08E-3</v>
      </c>
      <c r="G8" s="14">
        <v>15.309699999999999</v>
      </c>
      <c r="H8" s="38">
        <v>0.95</v>
      </c>
      <c r="I8" s="14">
        <f t="shared" si="0"/>
        <v>1.74047115789474E-2</v>
      </c>
      <c r="J8" s="13" t="s">
        <v>47</v>
      </c>
      <c r="K8" s="14">
        <v>65</v>
      </c>
      <c r="L8" s="41">
        <v>55.384615384615401</v>
      </c>
      <c r="M8" s="13">
        <v>8</v>
      </c>
      <c r="N8" s="13">
        <v>20.2</v>
      </c>
      <c r="O8" s="13">
        <v>0.76</v>
      </c>
      <c r="P8" s="13">
        <v>22.5</v>
      </c>
      <c r="Q8" s="14">
        <f t="shared" si="1"/>
        <v>4.3269230769230803E-2</v>
      </c>
      <c r="R8" s="14">
        <v>0</v>
      </c>
      <c r="S8" s="21">
        <v>2.86233333333333E-3</v>
      </c>
      <c r="T8" s="21">
        <v>6.6666666666666697E-3</v>
      </c>
      <c r="U8" s="13">
        <v>0</v>
      </c>
      <c r="V8" s="14">
        <f t="shared" si="14"/>
        <v>9.7669403893458406E-2</v>
      </c>
      <c r="W8" s="13">
        <v>0.14000000000000001</v>
      </c>
      <c r="X8" s="42">
        <f t="shared" si="2"/>
        <v>-4.23305961065416E-2</v>
      </c>
      <c r="Y8" s="44">
        <f t="shared" si="3"/>
        <v>6.8257472667069094E-2</v>
      </c>
      <c r="Z8" s="45">
        <f t="shared" si="4"/>
        <v>0.44301725048338098</v>
      </c>
      <c r="AA8" s="15">
        <f t="shared" si="5"/>
        <v>1.47615384615385E-2</v>
      </c>
      <c r="AB8" s="45">
        <f t="shared" si="6"/>
        <v>0.151137796209353</v>
      </c>
      <c r="AC8" s="46">
        <f t="shared" si="7"/>
        <v>2.9306345889606102E-2</v>
      </c>
      <c r="AD8" s="46">
        <f t="shared" si="8"/>
        <v>0</v>
      </c>
      <c r="AE8" s="46">
        <f t="shared" si="9"/>
        <v>0.82179975626826696</v>
      </c>
      <c r="AF8" s="47">
        <v>90140</v>
      </c>
      <c r="AG8" s="51">
        <f t="shared" si="10"/>
        <v>0.122682221214575</v>
      </c>
      <c r="AH8" s="52">
        <f t="shared" si="11"/>
        <v>11058.575420281801</v>
      </c>
      <c r="AI8" s="53">
        <f t="shared" si="12"/>
        <v>8803.9200669563397</v>
      </c>
      <c r="AJ8" s="53">
        <f t="shared" si="13"/>
        <v>12619.6</v>
      </c>
      <c r="AK8" s="1">
        <f t="shared" si="15"/>
        <v>7.0487936934829998</v>
      </c>
      <c r="AL8" s="33">
        <f t="shared" si="16"/>
        <v>-0.123698419895893</v>
      </c>
    </row>
    <row r="9" spans="1:38">
      <c r="A9" s="10">
        <v>5</v>
      </c>
      <c r="B9" s="185" t="s">
        <v>52</v>
      </c>
      <c r="C9" s="186" t="s">
        <v>53</v>
      </c>
      <c r="D9" s="187" t="s">
        <v>43</v>
      </c>
      <c r="E9" s="37">
        <v>2E-3</v>
      </c>
      <c r="F9" s="37">
        <v>2.16E-3</v>
      </c>
      <c r="G9" s="14">
        <v>15.309699999999999</v>
      </c>
      <c r="H9" s="38">
        <v>0.95</v>
      </c>
      <c r="I9" s="14">
        <f t="shared" si="0"/>
        <v>3.4809423157894703E-2</v>
      </c>
      <c r="J9" s="13" t="s">
        <v>54</v>
      </c>
      <c r="K9" s="14">
        <v>65</v>
      </c>
      <c r="L9" s="41">
        <v>55.384615384615401</v>
      </c>
      <c r="M9" s="13">
        <v>2</v>
      </c>
      <c r="N9" s="13">
        <v>17.41</v>
      </c>
      <c r="O9" s="13">
        <v>0.76</v>
      </c>
      <c r="P9" s="13">
        <v>22.5</v>
      </c>
      <c r="Q9" s="14">
        <f t="shared" si="1"/>
        <v>0.17307692307692299</v>
      </c>
      <c r="R9" s="14">
        <v>0</v>
      </c>
      <c r="S9" s="21">
        <v>2.86233333333333E-3</v>
      </c>
      <c r="T9" s="21">
        <v>6.6666666666666697E-3</v>
      </c>
      <c r="U9" s="13">
        <v>0</v>
      </c>
      <c r="V9" s="14">
        <f t="shared" si="14"/>
        <v>0.31188962964926498</v>
      </c>
      <c r="W9" s="13">
        <v>0.27</v>
      </c>
      <c r="X9" s="42">
        <f t="shared" si="2"/>
        <v>4.1889629649264799E-2</v>
      </c>
      <c r="Y9" s="44">
        <f t="shared" si="3"/>
        <v>2.1375082827100302E-2</v>
      </c>
      <c r="Z9" s="45">
        <f t="shared" si="4"/>
        <v>0.55493003493433402</v>
      </c>
      <c r="AA9" s="15">
        <f t="shared" si="5"/>
        <v>5.0890769230769198E-2</v>
      </c>
      <c r="AB9" s="45">
        <f t="shared" si="6"/>
        <v>0.163169161116381</v>
      </c>
      <c r="AC9" s="46">
        <f t="shared" si="7"/>
        <v>9.1773918118154899E-3</v>
      </c>
      <c r="AD9" s="46">
        <f t="shared" si="8"/>
        <v>0</v>
      </c>
      <c r="AE9" s="46">
        <f t="shared" si="9"/>
        <v>0.88839185452546299</v>
      </c>
      <c r="AF9" s="47">
        <v>18200</v>
      </c>
      <c r="AG9" s="51">
        <f t="shared" si="10"/>
        <v>0.39769467319838098</v>
      </c>
      <c r="AH9" s="52">
        <f t="shared" si="11"/>
        <v>7238.0430522105298</v>
      </c>
      <c r="AI9" s="53">
        <f t="shared" si="12"/>
        <v>5676.3912596166201</v>
      </c>
      <c r="AJ9" s="53">
        <f t="shared" si="13"/>
        <v>4914</v>
      </c>
      <c r="AK9" s="1">
        <f t="shared" si="15"/>
        <v>11.4249142076974</v>
      </c>
      <c r="AL9" s="33">
        <f t="shared" si="16"/>
        <v>0.47294323406807598</v>
      </c>
    </row>
    <row r="10" spans="1:38">
      <c r="A10" s="10">
        <v>6</v>
      </c>
      <c r="B10" s="185" t="s">
        <v>55</v>
      </c>
      <c r="C10" s="186" t="s">
        <v>56</v>
      </c>
      <c r="D10" s="187" t="s">
        <v>43</v>
      </c>
      <c r="E10" s="37">
        <v>1E-3</v>
      </c>
      <c r="F10" s="37">
        <v>1.08E-3</v>
      </c>
      <c r="G10" s="14">
        <v>15.309699999999999</v>
      </c>
      <c r="H10" s="38">
        <v>0.95</v>
      </c>
      <c r="I10" s="14">
        <f t="shared" si="0"/>
        <v>1.74047115789474E-2</v>
      </c>
      <c r="J10" s="13" t="s">
        <v>54</v>
      </c>
      <c r="K10" s="14">
        <v>65</v>
      </c>
      <c r="L10" s="41">
        <v>55.384615384615401</v>
      </c>
      <c r="M10" s="13">
        <v>2</v>
      </c>
      <c r="N10" s="13">
        <v>17.41</v>
      </c>
      <c r="O10" s="13">
        <v>0.76</v>
      </c>
      <c r="P10" s="13">
        <v>22.5</v>
      </c>
      <c r="Q10" s="14">
        <f t="shared" si="1"/>
        <v>0.17307692307692299</v>
      </c>
      <c r="R10" s="14">
        <v>0</v>
      </c>
      <c r="S10" s="21">
        <v>2.86233333333333E-3</v>
      </c>
      <c r="T10" s="21">
        <v>6.6666666666666697E-3</v>
      </c>
      <c r="U10" s="13">
        <v>0</v>
      </c>
      <c r="V10" s="14">
        <f t="shared" si="14"/>
        <v>0.29155359822544202</v>
      </c>
      <c r="W10" s="13">
        <v>0.21</v>
      </c>
      <c r="X10" s="42">
        <f t="shared" si="2"/>
        <v>8.1553598225442295E-2</v>
      </c>
      <c r="Y10" s="44">
        <f t="shared" si="3"/>
        <v>2.2866007167271201E-2</v>
      </c>
      <c r="Z10" s="45">
        <f t="shared" si="4"/>
        <v>0.593636724534925</v>
      </c>
      <c r="AA10" s="15">
        <f t="shared" si="5"/>
        <v>5.0890769230769198E-2</v>
      </c>
      <c r="AB10" s="45">
        <f t="shared" si="6"/>
        <v>0.174550304096807</v>
      </c>
      <c r="AC10" s="46">
        <f t="shared" si="7"/>
        <v>9.8175201772678702E-3</v>
      </c>
      <c r="AD10" s="46">
        <f t="shared" si="8"/>
        <v>0</v>
      </c>
      <c r="AE10" s="46">
        <f t="shared" si="9"/>
        <v>0.94030356104372503</v>
      </c>
      <c r="AF10" s="47">
        <v>21300</v>
      </c>
      <c r="AG10" s="51">
        <f t="shared" si="10"/>
        <v>0.37158760582995998</v>
      </c>
      <c r="AH10" s="52">
        <f t="shared" si="11"/>
        <v>7914.8160041781402</v>
      </c>
      <c r="AI10" s="53">
        <f t="shared" si="12"/>
        <v>6210.09164220192</v>
      </c>
      <c r="AJ10" s="53">
        <f t="shared" si="13"/>
        <v>4473</v>
      </c>
      <c r="AK10" s="1">
        <f t="shared" si="15"/>
        <v>21.3498284153947</v>
      </c>
      <c r="AL10" s="33">
        <f t="shared" si="16"/>
        <v>0.76946478966647402</v>
      </c>
    </row>
    <row r="11" spans="1:38">
      <c r="A11" s="10">
        <v>7</v>
      </c>
      <c r="B11" s="188" t="s">
        <v>57</v>
      </c>
      <c r="C11" s="189" t="s">
        <v>58</v>
      </c>
      <c r="D11" s="187" t="s">
        <v>59</v>
      </c>
      <c r="E11" s="37">
        <v>1.2E-2</v>
      </c>
      <c r="F11" s="37">
        <v>1.26E-2</v>
      </c>
      <c r="G11" s="14">
        <v>18.584099999999999</v>
      </c>
      <c r="H11" s="38">
        <v>0.96</v>
      </c>
      <c r="I11" s="14">
        <f t="shared" si="0"/>
        <v>0.24391631250000001</v>
      </c>
      <c r="J11" s="13" t="s">
        <v>44</v>
      </c>
      <c r="K11" s="14">
        <v>51</v>
      </c>
      <c r="L11" s="41">
        <v>70.588235294117695</v>
      </c>
      <c r="M11" s="13">
        <v>2</v>
      </c>
      <c r="N11" s="13">
        <v>27.15</v>
      </c>
      <c r="O11" s="13">
        <v>0.76</v>
      </c>
      <c r="P11" s="13">
        <v>22.5</v>
      </c>
      <c r="Q11" s="14">
        <f t="shared" si="1"/>
        <v>0.220588235294118</v>
      </c>
      <c r="R11" s="14">
        <v>0</v>
      </c>
      <c r="S11" s="21">
        <v>1.43116666666667E-2</v>
      </c>
      <c r="T11" s="21">
        <v>3.3333333333333298E-2</v>
      </c>
      <c r="U11" s="13">
        <v>0.3</v>
      </c>
      <c r="V11" s="14">
        <f t="shared" si="14"/>
        <v>1.0016796701516499</v>
      </c>
      <c r="W11" s="13">
        <v>1.35</v>
      </c>
      <c r="X11" s="42">
        <f t="shared" si="2"/>
        <v>-0.34832032984834599</v>
      </c>
      <c r="Y11" s="44">
        <f t="shared" si="3"/>
        <v>3.3277438213642298E-2</v>
      </c>
      <c r="Z11" s="45">
        <f t="shared" si="4"/>
        <v>0.22021834111969199</v>
      </c>
      <c r="AA11" s="15">
        <f t="shared" si="5"/>
        <v>0.10114705882352901</v>
      </c>
      <c r="AB11" s="45">
        <f t="shared" si="6"/>
        <v>0.100977450014749</v>
      </c>
      <c r="AC11" s="46">
        <f t="shared" si="7"/>
        <v>1.42876680970274E-2</v>
      </c>
      <c r="AD11" s="46">
        <f t="shared" si="8"/>
        <v>0.29949694392278098</v>
      </c>
      <c r="AE11" s="46">
        <f t="shared" si="9"/>
        <v>0.75649269944445297</v>
      </c>
      <c r="AF11" s="47">
        <v>22465</v>
      </c>
      <c r="AG11" s="51">
        <f t="shared" si="10"/>
        <v>1.19612240992647</v>
      </c>
      <c r="AH11" s="52">
        <f t="shared" si="11"/>
        <v>26870.8899389982</v>
      </c>
      <c r="AI11" s="53">
        <f t="shared" si="12"/>
        <v>22502.733789956899</v>
      </c>
      <c r="AJ11" s="53">
        <f t="shared" si="13"/>
        <v>30327.75</v>
      </c>
      <c r="AK11" s="1">
        <f t="shared" si="15"/>
        <v>4.9038229451196296</v>
      </c>
      <c r="AL11" s="33">
        <f t="shared" si="16"/>
        <v>-0.113983400054466</v>
      </c>
    </row>
    <row r="12" spans="1:38">
      <c r="A12" s="10">
        <v>8</v>
      </c>
      <c r="B12" s="188" t="s">
        <v>60</v>
      </c>
      <c r="C12" s="189" t="s">
        <v>61</v>
      </c>
      <c r="D12" s="187" t="s">
        <v>59</v>
      </c>
      <c r="E12" s="37">
        <v>1.7000000000000001E-2</v>
      </c>
      <c r="F12" s="37">
        <v>1.7850000000000001E-2</v>
      </c>
      <c r="G12" s="14">
        <v>18.584099999999999</v>
      </c>
      <c r="H12" s="38">
        <v>0.96</v>
      </c>
      <c r="I12" s="14">
        <f t="shared" si="0"/>
        <v>0.34554810937500002</v>
      </c>
      <c r="J12" s="13" t="s">
        <v>44</v>
      </c>
      <c r="K12" s="14">
        <v>51</v>
      </c>
      <c r="L12" s="41">
        <v>70.588235294117695</v>
      </c>
      <c r="M12" s="13">
        <v>2</v>
      </c>
      <c r="N12" s="13">
        <v>27.15</v>
      </c>
      <c r="O12" s="13">
        <v>0.76</v>
      </c>
      <c r="P12" s="13">
        <v>22.5</v>
      </c>
      <c r="Q12" s="14">
        <f t="shared" si="1"/>
        <v>0.220588235294118</v>
      </c>
      <c r="R12" s="14">
        <v>0</v>
      </c>
      <c r="S12" s="21">
        <v>2.8623333333333299E-2</v>
      </c>
      <c r="T12" s="21">
        <v>6.6666666666666693E-2</v>
      </c>
      <c r="U12" s="13">
        <v>0</v>
      </c>
      <c r="V12" s="14">
        <f t="shared" si="14"/>
        <v>0.86683643528837295</v>
      </c>
      <c r="W12" s="13">
        <v>1.23</v>
      </c>
      <c r="X12" s="42">
        <f t="shared" si="2"/>
        <v>-0.36316356471162697</v>
      </c>
      <c r="Y12" s="44">
        <f t="shared" si="3"/>
        <v>7.6908011653304006E-2</v>
      </c>
      <c r="Z12" s="45">
        <f t="shared" si="4"/>
        <v>0.254475038558726</v>
      </c>
      <c r="AA12" s="15">
        <f t="shared" si="5"/>
        <v>0.10114705882352901</v>
      </c>
      <c r="AB12" s="45">
        <f t="shared" si="6"/>
        <v>0.11668528768046101</v>
      </c>
      <c r="AC12" s="46">
        <f t="shared" si="7"/>
        <v>3.3020454803345999E-2</v>
      </c>
      <c r="AD12" s="46">
        <f t="shared" si="8"/>
        <v>0</v>
      </c>
      <c r="AE12" s="46">
        <f t="shared" si="9"/>
        <v>0.60136872966115495</v>
      </c>
      <c r="AF12" s="47">
        <v>22623</v>
      </c>
      <c r="AG12" s="51">
        <f t="shared" si="10"/>
        <v>1.0962151052389699</v>
      </c>
      <c r="AH12" s="52">
        <f t="shared" si="11"/>
        <v>24799.674325821201</v>
      </c>
      <c r="AI12" s="53">
        <f t="shared" si="12"/>
        <v>19610.440675528898</v>
      </c>
      <c r="AJ12" s="53">
        <f t="shared" si="13"/>
        <v>27826.29</v>
      </c>
      <c r="AK12" s="1">
        <f t="shared" si="15"/>
        <v>3.17239503124968</v>
      </c>
      <c r="AL12" s="33">
        <f t="shared" si="16"/>
        <v>-0.10876820712278799</v>
      </c>
    </row>
    <row r="13" spans="1:38">
      <c r="A13" s="10">
        <v>9</v>
      </c>
      <c r="B13" s="185" t="s">
        <v>62</v>
      </c>
      <c r="C13" s="186" t="s">
        <v>63</v>
      </c>
      <c r="D13" s="187" t="s">
        <v>64</v>
      </c>
      <c r="E13" s="37">
        <v>0</v>
      </c>
      <c r="F13" s="37">
        <v>1.3625E-3</v>
      </c>
      <c r="G13" s="14">
        <v>21.238900000000001</v>
      </c>
      <c r="H13" s="38">
        <v>0.98</v>
      </c>
      <c r="I13" s="14">
        <f t="shared" si="0"/>
        <v>2.9528572704081602E-2</v>
      </c>
      <c r="J13" s="13" t="s">
        <v>65</v>
      </c>
      <c r="K13" s="14">
        <v>51</v>
      </c>
      <c r="L13" s="41">
        <v>70.588235294117695</v>
      </c>
      <c r="M13" s="13">
        <v>2</v>
      </c>
      <c r="N13" s="13">
        <v>48.5</v>
      </c>
      <c r="O13" s="13">
        <v>0.76</v>
      </c>
      <c r="P13" s="13">
        <v>22.5</v>
      </c>
      <c r="Q13" s="14">
        <f t="shared" si="1"/>
        <v>0.220588235294118</v>
      </c>
      <c r="R13" s="14">
        <v>0</v>
      </c>
      <c r="S13" s="21">
        <v>4.2716999999999998E-3</v>
      </c>
      <c r="T13" s="21">
        <v>0.01</v>
      </c>
      <c r="U13" s="13">
        <v>0</v>
      </c>
      <c r="V13" s="14">
        <f t="shared" si="14"/>
        <v>0.50222213018763595</v>
      </c>
      <c r="W13" s="13">
        <v>0.16</v>
      </c>
      <c r="X13" s="42">
        <f t="shared" si="2"/>
        <v>0.34222213018763598</v>
      </c>
      <c r="Y13" s="44">
        <f t="shared" si="3"/>
        <v>1.9911508073656301E-2</v>
      </c>
      <c r="Z13" s="45">
        <f t="shared" si="4"/>
        <v>0.43922444280124301</v>
      </c>
      <c r="AA13" s="15">
        <f t="shared" si="5"/>
        <v>0.18068627450980401</v>
      </c>
      <c r="AB13" s="45">
        <f t="shared" si="6"/>
        <v>0.35977362137008501</v>
      </c>
      <c r="AC13" s="46">
        <f t="shared" si="7"/>
        <v>8.5055989038237793E-3</v>
      </c>
      <c r="AD13" s="46">
        <f t="shared" si="8"/>
        <v>0</v>
      </c>
      <c r="AE13" s="46">
        <f t="shared" si="9"/>
        <v>0.94120415861991302</v>
      </c>
      <c r="AF13" s="47">
        <v>10290</v>
      </c>
      <c r="AG13" s="51">
        <f t="shared" si="10"/>
        <v>0.66047632376200505</v>
      </c>
      <c r="AH13" s="52">
        <f t="shared" si="11"/>
        <v>6796.3013715110301</v>
      </c>
      <c r="AI13" s="53">
        <f t="shared" si="12"/>
        <v>5167.8657196307804</v>
      </c>
      <c r="AJ13" s="53">
        <f t="shared" si="13"/>
        <v>1646.4</v>
      </c>
      <c r="AK13" s="1">
        <f t="shared" si="15"/>
        <v>22.367363650824501</v>
      </c>
      <c r="AL13" s="33">
        <f t="shared" si="16"/>
        <v>3.1279770235125302</v>
      </c>
    </row>
    <row r="14" spans="1:38">
      <c r="A14" s="10">
        <v>10</v>
      </c>
      <c r="B14" s="190" t="s">
        <v>66</v>
      </c>
      <c r="C14" s="191" t="s">
        <v>67</v>
      </c>
      <c r="D14" s="187" t="s">
        <v>64</v>
      </c>
      <c r="E14" s="37">
        <v>0</v>
      </c>
      <c r="F14" s="37">
        <v>1.3625E-3</v>
      </c>
      <c r="G14" s="14">
        <v>21.238900000000001</v>
      </c>
      <c r="H14" s="38">
        <v>0.98</v>
      </c>
      <c r="I14" s="14">
        <f t="shared" si="0"/>
        <v>2.9528572704081602E-2</v>
      </c>
      <c r="J14" s="13" t="s">
        <v>65</v>
      </c>
      <c r="K14" s="14">
        <v>51</v>
      </c>
      <c r="L14" s="41">
        <v>70.588235294117695</v>
      </c>
      <c r="M14" s="13">
        <v>2</v>
      </c>
      <c r="N14" s="13">
        <v>48.5</v>
      </c>
      <c r="O14" s="13">
        <v>0.76</v>
      </c>
      <c r="P14" s="13">
        <v>22.5</v>
      </c>
      <c r="Q14" s="14">
        <f t="shared" si="1"/>
        <v>0.220588235294118</v>
      </c>
      <c r="R14" s="14">
        <v>0</v>
      </c>
      <c r="S14" s="21">
        <v>4.2716999999999998E-3</v>
      </c>
      <c r="T14" s="21">
        <v>0.01</v>
      </c>
      <c r="U14" s="13">
        <v>0</v>
      </c>
      <c r="V14" s="14">
        <f t="shared" si="14"/>
        <v>0.50222213018763595</v>
      </c>
      <c r="W14" s="13">
        <v>0.16</v>
      </c>
      <c r="X14" s="42">
        <f t="shared" si="2"/>
        <v>0.34222213018763598</v>
      </c>
      <c r="Y14" s="44">
        <f t="shared" si="3"/>
        <v>1.9911508073656301E-2</v>
      </c>
      <c r="Z14" s="45">
        <f t="shared" si="4"/>
        <v>0.43922444280124301</v>
      </c>
      <c r="AA14" s="15">
        <f t="shared" si="5"/>
        <v>0.18068627450980401</v>
      </c>
      <c r="AB14" s="45">
        <f t="shared" si="6"/>
        <v>0.35977362137008501</v>
      </c>
      <c r="AC14" s="46">
        <f t="shared" si="7"/>
        <v>8.5055989038237793E-3</v>
      </c>
      <c r="AD14" s="46">
        <f t="shared" si="8"/>
        <v>0</v>
      </c>
      <c r="AE14" s="46">
        <f t="shared" si="9"/>
        <v>0.94120415861991302</v>
      </c>
      <c r="AF14" s="47">
        <v>0</v>
      </c>
      <c r="AG14" s="51">
        <f t="shared" si="10"/>
        <v>0.66047632376200505</v>
      </c>
      <c r="AH14" s="52">
        <f t="shared" si="11"/>
        <v>0</v>
      </c>
      <c r="AI14" s="53">
        <f t="shared" si="12"/>
        <v>0</v>
      </c>
      <c r="AJ14" s="53">
        <f t="shared" si="13"/>
        <v>0</v>
      </c>
    </row>
    <row r="15" spans="1:38">
      <c r="A15" s="10">
        <v>11</v>
      </c>
      <c r="B15" s="190" t="s">
        <v>68</v>
      </c>
      <c r="C15" s="191" t="s">
        <v>69</v>
      </c>
      <c r="D15" s="187" t="s">
        <v>70</v>
      </c>
      <c r="E15" s="37">
        <v>1E-3</v>
      </c>
      <c r="F15" s="37">
        <v>1.1000000000000001E-3</v>
      </c>
      <c r="G15" s="14">
        <v>23.716814159291999</v>
      </c>
      <c r="H15" s="38">
        <v>0.97</v>
      </c>
      <c r="I15" s="14">
        <f t="shared" si="0"/>
        <v>2.6895356263114598E-2</v>
      </c>
      <c r="J15" s="13" t="s">
        <v>47</v>
      </c>
      <c r="K15" s="14">
        <v>80</v>
      </c>
      <c r="L15" s="41">
        <v>45</v>
      </c>
      <c r="M15" s="13">
        <v>8</v>
      </c>
      <c r="N15" s="13">
        <v>20.2</v>
      </c>
      <c r="O15" s="13">
        <v>0.76</v>
      </c>
      <c r="P15" s="13">
        <v>22.5</v>
      </c>
      <c r="Q15" s="14">
        <f t="shared" si="1"/>
        <v>3.515625E-2</v>
      </c>
      <c r="R15" s="14">
        <v>0</v>
      </c>
      <c r="S15" s="21">
        <v>2.8303333333333301E-3</v>
      </c>
      <c r="T15" s="21">
        <v>6.6666666666666697E-3</v>
      </c>
      <c r="U15" s="13">
        <v>0</v>
      </c>
      <c r="V15" s="14">
        <f t="shared" si="14"/>
        <v>9.4229314899027999E-2</v>
      </c>
      <c r="W15" s="13">
        <v>0.12</v>
      </c>
      <c r="X15" s="42">
        <f t="shared" si="2"/>
        <v>-2.5770685100972E-2</v>
      </c>
      <c r="Y15" s="44">
        <f t="shared" si="3"/>
        <v>7.0749391246348103E-2</v>
      </c>
      <c r="Z15" s="45">
        <f t="shared" si="4"/>
        <v>0.37309249290066299</v>
      </c>
      <c r="AA15" s="15">
        <f t="shared" si="5"/>
        <v>1.1993749999999999E-2</v>
      </c>
      <c r="AB15" s="45">
        <f t="shared" si="6"/>
        <v>0.12728257668913301</v>
      </c>
      <c r="AC15" s="46">
        <f t="shared" si="7"/>
        <v>3.0036654053637001E-2</v>
      </c>
      <c r="AD15" s="46">
        <f t="shared" si="8"/>
        <v>0</v>
      </c>
      <c r="AE15" s="46">
        <f t="shared" si="9"/>
        <v>0.71457548755464795</v>
      </c>
      <c r="AF15" s="47">
        <v>1197276</v>
      </c>
      <c r="AG15" s="51">
        <f t="shared" si="10"/>
        <v>0.120565034394672</v>
      </c>
      <c r="AH15" s="52">
        <f t="shared" si="11"/>
        <v>144349.622119915</v>
      </c>
      <c r="AI15" s="53">
        <f t="shared" si="12"/>
        <v>112818.497225049</v>
      </c>
      <c r="AJ15" s="53">
        <f t="shared" si="13"/>
        <v>143673.12</v>
      </c>
      <c r="AK15" s="1">
        <f t="shared" si="15"/>
        <v>4.4827453934871198</v>
      </c>
      <c r="AL15" s="33">
        <f t="shared" si="16"/>
        <v>4.7086199555990398E-3</v>
      </c>
    </row>
    <row r="16" spans="1:38">
      <c r="A16" s="10">
        <v>12</v>
      </c>
      <c r="B16" s="190" t="s">
        <v>71</v>
      </c>
      <c r="C16" s="192" t="s">
        <v>72</v>
      </c>
      <c r="D16" s="187" t="s">
        <v>70</v>
      </c>
      <c r="E16" s="37">
        <v>1.2999999999999999E-3</v>
      </c>
      <c r="F16" s="37">
        <v>1.4300000000000001E-3</v>
      </c>
      <c r="G16" s="14">
        <v>23.716814159291999</v>
      </c>
      <c r="H16" s="38">
        <v>0.97</v>
      </c>
      <c r="I16" s="14">
        <f t="shared" si="0"/>
        <v>3.4963963142048998E-2</v>
      </c>
      <c r="J16" s="13" t="s">
        <v>47</v>
      </c>
      <c r="K16" s="14">
        <v>80</v>
      </c>
      <c r="L16" s="41">
        <v>45</v>
      </c>
      <c r="M16" s="13">
        <v>2</v>
      </c>
      <c r="N16" s="13">
        <v>20.2</v>
      </c>
      <c r="O16" s="13">
        <v>0.76</v>
      </c>
      <c r="P16" s="13">
        <v>22.5</v>
      </c>
      <c r="Q16" s="14">
        <f t="shared" si="1"/>
        <v>0.140625</v>
      </c>
      <c r="R16" s="14">
        <v>0</v>
      </c>
      <c r="S16" s="21">
        <v>2.8303333333333301E-3</v>
      </c>
      <c r="T16" s="21">
        <v>6.6666666666666697E-3</v>
      </c>
      <c r="U16" s="13">
        <v>0</v>
      </c>
      <c r="V16" s="14">
        <f t="shared" si="14"/>
        <v>0.26532792689451001</v>
      </c>
      <c r="W16" s="13">
        <v>0.19</v>
      </c>
      <c r="X16" s="42">
        <f t="shared" si="2"/>
        <v>7.5327926894509706E-2</v>
      </c>
      <c r="Y16" s="44">
        <f t="shared" si="3"/>
        <v>2.5126140111580601E-2</v>
      </c>
      <c r="Z16" s="45">
        <f t="shared" si="4"/>
        <v>0.530004517978653</v>
      </c>
      <c r="AA16" s="15">
        <f t="shared" si="5"/>
        <v>4.7974999999999997E-2</v>
      </c>
      <c r="AB16" s="45">
        <f t="shared" si="6"/>
        <v>0.18081398577796201</v>
      </c>
      <c r="AC16" s="46">
        <f t="shared" si="7"/>
        <v>1.06673027843715E-2</v>
      </c>
      <c r="AD16" s="46">
        <f t="shared" si="8"/>
        <v>0</v>
      </c>
      <c r="AE16" s="46">
        <f t="shared" si="9"/>
        <v>0.86822358448551096</v>
      </c>
      <c r="AF16" s="47">
        <v>113080</v>
      </c>
      <c r="AG16" s="51">
        <f t="shared" si="10"/>
        <v>0.34484294471307397</v>
      </c>
      <c r="AH16" s="52">
        <f t="shared" si="11"/>
        <v>38994.840188154398</v>
      </c>
      <c r="AI16" s="53">
        <f t="shared" si="12"/>
        <v>30003.281973231198</v>
      </c>
      <c r="AJ16" s="53">
        <f t="shared" si="13"/>
        <v>21485.200000000001</v>
      </c>
      <c r="AK16" s="1">
        <f t="shared" si="15"/>
        <v>9.8628105547437794</v>
      </c>
      <c r="AL16" s="33">
        <f t="shared" si="16"/>
        <v>0.81496286691091302</v>
      </c>
    </row>
    <row r="17" spans="1:38">
      <c r="A17" s="10">
        <v>13</v>
      </c>
      <c r="B17" s="190" t="s">
        <v>73</v>
      </c>
      <c r="C17" s="191" t="s">
        <v>74</v>
      </c>
      <c r="D17" s="187" t="s">
        <v>64</v>
      </c>
      <c r="E17" s="37">
        <v>1E-3</v>
      </c>
      <c r="F17" s="37">
        <v>1.1000000000000001E-3</v>
      </c>
      <c r="G17" s="14">
        <v>21.238900000000001</v>
      </c>
      <c r="H17" s="38">
        <v>0.97</v>
      </c>
      <c r="I17" s="14">
        <f t="shared" si="0"/>
        <v>2.4085350515463899E-2</v>
      </c>
      <c r="J17" s="13" t="s">
        <v>47</v>
      </c>
      <c r="K17" s="14">
        <v>72</v>
      </c>
      <c r="L17" s="41">
        <v>50</v>
      </c>
      <c r="M17" s="13">
        <v>4</v>
      </c>
      <c r="N17" s="13">
        <v>20.2</v>
      </c>
      <c r="O17" s="13">
        <v>0.76</v>
      </c>
      <c r="P17" s="13">
        <v>22.5</v>
      </c>
      <c r="Q17" s="14">
        <f t="shared" si="1"/>
        <v>7.8125E-2</v>
      </c>
      <c r="R17" s="14">
        <v>0</v>
      </c>
      <c r="S17" s="21">
        <v>2.8623333333333299E-2</v>
      </c>
      <c r="T17" s="21">
        <v>6.6666666666666693E-2</v>
      </c>
      <c r="U17" s="13">
        <v>0</v>
      </c>
      <c r="V17" s="14">
        <f t="shared" si="14"/>
        <v>0.24275193031494699</v>
      </c>
      <c r="W17" s="13">
        <v>0.16</v>
      </c>
      <c r="X17" s="42">
        <f t="shared" si="2"/>
        <v>8.2751930314946695E-2</v>
      </c>
      <c r="Y17" s="44">
        <f t="shared" si="3"/>
        <v>0.274628780830592</v>
      </c>
      <c r="Z17" s="45">
        <f t="shared" si="4"/>
        <v>0.32183060253585</v>
      </c>
      <c r="AA17" s="15">
        <f t="shared" si="5"/>
        <v>2.66527777777778E-2</v>
      </c>
      <c r="AB17" s="45">
        <f t="shared" si="6"/>
        <v>0.109794298002897</v>
      </c>
      <c r="AC17" s="46">
        <f t="shared" si="7"/>
        <v>0.117911867049615</v>
      </c>
      <c r="AD17" s="46">
        <f t="shared" si="8"/>
        <v>0</v>
      </c>
      <c r="AE17" s="46">
        <f t="shared" si="9"/>
        <v>0.90078204328091005</v>
      </c>
      <c r="AF17" s="47">
        <v>0</v>
      </c>
      <c r="AG17" s="51">
        <f t="shared" si="10"/>
        <v>0.28858469243986301</v>
      </c>
      <c r="AH17" s="52">
        <f t="shared" si="11"/>
        <v>0</v>
      </c>
      <c r="AI17" s="53">
        <f t="shared" si="12"/>
        <v>0</v>
      </c>
      <c r="AJ17" s="53">
        <f t="shared" si="13"/>
        <v>0</v>
      </c>
      <c r="AL17" s="33">
        <f t="shared" si="16"/>
        <v>0.80365432774914103</v>
      </c>
    </row>
    <row r="18" spans="1:38">
      <c r="A18" s="10">
        <v>14</v>
      </c>
      <c r="B18" s="190" t="s">
        <v>75</v>
      </c>
      <c r="C18" s="192" t="s">
        <v>76</v>
      </c>
      <c r="D18" s="187" t="s">
        <v>64</v>
      </c>
      <c r="E18" s="37">
        <v>1E-3</v>
      </c>
      <c r="F18" s="37">
        <v>1.1000000000000001E-3</v>
      </c>
      <c r="G18" s="14">
        <v>21.238900000000001</v>
      </c>
      <c r="H18" s="38">
        <v>0.97</v>
      </c>
      <c r="I18" s="14">
        <f t="shared" si="0"/>
        <v>2.4085350515463899E-2</v>
      </c>
      <c r="J18" s="13" t="s">
        <v>47</v>
      </c>
      <c r="K18" s="14">
        <v>72</v>
      </c>
      <c r="L18" s="41">
        <v>50</v>
      </c>
      <c r="M18" s="13">
        <v>4</v>
      </c>
      <c r="N18" s="13">
        <v>20.2</v>
      </c>
      <c r="O18" s="13">
        <v>0.76</v>
      </c>
      <c r="P18" s="13">
        <v>22.5</v>
      </c>
      <c r="Q18" s="14">
        <f t="shared" si="1"/>
        <v>7.8125E-2</v>
      </c>
      <c r="R18" s="14">
        <v>0</v>
      </c>
      <c r="S18" s="21">
        <v>1.43116666666667E-2</v>
      </c>
      <c r="T18" s="21">
        <v>3.3333333333333298E-2</v>
      </c>
      <c r="U18" s="13">
        <v>0</v>
      </c>
      <c r="V18" s="14">
        <f t="shared" si="14"/>
        <v>0.195106930314947</v>
      </c>
      <c r="W18" s="13">
        <v>0.16</v>
      </c>
      <c r="X18" s="42">
        <f t="shared" si="2"/>
        <v>3.5106930314946702E-2</v>
      </c>
      <c r="Y18" s="44">
        <f t="shared" si="3"/>
        <v>0.170846485460695</v>
      </c>
      <c r="Z18" s="45">
        <f t="shared" si="4"/>
        <v>0.40042145029850301</v>
      </c>
      <c r="AA18" s="15">
        <f t="shared" si="5"/>
        <v>2.66527777777778E-2</v>
      </c>
      <c r="AB18" s="45">
        <f t="shared" si="6"/>
        <v>0.13660600233294701</v>
      </c>
      <c r="AC18" s="46">
        <f t="shared" si="7"/>
        <v>7.3352938532549497E-2</v>
      </c>
      <c r="AD18" s="46">
        <f t="shared" si="8"/>
        <v>0</v>
      </c>
      <c r="AE18" s="46">
        <f t="shared" si="9"/>
        <v>0.87655307540032201</v>
      </c>
      <c r="AF18" s="47">
        <v>82600</v>
      </c>
      <c r="AG18" s="51">
        <f t="shared" si="10"/>
        <v>0.24093969243986299</v>
      </c>
      <c r="AH18" s="52">
        <f t="shared" si="11"/>
        <v>19901.6185955326</v>
      </c>
      <c r="AI18" s="53">
        <f t="shared" si="12"/>
        <v>16115.832444014601</v>
      </c>
      <c r="AJ18" s="53">
        <f t="shared" si="13"/>
        <v>13216</v>
      </c>
      <c r="AK18" s="1">
        <f t="shared" si="15"/>
        <v>10.003578411083</v>
      </c>
      <c r="AL18" s="33">
        <f t="shared" si="16"/>
        <v>0.50587307774914103</v>
      </c>
    </row>
    <row r="19" spans="1:38">
      <c r="A19" s="10">
        <v>15</v>
      </c>
      <c r="B19" s="190" t="s">
        <v>77</v>
      </c>
      <c r="C19" s="191" t="s">
        <v>78</v>
      </c>
      <c r="D19" s="187" t="s">
        <v>64</v>
      </c>
      <c r="E19" s="37">
        <v>1E-3</v>
      </c>
      <c r="F19" s="37">
        <v>1.1000000000000001E-3</v>
      </c>
      <c r="G19" s="14">
        <v>21.238900000000001</v>
      </c>
      <c r="H19" s="38">
        <v>0.97</v>
      </c>
      <c r="I19" s="14">
        <f t="shared" si="0"/>
        <v>2.4085350515463899E-2</v>
      </c>
      <c r="J19" s="13" t="s">
        <v>47</v>
      </c>
      <c r="K19" s="14">
        <v>72</v>
      </c>
      <c r="L19" s="41">
        <v>50</v>
      </c>
      <c r="M19" s="13">
        <v>4</v>
      </c>
      <c r="N19" s="13">
        <v>20.2</v>
      </c>
      <c r="O19" s="13">
        <v>0.76</v>
      </c>
      <c r="P19" s="13">
        <v>22.5</v>
      </c>
      <c r="Q19" s="14">
        <f t="shared" si="1"/>
        <v>7.8125E-2</v>
      </c>
      <c r="R19" s="14">
        <v>0</v>
      </c>
      <c r="S19" s="21">
        <v>1.43116666666667E-2</v>
      </c>
      <c r="T19" s="21">
        <v>3.3333333333333298E-2</v>
      </c>
      <c r="U19" s="13">
        <v>0</v>
      </c>
      <c r="V19" s="14">
        <f t="shared" si="14"/>
        <v>0.195106930314947</v>
      </c>
      <c r="W19" s="13">
        <v>0.16</v>
      </c>
      <c r="X19" s="42">
        <f t="shared" si="2"/>
        <v>3.5106930314946702E-2</v>
      </c>
      <c r="Y19" s="44">
        <f t="shared" si="3"/>
        <v>0.170846485460695</v>
      </c>
      <c r="Z19" s="45">
        <f t="shared" si="4"/>
        <v>0.40042145029850301</v>
      </c>
      <c r="AA19" s="15">
        <f t="shared" si="5"/>
        <v>2.66527777777778E-2</v>
      </c>
      <c r="AB19" s="45">
        <f t="shared" si="6"/>
        <v>0.13660600233294701</v>
      </c>
      <c r="AC19" s="46">
        <f t="shared" si="7"/>
        <v>7.3352938532549497E-2</v>
      </c>
      <c r="AD19" s="46">
        <f t="shared" si="8"/>
        <v>0</v>
      </c>
      <c r="AE19" s="46">
        <f t="shared" si="9"/>
        <v>0.87655307540032201</v>
      </c>
      <c r="AF19" s="47">
        <v>183411</v>
      </c>
      <c r="AG19" s="51">
        <f t="shared" si="10"/>
        <v>0.24093969243986299</v>
      </c>
      <c r="AH19" s="52">
        <f t="shared" si="11"/>
        <v>44190.989930087599</v>
      </c>
      <c r="AI19" s="53">
        <f t="shared" si="12"/>
        <v>35784.757195994702</v>
      </c>
      <c r="AJ19" s="53">
        <f t="shared" si="13"/>
        <v>29345.759999999998</v>
      </c>
      <c r="AK19" s="1">
        <f t="shared" si="15"/>
        <v>10.003578411083</v>
      </c>
      <c r="AL19" s="33">
        <f t="shared" si="16"/>
        <v>0.50587307774914103</v>
      </c>
    </row>
    <row r="20" spans="1:38" ht="27">
      <c r="A20" s="10">
        <v>16</v>
      </c>
      <c r="B20" s="190" t="s">
        <v>79</v>
      </c>
      <c r="C20" s="192" t="s">
        <v>80</v>
      </c>
      <c r="D20" s="187" t="s">
        <v>59</v>
      </c>
      <c r="E20" s="37">
        <v>3.5000000000000003E-2</v>
      </c>
      <c r="F20" s="37">
        <v>3.6749999999999998E-2</v>
      </c>
      <c r="G20" s="14">
        <v>18.584099999999999</v>
      </c>
      <c r="H20" s="38">
        <v>0.97</v>
      </c>
      <c r="I20" s="14">
        <f t="shared" si="0"/>
        <v>0.70408832474226801</v>
      </c>
      <c r="J20" s="13" t="s">
        <v>81</v>
      </c>
      <c r="K20" s="14">
        <v>42</v>
      </c>
      <c r="L20" s="41">
        <v>85.714285714285694</v>
      </c>
      <c r="M20" s="13">
        <v>2</v>
      </c>
      <c r="N20" s="13">
        <v>39.75</v>
      </c>
      <c r="O20" s="13">
        <v>0.76</v>
      </c>
      <c r="P20" s="13">
        <v>22.5</v>
      </c>
      <c r="Q20" s="14">
        <f t="shared" si="1"/>
        <v>0.26785714285714302</v>
      </c>
      <c r="R20" s="14">
        <v>0</v>
      </c>
      <c r="S20" s="21">
        <v>9.4781111111111094E-2</v>
      </c>
      <c r="T20" s="21">
        <v>0.22222222222222199</v>
      </c>
      <c r="U20" s="13">
        <v>0.3</v>
      </c>
      <c r="V20" s="14">
        <f t="shared" si="14"/>
        <v>1.9350046268896499</v>
      </c>
      <c r="W20" s="13">
        <v>2.79</v>
      </c>
      <c r="X20" s="42">
        <f t="shared" si="2"/>
        <v>-0.85499537311034601</v>
      </c>
      <c r="Y20" s="44">
        <f t="shared" si="3"/>
        <v>0.11484325108794401</v>
      </c>
      <c r="Z20" s="45">
        <f t="shared" si="4"/>
        <v>0.13842713300779</v>
      </c>
      <c r="AA20" s="15">
        <f t="shared" si="5"/>
        <v>0.17982142857142899</v>
      </c>
      <c r="AB20" s="45">
        <f t="shared" si="6"/>
        <v>9.2930748625896203E-2</v>
      </c>
      <c r="AC20" s="46">
        <f t="shared" si="7"/>
        <v>4.8982369237774499E-2</v>
      </c>
      <c r="AD20" s="46">
        <f t="shared" si="8"/>
        <v>0.15503838896872499</v>
      </c>
      <c r="AE20" s="46">
        <f t="shared" si="9"/>
        <v>0.63613093480090199</v>
      </c>
      <c r="AF20" s="47">
        <v>36792</v>
      </c>
      <c r="AG20" s="51">
        <f t="shared" si="10"/>
        <v>2.3446536775895899</v>
      </c>
      <c r="AH20" s="52">
        <f t="shared" si="11"/>
        <v>86264.498105876293</v>
      </c>
      <c r="AI20" s="53">
        <f t="shared" si="12"/>
        <v>71192.690232524197</v>
      </c>
      <c r="AJ20" s="53">
        <f t="shared" si="13"/>
        <v>102649.68</v>
      </c>
      <c r="AK20" s="1">
        <f t="shared" si="15"/>
        <v>3.33005618073252</v>
      </c>
      <c r="AL20" s="33">
        <f t="shared" si="16"/>
        <v>-0.159622337781508</v>
      </c>
    </row>
    <row r="21" spans="1:38" ht="27">
      <c r="A21" s="10">
        <v>17</v>
      </c>
      <c r="B21" s="190" t="s">
        <v>82</v>
      </c>
      <c r="C21" s="192" t="s">
        <v>83</v>
      </c>
      <c r="D21" s="187" t="s">
        <v>59</v>
      </c>
      <c r="E21" s="37">
        <v>3.5000000000000003E-2</v>
      </c>
      <c r="F21" s="37">
        <v>3.78E-2</v>
      </c>
      <c r="G21" s="14">
        <v>18.584099999999999</v>
      </c>
      <c r="H21" s="38">
        <v>0.97</v>
      </c>
      <c r="I21" s="14">
        <f t="shared" si="0"/>
        <v>0.72420513402061903</v>
      </c>
      <c r="J21" s="13" t="s">
        <v>81</v>
      </c>
      <c r="K21" s="14">
        <v>42</v>
      </c>
      <c r="L21" s="41">
        <v>85.714285714285694</v>
      </c>
      <c r="M21" s="13">
        <v>2</v>
      </c>
      <c r="N21" s="13">
        <v>39.75</v>
      </c>
      <c r="O21" s="13">
        <v>0.76</v>
      </c>
      <c r="P21" s="13">
        <v>22.5</v>
      </c>
      <c r="Q21" s="14">
        <f t="shared" si="1"/>
        <v>0.26785714285714302</v>
      </c>
      <c r="R21" s="14">
        <v>0</v>
      </c>
      <c r="S21" s="21">
        <v>9.4781111111111094E-2</v>
      </c>
      <c r="T21" s="21">
        <v>0.22222222222222199</v>
      </c>
      <c r="U21" s="13">
        <v>0.3</v>
      </c>
      <c r="V21" s="14">
        <f t="shared" si="14"/>
        <v>1.9580248931772499</v>
      </c>
      <c r="W21" s="13">
        <v>2.79</v>
      </c>
      <c r="X21" s="42">
        <f t="shared" si="2"/>
        <v>-0.831975106822748</v>
      </c>
      <c r="Y21" s="44">
        <f t="shared" si="3"/>
        <v>0.113493052614682</v>
      </c>
      <c r="Z21" s="45">
        <f t="shared" si="4"/>
        <v>0.136799661633768</v>
      </c>
      <c r="AA21" s="15">
        <f t="shared" si="5"/>
        <v>0.17982142857142899</v>
      </c>
      <c r="AB21" s="45">
        <f t="shared" si="6"/>
        <v>9.1838172843469595E-2</v>
      </c>
      <c r="AC21" s="46">
        <f t="shared" si="7"/>
        <v>4.8406489335950903E-2</v>
      </c>
      <c r="AD21" s="46">
        <f t="shared" si="8"/>
        <v>0.15321562102982</v>
      </c>
      <c r="AE21" s="46">
        <f t="shared" si="9"/>
        <v>0.63013486879348901</v>
      </c>
      <c r="AF21" s="47">
        <v>0</v>
      </c>
      <c r="AG21" s="51">
        <f t="shared" si="10"/>
        <v>2.3748288915071201</v>
      </c>
      <c r="AH21" s="52">
        <f t="shared" si="11"/>
        <v>0</v>
      </c>
      <c r="AI21" s="53">
        <f t="shared" si="12"/>
        <v>0</v>
      </c>
      <c r="AJ21" s="53">
        <f t="shared" si="13"/>
        <v>0</v>
      </c>
    </row>
    <row r="22" spans="1:38">
      <c r="A22" s="10">
        <v>18</v>
      </c>
      <c r="B22" s="190" t="s">
        <v>84</v>
      </c>
      <c r="C22" s="191" t="s">
        <v>85</v>
      </c>
      <c r="D22" s="187" t="s">
        <v>86</v>
      </c>
      <c r="E22" s="37">
        <v>0</v>
      </c>
      <c r="F22" s="37">
        <v>4.48E-2</v>
      </c>
      <c r="G22" s="14">
        <v>13.716799999999999</v>
      </c>
      <c r="H22" s="38">
        <v>0.94</v>
      </c>
      <c r="I22" s="14">
        <f t="shared" si="0"/>
        <v>0.65373685106382995</v>
      </c>
      <c r="J22" s="13" t="s">
        <v>87</v>
      </c>
      <c r="K22" s="14">
        <v>36</v>
      </c>
      <c r="L22" s="41">
        <v>100</v>
      </c>
      <c r="M22" s="13">
        <v>2</v>
      </c>
      <c r="N22" s="13">
        <v>68.900000000000006</v>
      </c>
      <c r="O22" s="13">
        <v>0.76</v>
      </c>
      <c r="P22" s="13">
        <v>22.5</v>
      </c>
      <c r="Q22" s="14">
        <f t="shared" si="1"/>
        <v>0.3125</v>
      </c>
      <c r="R22" s="14">
        <v>0.9</v>
      </c>
      <c r="S22" s="21">
        <v>3.6575652173913002E-2</v>
      </c>
      <c r="T22" s="21">
        <v>8.6956521739130405E-2</v>
      </c>
      <c r="U22" s="13">
        <v>0</v>
      </c>
      <c r="V22" s="14">
        <f t="shared" si="14"/>
        <v>2.6209173561976402</v>
      </c>
      <c r="W22" s="13">
        <v>4.59</v>
      </c>
      <c r="X22" s="42">
        <f t="shared" si="2"/>
        <v>-1.9690826438023601</v>
      </c>
      <c r="Y22" s="44">
        <f t="shared" si="3"/>
        <v>3.3177895340158602E-2</v>
      </c>
      <c r="Z22" s="45">
        <f t="shared" si="4"/>
        <v>0.11923306137869499</v>
      </c>
      <c r="AA22" s="15">
        <f t="shared" si="5"/>
        <v>0.36363888888888901</v>
      </c>
      <c r="AB22" s="45">
        <f t="shared" si="6"/>
        <v>0.138744889467422</v>
      </c>
      <c r="AC22" s="46">
        <f t="shared" si="7"/>
        <v>1.3955286337977499E-2</v>
      </c>
      <c r="AD22" s="46">
        <f t="shared" si="8"/>
        <v>0</v>
      </c>
      <c r="AE22" s="46">
        <f t="shared" si="9"/>
        <v>0.75056945251709295</v>
      </c>
      <c r="AF22" s="47">
        <v>44889</v>
      </c>
      <c r="AG22" s="51">
        <f t="shared" si="10"/>
        <v>3.10834578384212</v>
      </c>
      <c r="AH22" s="52">
        <f t="shared" si="11"/>
        <v>139530.533890889</v>
      </c>
      <c r="AI22" s="53">
        <f t="shared" si="12"/>
        <v>117650.359202356</v>
      </c>
      <c r="AJ22" s="53">
        <f t="shared" si="13"/>
        <v>206040.51</v>
      </c>
      <c r="AK22" s="1">
        <f t="shared" si="15"/>
        <v>4.7547354547688299</v>
      </c>
      <c r="AL22" s="33">
        <f t="shared" si="16"/>
        <v>-0.322800482823067</v>
      </c>
    </row>
    <row r="23" spans="1:38">
      <c r="A23" s="10">
        <v>19</v>
      </c>
      <c r="B23" s="190" t="s">
        <v>88</v>
      </c>
      <c r="C23" s="191" t="s">
        <v>89</v>
      </c>
      <c r="D23" s="187" t="s">
        <v>43</v>
      </c>
      <c r="E23" s="37">
        <v>0</v>
      </c>
      <c r="F23" s="37">
        <v>2.1575E-2</v>
      </c>
      <c r="G23" s="14">
        <v>15.309699999999999</v>
      </c>
      <c r="H23" s="38">
        <v>0.95</v>
      </c>
      <c r="I23" s="14">
        <f t="shared" si="0"/>
        <v>0.34769134473684199</v>
      </c>
      <c r="J23" s="13" t="s">
        <v>81</v>
      </c>
      <c r="K23" s="14">
        <v>60</v>
      </c>
      <c r="L23" s="41">
        <v>60</v>
      </c>
      <c r="M23" s="13">
        <v>1</v>
      </c>
      <c r="N23" s="13">
        <v>39.75</v>
      </c>
      <c r="O23" s="13">
        <v>0.76</v>
      </c>
      <c r="P23" s="13">
        <v>22.5</v>
      </c>
      <c r="Q23" s="14">
        <f t="shared" si="1"/>
        <v>0.375</v>
      </c>
      <c r="R23" s="14">
        <v>0</v>
      </c>
      <c r="S23" s="21">
        <v>2.8623333333333299E-2</v>
      </c>
      <c r="T23" s="21">
        <v>6.6666666666666693E-2</v>
      </c>
      <c r="U23" s="13">
        <v>0</v>
      </c>
      <c r="V23" s="14">
        <f t="shared" si="14"/>
        <v>1.2338477817451501</v>
      </c>
      <c r="W23" s="13">
        <v>1.98</v>
      </c>
      <c r="X23" s="42">
        <f t="shared" si="2"/>
        <v>-0.74615221825484801</v>
      </c>
      <c r="Y23" s="44">
        <f t="shared" si="3"/>
        <v>5.4031516409887702E-2</v>
      </c>
      <c r="Z23" s="45">
        <f t="shared" si="4"/>
        <v>0.30392727980561801</v>
      </c>
      <c r="AA23" s="15">
        <f t="shared" si="5"/>
        <v>0.25174999999999997</v>
      </c>
      <c r="AB23" s="45">
        <f t="shared" si="6"/>
        <v>0.204036513842838</v>
      </c>
      <c r="AC23" s="46">
        <f t="shared" si="7"/>
        <v>2.3198431570585199E-2</v>
      </c>
      <c r="AD23" s="46">
        <f t="shared" si="8"/>
        <v>0</v>
      </c>
      <c r="AE23" s="46">
        <f t="shared" si="9"/>
        <v>0.71820564101913098</v>
      </c>
      <c r="AF23" s="47">
        <v>65152</v>
      </c>
      <c r="AG23" s="51">
        <f t="shared" si="10"/>
        <v>1.55695201710526</v>
      </c>
      <c r="AH23" s="52">
        <f t="shared" si="11"/>
        <v>101438.537818442</v>
      </c>
      <c r="AI23" s="53">
        <f t="shared" si="12"/>
        <v>80387.650676260193</v>
      </c>
      <c r="AJ23" s="53">
        <f t="shared" si="13"/>
        <v>129000.96000000001</v>
      </c>
      <c r="AK23" s="1">
        <f t="shared" si="15"/>
        <v>4.4779717432531303</v>
      </c>
      <c r="AL23" s="33">
        <f t="shared" si="16"/>
        <v>-0.213660597421584</v>
      </c>
    </row>
    <row r="24" spans="1:38">
      <c r="A24" s="10">
        <v>20</v>
      </c>
      <c r="B24" s="190" t="s">
        <v>90</v>
      </c>
      <c r="C24" s="191" t="s">
        <v>91</v>
      </c>
      <c r="D24" s="187" t="s">
        <v>43</v>
      </c>
      <c r="E24" s="37">
        <v>0</v>
      </c>
      <c r="F24" s="37">
        <v>1.6625000000000001E-2</v>
      </c>
      <c r="G24" s="14">
        <v>15.309699999999999</v>
      </c>
      <c r="H24" s="38">
        <v>0.95</v>
      </c>
      <c r="I24" s="14">
        <f t="shared" si="0"/>
        <v>0.26791975000000001</v>
      </c>
      <c r="J24" s="13" t="s">
        <v>81</v>
      </c>
      <c r="K24" s="14">
        <v>60</v>
      </c>
      <c r="L24" s="41">
        <v>60</v>
      </c>
      <c r="M24" s="13">
        <v>1</v>
      </c>
      <c r="N24" s="13">
        <v>39.75</v>
      </c>
      <c r="O24" s="13">
        <v>0.76</v>
      </c>
      <c r="P24" s="13">
        <v>22.5</v>
      </c>
      <c r="Q24" s="14">
        <f t="shared" si="1"/>
        <v>0.375</v>
      </c>
      <c r="R24" s="14">
        <v>0</v>
      </c>
      <c r="S24" s="21">
        <v>2.8623333333333299E-2</v>
      </c>
      <c r="T24" s="21">
        <v>6.6666666666666693E-2</v>
      </c>
      <c r="U24" s="13">
        <v>0</v>
      </c>
      <c r="V24" s="14">
        <f t="shared" si="14"/>
        <v>1.14064097105263</v>
      </c>
      <c r="W24" s="13">
        <v>1.35</v>
      </c>
      <c r="X24" s="42">
        <f t="shared" si="2"/>
        <v>-0.20935902894736899</v>
      </c>
      <c r="Y24" s="44">
        <f t="shared" si="3"/>
        <v>5.8446670213103E-2</v>
      </c>
      <c r="Z24" s="45">
        <f t="shared" si="4"/>
        <v>0.32876251994870398</v>
      </c>
      <c r="AA24" s="15">
        <f t="shared" si="5"/>
        <v>0.25174999999999997</v>
      </c>
      <c r="AB24" s="45">
        <f t="shared" si="6"/>
        <v>0.22070923839223</v>
      </c>
      <c r="AC24" s="46">
        <f t="shared" si="7"/>
        <v>2.5094077855995701E-2</v>
      </c>
      <c r="AD24" s="46">
        <f t="shared" si="8"/>
        <v>0</v>
      </c>
      <c r="AE24" s="46">
        <f t="shared" si="9"/>
        <v>0.76511474092259502</v>
      </c>
      <c r="AF24" s="47">
        <v>64057</v>
      </c>
      <c r="AG24" s="51">
        <f t="shared" si="10"/>
        <v>1.437294625</v>
      </c>
      <c r="AH24" s="52">
        <f t="shared" si="11"/>
        <v>92068.781793625007</v>
      </c>
      <c r="AI24" s="53">
        <f t="shared" si="12"/>
        <v>73066.038682718397</v>
      </c>
      <c r="AJ24" s="53">
        <f t="shared" si="13"/>
        <v>86476.95</v>
      </c>
      <c r="AK24" s="1">
        <f t="shared" si="15"/>
        <v>5.36464603673301</v>
      </c>
      <c r="AL24" s="33">
        <f t="shared" si="16"/>
        <v>6.4662685185185004E-2</v>
      </c>
    </row>
    <row r="25" spans="1:38">
      <c r="A25" s="10">
        <v>21</v>
      </c>
      <c r="B25" s="190" t="s">
        <v>92</v>
      </c>
      <c r="C25" s="191" t="s">
        <v>93</v>
      </c>
      <c r="D25" s="187" t="s">
        <v>43</v>
      </c>
      <c r="E25" s="37">
        <v>0</v>
      </c>
      <c r="F25" s="37">
        <v>6.7000000000000002E-3</v>
      </c>
      <c r="G25" s="14">
        <v>15.309699999999999</v>
      </c>
      <c r="H25" s="38">
        <v>0.98</v>
      </c>
      <c r="I25" s="14">
        <f t="shared" si="0"/>
        <v>0.10466835714285699</v>
      </c>
      <c r="J25" s="13" t="s">
        <v>44</v>
      </c>
      <c r="K25" s="14">
        <v>102</v>
      </c>
      <c r="L25" s="41">
        <v>35.294117647058798</v>
      </c>
      <c r="M25" s="13">
        <v>4</v>
      </c>
      <c r="N25" s="13">
        <v>27.15</v>
      </c>
      <c r="O25" s="13">
        <v>0.76</v>
      </c>
      <c r="P25" s="13">
        <v>22.5</v>
      </c>
      <c r="Q25" s="14">
        <f t="shared" si="1"/>
        <v>5.5147058823529403E-2</v>
      </c>
      <c r="R25" s="14">
        <v>0</v>
      </c>
      <c r="S25" s="21">
        <v>2.8623333333333299E-2</v>
      </c>
      <c r="T25" s="21">
        <v>6.6666666666666693E-2</v>
      </c>
      <c r="U25" s="13">
        <v>0</v>
      </c>
      <c r="V25" s="14">
        <f t="shared" si="14"/>
        <v>0.30494655157777401</v>
      </c>
      <c r="W25" s="13">
        <v>0.43</v>
      </c>
      <c r="X25" s="42">
        <f t="shared" si="2"/>
        <v>-0.12505344842222599</v>
      </c>
      <c r="Y25" s="44">
        <f t="shared" si="3"/>
        <v>0.21861754567066799</v>
      </c>
      <c r="Z25" s="45">
        <f t="shared" si="4"/>
        <v>0.18084171976433899</v>
      </c>
      <c r="AA25" s="15">
        <f t="shared" si="5"/>
        <v>2.5286764705882401E-2</v>
      </c>
      <c r="AB25" s="45">
        <f t="shared" si="6"/>
        <v>8.2921956569274993E-2</v>
      </c>
      <c r="AC25" s="46">
        <f t="shared" si="7"/>
        <v>9.3863443233701202E-2</v>
      </c>
      <c r="AD25" s="46">
        <f t="shared" si="8"/>
        <v>0</v>
      </c>
      <c r="AE25" s="46">
        <f t="shared" si="9"/>
        <v>0.656764909780715</v>
      </c>
      <c r="AF25" s="47">
        <v>72725</v>
      </c>
      <c r="AG25" s="51">
        <f t="shared" si="10"/>
        <v>0.37294327100840302</v>
      </c>
      <c r="AH25" s="52">
        <f t="shared" si="11"/>
        <v>27122.299384086102</v>
      </c>
      <c r="AI25" s="53">
        <f t="shared" si="12"/>
        <v>22177.237963493601</v>
      </c>
      <c r="AJ25" s="53">
        <f t="shared" si="13"/>
        <v>31271.75</v>
      </c>
      <c r="AK25" s="1">
        <f t="shared" si="15"/>
        <v>3.5630947230727101</v>
      </c>
      <c r="AL25" s="33">
        <f t="shared" si="16"/>
        <v>-0.13269006742231801</v>
      </c>
    </row>
    <row r="26" spans="1:38">
      <c r="A26" s="10">
        <v>22</v>
      </c>
      <c r="B26" s="190" t="s">
        <v>94</v>
      </c>
      <c r="C26" s="191" t="s">
        <v>95</v>
      </c>
      <c r="D26" s="187" t="s">
        <v>43</v>
      </c>
      <c r="E26" s="37">
        <v>2.1000000000000001E-2</v>
      </c>
      <c r="F26" s="37">
        <v>2.247E-2</v>
      </c>
      <c r="G26" s="14">
        <v>15.309699999999999</v>
      </c>
      <c r="H26" s="38">
        <v>0.95</v>
      </c>
      <c r="I26" s="14">
        <f t="shared" si="0"/>
        <v>0.36211469368421101</v>
      </c>
      <c r="J26" s="13" t="s">
        <v>65</v>
      </c>
      <c r="K26" s="14">
        <v>48</v>
      </c>
      <c r="L26" s="41">
        <v>75</v>
      </c>
      <c r="M26" s="13">
        <v>2</v>
      </c>
      <c r="N26" s="13">
        <v>48.5</v>
      </c>
      <c r="O26" s="13">
        <v>0.76</v>
      </c>
      <c r="P26" s="13">
        <v>22.5</v>
      </c>
      <c r="Q26" s="14">
        <f t="shared" si="1"/>
        <v>0.234375</v>
      </c>
      <c r="R26" s="14">
        <v>0</v>
      </c>
      <c r="S26" s="21">
        <v>8.4415000000000004E-2</v>
      </c>
      <c r="T26" s="21">
        <v>0.2</v>
      </c>
      <c r="U26" s="13">
        <v>0</v>
      </c>
      <c r="V26" s="14">
        <f t="shared" si="14"/>
        <v>1.2056786157783901</v>
      </c>
      <c r="W26" s="13">
        <v>1.26</v>
      </c>
      <c r="X26" s="42">
        <f t="shared" si="2"/>
        <v>-5.4321384221606199E-2</v>
      </c>
      <c r="Y26" s="44">
        <f t="shared" si="3"/>
        <v>0.165881684706566</v>
      </c>
      <c r="Z26" s="45">
        <f t="shared" si="4"/>
        <v>0.194392599265507</v>
      </c>
      <c r="AA26" s="15">
        <f t="shared" si="5"/>
        <v>0.19197916666666701</v>
      </c>
      <c r="AB26" s="45">
        <f t="shared" si="6"/>
        <v>0.15922913797614599</v>
      </c>
      <c r="AC26" s="46">
        <f t="shared" si="7"/>
        <v>7.0014512072523696E-2</v>
      </c>
      <c r="AD26" s="46">
        <f t="shared" si="8"/>
        <v>0</v>
      </c>
      <c r="AE26" s="46">
        <f t="shared" si="9"/>
        <v>0.69965902277330605</v>
      </c>
      <c r="AF26" s="47">
        <v>25399</v>
      </c>
      <c r="AG26" s="51">
        <f t="shared" si="10"/>
        <v>1.46711829052632</v>
      </c>
      <c r="AH26" s="52">
        <f t="shared" si="11"/>
        <v>37263.337461077899</v>
      </c>
      <c r="AI26" s="53">
        <f t="shared" si="12"/>
        <v>30623.031162155399</v>
      </c>
      <c r="AJ26" s="53">
        <f t="shared" si="13"/>
        <v>32002.74</v>
      </c>
      <c r="AK26" s="1">
        <f t="shared" si="15"/>
        <v>4.0515292975262298</v>
      </c>
      <c r="AL26" s="33">
        <f t="shared" si="16"/>
        <v>0.16437959565580701</v>
      </c>
    </row>
    <row r="27" spans="1:38">
      <c r="A27" s="10">
        <v>23</v>
      </c>
      <c r="B27" s="190" t="s">
        <v>96</v>
      </c>
      <c r="C27" s="191" t="s">
        <v>97</v>
      </c>
      <c r="D27" s="187" t="s">
        <v>43</v>
      </c>
      <c r="E27" s="37">
        <v>0</v>
      </c>
      <c r="F27" s="37">
        <v>2.0999999999999999E-3</v>
      </c>
      <c r="G27" s="14">
        <v>15.309699999999999</v>
      </c>
      <c r="H27" s="38">
        <v>0.96</v>
      </c>
      <c r="I27" s="14">
        <f t="shared" si="0"/>
        <v>3.3489968750000002E-2</v>
      </c>
      <c r="J27" s="13" t="s">
        <v>81</v>
      </c>
      <c r="K27" s="14">
        <v>65</v>
      </c>
      <c r="L27" s="41">
        <v>55.384615384615401</v>
      </c>
      <c r="M27" s="13">
        <v>1</v>
      </c>
      <c r="N27" s="13">
        <v>39.75</v>
      </c>
      <c r="O27" s="13">
        <v>0.76</v>
      </c>
      <c r="P27" s="13">
        <v>22.5</v>
      </c>
      <c r="Q27" s="14">
        <f t="shared" si="1"/>
        <v>0.34615384615384598</v>
      </c>
      <c r="R27" s="14">
        <v>0</v>
      </c>
      <c r="S27" s="21">
        <v>7.15583333333333E-3</v>
      </c>
      <c r="T27" s="21">
        <v>1.6666666666666701E-2</v>
      </c>
      <c r="U27" s="13">
        <v>0</v>
      </c>
      <c r="V27" s="14">
        <f t="shared" si="14"/>
        <v>0.73148037252103404</v>
      </c>
      <c r="W27" s="13">
        <v>0.26</v>
      </c>
      <c r="X27" s="42">
        <f t="shared" si="2"/>
        <v>0.47148037252103397</v>
      </c>
      <c r="Y27" s="44">
        <f t="shared" si="3"/>
        <v>2.2784844669482201E-2</v>
      </c>
      <c r="Z27" s="45">
        <f t="shared" si="4"/>
        <v>0.47322369698155198</v>
      </c>
      <c r="AA27" s="15">
        <f t="shared" si="5"/>
        <v>0.232384615384615</v>
      </c>
      <c r="AB27" s="45">
        <f t="shared" si="6"/>
        <v>0.31769084190694802</v>
      </c>
      <c r="AC27" s="46">
        <f t="shared" si="7"/>
        <v>9.7826730588421399E-3</v>
      </c>
      <c r="AD27" s="46">
        <f t="shared" si="8"/>
        <v>0</v>
      </c>
      <c r="AE27" s="46">
        <f t="shared" si="9"/>
        <v>0.954216175842726</v>
      </c>
      <c r="AF27" s="47">
        <v>78132</v>
      </c>
      <c r="AG27" s="51">
        <f t="shared" si="10"/>
        <v>0.94186514543269195</v>
      </c>
      <c r="AH27" s="52">
        <f t="shared" si="11"/>
        <v>73589.807542947106</v>
      </c>
      <c r="AI27" s="53">
        <f t="shared" si="12"/>
        <v>57152.024465813403</v>
      </c>
      <c r="AJ27" s="53">
        <f t="shared" si="13"/>
        <v>20314.32</v>
      </c>
      <c r="AK27" s="1">
        <f t="shared" si="15"/>
        <v>28.123798874332898</v>
      </c>
      <c r="AL27" s="33">
        <f t="shared" si="16"/>
        <v>2.6225582516641999</v>
      </c>
    </row>
    <row r="28" spans="1:38">
      <c r="A28" s="10">
        <v>24</v>
      </c>
      <c r="B28" s="190" t="s">
        <v>98</v>
      </c>
      <c r="C28" s="191" t="s">
        <v>99</v>
      </c>
      <c r="D28" s="187" t="s">
        <v>43</v>
      </c>
      <c r="E28" s="37">
        <v>0</v>
      </c>
      <c r="F28" s="37">
        <v>1.5499999999999999E-3</v>
      </c>
      <c r="G28" s="14">
        <v>15.309699999999999</v>
      </c>
      <c r="H28" s="38">
        <v>0.96</v>
      </c>
      <c r="I28" s="14">
        <f t="shared" si="0"/>
        <v>2.4718786458333301E-2</v>
      </c>
      <c r="J28" s="13" t="s">
        <v>81</v>
      </c>
      <c r="K28" s="14">
        <v>65</v>
      </c>
      <c r="L28" s="41">
        <v>55.384615384615401</v>
      </c>
      <c r="M28" s="13">
        <v>1</v>
      </c>
      <c r="N28" s="13">
        <v>39.75</v>
      </c>
      <c r="O28" s="13">
        <v>0.76</v>
      </c>
      <c r="P28" s="13">
        <v>22.5</v>
      </c>
      <c r="Q28" s="14">
        <f t="shared" si="1"/>
        <v>0.34615384615384598</v>
      </c>
      <c r="R28" s="14">
        <v>0</v>
      </c>
      <c r="S28" s="21">
        <v>7.15583333333333E-3</v>
      </c>
      <c r="T28" s="21">
        <v>1.6666666666666701E-2</v>
      </c>
      <c r="U28" s="13">
        <v>0</v>
      </c>
      <c r="V28" s="14">
        <f t="shared" si="14"/>
        <v>0.72133869299629405</v>
      </c>
      <c r="W28" s="13">
        <v>0.23</v>
      </c>
      <c r="X28" s="42">
        <f t="shared" si="2"/>
        <v>0.49133869299629401</v>
      </c>
      <c r="Y28" s="44">
        <f t="shared" si="3"/>
        <v>2.3105188767064098E-2</v>
      </c>
      <c r="Z28" s="45">
        <f t="shared" si="4"/>
        <v>0.47987699746979301</v>
      </c>
      <c r="AA28" s="15">
        <f t="shared" si="5"/>
        <v>0.232384615384615</v>
      </c>
      <c r="AB28" s="45">
        <f t="shared" si="6"/>
        <v>0.322157424301387</v>
      </c>
      <c r="AC28" s="46">
        <f t="shared" si="7"/>
        <v>9.9202127971389602E-3</v>
      </c>
      <c r="AD28" s="46">
        <f t="shared" si="8"/>
        <v>0</v>
      </c>
      <c r="AE28" s="46">
        <f t="shared" si="9"/>
        <v>0.96573206636724795</v>
      </c>
      <c r="AF28" s="47">
        <v>78202</v>
      </c>
      <c r="AG28" s="51">
        <f t="shared" si="10"/>
        <v>0.92870837199519196</v>
      </c>
      <c r="AH28" s="52">
        <f t="shared" si="11"/>
        <v>72626.852106767998</v>
      </c>
      <c r="AI28" s="53">
        <f t="shared" si="12"/>
        <v>56410.128469696203</v>
      </c>
      <c r="AJ28" s="53">
        <f t="shared" si="13"/>
        <v>17986.46</v>
      </c>
      <c r="AK28" s="1">
        <f t="shared" si="15"/>
        <v>37.5709533136123</v>
      </c>
      <c r="AL28" s="33">
        <f t="shared" si="16"/>
        <v>3.0378624869356199</v>
      </c>
    </row>
    <row r="29" spans="1:38">
      <c r="A29" s="10">
        <v>25</v>
      </c>
      <c r="B29" s="190" t="s">
        <v>100</v>
      </c>
      <c r="C29" s="191" t="s">
        <v>101</v>
      </c>
      <c r="D29" s="187" t="s">
        <v>43</v>
      </c>
      <c r="E29" s="37">
        <v>0</v>
      </c>
      <c r="F29" s="37">
        <v>2.3500000000000001E-3</v>
      </c>
      <c r="G29" s="14">
        <v>15.309699999999999</v>
      </c>
      <c r="H29" s="38">
        <v>0.96</v>
      </c>
      <c r="I29" s="14">
        <f t="shared" si="0"/>
        <v>3.74768697916667E-2</v>
      </c>
      <c r="J29" s="13" t="s">
        <v>81</v>
      </c>
      <c r="K29" s="14">
        <v>65</v>
      </c>
      <c r="L29" s="41">
        <v>55.384615384615401</v>
      </c>
      <c r="M29" s="13">
        <v>1</v>
      </c>
      <c r="N29" s="13">
        <v>39.75</v>
      </c>
      <c r="O29" s="13">
        <v>0.76</v>
      </c>
      <c r="P29" s="13">
        <v>22.5</v>
      </c>
      <c r="Q29" s="14">
        <f t="shared" si="1"/>
        <v>0.34615384615384598</v>
      </c>
      <c r="R29" s="14">
        <v>0</v>
      </c>
      <c r="S29" s="21">
        <v>7.15583333333333E-3</v>
      </c>
      <c r="T29" s="21">
        <v>1.6666666666666701E-2</v>
      </c>
      <c r="U29" s="13">
        <v>0</v>
      </c>
      <c r="V29" s="14">
        <f t="shared" si="14"/>
        <v>0.73609022685046099</v>
      </c>
      <c r="W29" s="13">
        <v>0.26</v>
      </c>
      <c r="X29" s="42">
        <f t="shared" si="2"/>
        <v>0.47609022685046098</v>
      </c>
      <c r="Y29" s="44">
        <f t="shared" si="3"/>
        <v>2.2642151816060701E-2</v>
      </c>
      <c r="Z29" s="45">
        <f t="shared" si="4"/>
        <v>0.47026007617972099</v>
      </c>
      <c r="AA29" s="15">
        <f t="shared" si="5"/>
        <v>0.232384615384615</v>
      </c>
      <c r="AB29" s="45">
        <f t="shared" si="6"/>
        <v>0.31570126447531999</v>
      </c>
      <c r="AC29" s="46">
        <f t="shared" si="7"/>
        <v>9.7214078822256394E-3</v>
      </c>
      <c r="AD29" s="46">
        <f t="shared" si="8"/>
        <v>0</v>
      </c>
      <c r="AE29" s="46">
        <f t="shared" si="9"/>
        <v>0.94908658147518099</v>
      </c>
      <c r="AF29" s="47">
        <v>77246</v>
      </c>
      <c r="AG29" s="51">
        <f t="shared" si="10"/>
        <v>0.94784549699519205</v>
      </c>
      <c r="AH29" s="52">
        <f t="shared" si="11"/>
        <v>73217.273260890594</v>
      </c>
      <c r="AI29" s="53">
        <f t="shared" si="12"/>
        <v>56860.025663290697</v>
      </c>
      <c r="AJ29" s="53">
        <f t="shared" si="13"/>
        <v>20083.96</v>
      </c>
      <c r="AK29" s="1">
        <f t="shared" si="15"/>
        <v>25.291479845148501</v>
      </c>
      <c r="AL29" s="33">
        <f t="shared" si="16"/>
        <v>2.6455596038276599</v>
      </c>
    </row>
    <row r="30" spans="1:38">
      <c r="A30" s="10">
        <v>26</v>
      </c>
      <c r="B30" s="190" t="s">
        <v>102</v>
      </c>
      <c r="C30" s="192" t="s">
        <v>103</v>
      </c>
      <c r="D30" s="187" t="s">
        <v>86</v>
      </c>
      <c r="E30" s="37">
        <v>2.3E-2</v>
      </c>
      <c r="F30" s="37">
        <f>E30*1.03</f>
        <v>2.3689999999999999E-2</v>
      </c>
      <c r="G30" s="14">
        <v>13.716799999999999</v>
      </c>
      <c r="H30" s="38">
        <v>0.98</v>
      </c>
      <c r="I30" s="14">
        <f t="shared" si="0"/>
        <v>0.33158264489795902</v>
      </c>
      <c r="J30" s="13" t="s">
        <v>44</v>
      </c>
      <c r="K30" s="14">
        <v>60</v>
      </c>
      <c r="L30" s="41">
        <v>60</v>
      </c>
      <c r="M30" s="13">
        <v>2</v>
      </c>
      <c r="N30" s="13">
        <v>27.15</v>
      </c>
      <c r="O30" s="13">
        <v>0.76</v>
      </c>
      <c r="P30" s="13">
        <v>22.5</v>
      </c>
      <c r="Q30" s="14">
        <f t="shared" si="1"/>
        <v>0.1875</v>
      </c>
      <c r="R30" s="14">
        <v>0</v>
      </c>
      <c r="S30" s="21">
        <v>2.9348333333333299E-2</v>
      </c>
      <c r="T30" s="21">
        <v>6.6666666666666693E-2</v>
      </c>
      <c r="U30" s="13">
        <v>0</v>
      </c>
      <c r="V30" s="14">
        <f t="shared" si="14"/>
        <v>0.78133539371095395</v>
      </c>
      <c r="W30" s="13">
        <v>1.76</v>
      </c>
      <c r="X30" s="42">
        <f t="shared" si="2"/>
        <v>-0.97866460628904595</v>
      </c>
      <c r="Y30" s="44">
        <f t="shared" si="3"/>
        <v>8.5324007082327694E-2</v>
      </c>
      <c r="Z30" s="45">
        <f t="shared" si="4"/>
        <v>0.23997376991904601</v>
      </c>
      <c r="AA30" s="15">
        <f t="shared" si="5"/>
        <v>8.5974999999999996E-2</v>
      </c>
      <c r="AB30" s="45">
        <f t="shared" si="6"/>
        <v>0.110035972633547</v>
      </c>
      <c r="AC30" s="46">
        <f t="shared" si="7"/>
        <v>3.7561761017817601E-2</v>
      </c>
      <c r="AD30" s="46">
        <f t="shared" si="8"/>
        <v>0</v>
      </c>
      <c r="AE30" s="46">
        <f t="shared" si="9"/>
        <v>0.57562060087524403</v>
      </c>
      <c r="AF30" s="47">
        <v>2385</v>
      </c>
      <c r="AG30" s="51">
        <f t="shared" si="10"/>
        <v>1.00360146734694</v>
      </c>
      <c r="AH30" s="52">
        <f t="shared" si="11"/>
        <v>2393.5894996224501</v>
      </c>
      <c r="AI30" s="53">
        <f t="shared" si="12"/>
        <v>1863.4849140006199</v>
      </c>
      <c r="AJ30" s="53">
        <f t="shared" si="13"/>
        <v>4197.6000000000004</v>
      </c>
      <c r="AK30" s="1">
        <f t="shared" si="15"/>
        <v>3.0267008324750702</v>
      </c>
      <c r="AL30" s="33">
        <f t="shared" si="16"/>
        <v>-0.42977189355287598</v>
      </c>
    </row>
    <row r="31" spans="1:38">
      <c r="A31" s="10">
        <v>27</v>
      </c>
      <c r="B31" s="190" t="s">
        <v>104</v>
      </c>
      <c r="C31" s="192" t="s">
        <v>105</v>
      </c>
      <c r="D31" s="187" t="s">
        <v>86</v>
      </c>
      <c r="E31" s="37">
        <v>1E-3</v>
      </c>
      <c r="F31" s="37">
        <v>1.0499999999999999E-3</v>
      </c>
      <c r="G31" s="14">
        <v>13.716799999999999</v>
      </c>
      <c r="H31" s="38">
        <v>0.98</v>
      </c>
      <c r="I31" s="14">
        <f t="shared" si="0"/>
        <v>1.4696571428571399E-2</v>
      </c>
      <c r="J31" s="13" t="s">
        <v>44</v>
      </c>
      <c r="K31" s="14">
        <v>60</v>
      </c>
      <c r="L31" s="41">
        <v>60</v>
      </c>
      <c r="M31" s="13">
        <v>2</v>
      </c>
      <c r="N31" s="13">
        <v>27.15</v>
      </c>
      <c r="O31" s="13">
        <v>0.76</v>
      </c>
      <c r="P31" s="13">
        <v>22.5</v>
      </c>
      <c r="Q31" s="14">
        <f t="shared" si="1"/>
        <v>0.1875</v>
      </c>
      <c r="R31" s="14">
        <v>0</v>
      </c>
      <c r="S31" s="21">
        <v>4.77055555555556E-3</v>
      </c>
      <c r="T31" s="21">
        <v>1.1111111111111099E-2</v>
      </c>
      <c r="U31" s="13">
        <v>0</v>
      </c>
      <c r="V31" s="14">
        <f t="shared" si="14"/>
        <v>0.34228007920310999</v>
      </c>
      <c r="W31" s="13">
        <v>0.08</v>
      </c>
      <c r="X31" s="42">
        <f t="shared" si="2"/>
        <v>0.26228007920310997</v>
      </c>
      <c r="Y31" s="44">
        <f t="shared" si="3"/>
        <v>3.24620443497027E-2</v>
      </c>
      <c r="Z31" s="45">
        <f t="shared" si="4"/>
        <v>0.54779699840123297</v>
      </c>
      <c r="AA31" s="15">
        <f t="shared" si="5"/>
        <v>8.5974999999999996E-2</v>
      </c>
      <c r="AB31" s="45">
        <f t="shared" si="6"/>
        <v>0.251183183666912</v>
      </c>
      <c r="AC31" s="46">
        <f t="shared" si="7"/>
        <v>1.3937578741544899E-2</v>
      </c>
      <c r="AD31" s="46">
        <f t="shared" si="8"/>
        <v>0</v>
      </c>
      <c r="AE31" s="46">
        <f t="shared" si="9"/>
        <v>0.95706273218474303</v>
      </c>
      <c r="AF31" s="47">
        <v>1200</v>
      </c>
      <c r="AG31" s="51">
        <f t="shared" si="10"/>
        <v>0.44813902380952397</v>
      </c>
      <c r="AH31" s="52">
        <f t="shared" si="11"/>
        <v>537.76682857142896</v>
      </c>
      <c r="AI31" s="53">
        <f t="shared" si="12"/>
        <v>410.73609504373201</v>
      </c>
      <c r="AJ31" s="53">
        <f t="shared" si="13"/>
        <v>96</v>
      </c>
      <c r="AK31" s="1">
        <f t="shared" si="15"/>
        <v>30.492759892167999</v>
      </c>
      <c r="AL31" s="33">
        <f t="shared" si="16"/>
        <v>4.6017377976190499</v>
      </c>
    </row>
    <row r="32" spans="1:38">
      <c r="A32" s="10">
        <v>28</v>
      </c>
      <c r="B32" s="190" t="s">
        <v>106</v>
      </c>
      <c r="C32" s="192" t="s">
        <v>107</v>
      </c>
      <c r="D32" s="187" t="s">
        <v>43</v>
      </c>
      <c r="E32" s="37">
        <v>8.9999999999999993E-3</v>
      </c>
      <c r="F32" s="37">
        <v>9.7199999999999995E-3</v>
      </c>
      <c r="G32" s="14">
        <v>15.309699999999999</v>
      </c>
      <c r="H32" s="38">
        <v>0.9</v>
      </c>
      <c r="I32" s="14">
        <f t="shared" si="0"/>
        <v>0.16534476000000001</v>
      </c>
      <c r="J32" s="13" t="s">
        <v>47</v>
      </c>
      <c r="K32" s="14">
        <v>60</v>
      </c>
      <c r="L32" s="41">
        <v>60</v>
      </c>
      <c r="M32" s="13">
        <v>2</v>
      </c>
      <c r="N32" s="13">
        <v>21.2</v>
      </c>
      <c r="O32" s="13">
        <v>0.76</v>
      </c>
      <c r="P32" s="13">
        <v>22.5</v>
      </c>
      <c r="Q32" s="14">
        <f t="shared" si="1"/>
        <v>0.1875</v>
      </c>
      <c r="R32" s="14">
        <v>0</v>
      </c>
      <c r="S32" s="21">
        <v>7.02483333333333E-3</v>
      </c>
      <c r="T32" s="21">
        <v>1.6666666666666701E-2</v>
      </c>
      <c r="U32" s="13">
        <v>0</v>
      </c>
      <c r="V32" s="14">
        <f t="shared" si="14"/>
        <v>0.54166448177777804</v>
      </c>
      <c r="W32" s="13">
        <v>1.35</v>
      </c>
      <c r="X32" s="42">
        <f t="shared" si="2"/>
        <v>-0.80833551822222205</v>
      </c>
      <c r="Y32" s="44">
        <f t="shared" si="3"/>
        <v>3.0769354881763002E-2</v>
      </c>
      <c r="Z32" s="45">
        <f t="shared" si="4"/>
        <v>0.34615524241983298</v>
      </c>
      <c r="AA32" s="15">
        <f t="shared" si="5"/>
        <v>6.7133333333333295E-2</v>
      </c>
      <c r="AB32" s="45">
        <f t="shared" si="6"/>
        <v>0.123938961463741</v>
      </c>
      <c r="AC32" s="46">
        <f t="shared" si="7"/>
        <v>1.29689753891143E-2</v>
      </c>
      <c r="AD32" s="46">
        <f t="shared" si="8"/>
        <v>0</v>
      </c>
      <c r="AE32" s="46">
        <f t="shared" si="9"/>
        <v>0.69474690410320505</v>
      </c>
      <c r="AF32" s="47">
        <v>1000</v>
      </c>
      <c r="AG32" s="51">
        <f t="shared" si="10"/>
        <v>0.65365863999999996</v>
      </c>
      <c r="AH32" s="52">
        <f t="shared" si="11"/>
        <v>653.65863999999999</v>
      </c>
      <c r="AI32" s="53">
        <f t="shared" si="12"/>
        <v>541.66448177777795</v>
      </c>
      <c r="AJ32" s="53">
        <f t="shared" si="13"/>
        <v>1350</v>
      </c>
      <c r="AK32" s="1">
        <f t="shared" si="15"/>
        <v>3.95330725932893</v>
      </c>
      <c r="AL32" s="33">
        <f t="shared" si="16"/>
        <v>-0.51580841481481499</v>
      </c>
    </row>
    <row r="33" spans="1:38">
      <c r="A33" s="10">
        <v>29</v>
      </c>
      <c r="B33" s="190" t="s">
        <v>108</v>
      </c>
      <c r="C33" s="192" t="s">
        <v>109</v>
      </c>
      <c r="D33" s="187" t="s">
        <v>43</v>
      </c>
      <c r="E33" s="37">
        <v>1.189E-3</v>
      </c>
      <c r="F33" s="37">
        <f>E33*1.03</f>
        <v>1.22467E-3</v>
      </c>
      <c r="G33" s="14">
        <v>15.309699999999999</v>
      </c>
      <c r="H33" s="38">
        <v>0.98</v>
      </c>
      <c r="I33" s="14">
        <f t="shared" si="0"/>
        <v>1.91319696928571E-2</v>
      </c>
      <c r="J33" s="13" t="s">
        <v>44</v>
      </c>
      <c r="K33" s="14">
        <v>65.454545454545496</v>
      </c>
      <c r="L33" s="41">
        <v>55</v>
      </c>
      <c r="M33" s="13">
        <v>4</v>
      </c>
      <c r="N33" s="13">
        <v>27.15</v>
      </c>
      <c r="O33" s="13">
        <v>0.76</v>
      </c>
      <c r="P33" s="13">
        <v>22.5</v>
      </c>
      <c r="Q33" s="14">
        <f t="shared" si="1"/>
        <v>8.5937499999999903E-2</v>
      </c>
      <c r="R33" s="14">
        <v>0</v>
      </c>
      <c r="S33" s="21">
        <v>7.02483333333333E-3</v>
      </c>
      <c r="T33" s="21">
        <v>1.6666666666666701E-2</v>
      </c>
      <c r="U33" s="13">
        <v>0</v>
      </c>
      <c r="V33" s="14">
        <f t="shared" si="14"/>
        <v>0.18733118633578699</v>
      </c>
      <c r="W33" s="13">
        <v>0.19</v>
      </c>
      <c r="X33" s="42">
        <f t="shared" si="2"/>
        <v>-2.6688136642129298E-3</v>
      </c>
      <c r="Y33" s="44">
        <f t="shared" si="3"/>
        <v>8.8968991189710703E-2</v>
      </c>
      <c r="Z33" s="45">
        <f t="shared" si="4"/>
        <v>0.45874636082194498</v>
      </c>
      <c r="AA33" s="15">
        <f t="shared" si="5"/>
        <v>3.9405208333333303E-2</v>
      </c>
      <c r="AB33" s="45">
        <f t="shared" si="6"/>
        <v>0.210350497982222</v>
      </c>
      <c r="AC33" s="46">
        <f t="shared" si="7"/>
        <v>3.7499540096551098E-2</v>
      </c>
      <c r="AD33" s="46">
        <f t="shared" si="8"/>
        <v>0</v>
      </c>
      <c r="AE33" s="46">
        <f t="shared" si="9"/>
        <v>0.89787087741726301</v>
      </c>
      <c r="AF33" s="47"/>
      <c r="AG33" s="51">
        <f t="shared" si="10"/>
        <v>0.240403517039286</v>
      </c>
      <c r="AH33" s="52">
        <f t="shared" si="11"/>
        <v>0</v>
      </c>
      <c r="AI33" s="53">
        <f t="shared" si="12"/>
        <v>0</v>
      </c>
      <c r="AJ33" s="53">
        <f t="shared" si="13"/>
        <v>0</v>
      </c>
    </row>
    <row r="34" spans="1:38">
      <c r="A34" s="10">
        <v>30</v>
      </c>
      <c r="B34" s="190" t="s">
        <v>110</v>
      </c>
      <c r="C34" s="192" t="s">
        <v>111</v>
      </c>
      <c r="D34" s="187" t="s">
        <v>43</v>
      </c>
      <c r="E34" s="37">
        <v>3.0000000000000001E-3</v>
      </c>
      <c r="F34" s="37">
        <v>3.2100000000000002E-3</v>
      </c>
      <c r="G34" s="14">
        <v>15.309699999999999</v>
      </c>
      <c r="H34" s="38">
        <v>0.98</v>
      </c>
      <c r="I34" s="14">
        <f t="shared" si="0"/>
        <v>5.0147078571428597E-2</v>
      </c>
      <c r="J34" s="13" t="s">
        <v>44</v>
      </c>
      <c r="K34" s="14">
        <v>65.454545454545496</v>
      </c>
      <c r="L34" s="41">
        <v>55</v>
      </c>
      <c r="M34" s="13">
        <v>4</v>
      </c>
      <c r="N34" s="13">
        <v>27.15</v>
      </c>
      <c r="O34" s="13">
        <v>0.76</v>
      </c>
      <c r="P34" s="13">
        <v>22.5</v>
      </c>
      <c r="Q34" s="14">
        <f t="shared" si="1"/>
        <v>8.5937499999999903E-2</v>
      </c>
      <c r="R34" s="14">
        <v>0</v>
      </c>
      <c r="S34" s="21">
        <v>7.02483333333333E-3</v>
      </c>
      <c r="T34" s="21">
        <v>1.6666666666666701E-2</v>
      </c>
      <c r="U34" s="13">
        <v>0</v>
      </c>
      <c r="V34" s="14">
        <f t="shared" si="14"/>
        <v>0.22246054435131199</v>
      </c>
      <c r="W34" s="13">
        <v>0.2</v>
      </c>
      <c r="X34" s="42">
        <f t="shared" si="2"/>
        <v>2.2460544351311899E-2</v>
      </c>
      <c r="Y34" s="44">
        <f t="shared" si="3"/>
        <v>7.4919652450128604E-2</v>
      </c>
      <c r="Z34" s="45">
        <f t="shared" si="4"/>
        <v>0.38630445794597401</v>
      </c>
      <c r="AA34" s="15">
        <f t="shared" si="5"/>
        <v>3.9405208333333303E-2</v>
      </c>
      <c r="AB34" s="45">
        <f t="shared" si="6"/>
        <v>0.17713347078349401</v>
      </c>
      <c r="AC34" s="46">
        <f t="shared" si="7"/>
        <v>3.1577884311204597E-2</v>
      </c>
      <c r="AD34" s="46">
        <f t="shared" si="8"/>
        <v>0</v>
      </c>
      <c r="AE34" s="46">
        <f t="shared" si="9"/>
        <v>0.77457989812235695</v>
      </c>
      <c r="AF34" s="47"/>
      <c r="AG34" s="51">
        <f t="shared" si="10"/>
        <v>0.28692618035714301</v>
      </c>
      <c r="AH34" s="52">
        <f t="shared" si="11"/>
        <v>0</v>
      </c>
      <c r="AI34" s="53">
        <f t="shared" si="12"/>
        <v>0</v>
      </c>
      <c r="AJ34" s="53">
        <f t="shared" si="13"/>
        <v>0</v>
      </c>
    </row>
    <row r="35" spans="1:38">
      <c r="A35" s="10">
        <v>31</v>
      </c>
      <c r="B35" s="190" t="s">
        <v>112</v>
      </c>
      <c r="C35" s="192" t="s">
        <v>113</v>
      </c>
      <c r="D35" s="187" t="s">
        <v>43</v>
      </c>
      <c r="E35" s="37">
        <v>2E-3</v>
      </c>
      <c r="F35" s="37">
        <v>2.14E-3</v>
      </c>
      <c r="G35" s="14">
        <v>15.309699999999999</v>
      </c>
      <c r="H35" s="38">
        <v>0.98</v>
      </c>
      <c r="I35" s="14">
        <f t="shared" si="0"/>
        <v>3.3431385714285701E-2</v>
      </c>
      <c r="J35" s="13" t="s">
        <v>44</v>
      </c>
      <c r="K35" s="14">
        <v>65.454545454545496</v>
      </c>
      <c r="L35" s="41">
        <v>55</v>
      </c>
      <c r="M35" s="13">
        <v>4</v>
      </c>
      <c r="N35" s="13">
        <v>27.15</v>
      </c>
      <c r="O35" s="13">
        <v>0.76</v>
      </c>
      <c r="P35" s="13">
        <v>22.5</v>
      </c>
      <c r="Q35" s="14">
        <f t="shared" si="1"/>
        <v>8.5937499999999903E-2</v>
      </c>
      <c r="R35" s="14">
        <v>0</v>
      </c>
      <c r="S35" s="21">
        <v>7.02483333333333E-3</v>
      </c>
      <c r="T35" s="21">
        <v>1.6666666666666701E-2</v>
      </c>
      <c r="U35" s="13">
        <v>0</v>
      </c>
      <c r="V35" s="14">
        <f t="shared" si="14"/>
        <v>0.20352746366618099</v>
      </c>
      <c r="W35" s="13">
        <v>0.19</v>
      </c>
      <c r="X35" s="42">
        <f t="shared" si="2"/>
        <v>1.3527463666180699E-2</v>
      </c>
      <c r="Y35" s="44">
        <f t="shared" si="3"/>
        <v>8.1889030435729496E-2</v>
      </c>
      <c r="Z35" s="45">
        <f t="shared" si="4"/>
        <v>0.422240313184229</v>
      </c>
      <c r="AA35" s="15">
        <f t="shared" si="5"/>
        <v>3.9405208333333303E-2</v>
      </c>
      <c r="AB35" s="45">
        <f t="shared" si="6"/>
        <v>0.19361125827207501</v>
      </c>
      <c r="AC35" s="46">
        <f t="shared" si="7"/>
        <v>3.4515407438355503E-2</v>
      </c>
      <c r="AD35" s="46">
        <f t="shared" si="8"/>
        <v>0</v>
      </c>
      <c r="AE35" s="46">
        <f t="shared" si="9"/>
        <v>0.835740174264055</v>
      </c>
      <c r="AF35" s="47"/>
      <c r="AG35" s="51">
        <f t="shared" si="10"/>
        <v>0.26185264107142803</v>
      </c>
      <c r="AH35" s="52">
        <f t="shared" si="11"/>
        <v>0</v>
      </c>
      <c r="AI35" s="53">
        <f t="shared" si="12"/>
        <v>0</v>
      </c>
      <c r="AJ35" s="53">
        <f t="shared" si="13"/>
        <v>0</v>
      </c>
    </row>
    <row r="36" spans="1:38">
      <c r="A36" s="10">
        <v>32</v>
      </c>
      <c r="B36" s="190" t="s">
        <v>114</v>
      </c>
      <c r="C36" s="192" t="s">
        <v>115</v>
      </c>
      <c r="D36" s="187" t="s">
        <v>43</v>
      </c>
      <c r="E36" s="37">
        <v>1E-3</v>
      </c>
      <c r="F36" s="37">
        <v>1.07E-3</v>
      </c>
      <c r="G36" s="14">
        <v>15.309699999999999</v>
      </c>
      <c r="H36" s="38">
        <v>0.98</v>
      </c>
      <c r="I36" s="14">
        <f t="shared" si="0"/>
        <v>1.6715692857142899E-2</v>
      </c>
      <c r="J36" s="13" t="s">
        <v>44</v>
      </c>
      <c r="K36" s="14">
        <v>65.454545454545496</v>
      </c>
      <c r="L36" s="41">
        <v>55</v>
      </c>
      <c r="M36" s="13">
        <v>4</v>
      </c>
      <c r="N36" s="13">
        <v>27.15</v>
      </c>
      <c r="O36" s="13">
        <v>0.76</v>
      </c>
      <c r="P36" s="13">
        <v>22.5</v>
      </c>
      <c r="Q36" s="14">
        <f t="shared" si="1"/>
        <v>8.5937499999999903E-2</v>
      </c>
      <c r="R36" s="14">
        <v>0</v>
      </c>
      <c r="S36" s="21">
        <v>7.02483333333333E-3</v>
      </c>
      <c r="T36" s="21">
        <v>1.6666666666666701E-2</v>
      </c>
      <c r="U36" s="13">
        <v>0</v>
      </c>
      <c r="V36" s="14">
        <f t="shared" si="14"/>
        <v>0.18459438298104999</v>
      </c>
      <c r="W36" s="13">
        <v>0.17</v>
      </c>
      <c r="X36" s="42">
        <f t="shared" si="2"/>
        <v>1.45943829810496E-2</v>
      </c>
      <c r="Y36" s="44">
        <f t="shared" si="3"/>
        <v>9.0288048842622107E-2</v>
      </c>
      <c r="Z36" s="45">
        <f t="shared" si="4"/>
        <v>0.46554775184476899</v>
      </c>
      <c r="AA36" s="15">
        <f t="shared" si="5"/>
        <v>3.9405208333333303E-2</v>
      </c>
      <c r="AB36" s="45">
        <f t="shared" si="6"/>
        <v>0.21346916247922099</v>
      </c>
      <c r="AC36" s="46">
        <f t="shared" si="7"/>
        <v>3.8055509706676698E-2</v>
      </c>
      <c r="AD36" s="46">
        <f t="shared" si="8"/>
        <v>0</v>
      </c>
      <c r="AE36" s="46">
        <f t="shared" si="9"/>
        <v>0.90944636241256105</v>
      </c>
      <c r="AF36" s="47"/>
      <c r="AG36" s="51">
        <f t="shared" si="10"/>
        <v>0.23677910178571401</v>
      </c>
      <c r="AH36" s="52">
        <f t="shared" si="11"/>
        <v>0</v>
      </c>
      <c r="AI36" s="53">
        <f t="shared" si="12"/>
        <v>0</v>
      </c>
      <c r="AJ36" s="53">
        <f t="shared" si="13"/>
        <v>0</v>
      </c>
    </row>
    <row r="37" spans="1:38">
      <c r="A37" s="10">
        <v>33</v>
      </c>
      <c r="B37" s="190" t="s">
        <v>116</v>
      </c>
      <c r="C37" s="191" t="s">
        <v>117</v>
      </c>
      <c r="D37" s="187" t="s">
        <v>43</v>
      </c>
      <c r="E37" s="37">
        <v>2E-3</v>
      </c>
      <c r="F37" s="37">
        <v>2.14E-3</v>
      </c>
      <c r="G37" s="14">
        <v>15.309699999999999</v>
      </c>
      <c r="H37" s="38">
        <v>0.98</v>
      </c>
      <c r="I37" s="14">
        <f t="shared" si="0"/>
        <v>3.3431385714285701E-2</v>
      </c>
      <c r="J37" s="13" t="s">
        <v>47</v>
      </c>
      <c r="K37" s="14">
        <v>65.454545454545496</v>
      </c>
      <c r="L37" s="41">
        <v>55</v>
      </c>
      <c r="M37" s="13">
        <v>2</v>
      </c>
      <c r="N37" s="13">
        <v>21.2</v>
      </c>
      <c r="O37" s="13">
        <v>0.76</v>
      </c>
      <c r="P37" s="13">
        <v>22.5</v>
      </c>
      <c r="Q37" s="14">
        <f t="shared" si="1"/>
        <v>0.171875</v>
      </c>
      <c r="R37" s="14">
        <v>0</v>
      </c>
      <c r="S37" s="21">
        <v>2.8067533333333301E-3</v>
      </c>
      <c r="T37" s="21">
        <v>6.6666666666666697E-3</v>
      </c>
      <c r="U37" s="13">
        <v>0</v>
      </c>
      <c r="V37" s="14">
        <f t="shared" si="14"/>
        <v>0.31171653715257502</v>
      </c>
      <c r="W37" s="13">
        <v>0.27</v>
      </c>
      <c r="X37" s="42">
        <f t="shared" si="2"/>
        <v>4.17165371525752E-2</v>
      </c>
      <c r="Y37" s="44">
        <f t="shared" si="3"/>
        <v>2.1386952157124599E-2</v>
      </c>
      <c r="Z37" s="45">
        <f t="shared" si="4"/>
        <v>0.55138236030086696</v>
      </c>
      <c r="AA37" s="15">
        <f t="shared" si="5"/>
        <v>6.1538888888888803E-2</v>
      </c>
      <c r="AB37" s="45">
        <f t="shared" si="6"/>
        <v>0.19741939087039101</v>
      </c>
      <c r="AC37" s="46">
        <f t="shared" si="7"/>
        <v>9.0041848885274705E-3</v>
      </c>
      <c r="AD37" s="46">
        <f t="shared" si="8"/>
        <v>0</v>
      </c>
      <c r="AE37" s="46">
        <f t="shared" si="9"/>
        <v>0.89275068297732896</v>
      </c>
      <c r="AF37" s="47">
        <v>69020</v>
      </c>
      <c r="AG37" s="51">
        <f t="shared" si="10"/>
        <v>0.40974133190476197</v>
      </c>
      <c r="AH37" s="52">
        <f t="shared" si="11"/>
        <v>28280.346728066601</v>
      </c>
      <c r="AI37" s="53">
        <f t="shared" si="12"/>
        <v>21514.6753942707</v>
      </c>
      <c r="AJ37" s="53">
        <f t="shared" si="13"/>
        <v>18635.400000000001</v>
      </c>
      <c r="AK37" s="1">
        <f t="shared" si="15"/>
        <v>12.2561875061515</v>
      </c>
      <c r="AL37" s="33">
        <f t="shared" si="16"/>
        <v>0.517560488536154</v>
      </c>
    </row>
    <row r="38" spans="1:38">
      <c r="A38" s="10">
        <v>34</v>
      </c>
      <c r="B38" s="190" t="s">
        <v>118</v>
      </c>
      <c r="C38" s="192" t="s">
        <v>119</v>
      </c>
      <c r="D38" s="187" t="s">
        <v>59</v>
      </c>
      <c r="E38" s="37">
        <v>0</v>
      </c>
      <c r="F38" s="37">
        <v>1.52125E-2</v>
      </c>
      <c r="G38" s="14">
        <v>18.584099999999999</v>
      </c>
      <c r="H38" s="38">
        <v>0.96</v>
      </c>
      <c r="I38" s="14">
        <f t="shared" si="0"/>
        <v>0.29449023046875</v>
      </c>
      <c r="J38" s="13" t="s">
        <v>120</v>
      </c>
      <c r="K38" s="14">
        <v>60</v>
      </c>
      <c r="L38" s="41">
        <v>60</v>
      </c>
      <c r="M38" s="13">
        <v>4</v>
      </c>
      <c r="N38" s="13">
        <v>39.75</v>
      </c>
      <c r="O38" s="13">
        <v>0.76</v>
      </c>
      <c r="P38" s="13">
        <v>22.5</v>
      </c>
      <c r="Q38" s="14">
        <f t="shared" si="1"/>
        <v>9.375E-2</v>
      </c>
      <c r="R38" s="14">
        <v>0</v>
      </c>
      <c r="S38" s="21">
        <v>2.1031000000000001E-2</v>
      </c>
      <c r="T38" s="21">
        <v>0.05</v>
      </c>
      <c r="U38" s="13">
        <v>0</v>
      </c>
      <c r="V38" s="14">
        <f t="shared" si="14"/>
        <v>0.59270525085449199</v>
      </c>
      <c r="W38" s="13">
        <v>0.75</v>
      </c>
      <c r="X38" s="42">
        <f t="shared" si="2"/>
        <v>-0.15729474914550801</v>
      </c>
      <c r="Y38" s="44">
        <f t="shared" si="3"/>
        <v>8.4358962448731298E-2</v>
      </c>
      <c r="Z38" s="45">
        <f t="shared" si="4"/>
        <v>0.15817305459137099</v>
      </c>
      <c r="AA38" s="15">
        <f t="shared" si="5"/>
        <v>6.2937499999999993E-2</v>
      </c>
      <c r="AB38" s="45">
        <f t="shared" si="6"/>
        <v>0.106186843982341</v>
      </c>
      <c r="AC38" s="46">
        <f t="shared" si="7"/>
        <v>3.5483066785185403E-2</v>
      </c>
      <c r="AD38" s="46">
        <f t="shared" si="8"/>
        <v>0</v>
      </c>
      <c r="AE38" s="46">
        <f t="shared" si="9"/>
        <v>0.50314219412737005</v>
      </c>
      <c r="AF38" s="47">
        <v>29366</v>
      </c>
      <c r="AG38" s="51">
        <f t="shared" si="10"/>
        <v>0.74779759570312498</v>
      </c>
      <c r="AH38" s="52">
        <f t="shared" si="11"/>
        <v>21959.824195418001</v>
      </c>
      <c r="AI38" s="53">
        <f t="shared" si="12"/>
        <v>17405.382396592999</v>
      </c>
      <c r="AJ38" s="53">
        <f t="shared" si="13"/>
        <v>22024.5</v>
      </c>
      <c r="AK38" s="1">
        <f t="shared" ref="AK38:AK69" si="17">AG38/I38</f>
        <v>2.53929508803341</v>
      </c>
      <c r="AL38" s="33">
        <f t="shared" ref="AL38:AL69" si="18">(AG38-W38)/W38</f>
        <v>-2.93653906249987E-3</v>
      </c>
    </row>
    <row r="39" spans="1:38" ht="27">
      <c r="A39" s="10">
        <v>35</v>
      </c>
      <c r="B39" s="190" t="s">
        <v>121</v>
      </c>
      <c r="C39" s="192" t="s">
        <v>122</v>
      </c>
      <c r="D39" s="187" t="s">
        <v>59</v>
      </c>
      <c r="E39" s="37">
        <v>3.0000000000000001E-3</v>
      </c>
      <c r="F39" s="37">
        <v>3.0333000000000001E-3</v>
      </c>
      <c r="G39" s="14">
        <v>18.584099999999999</v>
      </c>
      <c r="H39" s="38">
        <v>0.98</v>
      </c>
      <c r="I39" s="14">
        <f t="shared" si="0"/>
        <v>5.75215821734694E-2</v>
      </c>
      <c r="J39" s="13" t="s">
        <v>120</v>
      </c>
      <c r="K39" s="14">
        <v>65.454545454545496</v>
      </c>
      <c r="L39" s="41">
        <v>55</v>
      </c>
      <c r="M39" s="13">
        <v>3</v>
      </c>
      <c r="N39" s="13">
        <v>39.75</v>
      </c>
      <c r="O39" s="13">
        <v>0.76</v>
      </c>
      <c r="P39" s="13">
        <v>22.5</v>
      </c>
      <c r="Q39" s="14">
        <f t="shared" si="1"/>
        <v>0.114583333333333</v>
      </c>
      <c r="R39" s="14">
        <v>0</v>
      </c>
      <c r="S39" s="21">
        <v>4.6832222222222197E-3</v>
      </c>
      <c r="T39" s="21">
        <v>1.1111111111111099E-2</v>
      </c>
      <c r="U39" s="13">
        <v>0.2</v>
      </c>
      <c r="V39" s="14">
        <f t="shared" si="14"/>
        <v>0.49785725633933797</v>
      </c>
      <c r="W39" s="13">
        <v>0.21</v>
      </c>
      <c r="X39" s="42">
        <f t="shared" si="2"/>
        <v>0.28785725633933801</v>
      </c>
      <c r="Y39" s="44">
        <f t="shared" si="3"/>
        <v>2.23178651503631E-2</v>
      </c>
      <c r="Z39" s="45">
        <f t="shared" si="4"/>
        <v>0.23015298436312001</v>
      </c>
      <c r="AA39" s="15">
        <f t="shared" si="5"/>
        <v>7.6923611111111095E-2</v>
      </c>
      <c r="AB39" s="45">
        <f t="shared" si="6"/>
        <v>0.15450937016910801</v>
      </c>
      <c r="AC39" s="46">
        <f t="shared" si="7"/>
        <v>9.4067569822265506E-3</v>
      </c>
      <c r="AD39" s="46">
        <f t="shared" si="8"/>
        <v>0.40172157270653602</v>
      </c>
      <c r="AE39" s="46">
        <f t="shared" si="9"/>
        <v>0.88446169772352801</v>
      </c>
      <c r="AF39" s="47">
        <v>18895</v>
      </c>
      <c r="AG39" s="51">
        <f t="shared" si="10"/>
        <v>0.58933712326020404</v>
      </c>
      <c r="AH39" s="52">
        <f t="shared" si="11"/>
        <v>11135.5249440016</v>
      </c>
      <c r="AI39" s="53">
        <f t="shared" si="12"/>
        <v>9407.0128585317907</v>
      </c>
      <c r="AJ39" s="53">
        <f t="shared" si="13"/>
        <v>3967.95</v>
      </c>
      <c r="AK39" s="1">
        <f t="shared" si="17"/>
        <v>10.2454957077315</v>
      </c>
      <c r="AL39" s="33">
        <f t="shared" si="18"/>
        <v>1.8063672536200199</v>
      </c>
    </row>
    <row r="40" spans="1:38" ht="27">
      <c r="A40" s="10">
        <v>36</v>
      </c>
      <c r="B40" s="190" t="s">
        <v>123</v>
      </c>
      <c r="C40" s="192" t="s">
        <v>124</v>
      </c>
      <c r="D40" s="187" t="s">
        <v>59</v>
      </c>
      <c r="E40" s="37">
        <v>3.0000000000000001E-3</v>
      </c>
      <c r="F40" s="37">
        <v>3.0333000000000001E-3</v>
      </c>
      <c r="G40" s="14">
        <v>18.584099999999999</v>
      </c>
      <c r="H40" s="38">
        <v>0.98</v>
      </c>
      <c r="I40" s="14">
        <f t="shared" si="0"/>
        <v>5.75215821734694E-2</v>
      </c>
      <c r="J40" s="13" t="s">
        <v>120</v>
      </c>
      <c r="K40" s="14">
        <v>65.454545454545496</v>
      </c>
      <c r="L40" s="41">
        <v>55</v>
      </c>
      <c r="M40" s="13">
        <v>3</v>
      </c>
      <c r="N40" s="13">
        <v>39.75</v>
      </c>
      <c r="O40" s="13">
        <v>0.76</v>
      </c>
      <c r="P40" s="13">
        <v>22.5</v>
      </c>
      <c r="Q40" s="14">
        <f t="shared" si="1"/>
        <v>0.114583333333333</v>
      </c>
      <c r="R40" s="14">
        <v>0</v>
      </c>
      <c r="S40" s="21">
        <v>4.6832222222222197E-3</v>
      </c>
      <c r="T40" s="21">
        <v>1.1111111111111099E-2</v>
      </c>
      <c r="U40" s="13">
        <v>0.2</v>
      </c>
      <c r="V40" s="14">
        <f t="shared" si="14"/>
        <v>0.49785725633933797</v>
      </c>
      <c r="W40" s="13">
        <v>0.21</v>
      </c>
      <c r="X40" s="42">
        <f t="shared" si="2"/>
        <v>0.28785725633933801</v>
      </c>
      <c r="Y40" s="44">
        <f t="shared" si="3"/>
        <v>2.23178651503631E-2</v>
      </c>
      <c r="Z40" s="45">
        <f t="shared" si="4"/>
        <v>0.23015298436312001</v>
      </c>
      <c r="AA40" s="15">
        <f t="shared" si="5"/>
        <v>7.6923611111111095E-2</v>
      </c>
      <c r="AB40" s="45">
        <f t="shared" si="6"/>
        <v>0.15450937016910801</v>
      </c>
      <c r="AC40" s="46">
        <f t="shared" si="7"/>
        <v>9.4067569822265506E-3</v>
      </c>
      <c r="AD40" s="46">
        <f t="shared" si="8"/>
        <v>0.40172157270653602</v>
      </c>
      <c r="AE40" s="46">
        <f t="shared" si="9"/>
        <v>0.88446169772352801</v>
      </c>
      <c r="AF40" s="47">
        <v>21830</v>
      </c>
      <c r="AG40" s="51">
        <f t="shared" si="10"/>
        <v>0.58933712326020404</v>
      </c>
      <c r="AH40" s="52">
        <f t="shared" si="11"/>
        <v>12865.2294007702</v>
      </c>
      <c r="AI40" s="53">
        <f t="shared" si="12"/>
        <v>10868.2239058877</v>
      </c>
      <c r="AJ40" s="53">
        <f t="shared" si="13"/>
        <v>4584.3</v>
      </c>
      <c r="AK40" s="1">
        <f t="shared" si="17"/>
        <v>10.2454957077315</v>
      </c>
      <c r="AL40" s="33">
        <f t="shared" si="18"/>
        <v>1.8063672536200199</v>
      </c>
    </row>
    <row r="41" spans="1:38" ht="27">
      <c r="A41" s="10">
        <v>37</v>
      </c>
      <c r="B41" s="190" t="s">
        <v>125</v>
      </c>
      <c r="C41" s="192" t="s">
        <v>126</v>
      </c>
      <c r="D41" s="187" t="s">
        <v>59</v>
      </c>
      <c r="E41" s="37">
        <v>3.0000000000000001E-3</v>
      </c>
      <c r="F41" s="37">
        <v>3.0333000000000001E-3</v>
      </c>
      <c r="G41" s="14">
        <v>18.584099999999999</v>
      </c>
      <c r="H41" s="38">
        <v>0.98</v>
      </c>
      <c r="I41" s="14">
        <f t="shared" si="0"/>
        <v>5.75215821734694E-2</v>
      </c>
      <c r="J41" s="13" t="s">
        <v>120</v>
      </c>
      <c r="K41" s="14">
        <v>65.454545454545496</v>
      </c>
      <c r="L41" s="41">
        <v>55</v>
      </c>
      <c r="M41" s="13">
        <v>3</v>
      </c>
      <c r="N41" s="13">
        <v>39.75</v>
      </c>
      <c r="O41" s="13">
        <v>0.76</v>
      </c>
      <c r="P41" s="13">
        <v>22.5</v>
      </c>
      <c r="Q41" s="14">
        <f t="shared" si="1"/>
        <v>0.114583333333333</v>
      </c>
      <c r="R41" s="14">
        <v>0</v>
      </c>
      <c r="S41" s="21">
        <v>4.6832222222222197E-3</v>
      </c>
      <c r="T41" s="21">
        <v>1.1111111111111099E-2</v>
      </c>
      <c r="U41" s="13">
        <v>0.2</v>
      </c>
      <c r="V41" s="14">
        <f t="shared" si="14"/>
        <v>0.49785725633933797</v>
      </c>
      <c r="W41" s="13">
        <v>0.21</v>
      </c>
      <c r="X41" s="42">
        <f t="shared" si="2"/>
        <v>0.28785725633933801</v>
      </c>
      <c r="Y41" s="44">
        <f t="shared" si="3"/>
        <v>2.23178651503631E-2</v>
      </c>
      <c r="Z41" s="45">
        <f t="shared" si="4"/>
        <v>0.23015298436312001</v>
      </c>
      <c r="AA41" s="15">
        <f t="shared" si="5"/>
        <v>7.6923611111111095E-2</v>
      </c>
      <c r="AB41" s="45">
        <f t="shared" si="6"/>
        <v>0.15450937016910801</v>
      </c>
      <c r="AC41" s="46">
        <f t="shared" si="7"/>
        <v>9.4067569822265506E-3</v>
      </c>
      <c r="AD41" s="46">
        <f t="shared" si="8"/>
        <v>0.40172157270653602</v>
      </c>
      <c r="AE41" s="46">
        <f t="shared" si="9"/>
        <v>0.88446169772352801</v>
      </c>
      <c r="AF41" s="47">
        <v>3440</v>
      </c>
      <c r="AG41" s="51">
        <f t="shared" si="10"/>
        <v>0.58933712326020404</v>
      </c>
      <c r="AH41" s="52">
        <f t="shared" si="11"/>
        <v>2027.3197040150999</v>
      </c>
      <c r="AI41" s="53">
        <f t="shared" si="12"/>
        <v>1712.6289618073199</v>
      </c>
      <c r="AJ41" s="53">
        <f t="shared" si="13"/>
        <v>722.4</v>
      </c>
      <c r="AK41" s="1">
        <f t="shared" si="17"/>
        <v>10.2454957077315</v>
      </c>
      <c r="AL41" s="33">
        <f t="shared" si="18"/>
        <v>1.8063672536200199</v>
      </c>
    </row>
    <row r="42" spans="1:38">
      <c r="A42" s="10">
        <v>38</v>
      </c>
      <c r="B42" s="190" t="s">
        <v>127</v>
      </c>
      <c r="C42" s="192" t="s">
        <v>128</v>
      </c>
      <c r="D42" s="187" t="s">
        <v>86</v>
      </c>
      <c r="E42" s="37">
        <v>6.0000000000000001E-3</v>
      </c>
      <c r="F42" s="37">
        <v>6.3E-3</v>
      </c>
      <c r="G42" s="14">
        <v>13.716799999999999</v>
      </c>
      <c r="H42" s="38">
        <v>0.98</v>
      </c>
      <c r="I42" s="14">
        <f t="shared" si="0"/>
        <v>8.8179428571428603E-2</v>
      </c>
      <c r="J42" s="13" t="s">
        <v>47</v>
      </c>
      <c r="K42" s="14">
        <v>55.384615384615401</v>
      </c>
      <c r="L42" s="41">
        <v>65</v>
      </c>
      <c r="M42" s="13">
        <v>8</v>
      </c>
      <c r="N42" s="13">
        <v>21.2</v>
      </c>
      <c r="O42" s="13">
        <v>0.76</v>
      </c>
      <c r="P42" s="13">
        <v>22.5</v>
      </c>
      <c r="Q42" s="14">
        <f t="shared" si="1"/>
        <v>5.078125E-2</v>
      </c>
      <c r="R42" s="14">
        <v>0</v>
      </c>
      <c r="S42" s="21">
        <v>4.6832222222222197E-3</v>
      </c>
      <c r="T42" s="21">
        <v>1.1111111111111099E-2</v>
      </c>
      <c r="U42" s="13">
        <v>0</v>
      </c>
      <c r="V42" s="14">
        <f t="shared" si="14"/>
        <v>0.19378240634110799</v>
      </c>
      <c r="W42" s="13">
        <v>0.28000000000000003</v>
      </c>
      <c r="X42" s="42">
        <f t="shared" si="2"/>
        <v>-8.6217593658892103E-2</v>
      </c>
      <c r="Y42" s="44">
        <f t="shared" si="3"/>
        <v>5.7338079967655199E-2</v>
      </c>
      <c r="Z42" s="45">
        <f t="shared" si="4"/>
        <v>0.26205294360217402</v>
      </c>
      <c r="AA42" s="15">
        <f t="shared" si="5"/>
        <v>1.81819444444444E-2</v>
      </c>
      <c r="AB42" s="45">
        <f t="shared" si="6"/>
        <v>9.3826600607071903E-2</v>
      </c>
      <c r="AC42" s="46">
        <f t="shared" si="7"/>
        <v>2.4167427325566999E-2</v>
      </c>
      <c r="AD42" s="46">
        <f t="shared" si="8"/>
        <v>0</v>
      </c>
      <c r="AE42" s="46">
        <f t="shared" si="9"/>
        <v>0.54495647857623497</v>
      </c>
      <c r="AF42" s="47">
        <v>13700</v>
      </c>
      <c r="AG42" s="51">
        <f t="shared" si="10"/>
        <v>0.25150826785714298</v>
      </c>
      <c r="AH42" s="52">
        <f t="shared" si="11"/>
        <v>3445.6632696428601</v>
      </c>
      <c r="AI42" s="53">
        <f t="shared" si="12"/>
        <v>2654.8189668731802</v>
      </c>
      <c r="AJ42" s="53">
        <f t="shared" si="13"/>
        <v>3836</v>
      </c>
      <c r="AK42" s="1">
        <f t="shared" si="17"/>
        <v>2.8522329066060101</v>
      </c>
      <c r="AL42" s="33">
        <f t="shared" si="18"/>
        <v>-0.10175618622448999</v>
      </c>
    </row>
    <row r="43" spans="1:38">
      <c r="A43" s="10">
        <v>39</v>
      </c>
      <c r="B43" s="190" t="s">
        <v>129</v>
      </c>
      <c r="C43" s="191" t="s">
        <v>130</v>
      </c>
      <c r="D43" s="187" t="s">
        <v>43</v>
      </c>
      <c r="E43" s="37">
        <v>1.2E-2</v>
      </c>
      <c r="F43" s="37">
        <v>1.2959999999999999E-2</v>
      </c>
      <c r="G43" s="14">
        <v>15.309699999999999</v>
      </c>
      <c r="H43" s="38">
        <v>0.94</v>
      </c>
      <c r="I43" s="14">
        <f t="shared" si="0"/>
        <v>0.211078417021277</v>
      </c>
      <c r="J43" s="13" t="s">
        <v>44</v>
      </c>
      <c r="K43" s="14">
        <v>51.428571428571502</v>
      </c>
      <c r="L43" s="41">
        <v>69.999999999999901</v>
      </c>
      <c r="M43" s="13">
        <v>2</v>
      </c>
      <c r="N43" s="13">
        <v>27.15</v>
      </c>
      <c r="O43" s="13">
        <v>0.76</v>
      </c>
      <c r="P43" s="13">
        <v>22.5</v>
      </c>
      <c r="Q43" s="14">
        <f t="shared" si="1"/>
        <v>0.21875</v>
      </c>
      <c r="R43" s="14">
        <v>0</v>
      </c>
      <c r="S43" s="21">
        <v>2.2338E-2</v>
      </c>
      <c r="T43" s="21">
        <v>0.05</v>
      </c>
      <c r="U43" s="13">
        <v>0</v>
      </c>
      <c r="V43" s="14">
        <f t="shared" si="14"/>
        <v>0.69834562541874201</v>
      </c>
      <c r="W43" s="13">
        <v>1.33</v>
      </c>
      <c r="X43" s="42">
        <f t="shared" si="2"/>
        <v>-0.63165437458125795</v>
      </c>
      <c r="Y43" s="44">
        <f t="shared" si="3"/>
        <v>7.1597785079585793E-2</v>
      </c>
      <c r="Z43" s="45">
        <f t="shared" si="4"/>
        <v>0.313240309723187</v>
      </c>
      <c r="AA43" s="15">
        <f t="shared" si="5"/>
        <v>0.100304166666667</v>
      </c>
      <c r="AB43" s="45">
        <f t="shared" si="6"/>
        <v>0.143631123351739</v>
      </c>
      <c r="AC43" s="46">
        <f t="shared" si="7"/>
        <v>3.1987026462155801E-2</v>
      </c>
      <c r="AD43" s="46">
        <f t="shared" si="8"/>
        <v>0</v>
      </c>
      <c r="AE43" s="46">
        <f t="shared" si="9"/>
        <v>0.69774505726342895</v>
      </c>
      <c r="AF43" s="47">
        <v>1050</v>
      </c>
      <c r="AG43" s="51">
        <f t="shared" si="10"/>
        <v>0.86753687553191505</v>
      </c>
      <c r="AH43" s="52">
        <f t="shared" si="11"/>
        <v>910.91371930851096</v>
      </c>
      <c r="AI43" s="53">
        <f t="shared" si="12"/>
        <v>733.26290668967897</v>
      </c>
      <c r="AJ43" s="53">
        <f t="shared" si="13"/>
        <v>1396.5</v>
      </c>
      <c r="AK43" s="1">
        <f t="shared" si="17"/>
        <v>4.11002170555631</v>
      </c>
      <c r="AL43" s="33">
        <f t="shared" si="18"/>
        <v>-0.34771663493840999</v>
      </c>
    </row>
    <row r="44" spans="1:38">
      <c r="A44" s="10">
        <v>40</v>
      </c>
      <c r="B44" s="190" t="s">
        <v>131</v>
      </c>
      <c r="C44" s="191" t="s">
        <v>132</v>
      </c>
      <c r="D44" s="187" t="s">
        <v>86</v>
      </c>
      <c r="E44" s="37">
        <v>0</v>
      </c>
      <c r="F44" s="37">
        <v>8.48E-2</v>
      </c>
      <c r="G44" s="14">
        <v>13.716799999999999</v>
      </c>
      <c r="H44" s="38">
        <v>0.95</v>
      </c>
      <c r="I44" s="14">
        <f t="shared" si="0"/>
        <v>1.22440488421053</v>
      </c>
      <c r="J44" s="13" t="s">
        <v>87</v>
      </c>
      <c r="K44" s="14">
        <v>34.285714285714299</v>
      </c>
      <c r="L44" s="41">
        <v>105</v>
      </c>
      <c r="M44" s="13">
        <v>2</v>
      </c>
      <c r="N44" s="13">
        <v>75.900000000000006</v>
      </c>
      <c r="O44" s="13">
        <v>0.76</v>
      </c>
      <c r="P44" s="13">
        <v>22.5</v>
      </c>
      <c r="Q44" s="14">
        <f t="shared" si="1"/>
        <v>0.328125</v>
      </c>
      <c r="R44" s="14">
        <v>0</v>
      </c>
      <c r="S44" s="21">
        <v>5.6082666666666697E-2</v>
      </c>
      <c r="T44" s="21">
        <v>0.133333333333333</v>
      </c>
      <c r="U44" s="13">
        <v>0</v>
      </c>
      <c r="V44" s="14">
        <f t="shared" si="14"/>
        <v>2.4948771015512499</v>
      </c>
      <c r="W44" s="13">
        <v>3.65</v>
      </c>
      <c r="X44" s="42">
        <f t="shared" si="2"/>
        <v>-1.15512289844875</v>
      </c>
      <c r="Y44" s="44">
        <f t="shared" si="3"/>
        <v>5.3442846242979201E-2</v>
      </c>
      <c r="Z44" s="45">
        <f t="shared" si="4"/>
        <v>0.13151950442608201</v>
      </c>
      <c r="AA44" s="15">
        <f t="shared" si="5"/>
        <v>0.4206125</v>
      </c>
      <c r="AB44" s="45">
        <f t="shared" si="6"/>
        <v>0.168590468740313</v>
      </c>
      <c r="AC44" s="46">
        <f t="shared" si="7"/>
        <v>2.2479129986722E-2</v>
      </c>
      <c r="AD44" s="46">
        <f t="shared" si="8"/>
        <v>0</v>
      </c>
      <c r="AE44" s="46">
        <f t="shared" si="9"/>
        <v>0.50923238525487802</v>
      </c>
      <c r="AF44" s="47">
        <v>8451</v>
      </c>
      <c r="AG44" s="51">
        <f t="shared" si="10"/>
        <v>3.14912957631579</v>
      </c>
      <c r="AH44" s="52">
        <f t="shared" si="11"/>
        <v>26613.294049444801</v>
      </c>
      <c r="AI44" s="53">
        <f t="shared" si="12"/>
        <v>21084.2063852096</v>
      </c>
      <c r="AJ44" s="53">
        <f t="shared" si="13"/>
        <v>30846.15</v>
      </c>
      <c r="AK44" s="1">
        <f t="shared" si="17"/>
        <v>2.5719675059498699</v>
      </c>
      <c r="AL44" s="33">
        <f t="shared" si="18"/>
        <v>-0.137224773612111</v>
      </c>
    </row>
    <row r="45" spans="1:38">
      <c r="A45" s="10">
        <v>41</v>
      </c>
      <c r="B45" s="190" t="s">
        <v>133</v>
      </c>
      <c r="C45" s="191" t="s">
        <v>134</v>
      </c>
      <c r="D45" s="187" t="s">
        <v>86</v>
      </c>
      <c r="E45" s="37">
        <v>0</v>
      </c>
      <c r="F45" s="37">
        <v>0.23956</v>
      </c>
      <c r="G45" s="14">
        <v>13.716799999999999</v>
      </c>
      <c r="H45" s="38">
        <v>0.95</v>
      </c>
      <c r="I45" s="14">
        <f t="shared" si="0"/>
        <v>3.4589437978947402</v>
      </c>
      <c r="J45" s="13" t="s">
        <v>87</v>
      </c>
      <c r="K45" s="14">
        <v>34.285714285714299</v>
      </c>
      <c r="L45" s="41">
        <v>105</v>
      </c>
      <c r="M45" s="13">
        <v>2</v>
      </c>
      <c r="N45" s="13">
        <v>75.900000000000006</v>
      </c>
      <c r="O45" s="13">
        <v>0.76</v>
      </c>
      <c r="P45" s="13">
        <v>22.5</v>
      </c>
      <c r="Q45" s="14">
        <f t="shared" si="1"/>
        <v>0.328125</v>
      </c>
      <c r="R45" s="14">
        <v>0</v>
      </c>
      <c r="S45" s="21">
        <v>8.4124000000000004E-2</v>
      </c>
      <c r="T45" s="21">
        <v>0.2</v>
      </c>
      <c r="U45" s="13">
        <v>0</v>
      </c>
      <c r="V45" s="14">
        <f t="shared" si="14"/>
        <v>5.2004674112243796</v>
      </c>
      <c r="W45" s="13">
        <v>8.8699999999999992</v>
      </c>
      <c r="X45" s="42">
        <f t="shared" si="2"/>
        <v>-3.6695325887756201</v>
      </c>
      <c r="Y45" s="44">
        <f t="shared" si="3"/>
        <v>3.8458081588653298E-2</v>
      </c>
      <c r="Z45" s="45">
        <f t="shared" si="4"/>
        <v>6.3095290106384302E-2</v>
      </c>
      <c r="AA45" s="15">
        <f t="shared" si="5"/>
        <v>0.4206125</v>
      </c>
      <c r="AB45" s="45">
        <f t="shared" si="6"/>
        <v>8.0879749211037202E-2</v>
      </c>
      <c r="AC45" s="46">
        <f t="shared" si="7"/>
        <v>1.6176238277819398E-2</v>
      </c>
      <c r="AD45" s="46">
        <f t="shared" si="8"/>
        <v>0</v>
      </c>
      <c r="AE45" s="46">
        <f t="shared" si="9"/>
        <v>0.33487828604998798</v>
      </c>
      <c r="AF45" s="47">
        <v>3710</v>
      </c>
      <c r="AG45" s="51">
        <f t="shared" si="10"/>
        <v>6.5956459468421098</v>
      </c>
      <c r="AH45" s="52">
        <f t="shared" si="11"/>
        <v>24469.8464627842</v>
      </c>
      <c r="AI45" s="53">
        <f t="shared" si="12"/>
        <v>19293.7340956425</v>
      </c>
      <c r="AJ45" s="53">
        <f t="shared" si="13"/>
        <v>32907.699999999997</v>
      </c>
      <c r="AK45" s="1">
        <f t="shared" si="17"/>
        <v>1.90683813679092</v>
      </c>
      <c r="AL45" s="33">
        <f t="shared" si="18"/>
        <v>-0.256409701596154</v>
      </c>
    </row>
    <row r="46" spans="1:38" ht="27">
      <c r="A46" s="10">
        <v>42</v>
      </c>
      <c r="B46" s="190" t="s">
        <v>135</v>
      </c>
      <c r="C46" s="192" t="s">
        <v>136</v>
      </c>
      <c r="D46" s="187" t="s">
        <v>86</v>
      </c>
      <c r="E46" s="37">
        <v>8.5000000000000006E-2</v>
      </c>
      <c r="F46" s="37">
        <v>8.9249999999999996E-2</v>
      </c>
      <c r="G46" s="14">
        <v>13.716799999999999</v>
      </c>
      <c r="H46" s="38">
        <v>0.95</v>
      </c>
      <c r="I46" s="14">
        <f t="shared" si="0"/>
        <v>1.2886572631578901</v>
      </c>
      <c r="J46" s="13" t="s">
        <v>87</v>
      </c>
      <c r="K46" s="14">
        <v>48</v>
      </c>
      <c r="L46" s="41">
        <v>75</v>
      </c>
      <c r="M46" s="13">
        <v>2</v>
      </c>
      <c r="N46" s="13">
        <v>75.900000000000006</v>
      </c>
      <c r="O46" s="13">
        <v>0.76</v>
      </c>
      <c r="P46" s="13">
        <v>22.5</v>
      </c>
      <c r="Q46" s="14">
        <f t="shared" si="1"/>
        <v>0.234375</v>
      </c>
      <c r="R46" s="14">
        <v>0</v>
      </c>
      <c r="S46" s="21">
        <v>9.4781111111111094E-2</v>
      </c>
      <c r="T46" s="21">
        <v>0.22222222222222199</v>
      </c>
      <c r="U46" s="13">
        <v>0.3</v>
      </c>
      <c r="V46" s="14">
        <f t="shared" si="14"/>
        <v>2.7475837934441301</v>
      </c>
      <c r="W46" s="13">
        <v>3.45</v>
      </c>
      <c r="X46" s="42">
        <f t="shared" si="2"/>
        <v>-0.702416206555869</v>
      </c>
      <c r="Y46" s="44">
        <f t="shared" si="3"/>
        <v>8.0879142886362596E-2</v>
      </c>
      <c r="Z46" s="45">
        <f t="shared" si="4"/>
        <v>8.5302221012960602E-2</v>
      </c>
      <c r="AA46" s="15">
        <f t="shared" si="5"/>
        <v>0.30043750000000002</v>
      </c>
      <c r="AB46" s="45">
        <f t="shared" si="6"/>
        <v>0.10934607370914699</v>
      </c>
      <c r="AC46" s="46">
        <f t="shared" si="7"/>
        <v>3.4496167628176998E-2</v>
      </c>
      <c r="AD46" s="46">
        <f t="shared" si="8"/>
        <v>0.10918684289659</v>
      </c>
      <c r="AE46" s="46">
        <f t="shared" si="9"/>
        <v>0.530985272866768</v>
      </c>
      <c r="AF46" s="47">
        <v>4296</v>
      </c>
      <c r="AG46" s="51">
        <f t="shared" si="10"/>
        <v>3.3522079780701701</v>
      </c>
      <c r="AH46" s="52">
        <f t="shared" si="11"/>
        <v>14401.085473789401</v>
      </c>
      <c r="AI46" s="53">
        <f t="shared" si="12"/>
        <v>11803.619976636001</v>
      </c>
      <c r="AJ46" s="53">
        <f t="shared" si="13"/>
        <v>14821.2</v>
      </c>
      <c r="AK46" s="1">
        <f t="shared" si="17"/>
        <v>2.6013184994243499</v>
      </c>
      <c r="AL46" s="33">
        <f t="shared" si="18"/>
        <v>-2.8345513602849901E-2</v>
      </c>
    </row>
    <row r="47" spans="1:38" ht="27">
      <c r="A47" s="10">
        <v>43</v>
      </c>
      <c r="B47" s="190" t="s">
        <v>137</v>
      </c>
      <c r="C47" s="192" t="s">
        <v>138</v>
      </c>
      <c r="D47" s="187" t="s">
        <v>86</v>
      </c>
      <c r="E47" s="37">
        <v>8.5000000000000006E-2</v>
      </c>
      <c r="F47" s="37">
        <v>8.9249999999999996E-2</v>
      </c>
      <c r="G47" s="14">
        <v>13.716799999999999</v>
      </c>
      <c r="H47" s="38">
        <v>0.95</v>
      </c>
      <c r="I47" s="14">
        <f t="shared" si="0"/>
        <v>1.2886572631578901</v>
      </c>
      <c r="J47" s="13" t="s">
        <v>87</v>
      </c>
      <c r="K47" s="14">
        <v>48</v>
      </c>
      <c r="L47" s="41">
        <v>75</v>
      </c>
      <c r="M47" s="13">
        <v>2</v>
      </c>
      <c r="N47" s="13">
        <v>75.900000000000006</v>
      </c>
      <c r="O47" s="13">
        <v>0.76</v>
      </c>
      <c r="P47" s="13">
        <v>22.5</v>
      </c>
      <c r="Q47" s="14">
        <f t="shared" si="1"/>
        <v>0.234375</v>
      </c>
      <c r="R47" s="14">
        <v>0</v>
      </c>
      <c r="S47" s="21">
        <v>9.4781111111111094E-2</v>
      </c>
      <c r="T47" s="21">
        <v>0.22222222222222199</v>
      </c>
      <c r="U47" s="13">
        <v>0</v>
      </c>
      <c r="V47" s="14">
        <f t="shared" si="14"/>
        <v>2.4475837934441298</v>
      </c>
      <c r="W47" s="13">
        <v>3.45</v>
      </c>
      <c r="X47" s="42">
        <f t="shared" si="2"/>
        <v>-1.0024162065558699</v>
      </c>
      <c r="Y47" s="44">
        <f t="shared" si="3"/>
        <v>9.0792488011011405E-2</v>
      </c>
      <c r="Z47" s="45">
        <f t="shared" si="4"/>
        <v>9.5757702199113601E-2</v>
      </c>
      <c r="AA47" s="15">
        <f t="shared" si="5"/>
        <v>0.30043750000000002</v>
      </c>
      <c r="AB47" s="45">
        <f t="shared" si="6"/>
        <v>0.122748606525637</v>
      </c>
      <c r="AC47" s="46">
        <f t="shared" si="7"/>
        <v>3.8724358024016498E-2</v>
      </c>
      <c r="AD47" s="46">
        <f t="shared" si="8"/>
        <v>0</v>
      </c>
      <c r="AE47" s="46">
        <f t="shared" si="9"/>
        <v>0.47349820397995501</v>
      </c>
      <c r="AF47" s="47">
        <v>6550</v>
      </c>
      <c r="AG47" s="51">
        <f t="shared" si="10"/>
        <v>3.0522079780701699</v>
      </c>
      <c r="AH47" s="52">
        <f t="shared" si="11"/>
        <v>19991.962256359599</v>
      </c>
      <c r="AI47" s="53">
        <f t="shared" si="12"/>
        <v>16031.673847059101</v>
      </c>
      <c r="AJ47" s="53">
        <f t="shared" si="13"/>
        <v>22597.5</v>
      </c>
      <c r="AK47" s="1">
        <f t="shared" si="17"/>
        <v>2.3685180422532599</v>
      </c>
      <c r="AL47" s="33">
        <f t="shared" si="18"/>
        <v>-0.11530203534198</v>
      </c>
    </row>
    <row r="48" spans="1:38" ht="15" customHeight="1">
      <c r="A48" s="10">
        <v>44</v>
      </c>
      <c r="B48" s="190" t="s">
        <v>139</v>
      </c>
      <c r="C48" s="192" t="s">
        <v>140</v>
      </c>
      <c r="D48" s="187" t="s">
        <v>86</v>
      </c>
      <c r="E48" s="37">
        <v>3.5000000000000003E-2</v>
      </c>
      <c r="F48" s="37">
        <v>3.6749999999999998E-2</v>
      </c>
      <c r="G48" s="14">
        <v>13.716799999999999</v>
      </c>
      <c r="H48" s="38">
        <v>0.93</v>
      </c>
      <c r="I48" s="14">
        <f t="shared" si="0"/>
        <v>0.54203483870967695</v>
      </c>
      <c r="J48" s="13" t="s">
        <v>120</v>
      </c>
      <c r="K48" s="14">
        <v>51.428571428571502</v>
      </c>
      <c r="L48" s="41">
        <v>69.999999999999901</v>
      </c>
      <c r="M48" s="13">
        <v>2</v>
      </c>
      <c r="N48" s="13">
        <v>39.75</v>
      </c>
      <c r="O48" s="13">
        <v>0.76</v>
      </c>
      <c r="P48" s="13">
        <v>22.5</v>
      </c>
      <c r="Q48" s="14">
        <f t="shared" si="1"/>
        <v>0.21875</v>
      </c>
      <c r="R48" s="14">
        <v>0</v>
      </c>
      <c r="S48" s="21">
        <v>1.40496666666667E-2</v>
      </c>
      <c r="T48" s="21">
        <v>3.3333333333333298E-2</v>
      </c>
      <c r="U48" s="13">
        <v>0</v>
      </c>
      <c r="V48" s="14">
        <f t="shared" si="14"/>
        <v>1.13069407093305</v>
      </c>
      <c r="W48" s="13">
        <v>1.56</v>
      </c>
      <c r="X48" s="42">
        <f t="shared" si="2"/>
        <v>-0.42930592906694498</v>
      </c>
      <c r="Y48" s="44">
        <f t="shared" si="3"/>
        <v>2.9480417550811499E-2</v>
      </c>
      <c r="Z48" s="45">
        <f t="shared" si="4"/>
        <v>0.19346524017719999</v>
      </c>
      <c r="AA48" s="15">
        <f t="shared" si="5"/>
        <v>0.14685416666666601</v>
      </c>
      <c r="AB48" s="45">
        <f t="shared" si="6"/>
        <v>0.129879664572294</v>
      </c>
      <c r="AC48" s="46">
        <f t="shared" si="7"/>
        <v>1.24257011934916E-2</v>
      </c>
      <c r="AD48" s="46">
        <f t="shared" si="8"/>
        <v>0</v>
      </c>
      <c r="AE48" s="46">
        <f t="shared" si="9"/>
        <v>0.52061759883255898</v>
      </c>
      <c r="AF48" s="47">
        <v>7368</v>
      </c>
      <c r="AG48" s="51">
        <f t="shared" si="10"/>
        <v>1.40884150806451</v>
      </c>
      <c r="AH48" s="52">
        <f t="shared" si="11"/>
        <v>10380.3442314193</v>
      </c>
      <c r="AI48" s="53">
        <f t="shared" si="12"/>
        <v>8330.9539146347506</v>
      </c>
      <c r="AJ48" s="53">
        <f t="shared" si="13"/>
        <v>11494.08</v>
      </c>
      <c r="AK48" s="1">
        <f t="shared" si="17"/>
        <v>2.5991715060572198</v>
      </c>
      <c r="AL48" s="33">
        <f t="shared" si="18"/>
        <v>-9.6896469189413803E-2</v>
      </c>
    </row>
    <row r="49" spans="1:38">
      <c r="A49" s="10">
        <v>45</v>
      </c>
      <c r="B49" s="190" t="s">
        <v>141</v>
      </c>
      <c r="C49" s="192" t="s">
        <v>142</v>
      </c>
      <c r="D49" s="187" t="s">
        <v>143</v>
      </c>
      <c r="E49" s="37">
        <v>0</v>
      </c>
      <c r="F49" s="37">
        <v>1.7600000000000001E-2</v>
      </c>
      <c r="G49" s="14">
        <v>60.177</v>
      </c>
      <c r="H49" s="38">
        <v>0.65</v>
      </c>
      <c r="I49" s="14">
        <f t="shared" si="0"/>
        <v>1.629408</v>
      </c>
      <c r="J49" s="13" t="s">
        <v>65</v>
      </c>
      <c r="K49" s="14">
        <v>65</v>
      </c>
      <c r="L49" s="41">
        <v>55.384615384615401</v>
      </c>
      <c r="M49" s="13">
        <v>4</v>
      </c>
      <c r="N49" s="13">
        <v>48.5</v>
      </c>
      <c r="O49" s="13">
        <v>0.76</v>
      </c>
      <c r="P49" s="13">
        <v>22.5</v>
      </c>
      <c r="Q49" s="14">
        <f t="shared" si="1"/>
        <v>8.6538461538461495E-2</v>
      </c>
      <c r="R49" s="14">
        <v>0</v>
      </c>
      <c r="S49" s="21">
        <v>2.2338E-2</v>
      </c>
      <c r="T49" s="21">
        <v>0.05</v>
      </c>
      <c r="U49" s="13">
        <v>0</v>
      </c>
      <c r="V49" s="14">
        <f t="shared" si="14"/>
        <v>3.1236956852071001</v>
      </c>
      <c r="W49" s="13">
        <v>2.87</v>
      </c>
      <c r="X49" s="42">
        <f t="shared" si="2"/>
        <v>0.25369568520710001</v>
      </c>
      <c r="Y49" s="44">
        <f t="shared" si="3"/>
        <v>1.6006680880210299E-2</v>
      </c>
      <c r="Z49" s="45">
        <f t="shared" si="4"/>
        <v>2.77038707542102E-2</v>
      </c>
      <c r="AA49" s="15">
        <f t="shared" si="5"/>
        <v>7.0884615384615393E-2</v>
      </c>
      <c r="AB49" s="45">
        <f t="shared" si="6"/>
        <v>2.26925483555597E-2</v>
      </c>
      <c r="AC49" s="46">
        <f t="shared" si="7"/>
        <v>7.15114475004277E-3</v>
      </c>
      <c r="AD49" s="46">
        <f t="shared" si="8"/>
        <v>0</v>
      </c>
      <c r="AE49" s="46">
        <f t="shared" si="9"/>
        <v>0.47837172240676501</v>
      </c>
      <c r="AF49" s="47">
        <v>68310</v>
      </c>
      <c r="AG49" s="51">
        <f t="shared" si="10"/>
        <v>2.7525846153846101</v>
      </c>
      <c r="AH49" s="52">
        <f t="shared" si="11"/>
        <v>188029.05507692299</v>
      </c>
      <c r="AI49" s="53">
        <f t="shared" si="12"/>
        <v>213379.65225649701</v>
      </c>
      <c r="AJ49" s="53">
        <f t="shared" si="13"/>
        <v>196049.7</v>
      </c>
      <c r="AK49" s="1">
        <f t="shared" si="17"/>
        <v>1.6893157609295</v>
      </c>
      <c r="AL49" s="33">
        <f t="shared" si="18"/>
        <v>-4.0911283838113301E-2</v>
      </c>
    </row>
    <row r="50" spans="1:38">
      <c r="A50" s="10">
        <v>46</v>
      </c>
      <c r="B50" s="190" t="s">
        <v>144</v>
      </c>
      <c r="C50" s="192" t="s">
        <v>145</v>
      </c>
      <c r="D50" s="187" t="s">
        <v>86</v>
      </c>
      <c r="E50" s="37">
        <v>1.4999999999999999E-2</v>
      </c>
      <c r="F50" s="37">
        <v>1.575E-2</v>
      </c>
      <c r="G50" s="14">
        <v>13.716799999999999</v>
      </c>
      <c r="H50" s="38">
        <v>0.98</v>
      </c>
      <c r="I50" s="14">
        <f t="shared" si="0"/>
        <v>0.22044857142857099</v>
      </c>
      <c r="J50" s="13" t="s">
        <v>65</v>
      </c>
      <c r="K50" s="14">
        <v>48</v>
      </c>
      <c r="L50" s="41">
        <v>75</v>
      </c>
      <c r="M50" s="13">
        <v>2</v>
      </c>
      <c r="N50" s="13">
        <v>48.5</v>
      </c>
      <c r="O50" s="13">
        <v>0.76</v>
      </c>
      <c r="P50" s="13">
        <v>22.5</v>
      </c>
      <c r="Q50" s="14">
        <f t="shared" si="1"/>
        <v>0.234375</v>
      </c>
      <c r="R50" s="14">
        <v>0</v>
      </c>
      <c r="S50" s="21">
        <v>2.9348333333333299E-2</v>
      </c>
      <c r="T50" s="21">
        <v>6.6666666666666693E-2</v>
      </c>
      <c r="U50" s="13">
        <v>0</v>
      </c>
      <c r="V50" s="14">
        <f t="shared" si="14"/>
        <v>0.82861810131195301</v>
      </c>
      <c r="W50" s="13">
        <v>1.0900000000000001</v>
      </c>
      <c r="X50" s="42">
        <f t="shared" si="2"/>
        <v>-0.26138189868804701</v>
      </c>
      <c r="Y50" s="44">
        <f t="shared" si="3"/>
        <v>8.0455238138188404E-2</v>
      </c>
      <c r="Z50" s="45">
        <f t="shared" si="4"/>
        <v>0.28285044657956798</v>
      </c>
      <c r="AA50" s="15">
        <f t="shared" si="5"/>
        <v>0.19197916666666701</v>
      </c>
      <c r="AB50" s="45">
        <f t="shared" si="6"/>
        <v>0.23168594357606401</v>
      </c>
      <c r="AC50" s="46">
        <f t="shared" si="7"/>
        <v>3.5418407209383898E-2</v>
      </c>
      <c r="AD50" s="46">
        <f t="shared" si="8"/>
        <v>0</v>
      </c>
      <c r="AE50" s="46">
        <f t="shared" si="9"/>
        <v>0.73395636532736297</v>
      </c>
      <c r="AF50" s="47">
        <v>10533</v>
      </c>
      <c r="AG50" s="51">
        <f t="shared" si="10"/>
        <v>1.0662191071428599</v>
      </c>
      <c r="AH50" s="52">
        <f t="shared" si="11"/>
        <v>11230.4858555357</v>
      </c>
      <c r="AI50" s="53">
        <f t="shared" si="12"/>
        <v>8727.8344611188004</v>
      </c>
      <c r="AJ50" s="53">
        <f t="shared" si="13"/>
        <v>11480.97</v>
      </c>
      <c r="AK50" s="1">
        <f t="shared" si="17"/>
        <v>4.8365888707440696</v>
      </c>
      <c r="AL50" s="33">
        <f t="shared" si="18"/>
        <v>-2.18173328964619E-2</v>
      </c>
    </row>
    <row r="51" spans="1:38">
      <c r="A51" s="10">
        <v>47</v>
      </c>
      <c r="B51" s="190" t="s">
        <v>146</v>
      </c>
      <c r="C51" s="192" t="s">
        <v>147</v>
      </c>
      <c r="D51" s="187" t="s">
        <v>43</v>
      </c>
      <c r="E51" s="37">
        <v>0</v>
      </c>
      <c r="F51" s="37">
        <v>1.6250000000000001E-2</v>
      </c>
      <c r="G51" s="14">
        <v>15.309699999999999</v>
      </c>
      <c r="H51" s="38">
        <v>0.95</v>
      </c>
      <c r="I51" s="14">
        <f t="shared" si="0"/>
        <v>0.26187644736842097</v>
      </c>
      <c r="J51" s="13" t="s">
        <v>44</v>
      </c>
      <c r="K51" s="14">
        <v>65</v>
      </c>
      <c r="L51" s="41">
        <v>55.384615384615401</v>
      </c>
      <c r="M51" s="13">
        <v>2</v>
      </c>
      <c r="N51" s="13">
        <v>27.15</v>
      </c>
      <c r="O51" s="13">
        <v>0.76</v>
      </c>
      <c r="P51" s="13">
        <v>22.5</v>
      </c>
      <c r="Q51" s="14">
        <f t="shared" si="1"/>
        <v>0.17307692307692299</v>
      </c>
      <c r="R51" s="14">
        <v>0</v>
      </c>
      <c r="S51" s="21">
        <v>2.2338E-2</v>
      </c>
      <c r="T51" s="21">
        <v>0.05</v>
      </c>
      <c r="U51" s="13">
        <v>0</v>
      </c>
      <c r="V51" s="14">
        <f t="shared" si="14"/>
        <v>0.67327436724909395</v>
      </c>
      <c r="W51" s="13">
        <v>0.76</v>
      </c>
      <c r="X51" s="42">
        <f t="shared" si="2"/>
        <v>-8.6725632750905696E-2</v>
      </c>
      <c r="Y51" s="44">
        <f t="shared" si="3"/>
        <v>7.4263929286797398E-2</v>
      </c>
      <c r="Z51" s="45">
        <f t="shared" si="4"/>
        <v>0.25706744753122202</v>
      </c>
      <c r="AA51" s="15">
        <f t="shared" si="5"/>
        <v>7.9361538461538497E-2</v>
      </c>
      <c r="AB51" s="45">
        <f t="shared" si="6"/>
        <v>0.11787399360798299</v>
      </c>
      <c r="AC51" s="46">
        <f t="shared" si="7"/>
        <v>3.3178153048169602E-2</v>
      </c>
      <c r="AD51" s="46">
        <f t="shared" si="8"/>
        <v>0</v>
      </c>
      <c r="AE51" s="46">
        <f t="shared" si="9"/>
        <v>0.61104052061507697</v>
      </c>
      <c r="AF51" s="47">
        <v>10565</v>
      </c>
      <c r="AG51" s="51">
        <f t="shared" si="10"/>
        <v>0.843810363360324</v>
      </c>
      <c r="AH51" s="52">
        <f t="shared" si="11"/>
        <v>8914.8564889018198</v>
      </c>
      <c r="AI51" s="53">
        <f t="shared" si="12"/>
        <v>7113.1436899866803</v>
      </c>
      <c r="AJ51" s="53">
        <f t="shared" si="13"/>
        <v>8029.4</v>
      </c>
      <c r="AK51" s="1">
        <f t="shared" si="17"/>
        <v>3.22216973630014</v>
      </c>
      <c r="AL51" s="33">
        <f t="shared" si="18"/>
        <v>0.110276793895163</v>
      </c>
    </row>
    <row r="52" spans="1:38">
      <c r="A52" s="10">
        <v>48</v>
      </c>
      <c r="B52" s="190" t="s">
        <v>148</v>
      </c>
      <c r="C52" s="192" t="s">
        <v>149</v>
      </c>
      <c r="D52" s="187" t="s">
        <v>43</v>
      </c>
      <c r="E52" s="37">
        <v>1.4E-2</v>
      </c>
      <c r="F52" s="37">
        <v>1.47E-2</v>
      </c>
      <c r="G52" s="14">
        <v>15.309699999999999</v>
      </c>
      <c r="H52" s="38">
        <v>0.95</v>
      </c>
      <c r="I52" s="14">
        <f t="shared" si="0"/>
        <v>0.23689746315789501</v>
      </c>
      <c r="J52" s="13" t="s">
        <v>44</v>
      </c>
      <c r="K52" s="14">
        <v>55.384615384615401</v>
      </c>
      <c r="L52" s="41">
        <v>65</v>
      </c>
      <c r="M52" s="13">
        <v>2</v>
      </c>
      <c r="N52" s="13">
        <v>27.15</v>
      </c>
      <c r="O52" s="13">
        <v>0.76</v>
      </c>
      <c r="P52" s="13">
        <v>22.5</v>
      </c>
      <c r="Q52" s="14">
        <f t="shared" si="1"/>
        <v>0.203125</v>
      </c>
      <c r="R52" s="14">
        <v>0</v>
      </c>
      <c r="S52" s="21">
        <v>3.7573599999999999E-2</v>
      </c>
      <c r="T52" s="21">
        <v>0.08</v>
      </c>
      <c r="U52" s="13">
        <v>0</v>
      </c>
      <c r="V52" s="14">
        <f t="shared" si="14"/>
        <v>0.74053135958448801</v>
      </c>
      <c r="W52" s="13">
        <v>0.76</v>
      </c>
      <c r="X52" s="42">
        <f t="shared" si="2"/>
        <v>-1.94686404155122E-2</v>
      </c>
      <c r="Y52" s="44">
        <f t="shared" si="3"/>
        <v>0.10803053640414099</v>
      </c>
      <c r="Z52" s="45">
        <f t="shared" si="4"/>
        <v>0.27429628383863902</v>
      </c>
      <c r="AA52" s="15">
        <f t="shared" si="5"/>
        <v>9.3139583333333303E-2</v>
      </c>
      <c r="AB52" s="45">
        <f t="shared" si="6"/>
        <v>0.12577398934947701</v>
      </c>
      <c r="AC52" s="46">
        <f t="shared" si="7"/>
        <v>5.0738702032932903E-2</v>
      </c>
      <c r="AD52" s="46">
        <f t="shared" si="8"/>
        <v>0</v>
      </c>
      <c r="AE52" s="46">
        <f t="shared" si="9"/>
        <v>0.68009799977840502</v>
      </c>
      <c r="AF52" s="47">
        <v>0</v>
      </c>
      <c r="AG52" s="51">
        <f t="shared" si="10"/>
        <v>0.91731666973684201</v>
      </c>
      <c r="AH52" s="52">
        <f t="shared" si="11"/>
        <v>0</v>
      </c>
      <c r="AI52" s="53">
        <f t="shared" si="12"/>
        <v>0</v>
      </c>
      <c r="AJ52" s="53">
        <f t="shared" si="13"/>
        <v>0</v>
      </c>
    </row>
    <row r="53" spans="1:38">
      <c r="A53" s="10">
        <v>49</v>
      </c>
      <c r="B53" s="190" t="s">
        <v>150</v>
      </c>
      <c r="C53" s="192" t="s">
        <v>151</v>
      </c>
      <c r="D53" s="187" t="s">
        <v>86</v>
      </c>
      <c r="E53" s="37">
        <v>8.0000000000000002E-3</v>
      </c>
      <c r="F53" s="37">
        <v>8.4799999999999997E-3</v>
      </c>
      <c r="G53" s="14">
        <v>13.716799999999999</v>
      </c>
      <c r="H53" s="38">
        <v>0.99</v>
      </c>
      <c r="I53" s="14">
        <f t="shared" si="0"/>
        <v>0.11749339797979801</v>
      </c>
      <c r="J53" s="13" t="s">
        <v>120</v>
      </c>
      <c r="K53" s="14">
        <v>55.384615384615401</v>
      </c>
      <c r="L53" s="41">
        <v>65</v>
      </c>
      <c r="M53" s="13">
        <v>2</v>
      </c>
      <c r="N53" s="13">
        <v>39.75</v>
      </c>
      <c r="O53" s="13">
        <v>0.76</v>
      </c>
      <c r="P53" s="13">
        <v>22.5</v>
      </c>
      <c r="Q53" s="14">
        <f t="shared" si="1"/>
        <v>0.203125</v>
      </c>
      <c r="R53" s="14">
        <v>0</v>
      </c>
      <c r="S53" s="21">
        <v>2.8623333333333299E-2</v>
      </c>
      <c r="T53" s="21">
        <v>6.6666666666666693E-2</v>
      </c>
      <c r="U53" s="13">
        <v>0</v>
      </c>
      <c r="V53" s="14">
        <f t="shared" si="14"/>
        <v>0.60766485783593505</v>
      </c>
      <c r="W53" s="13">
        <v>0.72</v>
      </c>
      <c r="X53" s="42">
        <f t="shared" si="2"/>
        <v>-0.112335142164065</v>
      </c>
      <c r="Y53" s="44">
        <f t="shared" si="3"/>
        <v>0.109709597003989</v>
      </c>
      <c r="Z53" s="45">
        <f t="shared" si="4"/>
        <v>0.33427142837152901</v>
      </c>
      <c r="AA53" s="15">
        <f t="shared" si="5"/>
        <v>0.13636458333333301</v>
      </c>
      <c r="AB53" s="45">
        <f t="shared" si="6"/>
        <v>0.22440755224675299</v>
      </c>
      <c r="AC53" s="46">
        <f t="shared" si="7"/>
        <v>4.7103815473662602E-2</v>
      </c>
      <c r="AD53" s="46">
        <f t="shared" si="8"/>
        <v>0</v>
      </c>
      <c r="AE53" s="46">
        <f t="shared" si="9"/>
        <v>0.80664769985510598</v>
      </c>
      <c r="AF53" s="47">
        <v>9608</v>
      </c>
      <c r="AG53" s="51">
        <f t="shared" si="10"/>
        <v>0.780764471969697</v>
      </c>
      <c r="AH53" s="52">
        <f t="shared" si="11"/>
        <v>7501.5850466848497</v>
      </c>
      <c r="AI53" s="53">
        <f t="shared" si="12"/>
        <v>5838.4439540876601</v>
      </c>
      <c r="AJ53" s="53">
        <f t="shared" si="13"/>
        <v>6917.76</v>
      </c>
      <c r="AK53" s="1">
        <f t="shared" si="17"/>
        <v>6.64517739204328</v>
      </c>
      <c r="AL53" s="33">
        <f t="shared" si="18"/>
        <v>8.4395099957912403E-2</v>
      </c>
    </row>
    <row r="54" spans="1:38">
      <c r="A54" s="10">
        <v>50</v>
      </c>
      <c r="B54" s="190" t="s">
        <v>152</v>
      </c>
      <c r="C54" s="192" t="s">
        <v>153</v>
      </c>
      <c r="D54" s="187" t="s">
        <v>86</v>
      </c>
      <c r="E54" s="37">
        <v>5.1999999999999998E-2</v>
      </c>
      <c r="F54" s="37">
        <v>5.6160000000000002E-2</v>
      </c>
      <c r="G54" s="14">
        <v>13.716799999999999</v>
      </c>
      <c r="H54" s="38">
        <v>0.98</v>
      </c>
      <c r="I54" s="14">
        <f t="shared" si="0"/>
        <v>0.78605662040816304</v>
      </c>
      <c r="J54" s="13" t="s">
        <v>87</v>
      </c>
      <c r="K54" s="14">
        <v>48</v>
      </c>
      <c r="L54" s="41">
        <v>75</v>
      </c>
      <c r="M54" s="13">
        <v>2</v>
      </c>
      <c r="N54" s="13">
        <v>75.900000000000006</v>
      </c>
      <c r="O54" s="13">
        <v>0.76</v>
      </c>
      <c r="P54" s="13">
        <v>22.5</v>
      </c>
      <c r="Q54" s="14">
        <f t="shared" si="1"/>
        <v>0.234375</v>
      </c>
      <c r="R54" s="14">
        <v>0</v>
      </c>
      <c r="S54" s="21">
        <v>9.7224000000000005E-2</v>
      </c>
      <c r="T54" s="21">
        <v>0.2</v>
      </c>
      <c r="U54" s="13">
        <v>0.3</v>
      </c>
      <c r="V54" s="14">
        <f t="shared" si="14"/>
        <v>2.0933104527072102</v>
      </c>
      <c r="W54" s="13">
        <v>3.15</v>
      </c>
      <c r="X54" s="42">
        <f t="shared" si="2"/>
        <v>-1.05668954729279</v>
      </c>
      <c r="Y54" s="44">
        <f t="shared" si="3"/>
        <v>9.5542445575307305E-2</v>
      </c>
      <c r="Z54" s="45">
        <f t="shared" si="4"/>
        <v>0.111963803408563</v>
      </c>
      <c r="AA54" s="15">
        <f t="shared" si="5"/>
        <v>0.30043750000000002</v>
      </c>
      <c r="AB54" s="45">
        <f t="shared" si="6"/>
        <v>0.14352266746265699</v>
      </c>
      <c r="AC54" s="46">
        <f t="shared" si="7"/>
        <v>4.6445093643068397E-2</v>
      </c>
      <c r="AD54" s="46">
        <f t="shared" si="8"/>
        <v>0.143313668362961</v>
      </c>
      <c r="AE54" s="46">
        <f t="shared" si="9"/>
        <v>0.62449114062771605</v>
      </c>
      <c r="AF54" s="47">
        <v>19664</v>
      </c>
      <c r="AG54" s="51">
        <f t="shared" si="10"/>
        <v>2.5785276806122401</v>
      </c>
      <c r="AH54" s="52">
        <f t="shared" si="11"/>
        <v>50704.168311559202</v>
      </c>
      <c r="AI54" s="53">
        <f t="shared" si="12"/>
        <v>41162.856742034499</v>
      </c>
      <c r="AJ54" s="53">
        <f t="shared" si="13"/>
        <v>61941.599999999999</v>
      </c>
      <c r="AK54" s="1">
        <f t="shared" si="17"/>
        <v>3.2803332656537298</v>
      </c>
      <c r="AL54" s="33">
        <f t="shared" si="18"/>
        <v>-0.18141978393262101</v>
      </c>
    </row>
    <row r="55" spans="1:38">
      <c r="A55" s="10">
        <v>51</v>
      </c>
      <c r="B55" s="190" t="s">
        <v>154</v>
      </c>
      <c r="C55" s="192" t="s">
        <v>155</v>
      </c>
      <c r="D55" s="187" t="s">
        <v>86</v>
      </c>
      <c r="E55" s="37">
        <v>5.1999999999999998E-2</v>
      </c>
      <c r="F55" s="37">
        <v>5.6160000000000002E-2</v>
      </c>
      <c r="G55" s="14">
        <v>13.716799999999999</v>
      </c>
      <c r="H55" s="38">
        <v>0.98</v>
      </c>
      <c r="I55" s="14">
        <f t="shared" si="0"/>
        <v>0.78605662040816304</v>
      </c>
      <c r="J55" s="13" t="s">
        <v>87</v>
      </c>
      <c r="K55" s="14">
        <v>48</v>
      </c>
      <c r="L55" s="41">
        <v>75</v>
      </c>
      <c r="M55" s="13">
        <v>2</v>
      </c>
      <c r="N55" s="13">
        <v>75.900000000000006</v>
      </c>
      <c r="O55" s="13">
        <v>0.76</v>
      </c>
      <c r="P55" s="13">
        <v>22.5</v>
      </c>
      <c r="Q55" s="14">
        <f t="shared" si="1"/>
        <v>0.234375</v>
      </c>
      <c r="R55" s="14">
        <v>0</v>
      </c>
      <c r="S55" s="21">
        <v>0.10657111111111101</v>
      </c>
      <c r="T55" s="21">
        <v>0.22222222222222199</v>
      </c>
      <c r="U55" s="13">
        <v>0.3</v>
      </c>
      <c r="V55" s="14">
        <f t="shared" si="14"/>
        <v>2.1248797860405402</v>
      </c>
      <c r="W55" s="13">
        <v>3.15</v>
      </c>
      <c r="X55" s="42">
        <f t="shared" si="2"/>
        <v>-1.02512021395946</v>
      </c>
      <c r="Y55" s="44">
        <f t="shared" si="3"/>
        <v>0.10458107968371599</v>
      </c>
      <c r="Z55" s="45">
        <f t="shared" si="4"/>
        <v>0.110300357478919</v>
      </c>
      <c r="AA55" s="15">
        <f t="shared" si="5"/>
        <v>0.30043750000000002</v>
      </c>
      <c r="AB55" s="45">
        <f t="shared" si="6"/>
        <v>0.14139035157364299</v>
      </c>
      <c r="AC55" s="46">
        <f t="shared" si="7"/>
        <v>5.0153948383919497E-2</v>
      </c>
      <c r="AD55" s="46">
        <f t="shared" si="8"/>
        <v>0.14118445757301601</v>
      </c>
      <c r="AE55" s="46">
        <f t="shared" si="9"/>
        <v>0.630070074753317</v>
      </c>
      <c r="AF55" s="47">
        <v>0</v>
      </c>
      <c r="AG55" s="51">
        <f t="shared" si="10"/>
        <v>2.6100970139455799</v>
      </c>
      <c r="AH55" s="52">
        <f t="shared" si="11"/>
        <v>0</v>
      </c>
      <c r="AI55" s="53">
        <f t="shared" si="12"/>
        <v>0</v>
      </c>
      <c r="AJ55" s="53">
        <f t="shared" si="13"/>
        <v>0</v>
      </c>
      <c r="AK55" s="1">
        <f t="shared" si="17"/>
        <v>3.32049491878877</v>
      </c>
      <c r="AL55" s="33">
        <f t="shared" si="18"/>
        <v>-0.17139777335060999</v>
      </c>
    </row>
    <row r="56" spans="1:38">
      <c r="A56" s="10">
        <v>52</v>
      </c>
      <c r="B56" s="190" t="s">
        <v>156</v>
      </c>
      <c r="C56" s="192" t="s">
        <v>157</v>
      </c>
      <c r="D56" s="187" t="s">
        <v>86</v>
      </c>
      <c r="E56" s="37">
        <f>31.627/1000</f>
        <v>3.1627000000000002E-2</v>
      </c>
      <c r="F56" s="37">
        <f>E56*1.03</f>
        <v>3.2575809999999997E-2</v>
      </c>
      <c r="G56" s="14">
        <v>13.716799999999999</v>
      </c>
      <c r="H56" s="38">
        <v>0.96</v>
      </c>
      <c r="I56" s="14">
        <f t="shared" si="0"/>
        <v>0.46545403188333301</v>
      </c>
      <c r="J56" s="13" t="s">
        <v>87</v>
      </c>
      <c r="K56" s="14">
        <v>45</v>
      </c>
      <c r="L56" s="41">
        <v>80</v>
      </c>
      <c r="M56" s="13">
        <v>1</v>
      </c>
      <c r="N56" s="13">
        <v>75.900000000000006</v>
      </c>
      <c r="O56" s="13">
        <v>0.76</v>
      </c>
      <c r="P56" s="13">
        <v>22.5</v>
      </c>
      <c r="Q56" s="14">
        <f t="shared" si="1"/>
        <v>0.5</v>
      </c>
      <c r="R56" s="14">
        <v>0</v>
      </c>
      <c r="S56" s="21">
        <v>8.4124000000000004E-2</v>
      </c>
      <c r="T56" s="21">
        <v>0.2</v>
      </c>
      <c r="U56" s="13">
        <v>0</v>
      </c>
      <c r="V56" s="14">
        <f t="shared" si="14"/>
        <v>2.1415093910317702</v>
      </c>
      <c r="W56" s="13">
        <v>3.31</v>
      </c>
      <c r="X56" s="42">
        <f t="shared" si="2"/>
        <v>-1.1684906089682301</v>
      </c>
      <c r="Y56" s="44">
        <f t="shared" si="3"/>
        <v>9.3392072356797307E-2</v>
      </c>
      <c r="Z56" s="45">
        <f t="shared" si="4"/>
        <v>0.23348018089199299</v>
      </c>
      <c r="AA56" s="15">
        <f t="shared" si="5"/>
        <v>0.64093333333333302</v>
      </c>
      <c r="AB56" s="45">
        <f t="shared" si="6"/>
        <v>0.29929046121274999</v>
      </c>
      <c r="AC56" s="46">
        <f t="shared" si="7"/>
        <v>3.9282573474716101E-2</v>
      </c>
      <c r="AD56" s="46">
        <f t="shared" si="8"/>
        <v>0</v>
      </c>
      <c r="AE56" s="46">
        <f t="shared" si="9"/>
        <v>0.78265141687794404</v>
      </c>
      <c r="AF56" s="47">
        <v>58120</v>
      </c>
      <c r="AG56" s="51">
        <f t="shared" si="10"/>
        <v>2.693705047825</v>
      </c>
      <c r="AH56" s="52">
        <f t="shared" si="11"/>
        <v>156558.137379589</v>
      </c>
      <c r="AI56" s="53">
        <f t="shared" si="12"/>
        <v>124464.52580676699</v>
      </c>
      <c r="AJ56" s="53">
        <f t="shared" si="13"/>
        <v>192377.2</v>
      </c>
      <c r="AK56" s="1">
        <f t="shared" si="17"/>
        <v>5.7872633242119704</v>
      </c>
      <c r="AL56" s="33">
        <f t="shared" si="18"/>
        <v>-0.18619182845166199</v>
      </c>
    </row>
    <row r="57" spans="1:38" ht="27">
      <c r="A57" s="10">
        <v>53</v>
      </c>
      <c r="B57" s="190" t="s">
        <v>158</v>
      </c>
      <c r="C57" s="192" t="s">
        <v>159</v>
      </c>
      <c r="D57" s="187" t="s">
        <v>86</v>
      </c>
      <c r="E57" s="37">
        <v>7.8E-2</v>
      </c>
      <c r="F57" s="37">
        <v>8.1900000000000001E-2</v>
      </c>
      <c r="G57" s="14">
        <v>13.716799999999999</v>
      </c>
      <c r="H57" s="38">
        <v>0.96</v>
      </c>
      <c r="I57" s="14">
        <f t="shared" si="0"/>
        <v>1.1702144999999999</v>
      </c>
      <c r="J57" s="13" t="s">
        <v>87</v>
      </c>
      <c r="K57" s="14">
        <v>45</v>
      </c>
      <c r="L57" s="41">
        <v>80</v>
      </c>
      <c r="M57" s="13">
        <v>2</v>
      </c>
      <c r="N57" s="13">
        <v>75.900000000000006</v>
      </c>
      <c r="O57" s="13">
        <v>0.76</v>
      </c>
      <c r="P57" s="13">
        <v>22.5</v>
      </c>
      <c r="Q57" s="14">
        <f t="shared" si="1"/>
        <v>0.25</v>
      </c>
      <c r="R57" s="14">
        <v>0</v>
      </c>
      <c r="S57" s="21">
        <v>8.4124000000000004E-2</v>
      </c>
      <c r="T57" s="21">
        <v>0.2</v>
      </c>
      <c r="U57" s="13">
        <v>0</v>
      </c>
      <c r="V57" s="14">
        <f t="shared" si="14"/>
        <v>2.29678659895833</v>
      </c>
      <c r="W57" s="13">
        <v>3.31</v>
      </c>
      <c r="X57" s="42">
        <f t="shared" si="2"/>
        <v>-1.01321340104167</v>
      </c>
      <c r="Y57" s="44">
        <f t="shared" si="3"/>
        <v>8.7078181355945902E-2</v>
      </c>
      <c r="Z57" s="45">
        <f t="shared" si="4"/>
        <v>0.10884772669493201</v>
      </c>
      <c r="AA57" s="15">
        <f t="shared" si="5"/>
        <v>0.32046666666666701</v>
      </c>
      <c r="AB57" s="45">
        <f t="shared" si="6"/>
        <v>0.139528272592677</v>
      </c>
      <c r="AC57" s="46">
        <f t="shared" si="7"/>
        <v>3.6626824641937998E-2</v>
      </c>
      <c r="AD57" s="46">
        <f t="shared" si="8"/>
        <v>0</v>
      </c>
      <c r="AE57" s="46">
        <f t="shared" si="9"/>
        <v>0.49049924771821202</v>
      </c>
      <c r="AF57" s="47">
        <v>0</v>
      </c>
      <c r="AG57" s="51">
        <f t="shared" si="10"/>
        <v>2.8951457500000002</v>
      </c>
      <c r="AH57" s="52">
        <f t="shared" si="11"/>
        <v>0</v>
      </c>
      <c r="AI57" s="53">
        <f t="shared" si="12"/>
        <v>0</v>
      </c>
      <c r="AJ57" s="53">
        <f t="shared" si="13"/>
        <v>0</v>
      </c>
    </row>
    <row r="58" spans="1:38">
      <c r="A58" s="10">
        <v>54</v>
      </c>
      <c r="B58" s="190" t="s">
        <v>160</v>
      </c>
      <c r="C58" s="192" t="s">
        <v>161</v>
      </c>
      <c r="D58" s="187" t="s">
        <v>143</v>
      </c>
      <c r="E58" s="37">
        <v>1.4999999999999999E-2</v>
      </c>
      <c r="F58" s="37">
        <v>2.1000000000000001E-2</v>
      </c>
      <c r="G58" s="14">
        <v>60.177</v>
      </c>
      <c r="H58" s="38">
        <v>0.65</v>
      </c>
      <c r="I58" s="14">
        <f t="shared" si="0"/>
        <v>1.94418</v>
      </c>
      <c r="J58" s="13" t="s">
        <v>87</v>
      </c>
      <c r="K58" s="14">
        <v>36</v>
      </c>
      <c r="L58" s="41">
        <v>100</v>
      </c>
      <c r="M58" s="13">
        <v>2</v>
      </c>
      <c r="N58" s="13">
        <v>75.900000000000006</v>
      </c>
      <c r="O58" s="13">
        <v>0.76</v>
      </c>
      <c r="P58" s="13">
        <v>22.5</v>
      </c>
      <c r="Q58" s="14">
        <f t="shared" si="1"/>
        <v>0.3125</v>
      </c>
      <c r="R58" s="14">
        <v>0</v>
      </c>
      <c r="S58" s="21">
        <v>4.4676E-2</v>
      </c>
      <c r="T58" s="21">
        <v>0.1</v>
      </c>
      <c r="U58" s="13">
        <v>0</v>
      </c>
      <c r="V58" s="14">
        <f t="shared" si="14"/>
        <v>4.6824641538461496</v>
      </c>
      <c r="W58" s="13">
        <v>2.52</v>
      </c>
      <c r="X58" s="42">
        <f t="shared" si="2"/>
        <v>2.16246415384615</v>
      </c>
      <c r="Y58" s="44">
        <f t="shared" si="3"/>
        <v>2.13562766770698E-2</v>
      </c>
      <c r="Z58" s="45">
        <f t="shared" si="4"/>
        <v>6.6738364615843093E-2</v>
      </c>
      <c r="AA58" s="15">
        <f t="shared" si="5"/>
        <v>0.40058333333333301</v>
      </c>
      <c r="AB58" s="45">
        <f t="shared" si="6"/>
        <v>8.5549684988895397E-2</v>
      </c>
      <c r="AC58" s="46">
        <f t="shared" si="7"/>
        <v>9.5411301682477006E-3</v>
      </c>
      <c r="AD58" s="46">
        <f t="shared" si="8"/>
        <v>0</v>
      </c>
      <c r="AE58" s="46">
        <f t="shared" si="9"/>
        <v>0.58479554009974399</v>
      </c>
      <c r="AF58" s="47"/>
      <c r="AG58" s="51">
        <f t="shared" si="10"/>
        <v>4.1305709999999998</v>
      </c>
      <c r="AH58" s="52">
        <f t="shared" si="11"/>
        <v>0</v>
      </c>
      <c r="AI58" s="53">
        <f t="shared" si="12"/>
        <v>0</v>
      </c>
      <c r="AJ58" s="53">
        <f t="shared" si="13"/>
        <v>0</v>
      </c>
    </row>
    <row r="59" spans="1:38">
      <c r="A59" s="10">
        <v>55</v>
      </c>
      <c r="B59" s="190" t="s">
        <v>162</v>
      </c>
      <c r="C59" s="192" t="s">
        <v>163</v>
      </c>
      <c r="D59" s="187" t="s">
        <v>143</v>
      </c>
      <c r="E59" s="37">
        <v>1.4999999999999999E-2</v>
      </c>
      <c r="F59" s="37">
        <v>2.1000000000000001E-2</v>
      </c>
      <c r="G59" s="14">
        <v>60.177</v>
      </c>
      <c r="H59" s="38">
        <v>0.65</v>
      </c>
      <c r="I59" s="14">
        <f t="shared" si="0"/>
        <v>1.94418</v>
      </c>
      <c r="J59" s="13" t="s">
        <v>87</v>
      </c>
      <c r="K59" s="14">
        <v>36</v>
      </c>
      <c r="L59" s="41">
        <v>100</v>
      </c>
      <c r="M59" s="13">
        <v>2</v>
      </c>
      <c r="N59" s="13">
        <v>75.900000000000006</v>
      </c>
      <c r="O59" s="13">
        <v>0.76</v>
      </c>
      <c r="P59" s="13">
        <v>22.5</v>
      </c>
      <c r="Q59" s="14">
        <f t="shared" si="1"/>
        <v>0.3125</v>
      </c>
      <c r="R59" s="14">
        <v>0</v>
      </c>
      <c r="S59" s="21">
        <v>4.4676E-2</v>
      </c>
      <c r="T59" s="21">
        <v>0.1</v>
      </c>
      <c r="U59" s="13">
        <v>0</v>
      </c>
      <c r="V59" s="14">
        <f t="shared" si="14"/>
        <v>4.6824641538461496</v>
      </c>
      <c r="W59" s="13">
        <v>2.52</v>
      </c>
      <c r="X59" s="42">
        <f t="shared" si="2"/>
        <v>2.16246415384615</v>
      </c>
      <c r="Y59" s="44">
        <f t="shared" si="3"/>
        <v>2.13562766770698E-2</v>
      </c>
      <c r="Z59" s="45">
        <f t="shared" si="4"/>
        <v>6.6738364615843093E-2</v>
      </c>
      <c r="AA59" s="15">
        <f t="shared" si="5"/>
        <v>0.40058333333333301</v>
      </c>
      <c r="AB59" s="45">
        <f t="shared" si="6"/>
        <v>8.5549684988895397E-2</v>
      </c>
      <c r="AC59" s="46">
        <f t="shared" si="7"/>
        <v>9.5411301682477006E-3</v>
      </c>
      <c r="AD59" s="46">
        <f t="shared" si="8"/>
        <v>0</v>
      </c>
      <c r="AE59" s="46">
        <f t="shared" si="9"/>
        <v>0.58479554009974399</v>
      </c>
      <c r="AF59" s="47"/>
      <c r="AG59" s="51">
        <f t="shared" si="10"/>
        <v>4.1305709999999998</v>
      </c>
      <c r="AH59" s="52">
        <f t="shared" si="11"/>
        <v>0</v>
      </c>
      <c r="AI59" s="53">
        <f t="shared" si="12"/>
        <v>0</v>
      </c>
      <c r="AJ59" s="53">
        <f t="shared" si="13"/>
        <v>0</v>
      </c>
    </row>
    <row r="60" spans="1:38">
      <c r="A60" s="10">
        <v>56</v>
      </c>
      <c r="B60" s="190" t="s">
        <v>164</v>
      </c>
      <c r="C60" s="192" t="s">
        <v>145</v>
      </c>
      <c r="D60" s="187" t="s">
        <v>59</v>
      </c>
      <c r="E60" s="37">
        <v>4.7E-2</v>
      </c>
      <c r="F60" s="37">
        <v>4.9349999999999998E-2</v>
      </c>
      <c r="G60" s="14">
        <v>18.584099999999999</v>
      </c>
      <c r="H60" s="38">
        <v>0.96</v>
      </c>
      <c r="I60" s="14">
        <f t="shared" si="0"/>
        <v>0.95533889062499999</v>
      </c>
      <c r="J60" s="13" t="s">
        <v>165</v>
      </c>
      <c r="K60" s="14">
        <v>45</v>
      </c>
      <c r="L60" s="41">
        <v>80</v>
      </c>
      <c r="M60" s="13">
        <v>2</v>
      </c>
      <c r="N60" s="13">
        <v>67.900000000000006</v>
      </c>
      <c r="O60" s="13">
        <v>0.76</v>
      </c>
      <c r="P60" s="13">
        <v>22.5</v>
      </c>
      <c r="Q60" s="14">
        <f t="shared" si="1"/>
        <v>0.25</v>
      </c>
      <c r="R60" s="14">
        <v>0</v>
      </c>
      <c r="S60" s="21">
        <v>0.10657111111111101</v>
      </c>
      <c r="T60" s="21">
        <v>0.22222222222222199</v>
      </c>
      <c r="U60" s="13">
        <v>0.3</v>
      </c>
      <c r="V60" s="14">
        <f t="shared" si="14"/>
        <v>2.3539504533962701</v>
      </c>
      <c r="W60" s="13">
        <v>2.88</v>
      </c>
      <c r="X60" s="42">
        <f t="shared" si="2"/>
        <v>-0.52604954660373304</v>
      </c>
      <c r="Y60" s="44">
        <f t="shared" si="3"/>
        <v>9.4403950559622404E-2</v>
      </c>
      <c r="Z60" s="45">
        <f t="shared" si="4"/>
        <v>0.10620444437957501</v>
      </c>
      <c r="AA60" s="15">
        <f t="shared" si="5"/>
        <v>0.28668888888888899</v>
      </c>
      <c r="AB60" s="45">
        <f t="shared" si="6"/>
        <v>0.12179053661696899</v>
      </c>
      <c r="AC60" s="46">
        <f t="shared" si="7"/>
        <v>4.5273302569878097E-2</v>
      </c>
      <c r="AD60" s="46">
        <f t="shared" si="8"/>
        <v>0.12744533325549001</v>
      </c>
      <c r="AE60" s="46">
        <f t="shared" si="9"/>
        <v>0.59415505570788796</v>
      </c>
      <c r="AF60" s="47"/>
      <c r="AG60" s="51">
        <f t="shared" si="10"/>
        <v>2.8668350026041698</v>
      </c>
      <c r="AH60" s="52">
        <f t="shared" si="11"/>
        <v>0</v>
      </c>
      <c r="AI60" s="53">
        <f t="shared" si="12"/>
        <v>0</v>
      </c>
      <c r="AJ60" s="53">
        <f t="shared" si="13"/>
        <v>0</v>
      </c>
    </row>
    <row r="61" spans="1:38">
      <c r="A61" s="10">
        <v>57</v>
      </c>
      <c r="B61" s="190" t="s">
        <v>166</v>
      </c>
      <c r="C61" s="192" t="s">
        <v>167</v>
      </c>
      <c r="D61" s="187" t="s">
        <v>59</v>
      </c>
      <c r="E61" s="37">
        <v>4.7E-2</v>
      </c>
      <c r="F61" s="37">
        <v>4.9349999999999998E-2</v>
      </c>
      <c r="G61" s="14">
        <v>18.584099999999999</v>
      </c>
      <c r="H61" s="38">
        <v>0.96</v>
      </c>
      <c r="I61" s="14">
        <f t="shared" si="0"/>
        <v>0.95533889062499999</v>
      </c>
      <c r="J61" s="13" t="s">
        <v>165</v>
      </c>
      <c r="K61" s="14">
        <v>45</v>
      </c>
      <c r="L61" s="41">
        <v>80</v>
      </c>
      <c r="M61" s="13">
        <v>2</v>
      </c>
      <c r="N61" s="13">
        <v>67.900000000000006</v>
      </c>
      <c r="O61" s="13">
        <v>0.76</v>
      </c>
      <c r="P61" s="13">
        <v>22.5</v>
      </c>
      <c r="Q61" s="14">
        <f t="shared" si="1"/>
        <v>0.25</v>
      </c>
      <c r="R61" s="14">
        <v>0</v>
      </c>
      <c r="S61" s="21">
        <v>0.10657111111111101</v>
      </c>
      <c r="T61" s="21">
        <v>0.22222222222222199</v>
      </c>
      <c r="U61" s="13">
        <v>0.3</v>
      </c>
      <c r="V61" s="14">
        <f t="shared" si="14"/>
        <v>2.3539504533962701</v>
      </c>
      <c r="W61" s="13">
        <v>2.88</v>
      </c>
      <c r="X61" s="42">
        <f t="shared" si="2"/>
        <v>-0.52604954660373304</v>
      </c>
      <c r="Y61" s="44">
        <f t="shared" si="3"/>
        <v>9.4403950559622404E-2</v>
      </c>
      <c r="Z61" s="45">
        <f t="shared" si="4"/>
        <v>0.10620444437957501</v>
      </c>
      <c r="AA61" s="15">
        <f t="shared" si="5"/>
        <v>0.28668888888888899</v>
      </c>
      <c r="AB61" s="45">
        <f t="shared" si="6"/>
        <v>0.12179053661696899</v>
      </c>
      <c r="AC61" s="46">
        <f t="shared" si="7"/>
        <v>4.5273302569878097E-2</v>
      </c>
      <c r="AD61" s="46">
        <f t="shared" si="8"/>
        <v>0.12744533325549001</v>
      </c>
      <c r="AE61" s="46">
        <f t="shared" si="9"/>
        <v>0.59415505570788796</v>
      </c>
      <c r="AF61" s="47"/>
      <c r="AG61" s="51">
        <f t="shared" si="10"/>
        <v>2.8668350026041698</v>
      </c>
      <c r="AH61" s="52">
        <f t="shared" si="11"/>
        <v>0</v>
      </c>
      <c r="AI61" s="53">
        <f t="shared" si="12"/>
        <v>0</v>
      </c>
      <c r="AJ61" s="53">
        <f t="shared" si="13"/>
        <v>0</v>
      </c>
    </row>
    <row r="62" spans="1:38">
      <c r="A62" s="10">
        <v>58</v>
      </c>
      <c r="B62" s="190" t="s">
        <v>168</v>
      </c>
      <c r="C62" s="192" t="s">
        <v>147</v>
      </c>
      <c r="D62" s="187" t="s">
        <v>86</v>
      </c>
      <c r="E62" s="37">
        <v>2.1999999999999999E-2</v>
      </c>
      <c r="F62" s="37">
        <v>2.3099999999999999E-2</v>
      </c>
      <c r="G62" s="14">
        <v>13.716799999999999</v>
      </c>
      <c r="H62" s="38">
        <v>0.96</v>
      </c>
      <c r="I62" s="14">
        <f t="shared" si="0"/>
        <v>0.33006049999999998</v>
      </c>
      <c r="J62" s="13" t="s">
        <v>87</v>
      </c>
      <c r="K62" s="14">
        <v>48</v>
      </c>
      <c r="L62" s="41">
        <v>75</v>
      </c>
      <c r="M62" s="13">
        <v>2</v>
      </c>
      <c r="N62" s="13">
        <v>75.900000000000006</v>
      </c>
      <c r="O62" s="13">
        <v>0.76</v>
      </c>
      <c r="P62" s="13">
        <v>22.5</v>
      </c>
      <c r="Q62" s="14">
        <f t="shared" si="1"/>
        <v>0.234375</v>
      </c>
      <c r="R62" s="14">
        <v>0</v>
      </c>
      <c r="S62" s="21">
        <v>8.4124000000000004E-2</v>
      </c>
      <c r="T62" s="21">
        <v>0.2</v>
      </c>
      <c r="U62" s="13">
        <v>0</v>
      </c>
      <c r="V62" s="14">
        <f t="shared" si="14"/>
        <v>1.2841334062500001</v>
      </c>
      <c r="W62" s="13">
        <v>1.31</v>
      </c>
      <c r="X62" s="42">
        <f t="shared" si="2"/>
        <v>-2.586659375E-2</v>
      </c>
      <c r="Y62" s="44">
        <f t="shared" si="3"/>
        <v>0.15574705791982399</v>
      </c>
      <c r="Z62" s="45">
        <f t="shared" si="4"/>
        <v>0.18251608349979401</v>
      </c>
      <c r="AA62" s="15">
        <f t="shared" si="5"/>
        <v>0.30043750000000002</v>
      </c>
      <c r="AB62" s="45">
        <f t="shared" si="6"/>
        <v>0.233961283568936</v>
      </c>
      <c r="AC62" s="46">
        <f t="shared" si="7"/>
        <v>6.5510327502236496E-2</v>
      </c>
      <c r="AD62" s="46">
        <f t="shared" si="8"/>
        <v>0</v>
      </c>
      <c r="AE62" s="46">
        <f t="shared" si="9"/>
        <v>0.74297024094726904</v>
      </c>
      <c r="AF62" s="47"/>
      <c r="AG62" s="51">
        <f t="shared" si="10"/>
        <v>1.5814334999999999</v>
      </c>
      <c r="AH62" s="52">
        <f t="shared" si="11"/>
        <v>0</v>
      </c>
      <c r="AI62" s="53">
        <f t="shared" si="12"/>
        <v>0</v>
      </c>
      <c r="AJ62" s="53">
        <f t="shared" si="13"/>
        <v>0</v>
      </c>
    </row>
    <row r="63" spans="1:38">
      <c r="A63" s="10">
        <v>59</v>
      </c>
      <c r="B63" s="190" t="s">
        <v>169</v>
      </c>
      <c r="C63" s="192" t="s">
        <v>170</v>
      </c>
      <c r="D63" s="187" t="s">
        <v>143</v>
      </c>
      <c r="E63" s="37">
        <v>6.0000000000000001E-3</v>
      </c>
      <c r="F63" s="37">
        <v>8.3999999999999995E-3</v>
      </c>
      <c r="G63" s="14">
        <v>60.177</v>
      </c>
      <c r="H63" s="38">
        <v>0.7</v>
      </c>
      <c r="I63" s="14">
        <f t="shared" si="0"/>
        <v>0.72212399999999999</v>
      </c>
      <c r="J63" s="13" t="s">
        <v>44</v>
      </c>
      <c r="K63" s="14">
        <v>37.894736842105303</v>
      </c>
      <c r="L63" s="41">
        <v>94.999999999999901</v>
      </c>
      <c r="M63" s="13">
        <v>2</v>
      </c>
      <c r="N63" s="13">
        <v>27.15</v>
      </c>
      <c r="O63" s="13">
        <v>0.76</v>
      </c>
      <c r="P63" s="13">
        <v>22.5</v>
      </c>
      <c r="Q63" s="14">
        <f t="shared" si="1"/>
        <v>0.296875</v>
      </c>
      <c r="R63" s="14">
        <v>0</v>
      </c>
      <c r="S63" s="21">
        <v>1.46026666666667E-2</v>
      </c>
      <c r="T63" s="21">
        <v>3.3333333333333298E-2</v>
      </c>
      <c r="U63" s="13">
        <v>0</v>
      </c>
      <c r="V63" s="14">
        <f t="shared" si="14"/>
        <v>1.87963593214286</v>
      </c>
      <c r="W63" s="13">
        <v>1.1599999999999999</v>
      </c>
      <c r="X63" s="42">
        <f t="shared" si="2"/>
        <v>0.71963593214285704</v>
      </c>
      <c r="Y63" s="44">
        <f t="shared" si="3"/>
        <v>1.7733930684827901E-2</v>
      </c>
      <c r="Z63" s="45">
        <f t="shared" si="4"/>
        <v>0.15794282016174799</v>
      </c>
      <c r="AA63" s="15">
        <f t="shared" si="5"/>
        <v>0.13612708333333301</v>
      </c>
      <c r="AB63" s="45">
        <f t="shared" si="6"/>
        <v>7.2422047804833703E-2</v>
      </c>
      <c r="AC63" s="46">
        <f t="shared" si="7"/>
        <v>7.7688803544094303E-3</v>
      </c>
      <c r="AD63" s="46">
        <f t="shared" si="8"/>
        <v>0</v>
      </c>
      <c r="AE63" s="46">
        <f t="shared" si="9"/>
        <v>0.61581709114448002</v>
      </c>
      <c r="AF63" s="47"/>
      <c r="AG63" s="51">
        <f t="shared" si="10"/>
        <v>1.780625125</v>
      </c>
      <c r="AH63" s="52">
        <f t="shared" si="11"/>
        <v>0</v>
      </c>
      <c r="AI63" s="53">
        <f t="shared" si="12"/>
        <v>0</v>
      </c>
      <c r="AJ63" s="53">
        <f t="shared" si="13"/>
        <v>0</v>
      </c>
    </row>
    <row r="64" spans="1:38">
      <c r="A64" s="10">
        <v>60</v>
      </c>
      <c r="B64" s="190" t="s">
        <v>171</v>
      </c>
      <c r="C64" s="192" t="s">
        <v>172</v>
      </c>
      <c r="D64" s="187" t="s">
        <v>43</v>
      </c>
      <c r="E64" s="37">
        <v>2E-3</v>
      </c>
      <c r="F64" s="37">
        <v>2.5999999999999999E-3</v>
      </c>
      <c r="G64" s="14">
        <v>15.309699999999999</v>
      </c>
      <c r="H64" s="38">
        <v>0.95</v>
      </c>
      <c r="I64" s="14">
        <f t="shared" si="0"/>
        <v>4.19002315789474E-2</v>
      </c>
      <c r="J64" s="13" t="s">
        <v>47</v>
      </c>
      <c r="K64" s="14">
        <v>72</v>
      </c>
      <c r="L64" s="41">
        <v>50</v>
      </c>
      <c r="M64" s="13">
        <v>3</v>
      </c>
      <c r="N64" s="13">
        <v>21.2</v>
      </c>
      <c r="O64" s="13">
        <v>0.76</v>
      </c>
      <c r="P64" s="13">
        <v>22.5</v>
      </c>
      <c r="Q64" s="14">
        <f t="shared" si="1"/>
        <v>0.104166666666667</v>
      </c>
      <c r="R64" s="14">
        <v>0</v>
      </c>
      <c r="S64" s="21">
        <v>1.43116666666667E-3</v>
      </c>
      <c r="T64" s="21">
        <v>3.3333333333333301E-3</v>
      </c>
      <c r="U64" s="13">
        <v>0</v>
      </c>
      <c r="V64" s="14">
        <f t="shared" si="14"/>
        <v>0.21900991678054799</v>
      </c>
      <c r="W64" s="13">
        <v>0.2</v>
      </c>
      <c r="X64" s="42">
        <f t="shared" si="2"/>
        <v>1.9009916780547899E-2</v>
      </c>
      <c r="Y64" s="44">
        <f t="shared" si="3"/>
        <v>1.52200109581038E-2</v>
      </c>
      <c r="Z64" s="45">
        <f t="shared" si="4"/>
        <v>0.475625342440743</v>
      </c>
      <c r="AA64" s="15">
        <f t="shared" si="5"/>
        <v>3.72962962962963E-2</v>
      </c>
      <c r="AB64" s="45">
        <f t="shared" si="6"/>
        <v>0.170295011497894</v>
      </c>
      <c r="AC64" s="46">
        <f t="shared" si="7"/>
        <v>6.5347117048618697E-3</v>
      </c>
      <c r="AD64" s="46">
        <f t="shared" si="8"/>
        <v>0</v>
      </c>
      <c r="AE64" s="46">
        <f t="shared" si="9"/>
        <v>0.808683404866401</v>
      </c>
      <c r="AF64" s="47"/>
      <c r="AG64" s="51">
        <f t="shared" si="10"/>
        <v>0.27980929181286601</v>
      </c>
      <c r="AH64" s="52">
        <f t="shared" si="11"/>
        <v>0</v>
      </c>
      <c r="AI64" s="53">
        <f t="shared" si="12"/>
        <v>0</v>
      </c>
      <c r="AJ64" s="53">
        <f t="shared" si="13"/>
        <v>0</v>
      </c>
    </row>
    <row r="65" spans="1:38">
      <c r="A65" s="10">
        <v>61</v>
      </c>
      <c r="B65" s="190" t="s">
        <v>173</v>
      </c>
      <c r="C65" s="192" t="s">
        <v>174</v>
      </c>
      <c r="D65" s="187" t="s">
        <v>43</v>
      </c>
      <c r="E65" s="37">
        <v>1E-3</v>
      </c>
      <c r="F65" s="37">
        <v>1.2999999999999999E-3</v>
      </c>
      <c r="G65" s="14">
        <v>15.309699999999999</v>
      </c>
      <c r="H65" s="38">
        <v>0.95</v>
      </c>
      <c r="I65" s="14">
        <f t="shared" si="0"/>
        <v>2.09501157894737E-2</v>
      </c>
      <c r="J65" s="13" t="s">
        <v>47</v>
      </c>
      <c r="K65" s="14">
        <v>72</v>
      </c>
      <c r="L65" s="41">
        <v>50</v>
      </c>
      <c r="M65" s="13">
        <v>3</v>
      </c>
      <c r="N65" s="13">
        <v>21.2</v>
      </c>
      <c r="O65" s="13">
        <v>0.76</v>
      </c>
      <c r="P65" s="13">
        <v>22.5</v>
      </c>
      <c r="Q65" s="14">
        <f t="shared" si="1"/>
        <v>0.104166666666667</v>
      </c>
      <c r="R65" s="14">
        <v>0</v>
      </c>
      <c r="S65" s="21">
        <v>1.43116666666667E-3</v>
      </c>
      <c r="T65" s="21">
        <v>3.3333333333333301E-3</v>
      </c>
      <c r="U65" s="13">
        <v>0</v>
      </c>
      <c r="V65" s="14">
        <f t="shared" si="14"/>
        <v>0.19453136043705799</v>
      </c>
      <c r="W65" s="13">
        <v>0.17</v>
      </c>
      <c r="X65" s="42">
        <f t="shared" si="2"/>
        <v>2.45313604370576E-2</v>
      </c>
      <c r="Y65" s="44">
        <f t="shared" si="3"/>
        <v>1.71351977688547E-2</v>
      </c>
      <c r="Z65" s="45">
        <f t="shared" si="4"/>
        <v>0.53547493027670801</v>
      </c>
      <c r="AA65" s="15">
        <f t="shared" si="5"/>
        <v>3.72962962962963E-2</v>
      </c>
      <c r="AB65" s="45">
        <f t="shared" si="6"/>
        <v>0.19172382392485199</v>
      </c>
      <c r="AC65" s="46">
        <f t="shared" si="7"/>
        <v>7.3569971620577697E-3</v>
      </c>
      <c r="AD65" s="46">
        <f t="shared" si="8"/>
        <v>0</v>
      </c>
      <c r="AE65" s="46">
        <f t="shared" si="9"/>
        <v>0.89230468680008901</v>
      </c>
      <c r="AF65" s="47"/>
      <c r="AG65" s="51">
        <f t="shared" si="10"/>
        <v>0.24838411812865499</v>
      </c>
      <c r="AH65" s="52">
        <f t="shared" si="11"/>
        <v>0</v>
      </c>
      <c r="AI65" s="53">
        <f t="shared" si="12"/>
        <v>0</v>
      </c>
      <c r="AJ65" s="53">
        <f t="shared" si="13"/>
        <v>0</v>
      </c>
    </row>
    <row r="66" spans="1:38">
      <c r="A66" s="10">
        <v>62</v>
      </c>
      <c r="B66" s="190" t="s">
        <v>175</v>
      </c>
      <c r="C66" s="192" t="s">
        <v>176</v>
      </c>
      <c r="D66" s="187" t="s">
        <v>43</v>
      </c>
      <c r="E66" s="37">
        <v>2E-3</v>
      </c>
      <c r="F66" s="37">
        <v>2.5999999999999999E-3</v>
      </c>
      <c r="G66" s="14">
        <v>15.309699999999999</v>
      </c>
      <c r="H66" s="38">
        <v>0.95</v>
      </c>
      <c r="I66" s="14">
        <f t="shared" si="0"/>
        <v>4.19002315789474E-2</v>
      </c>
      <c r="J66" s="13" t="s">
        <v>47</v>
      </c>
      <c r="K66" s="14">
        <v>72</v>
      </c>
      <c r="L66" s="41">
        <v>50</v>
      </c>
      <c r="M66" s="13">
        <v>3</v>
      </c>
      <c r="N66" s="13">
        <v>21.2</v>
      </c>
      <c r="O66" s="13">
        <v>0.76</v>
      </c>
      <c r="P66" s="13">
        <v>22.5</v>
      </c>
      <c r="Q66" s="14">
        <f t="shared" si="1"/>
        <v>0.104166666666667</v>
      </c>
      <c r="R66" s="14">
        <v>0</v>
      </c>
      <c r="S66" s="21">
        <v>1.43116666666667E-3</v>
      </c>
      <c r="T66" s="21">
        <v>3.3333333333333301E-3</v>
      </c>
      <c r="U66" s="13">
        <v>0</v>
      </c>
      <c r="V66" s="14">
        <f t="shared" si="14"/>
        <v>0.21900991678054799</v>
      </c>
      <c r="W66" s="13">
        <v>0.2</v>
      </c>
      <c r="X66" s="42">
        <f t="shared" si="2"/>
        <v>1.9009916780547899E-2</v>
      </c>
      <c r="Y66" s="44">
        <f t="shared" si="3"/>
        <v>1.52200109581038E-2</v>
      </c>
      <c r="Z66" s="45">
        <f t="shared" si="4"/>
        <v>0.475625342440743</v>
      </c>
      <c r="AA66" s="15">
        <f t="shared" si="5"/>
        <v>3.72962962962963E-2</v>
      </c>
      <c r="AB66" s="45">
        <f t="shared" si="6"/>
        <v>0.170295011497894</v>
      </c>
      <c r="AC66" s="46">
        <f t="shared" si="7"/>
        <v>6.5347117048618697E-3</v>
      </c>
      <c r="AD66" s="46">
        <f t="shared" si="8"/>
        <v>0</v>
      </c>
      <c r="AE66" s="46">
        <f t="shared" si="9"/>
        <v>0.808683404866401</v>
      </c>
      <c r="AF66" s="47"/>
      <c r="AG66" s="51">
        <f t="shared" si="10"/>
        <v>0.27980929181286601</v>
      </c>
      <c r="AH66" s="52">
        <f t="shared" si="11"/>
        <v>0</v>
      </c>
      <c r="AI66" s="53">
        <f t="shared" si="12"/>
        <v>0</v>
      </c>
      <c r="AJ66" s="53">
        <f t="shared" si="13"/>
        <v>0</v>
      </c>
    </row>
    <row r="67" spans="1:38">
      <c r="A67" s="10">
        <v>63</v>
      </c>
      <c r="B67" s="190" t="s">
        <v>177</v>
      </c>
      <c r="C67" s="191" t="s">
        <v>178</v>
      </c>
      <c r="D67" s="187" t="s">
        <v>59</v>
      </c>
      <c r="E67" s="37">
        <v>5.1999999999999998E-2</v>
      </c>
      <c r="F67" s="37">
        <v>5.4600000000000003E-2</v>
      </c>
      <c r="G67" s="14">
        <v>18.584099999999999</v>
      </c>
      <c r="H67" s="38">
        <v>0.96</v>
      </c>
      <c r="I67" s="14">
        <f t="shared" si="0"/>
        <v>1.0569706875</v>
      </c>
      <c r="J67" s="13" t="s">
        <v>165</v>
      </c>
      <c r="K67" s="14">
        <v>48</v>
      </c>
      <c r="L67" s="41">
        <v>75</v>
      </c>
      <c r="M67" s="13">
        <v>2</v>
      </c>
      <c r="N67" s="13">
        <v>67.900000000000006</v>
      </c>
      <c r="O67" s="13">
        <v>0.76</v>
      </c>
      <c r="P67" s="13">
        <v>22.5</v>
      </c>
      <c r="Q67" s="14">
        <f t="shared" si="1"/>
        <v>0.234375</v>
      </c>
      <c r="R67" s="14">
        <v>0</v>
      </c>
      <c r="S67" s="21">
        <v>0.10657111111111101</v>
      </c>
      <c r="T67" s="21">
        <v>0.22222222222222199</v>
      </c>
      <c r="U67" s="13">
        <v>0.3</v>
      </c>
      <c r="V67" s="14">
        <f t="shared" si="14"/>
        <v>2.4326780605468699</v>
      </c>
      <c r="W67" s="13">
        <v>3.44</v>
      </c>
      <c r="X67" s="42">
        <f t="shared" si="2"/>
        <v>-1.0073219394531301</v>
      </c>
      <c r="Y67" s="44">
        <f t="shared" si="3"/>
        <v>9.1348800248671494E-2</v>
      </c>
      <c r="Z67" s="45">
        <f t="shared" si="4"/>
        <v>9.6344437762270793E-2</v>
      </c>
      <c r="AA67" s="15">
        <f t="shared" si="5"/>
        <v>0.26877083333333301</v>
      </c>
      <c r="AB67" s="45">
        <f t="shared" si="6"/>
        <v>0.11048351925076</v>
      </c>
      <c r="AC67" s="46">
        <f t="shared" si="7"/>
        <v>4.3808144135255397E-2</v>
      </c>
      <c r="AD67" s="46">
        <f t="shared" si="8"/>
        <v>0.123320880335707</v>
      </c>
      <c r="AE67" s="46">
        <f t="shared" si="9"/>
        <v>0.56551148109487603</v>
      </c>
      <c r="AF67" s="47">
        <v>3730</v>
      </c>
      <c r="AG67" s="51">
        <f t="shared" si="10"/>
        <v>2.9689681145833302</v>
      </c>
      <c r="AH67" s="52">
        <f t="shared" si="11"/>
        <v>11074.2510673958</v>
      </c>
      <c r="AI67" s="53">
        <f t="shared" si="12"/>
        <v>9073.8891658398406</v>
      </c>
      <c r="AJ67" s="53">
        <f t="shared" si="13"/>
        <v>12831.2</v>
      </c>
      <c r="AK67" s="1">
        <f t="shared" si="17"/>
        <v>2.80894082465587</v>
      </c>
      <c r="AL67" s="33">
        <f t="shared" si="18"/>
        <v>-0.13692787366763601</v>
      </c>
    </row>
    <row r="68" spans="1:38">
      <c r="A68" s="10">
        <v>64</v>
      </c>
      <c r="B68" s="190" t="s">
        <v>179</v>
      </c>
      <c r="C68" s="191" t="s">
        <v>180</v>
      </c>
      <c r="D68" s="187" t="s">
        <v>59</v>
      </c>
      <c r="E68" s="37">
        <v>4.7E-2</v>
      </c>
      <c r="F68" s="37">
        <v>4.9349999999999998E-2</v>
      </c>
      <c r="G68" s="14">
        <v>18.584099999999999</v>
      </c>
      <c r="H68" s="38">
        <v>0.96</v>
      </c>
      <c r="I68" s="14">
        <f t="shared" si="0"/>
        <v>0.95533889062499999</v>
      </c>
      <c r="J68" s="13" t="s">
        <v>165</v>
      </c>
      <c r="K68" s="14">
        <v>48</v>
      </c>
      <c r="L68" s="41">
        <v>75</v>
      </c>
      <c r="M68" s="13">
        <v>2</v>
      </c>
      <c r="N68" s="13">
        <v>67.900000000000006</v>
      </c>
      <c r="O68" s="13">
        <v>0.76</v>
      </c>
      <c r="P68" s="13">
        <v>22.5</v>
      </c>
      <c r="Q68" s="14">
        <f t="shared" si="1"/>
        <v>0.234375</v>
      </c>
      <c r="R68" s="14">
        <v>0</v>
      </c>
      <c r="S68" s="21">
        <v>0.10657111111111101</v>
      </c>
      <c r="T68" s="21">
        <v>0.22222222222222199</v>
      </c>
      <c r="U68" s="13">
        <v>0.3</v>
      </c>
      <c r="V68" s="14">
        <f t="shared" si="14"/>
        <v>2.3151662954101599</v>
      </c>
      <c r="W68" s="13">
        <v>2.97</v>
      </c>
      <c r="X68" s="42">
        <f t="shared" si="2"/>
        <v>-0.65483370458984402</v>
      </c>
      <c r="Y68" s="44">
        <f t="shared" si="3"/>
        <v>9.5985425609719704E-2</v>
      </c>
      <c r="Z68" s="45">
        <f t="shared" si="4"/>
        <v>0.10123462857275101</v>
      </c>
      <c r="AA68" s="15">
        <f t="shared" si="5"/>
        <v>0.26877083333333301</v>
      </c>
      <c r="AB68" s="45">
        <f t="shared" si="6"/>
        <v>0.116091372730406</v>
      </c>
      <c r="AC68" s="46">
        <f t="shared" si="7"/>
        <v>4.6031730559653303E-2</v>
      </c>
      <c r="AD68" s="46">
        <f t="shared" si="8"/>
        <v>0.12958032457312199</v>
      </c>
      <c r="AE68" s="46">
        <f t="shared" si="9"/>
        <v>0.58735625491828802</v>
      </c>
      <c r="AF68" s="47">
        <v>21171</v>
      </c>
      <c r="AG68" s="51">
        <f t="shared" si="10"/>
        <v>2.8165204192708302</v>
      </c>
      <c r="AH68" s="52">
        <f t="shared" si="11"/>
        <v>59628.553796382803</v>
      </c>
      <c r="AI68" s="53">
        <f t="shared" si="12"/>
        <v>49014.385640128399</v>
      </c>
      <c r="AJ68" s="53">
        <f t="shared" si="13"/>
        <v>62877.87</v>
      </c>
      <c r="AK68" s="1">
        <f t="shared" si="17"/>
        <v>2.9481898485554301</v>
      </c>
      <c r="AL68" s="33">
        <f t="shared" si="18"/>
        <v>-5.1676626508137098E-2</v>
      </c>
    </row>
    <row r="69" spans="1:38" ht="27">
      <c r="A69" s="10">
        <v>65</v>
      </c>
      <c r="B69" s="190" t="s">
        <v>181</v>
      </c>
      <c r="C69" s="192" t="s">
        <v>182</v>
      </c>
      <c r="D69" s="187" t="s">
        <v>86</v>
      </c>
      <c r="E69" s="37">
        <v>2.4E-2</v>
      </c>
      <c r="F69" s="37">
        <v>2.52E-2</v>
      </c>
      <c r="G69" s="14">
        <v>13.716799999999999</v>
      </c>
      <c r="H69" s="38">
        <v>0.98</v>
      </c>
      <c r="I69" s="14">
        <f t="shared" ref="I69:I132" si="19">F69*G69/H69</f>
        <v>0.35271771428571402</v>
      </c>
      <c r="J69" s="13" t="s">
        <v>120</v>
      </c>
      <c r="K69" s="14">
        <v>48</v>
      </c>
      <c r="L69" s="41">
        <v>75</v>
      </c>
      <c r="M69" s="13">
        <v>1</v>
      </c>
      <c r="N69" s="13">
        <v>39.75</v>
      </c>
      <c r="O69" s="13">
        <v>0.76</v>
      </c>
      <c r="P69" s="13">
        <v>22.5</v>
      </c>
      <c r="Q69" s="14">
        <f t="shared" ref="Q69:Q132" si="20">P69/K69/M69</f>
        <v>0.46875</v>
      </c>
      <c r="R69" s="14">
        <v>0</v>
      </c>
      <c r="S69" s="21">
        <v>8.4124000000000004E-2</v>
      </c>
      <c r="T69" s="21">
        <v>0.2</v>
      </c>
      <c r="U69" s="13">
        <v>0</v>
      </c>
      <c r="V69" s="14">
        <f t="shared" si="14"/>
        <v>1.5709936814868799</v>
      </c>
      <c r="W69" s="13">
        <v>1.34</v>
      </c>
      <c r="X69" s="42">
        <f t="shared" ref="X69:X132" si="21">V69-W69</f>
        <v>0.23099368148687999</v>
      </c>
      <c r="Y69" s="44">
        <f t="shared" ref="Y69:Y132" si="22">T69/V69</f>
        <v>0.12730795951432999</v>
      </c>
      <c r="Z69" s="45">
        <f t="shared" ref="Z69:Z132" si="23">Q69/V69</f>
        <v>0.29837803011171099</v>
      </c>
      <c r="AA69" s="15">
        <f t="shared" ref="AA69:AA132" si="24">(N69*O69/K69/M69)/2</f>
        <v>0.31468750000000001</v>
      </c>
      <c r="AB69" s="45">
        <f t="shared" ref="AB69:AB132" si="25">AA69/V69</f>
        <v>0.200311117548329</v>
      </c>
      <c r="AC69" s="46">
        <f t="shared" ref="AC69:AC132" si="26">S69/V69</f>
        <v>5.3548273930917503E-2</v>
      </c>
      <c r="AD69" s="46">
        <f t="shared" ref="AD69:AD132" si="27">U69/V69</f>
        <v>0</v>
      </c>
      <c r="AE69" s="46">
        <f t="shared" ref="AE69:AE132" si="28">1-I69/V69</f>
        <v>0.77548113754863701</v>
      </c>
      <c r="AF69" s="47">
        <v>28781</v>
      </c>
      <c r="AG69" s="51">
        <f t="shared" ref="AG69:AG132" si="29">(I69+Q69+(N69*O69/K69/M69)/2)*1.5+R69*1.1+S69+T69+U69</f>
        <v>1.9883568214285701</v>
      </c>
      <c r="AH69" s="52">
        <f t="shared" ref="AH69:AH132" si="30">AG69*AF69</f>
        <v>57226.8976775357</v>
      </c>
      <c r="AI69" s="53">
        <f t="shared" ref="AI69:AI132" si="31">V69*AF69</f>
        <v>45214.769146873899</v>
      </c>
      <c r="AJ69" s="53">
        <f t="shared" ref="AJ69:AJ132" si="32">W69*AF69</f>
        <v>38566.54</v>
      </c>
      <c r="AK69" s="1">
        <f t="shared" si="17"/>
        <v>5.6372468432870599</v>
      </c>
      <c r="AL69" s="33">
        <f t="shared" si="18"/>
        <v>0.48384837420042498</v>
      </c>
    </row>
    <row r="70" spans="1:38">
      <c r="A70" s="10">
        <v>66</v>
      </c>
      <c r="B70" s="190" t="s">
        <v>183</v>
      </c>
      <c r="C70" s="192" t="s">
        <v>151</v>
      </c>
      <c r="D70" s="187" t="s">
        <v>86</v>
      </c>
      <c r="E70" s="37">
        <v>1.7999999999999999E-2</v>
      </c>
      <c r="F70" s="37">
        <v>1.89E-2</v>
      </c>
      <c r="G70" s="14">
        <v>13.716799999999999</v>
      </c>
      <c r="H70" s="38">
        <v>0.98</v>
      </c>
      <c r="I70" s="14">
        <f t="shared" si="19"/>
        <v>0.264538285714286</v>
      </c>
      <c r="J70" s="13" t="s">
        <v>120</v>
      </c>
      <c r="K70" s="14">
        <v>48</v>
      </c>
      <c r="L70" s="41">
        <v>75</v>
      </c>
      <c r="M70" s="13">
        <v>1</v>
      </c>
      <c r="N70" s="13">
        <v>39.75</v>
      </c>
      <c r="O70" s="13">
        <v>0.76</v>
      </c>
      <c r="P70" s="13">
        <v>22.5</v>
      </c>
      <c r="Q70" s="14">
        <f t="shared" si="20"/>
        <v>0.46875</v>
      </c>
      <c r="R70" s="14">
        <v>0</v>
      </c>
      <c r="S70" s="21">
        <v>1.46026666666667E-2</v>
      </c>
      <c r="T70" s="21">
        <v>3.3333333333333298E-2</v>
      </c>
      <c r="U70" s="13">
        <v>0</v>
      </c>
      <c r="V70" s="14">
        <f t="shared" ref="V70:V133" si="33">(I70+Q70+(N70*O70/K70/M70)/2)/H70*1.11+R70*1.03+S70+T70+U70</f>
        <v>1.2349289817784299</v>
      </c>
      <c r="W70" s="13">
        <v>1.19</v>
      </c>
      <c r="X70" s="42">
        <f t="shared" si="21"/>
        <v>4.4928981778425699E-2</v>
      </c>
      <c r="Y70" s="44">
        <f t="shared" si="22"/>
        <v>2.69921054774582E-2</v>
      </c>
      <c r="Z70" s="45">
        <f t="shared" si="23"/>
        <v>0.37957648327675603</v>
      </c>
      <c r="AA70" s="15">
        <f t="shared" si="24"/>
        <v>0.31468750000000001</v>
      </c>
      <c r="AB70" s="45">
        <f t="shared" si="25"/>
        <v>0.25482234577312901</v>
      </c>
      <c r="AC70" s="46">
        <f t="shared" si="26"/>
        <v>1.18247015675649E-2</v>
      </c>
      <c r="AD70" s="46">
        <f t="shared" si="27"/>
        <v>0</v>
      </c>
      <c r="AE70" s="46">
        <f t="shared" si="28"/>
        <v>0.78578664067522097</v>
      </c>
      <c r="AF70" s="47">
        <v>16997</v>
      </c>
      <c r="AG70" s="51">
        <f t="shared" si="29"/>
        <v>1.6198996785714299</v>
      </c>
      <c r="AH70" s="52">
        <f t="shared" si="30"/>
        <v>27533.4348366786</v>
      </c>
      <c r="AI70" s="53">
        <f t="shared" si="31"/>
        <v>20990.087903287898</v>
      </c>
      <c r="AJ70" s="53">
        <f t="shared" si="32"/>
        <v>20226.43</v>
      </c>
      <c r="AK70" s="1">
        <f t="shared" ref="AK70:AK101" si="34">AG70/I70</f>
        <v>6.1234980569920197</v>
      </c>
      <c r="AL70" s="33">
        <f t="shared" ref="AL70:AL101" si="35">(AG70-W70)/W70</f>
        <v>0.361260234093639</v>
      </c>
    </row>
    <row r="71" spans="1:38" ht="27">
      <c r="A71" s="10">
        <v>67</v>
      </c>
      <c r="B71" s="190" t="s">
        <v>184</v>
      </c>
      <c r="C71" s="192" t="s">
        <v>185</v>
      </c>
      <c r="D71" s="187" t="s">
        <v>59</v>
      </c>
      <c r="E71" s="37">
        <v>3.5000000000000003E-2</v>
      </c>
      <c r="F71" s="37">
        <v>3.6749999999999998E-2</v>
      </c>
      <c r="G71" s="14">
        <v>18.584099999999999</v>
      </c>
      <c r="H71" s="38">
        <v>0.9</v>
      </c>
      <c r="I71" s="14">
        <f t="shared" si="19"/>
        <v>0.75885075000000002</v>
      </c>
      <c r="J71" s="13" t="s">
        <v>120</v>
      </c>
      <c r="K71" s="14">
        <v>48</v>
      </c>
      <c r="L71" s="41">
        <v>75</v>
      </c>
      <c r="M71" s="13">
        <v>2</v>
      </c>
      <c r="N71" s="13">
        <v>39.75</v>
      </c>
      <c r="O71" s="13">
        <v>0.76</v>
      </c>
      <c r="P71" s="13">
        <v>22.5</v>
      </c>
      <c r="Q71" s="14">
        <f t="shared" si="20"/>
        <v>0.234375</v>
      </c>
      <c r="R71" s="14">
        <v>0</v>
      </c>
      <c r="S71" s="21">
        <v>0.10657111111111101</v>
      </c>
      <c r="T71" s="21">
        <v>0.22222222222222199</v>
      </c>
      <c r="U71" s="13">
        <v>0.3</v>
      </c>
      <c r="V71" s="14">
        <f t="shared" si="33"/>
        <v>2.0478290499999998</v>
      </c>
      <c r="W71" s="13">
        <v>3.27</v>
      </c>
      <c r="X71" s="42">
        <f t="shared" si="21"/>
        <v>-1.22217095</v>
      </c>
      <c r="Y71" s="44">
        <f t="shared" si="22"/>
        <v>0.108516002457442</v>
      </c>
      <c r="Z71" s="45">
        <f t="shared" si="23"/>
        <v>0.114450471341834</v>
      </c>
      <c r="AA71" s="15">
        <f t="shared" si="24"/>
        <v>0.15734375</v>
      </c>
      <c r="AB71" s="45">
        <f t="shared" si="25"/>
        <v>7.6834416427484495E-2</v>
      </c>
      <c r="AC71" s="46">
        <f t="shared" si="26"/>
        <v>5.2041019298515699E-2</v>
      </c>
      <c r="AD71" s="46">
        <f t="shared" si="27"/>
        <v>0.14649660331754699</v>
      </c>
      <c r="AE71" s="46">
        <f t="shared" si="28"/>
        <v>0.62943647566675498</v>
      </c>
      <c r="AF71" s="47">
        <v>6419</v>
      </c>
      <c r="AG71" s="51">
        <f t="shared" si="29"/>
        <v>2.35464758333333</v>
      </c>
      <c r="AH71" s="52">
        <f t="shared" si="30"/>
        <v>15114.482837416601</v>
      </c>
      <c r="AI71" s="53">
        <f t="shared" si="31"/>
        <v>13145.014671950001</v>
      </c>
      <c r="AJ71" s="53">
        <f t="shared" si="32"/>
        <v>20990.13</v>
      </c>
      <c r="AK71" s="1">
        <f t="shared" si="34"/>
        <v>3.1029126390575898</v>
      </c>
      <c r="AL71" s="33">
        <f t="shared" si="35"/>
        <v>-0.27992428644240702</v>
      </c>
    </row>
    <row r="72" spans="1:38">
      <c r="A72" s="10">
        <v>68</v>
      </c>
      <c r="B72" s="190" t="s">
        <v>186</v>
      </c>
      <c r="C72" s="191" t="s">
        <v>178</v>
      </c>
      <c r="D72" s="187" t="s">
        <v>59</v>
      </c>
      <c r="E72" s="37">
        <v>0</v>
      </c>
      <c r="F72" s="37">
        <v>3.7019999999999997E-2</v>
      </c>
      <c r="G72" s="14">
        <v>18.584099999999999</v>
      </c>
      <c r="H72" s="38">
        <v>0.9</v>
      </c>
      <c r="I72" s="14">
        <f t="shared" si="19"/>
        <v>0.76442597999999995</v>
      </c>
      <c r="J72" s="13" t="s">
        <v>120</v>
      </c>
      <c r="K72" s="14">
        <v>55</v>
      </c>
      <c r="L72" s="41">
        <v>65.454545454545496</v>
      </c>
      <c r="M72" s="13">
        <v>2</v>
      </c>
      <c r="N72" s="13">
        <v>39.75</v>
      </c>
      <c r="O72" s="13">
        <v>0.76</v>
      </c>
      <c r="P72" s="13">
        <v>22.5</v>
      </c>
      <c r="Q72" s="14">
        <f t="shared" si="20"/>
        <v>0.204545454545455</v>
      </c>
      <c r="R72" s="14">
        <v>0</v>
      </c>
      <c r="S72" s="21">
        <v>0.10657111111111101</v>
      </c>
      <c r="T72" s="21">
        <v>0.22222222222222199</v>
      </c>
      <c r="U72" s="13">
        <v>0.3</v>
      </c>
      <c r="V72" s="14">
        <f t="shared" si="33"/>
        <v>1.9932171935151499</v>
      </c>
      <c r="W72" s="13">
        <v>2.79</v>
      </c>
      <c r="X72" s="42">
        <f t="shared" si="21"/>
        <v>-0.79678280648484801</v>
      </c>
      <c r="Y72" s="44">
        <f t="shared" si="22"/>
        <v>0.111489215999748</v>
      </c>
      <c r="Z72" s="45">
        <f t="shared" si="23"/>
        <v>0.102620755636132</v>
      </c>
      <c r="AA72" s="15">
        <f t="shared" si="24"/>
        <v>0.13731818181818201</v>
      </c>
      <c r="AB72" s="45">
        <f t="shared" si="25"/>
        <v>6.8892733950389806E-2</v>
      </c>
      <c r="AC72" s="46">
        <f t="shared" si="26"/>
        <v>5.34668833169991E-2</v>
      </c>
      <c r="AD72" s="46">
        <f t="shared" si="27"/>
        <v>0.15051044159966001</v>
      </c>
      <c r="AE72" s="46">
        <f t="shared" si="28"/>
        <v>0.61648636059982398</v>
      </c>
      <c r="AF72" s="47">
        <v>2500</v>
      </c>
      <c r="AG72" s="51">
        <f t="shared" si="29"/>
        <v>2.28822775787879</v>
      </c>
      <c r="AH72" s="52">
        <f t="shared" si="30"/>
        <v>5720.5693946969704</v>
      </c>
      <c r="AI72" s="53">
        <f t="shared" si="31"/>
        <v>4983.0429837878801</v>
      </c>
      <c r="AJ72" s="53">
        <f t="shared" si="32"/>
        <v>6975</v>
      </c>
      <c r="AK72" s="1">
        <f t="shared" si="34"/>
        <v>2.9933934975349601</v>
      </c>
      <c r="AL72" s="33">
        <f t="shared" si="35"/>
        <v>-0.179846681763875</v>
      </c>
    </row>
    <row r="73" spans="1:38">
      <c r="A73" s="10">
        <v>69</v>
      </c>
      <c r="B73" s="190" t="s">
        <v>187</v>
      </c>
      <c r="C73" s="191" t="s">
        <v>188</v>
      </c>
      <c r="D73" s="187" t="s">
        <v>86</v>
      </c>
      <c r="E73" s="37">
        <v>4.8000000000000001E-2</v>
      </c>
      <c r="F73" s="37">
        <v>5.04E-2</v>
      </c>
      <c r="G73" s="14">
        <v>13.716799999999999</v>
      </c>
      <c r="H73" s="38">
        <v>0.95</v>
      </c>
      <c r="I73" s="14">
        <f t="shared" si="19"/>
        <v>0.72771233684210501</v>
      </c>
      <c r="J73" s="13" t="s">
        <v>120</v>
      </c>
      <c r="K73" s="14">
        <v>42.352941176470502</v>
      </c>
      <c r="L73" s="41">
        <v>85.000000000000199</v>
      </c>
      <c r="M73" s="13">
        <v>2</v>
      </c>
      <c r="N73" s="13">
        <v>39.75</v>
      </c>
      <c r="O73" s="13">
        <v>0.76</v>
      </c>
      <c r="P73" s="13">
        <v>22.5</v>
      </c>
      <c r="Q73" s="14">
        <f t="shared" si="20"/>
        <v>0.265625000000001</v>
      </c>
      <c r="R73" s="14">
        <v>0</v>
      </c>
      <c r="S73" s="21">
        <v>4.2062000000000002E-2</v>
      </c>
      <c r="T73" s="21">
        <v>0.1</v>
      </c>
      <c r="U73" s="13">
        <v>0</v>
      </c>
      <c r="V73" s="14">
        <f t="shared" si="33"/>
        <v>1.5110545067312999</v>
      </c>
      <c r="W73" s="13">
        <v>2.48</v>
      </c>
      <c r="X73" s="42">
        <f t="shared" si="21"/>
        <v>-0.96894549326869595</v>
      </c>
      <c r="Y73" s="44">
        <f t="shared" si="22"/>
        <v>6.6178949570997903E-2</v>
      </c>
      <c r="Z73" s="45">
        <f t="shared" si="23"/>
        <v>0.175787834797964</v>
      </c>
      <c r="AA73" s="15">
        <f t="shared" si="24"/>
        <v>0.178322916666667</v>
      </c>
      <c r="AB73" s="45">
        <f t="shared" si="25"/>
        <v>0.118012233094366</v>
      </c>
      <c r="AC73" s="46">
        <f t="shared" si="26"/>
        <v>2.78361897685531E-2</v>
      </c>
      <c r="AD73" s="46">
        <f t="shared" si="27"/>
        <v>0</v>
      </c>
      <c r="AE73" s="46">
        <f t="shared" si="28"/>
        <v>0.51840761957933301</v>
      </c>
      <c r="AF73" s="47">
        <v>10500</v>
      </c>
      <c r="AG73" s="51">
        <f t="shared" si="29"/>
        <v>1.89955238026316</v>
      </c>
      <c r="AH73" s="52">
        <f t="shared" si="30"/>
        <v>19945.299992763201</v>
      </c>
      <c r="AI73" s="53">
        <f t="shared" si="31"/>
        <v>15866.072320678701</v>
      </c>
      <c r="AJ73" s="53">
        <f t="shared" si="32"/>
        <v>26040</v>
      </c>
      <c r="AK73" s="1">
        <f t="shared" si="34"/>
        <v>2.6103066886377602</v>
      </c>
      <c r="AL73" s="33">
        <f t="shared" si="35"/>
        <v>-0.23405145957130599</v>
      </c>
    </row>
    <row r="74" spans="1:38">
      <c r="A74" s="10">
        <v>70</v>
      </c>
      <c r="B74" s="190" t="s">
        <v>189</v>
      </c>
      <c r="C74" s="191" t="s">
        <v>190</v>
      </c>
      <c r="D74" s="187" t="s">
        <v>43</v>
      </c>
      <c r="E74" s="37">
        <v>1.2E-2</v>
      </c>
      <c r="F74" s="37">
        <v>1.26E-2</v>
      </c>
      <c r="G74" s="14">
        <v>15.309699999999999</v>
      </c>
      <c r="H74" s="38">
        <v>0.95</v>
      </c>
      <c r="I74" s="14">
        <f t="shared" si="19"/>
        <v>0.203054968421053</v>
      </c>
      <c r="J74" s="13" t="s">
        <v>65</v>
      </c>
      <c r="K74" s="14">
        <v>55.384615384615401</v>
      </c>
      <c r="L74" s="41">
        <v>65</v>
      </c>
      <c r="M74" s="13">
        <v>2</v>
      </c>
      <c r="N74" s="13">
        <v>48.5</v>
      </c>
      <c r="O74" s="13">
        <v>0.76</v>
      </c>
      <c r="P74" s="13">
        <v>22.5</v>
      </c>
      <c r="Q74" s="14">
        <f t="shared" si="20"/>
        <v>0.203125</v>
      </c>
      <c r="R74" s="14">
        <v>0</v>
      </c>
      <c r="S74" s="21">
        <v>8.4124000000000004E-2</v>
      </c>
      <c r="T74" s="21">
        <v>0.2</v>
      </c>
      <c r="U74" s="13">
        <v>0</v>
      </c>
      <c r="V74" s="14">
        <f t="shared" si="33"/>
        <v>0.953117392927055</v>
      </c>
      <c r="W74" s="13">
        <v>0.72</v>
      </c>
      <c r="X74" s="42">
        <f t="shared" si="21"/>
        <v>0.23311739292705499</v>
      </c>
      <c r="Y74" s="44">
        <f t="shared" si="22"/>
        <v>0.209837740328915</v>
      </c>
      <c r="Z74" s="45">
        <f t="shared" si="23"/>
        <v>0.21311645502155499</v>
      </c>
      <c r="AA74" s="15">
        <f t="shared" si="24"/>
        <v>0.16638194444444401</v>
      </c>
      <c r="AB74" s="45">
        <f t="shared" si="25"/>
        <v>0.17456605626876601</v>
      </c>
      <c r="AC74" s="46">
        <f t="shared" si="26"/>
        <v>8.8261950337148301E-2</v>
      </c>
      <c r="AD74" s="46">
        <f t="shared" si="27"/>
        <v>0</v>
      </c>
      <c r="AE74" s="46">
        <f t="shared" si="28"/>
        <v>0.78695702131983503</v>
      </c>
      <c r="AF74" s="47">
        <v>10625</v>
      </c>
      <c r="AG74" s="51">
        <f t="shared" si="29"/>
        <v>1.14296686929825</v>
      </c>
      <c r="AH74" s="52">
        <f t="shared" si="30"/>
        <v>12144.0229862939</v>
      </c>
      <c r="AI74" s="53">
        <f t="shared" si="31"/>
        <v>10126.87229985</v>
      </c>
      <c r="AJ74" s="53">
        <f t="shared" si="32"/>
        <v>7650</v>
      </c>
      <c r="AK74" s="1">
        <f t="shared" si="34"/>
        <v>5.6288544830294596</v>
      </c>
      <c r="AL74" s="33">
        <f t="shared" si="35"/>
        <v>0.58745398513645797</v>
      </c>
    </row>
    <row r="75" spans="1:38">
      <c r="A75" s="10">
        <v>71</v>
      </c>
      <c r="B75" s="190" t="s">
        <v>191</v>
      </c>
      <c r="C75" s="191" t="s">
        <v>192</v>
      </c>
      <c r="D75" s="187" t="s">
        <v>43</v>
      </c>
      <c r="E75" s="37">
        <v>6.0000000000000001E-3</v>
      </c>
      <c r="F75" s="37">
        <v>6.3E-3</v>
      </c>
      <c r="G75" s="14">
        <v>15.309699999999999</v>
      </c>
      <c r="H75" s="38">
        <v>0.95</v>
      </c>
      <c r="I75" s="14">
        <f t="shared" si="19"/>
        <v>0.101527484210526</v>
      </c>
      <c r="J75" s="13" t="s">
        <v>65</v>
      </c>
      <c r="K75" s="14">
        <v>65.454545454545496</v>
      </c>
      <c r="L75" s="41">
        <v>55</v>
      </c>
      <c r="M75" s="13">
        <v>6</v>
      </c>
      <c r="N75" s="13">
        <v>48.5</v>
      </c>
      <c r="O75" s="13">
        <v>0.76</v>
      </c>
      <c r="P75" s="13">
        <v>22.5</v>
      </c>
      <c r="Q75" s="14">
        <f t="shared" si="20"/>
        <v>5.7291666666666602E-2</v>
      </c>
      <c r="R75" s="14">
        <v>0</v>
      </c>
      <c r="S75" s="21">
        <v>4.77055555555556E-3</v>
      </c>
      <c r="T75" s="21">
        <v>1.1111111111111099E-2</v>
      </c>
      <c r="U75" s="13">
        <v>0</v>
      </c>
      <c r="V75" s="14">
        <f t="shared" si="33"/>
        <v>0.256281250557094</v>
      </c>
      <c r="W75" s="13">
        <v>0.46</v>
      </c>
      <c r="X75" s="42">
        <f t="shared" si="21"/>
        <v>-0.20371874944290599</v>
      </c>
      <c r="Y75" s="44">
        <f t="shared" si="22"/>
        <v>4.3355146297117703E-2</v>
      </c>
      <c r="Z75" s="45">
        <f t="shared" si="23"/>
        <v>0.22354997309451299</v>
      </c>
      <c r="AA75" s="15">
        <f t="shared" si="24"/>
        <v>4.6928240740740701E-2</v>
      </c>
      <c r="AB75" s="45">
        <f t="shared" si="25"/>
        <v>0.18311226685030599</v>
      </c>
      <c r="AC75" s="46">
        <f t="shared" si="26"/>
        <v>1.8614532062667499E-2</v>
      </c>
      <c r="AD75" s="46">
        <f t="shared" si="27"/>
        <v>0</v>
      </c>
      <c r="AE75" s="46">
        <f t="shared" si="28"/>
        <v>0.60384349619868904</v>
      </c>
      <c r="AF75" s="47">
        <v>74291</v>
      </c>
      <c r="AG75" s="51">
        <f t="shared" si="29"/>
        <v>0.32450275409356699</v>
      </c>
      <c r="AH75" s="52">
        <f t="shared" si="30"/>
        <v>24107.634104365199</v>
      </c>
      <c r="AI75" s="53">
        <f t="shared" si="31"/>
        <v>19039.3903851371</v>
      </c>
      <c r="AJ75" s="53">
        <f t="shared" si="32"/>
        <v>34173.86</v>
      </c>
      <c r="AK75" s="1">
        <f t="shared" si="34"/>
        <v>3.1962059989655902</v>
      </c>
      <c r="AL75" s="33">
        <f t="shared" si="35"/>
        <v>-0.29455923023137598</v>
      </c>
    </row>
    <row r="76" spans="1:38">
      <c r="A76" s="10">
        <v>72</v>
      </c>
      <c r="B76" s="190" t="s">
        <v>193</v>
      </c>
      <c r="C76" s="191" t="s">
        <v>194</v>
      </c>
      <c r="D76" s="187" t="s">
        <v>43</v>
      </c>
      <c r="E76" s="37">
        <v>4.0000000000000001E-3</v>
      </c>
      <c r="F76" s="37">
        <v>4.1999999999999997E-3</v>
      </c>
      <c r="G76" s="14">
        <v>15.309699999999999</v>
      </c>
      <c r="H76" s="38">
        <v>0.95</v>
      </c>
      <c r="I76" s="14">
        <f t="shared" si="19"/>
        <v>6.7684989473684204E-2</v>
      </c>
      <c r="J76" s="13" t="s">
        <v>65</v>
      </c>
      <c r="K76" s="14">
        <v>65.454545454545496</v>
      </c>
      <c r="L76" s="41">
        <v>55</v>
      </c>
      <c r="M76" s="13">
        <v>6</v>
      </c>
      <c r="N76" s="13">
        <v>48.5</v>
      </c>
      <c r="O76" s="13">
        <v>0.76</v>
      </c>
      <c r="P76" s="13">
        <v>22.5</v>
      </c>
      <c r="Q76" s="14">
        <f t="shared" si="20"/>
        <v>5.7291666666666602E-2</v>
      </c>
      <c r="R76" s="14">
        <v>0</v>
      </c>
      <c r="S76" s="21">
        <v>4.77055555555556E-3</v>
      </c>
      <c r="T76" s="21">
        <v>1.1111111111111099E-2</v>
      </c>
      <c r="U76" s="13">
        <v>0</v>
      </c>
      <c r="V76" s="14">
        <f t="shared" si="33"/>
        <v>0.21673896723299499</v>
      </c>
      <c r="W76" s="13">
        <v>0.32</v>
      </c>
      <c r="X76" s="42">
        <f t="shared" si="21"/>
        <v>-0.103261032767005</v>
      </c>
      <c r="Y76" s="44">
        <f t="shared" si="22"/>
        <v>5.1264944430443098E-2</v>
      </c>
      <c r="Z76" s="45">
        <f t="shared" si="23"/>
        <v>0.26433486971947201</v>
      </c>
      <c r="AA76" s="15">
        <f t="shared" si="24"/>
        <v>4.6928240740740701E-2</v>
      </c>
      <c r="AB76" s="45">
        <f t="shared" si="25"/>
        <v>0.216519628841328</v>
      </c>
      <c r="AC76" s="46">
        <f t="shared" si="26"/>
        <v>2.20106038912108E-2</v>
      </c>
      <c r="AD76" s="46">
        <f t="shared" si="27"/>
        <v>0</v>
      </c>
      <c r="AE76" s="46">
        <f t="shared" si="28"/>
        <v>0.68771194982708095</v>
      </c>
      <c r="AF76" s="47">
        <v>74969</v>
      </c>
      <c r="AG76" s="51">
        <f t="shared" si="29"/>
        <v>0.27373901198830403</v>
      </c>
      <c r="AH76" s="52">
        <f t="shared" si="30"/>
        <v>20521.939989751201</v>
      </c>
      <c r="AI76" s="53">
        <f t="shared" si="31"/>
        <v>16248.703634490401</v>
      </c>
      <c r="AJ76" s="53">
        <f t="shared" si="32"/>
        <v>23990.080000000002</v>
      </c>
      <c r="AK76" s="1">
        <f t="shared" si="34"/>
        <v>4.0443089984483702</v>
      </c>
      <c r="AL76" s="33">
        <f t="shared" si="35"/>
        <v>-0.14456558753654999</v>
      </c>
    </row>
    <row r="77" spans="1:38">
      <c r="A77" s="10">
        <v>73</v>
      </c>
      <c r="B77" s="190" t="s">
        <v>195</v>
      </c>
      <c r="C77" s="191" t="s">
        <v>196</v>
      </c>
      <c r="D77" s="187" t="s">
        <v>43</v>
      </c>
      <c r="E77" s="37">
        <v>1E-3</v>
      </c>
      <c r="F77" s="37">
        <v>1.0499999999999999E-3</v>
      </c>
      <c r="G77" s="14">
        <v>15.309699999999999</v>
      </c>
      <c r="H77" s="38">
        <v>0.95</v>
      </c>
      <c r="I77" s="14">
        <f t="shared" si="19"/>
        <v>1.69212473684211E-2</v>
      </c>
      <c r="J77" s="13" t="s">
        <v>65</v>
      </c>
      <c r="K77" s="14">
        <v>65.454545454545496</v>
      </c>
      <c r="L77" s="41">
        <v>55</v>
      </c>
      <c r="M77" s="13">
        <v>6</v>
      </c>
      <c r="N77" s="13">
        <v>48.5</v>
      </c>
      <c r="O77" s="13">
        <v>0.76</v>
      </c>
      <c r="P77" s="13">
        <v>22.5</v>
      </c>
      <c r="Q77" s="14">
        <f t="shared" si="20"/>
        <v>5.7291666666666602E-2</v>
      </c>
      <c r="R77" s="14">
        <v>0</v>
      </c>
      <c r="S77" s="21">
        <v>1.43116666666667E-3</v>
      </c>
      <c r="T77" s="21">
        <v>3.3333333333333301E-3</v>
      </c>
      <c r="U77" s="13">
        <v>0</v>
      </c>
      <c r="V77" s="14">
        <f t="shared" si="33"/>
        <v>0.14630837558017801</v>
      </c>
      <c r="W77" s="13">
        <v>0.18</v>
      </c>
      <c r="X77" s="42">
        <f t="shared" si="21"/>
        <v>-3.3691624419821598E-2</v>
      </c>
      <c r="Y77" s="44">
        <f t="shared" si="22"/>
        <v>2.2782929002630001E-2</v>
      </c>
      <c r="Z77" s="45">
        <f t="shared" si="23"/>
        <v>0.391581592232703</v>
      </c>
      <c r="AA77" s="15">
        <f t="shared" si="24"/>
        <v>4.6928240740740701E-2</v>
      </c>
      <c r="AB77" s="45">
        <f t="shared" si="25"/>
        <v>0.32074883310438801</v>
      </c>
      <c r="AC77" s="46">
        <f t="shared" si="26"/>
        <v>9.7818505672792305E-3</v>
      </c>
      <c r="AD77" s="46">
        <f t="shared" si="27"/>
        <v>0</v>
      </c>
      <c r="AE77" s="46">
        <f t="shared" si="28"/>
        <v>0.88434532677079702</v>
      </c>
      <c r="AF77" s="47">
        <v>141071</v>
      </c>
      <c r="AG77" s="51">
        <f t="shared" si="29"/>
        <v>0.18647623216374301</v>
      </c>
      <c r="AH77" s="52">
        <f t="shared" si="30"/>
        <v>26306.388547571401</v>
      </c>
      <c r="AI77" s="53">
        <f t="shared" si="31"/>
        <v>20639.868851471299</v>
      </c>
      <c r="AJ77" s="53">
        <f t="shared" si="32"/>
        <v>25392.78</v>
      </c>
      <c r="AK77" s="1">
        <f t="shared" si="34"/>
        <v>11.0202414812368</v>
      </c>
      <c r="AL77" s="33">
        <f t="shared" si="35"/>
        <v>3.5979067576350103E-2</v>
      </c>
    </row>
    <row r="78" spans="1:38">
      <c r="A78" s="10">
        <v>74</v>
      </c>
      <c r="B78" s="190" t="s">
        <v>197</v>
      </c>
      <c r="C78" s="192" t="s">
        <v>198</v>
      </c>
      <c r="D78" s="187" t="s">
        <v>59</v>
      </c>
      <c r="E78" s="37">
        <v>1.4E-2</v>
      </c>
      <c r="F78" s="37">
        <v>1.47E-2</v>
      </c>
      <c r="G78" s="14">
        <v>18.584099999999999</v>
      </c>
      <c r="H78" s="38">
        <v>0.96</v>
      </c>
      <c r="I78" s="14">
        <f t="shared" si="19"/>
        <v>0.28456903124999999</v>
      </c>
      <c r="J78" s="13" t="s">
        <v>65</v>
      </c>
      <c r="K78" s="14">
        <v>48</v>
      </c>
      <c r="L78" s="41">
        <v>75</v>
      </c>
      <c r="M78" s="13">
        <v>2</v>
      </c>
      <c r="N78" s="13">
        <v>48.5</v>
      </c>
      <c r="O78" s="13">
        <v>0.76</v>
      </c>
      <c r="P78" s="13">
        <v>22.5</v>
      </c>
      <c r="Q78" s="14">
        <f t="shared" si="20"/>
        <v>0.234375</v>
      </c>
      <c r="R78" s="14">
        <v>0</v>
      </c>
      <c r="S78" s="21">
        <v>3.5437999999999997E-2</v>
      </c>
      <c r="T78" s="21">
        <v>0.05</v>
      </c>
      <c r="U78" s="13">
        <v>0</v>
      </c>
      <c r="V78" s="14">
        <f t="shared" si="33"/>
        <v>0.90744294759114597</v>
      </c>
      <c r="W78" s="13">
        <v>1.04</v>
      </c>
      <c r="X78" s="42">
        <f t="shared" si="21"/>
        <v>-0.13255705240885399</v>
      </c>
      <c r="Y78" s="44">
        <f t="shared" si="22"/>
        <v>5.5099882733925701E-2</v>
      </c>
      <c r="Z78" s="45">
        <f t="shared" si="23"/>
        <v>0.258280700315277</v>
      </c>
      <c r="AA78" s="15">
        <f t="shared" si="24"/>
        <v>0.19197916666666701</v>
      </c>
      <c r="AB78" s="45">
        <f t="shared" si="25"/>
        <v>0.21156059141380201</v>
      </c>
      <c r="AC78" s="46">
        <f t="shared" si="26"/>
        <v>3.9052592886497199E-2</v>
      </c>
      <c r="AD78" s="46">
        <f t="shared" si="27"/>
        <v>0</v>
      </c>
      <c r="AE78" s="46">
        <f t="shared" si="28"/>
        <v>0.68640559496836295</v>
      </c>
      <c r="AF78" s="47">
        <v>27360</v>
      </c>
      <c r="AG78" s="51">
        <f t="shared" si="29"/>
        <v>1.1518227968750001</v>
      </c>
      <c r="AH78" s="52">
        <f t="shared" si="30"/>
        <v>31513.8717225</v>
      </c>
      <c r="AI78" s="53">
        <f t="shared" si="31"/>
        <v>24827.639046093798</v>
      </c>
      <c r="AJ78" s="53">
        <f t="shared" si="32"/>
        <v>28454.400000000001</v>
      </c>
      <c r="AK78" s="1">
        <f t="shared" si="34"/>
        <v>4.0476041676618699</v>
      </c>
      <c r="AL78" s="33">
        <f t="shared" si="35"/>
        <v>0.107521920072115</v>
      </c>
    </row>
    <row r="79" spans="1:38">
      <c r="A79" s="10">
        <v>75</v>
      </c>
      <c r="B79" s="190" t="s">
        <v>199</v>
      </c>
      <c r="C79" s="192" t="s">
        <v>200</v>
      </c>
      <c r="D79" s="187" t="s">
        <v>59</v>
      </c>
      <c r="E79" s="37">
        <v>1.4999999999999999E-2</v>
      </c>
      <c r="F79" s="37">
        <v>1.575E-2</v>
      </c>
      <c r="G79" s="14">
        <v>18.584099999999999</v>
      </c>
      <c r="H79" s="38">
        <v>0.96</v>
      </c>
      <c r="I79" s="14">
        <f t="shared" si="19"/>
        <v>0.30489539062499998</v>
      </c>
      <c r="J79" s="13" t="s">
        <v>65</v>
      </c>
      <c r="K79" s="14">
        <v>48</v>
      </c>
      <c r="L79" s="41">
        <v>75</v>
      </c>
      <c r="M79" s="13">
        <v>2</v>
      </c>
      <c r="N79" s="13">
        <v>48.5</v>
      </c>
      <c r="O79" s="13">
        <v>0.76</v>
      </c>
      <c r="P79" s="13">
        <v>22.5</v>
      </c>
      <c r="Q79" s="14">
        <f t="shared" si="20"/>
        <v>0.234375</v>
      </c>
      <c r="R79" s="14">
        <v>0</v>
      </c>
      <c r="S79" s="21">
        <v>4.3755333333333299E-2</v>
      </c>
      <c r="T79" s="21">
        <v>6.6666666666666693E-2</v>
      </c>
      <c r="U79" s="13">
        <v>0</v>
      </c>
      <c r="V79" s="14">
        <f t="shared" si="33"/>
        <v>0.95592930061849002</v>
      </c>
      <c r="W79" s="13">
        <v>1.04</v>
      </c>
      <c r="X79" s="42">
        <f t="shared" si="21"/>
        <v>-8.4070699381510294E-2</v>
      </c>
      <c r="Y79" s="44">
        <f t="shared" si="22"/>
        <v>6.9740164490755902E-2</v>
      </c>
      <c r="Z79" s="45">
        <f t="shared" si="23"/>
        <v>0.24518026578781399</v>
      </c>
      <c r="AA79" s="15">
        <f t="shared" si="24"/>
        <v>0.19197916666666701</v>
      </c>
      <c r="AB79" s="45">
        <f t="shared" si="25"/>
        <v>0.20082987993197399</v>
      </c>
      <c r="AC79" s="46">
        <f t="shared" si="26"/>
        <v>4.57725621602178E-2</v>
      </c>
      <c r="AD79" s="46">
        <f t="shared" si="27"/>
        <v>0</v>
      </c>
      <c r="AE79" s="46">
        <f t="shared" si="28"/>
        <v>0.68104817958008901</v>
      </c>
      <c r="AF79" s="47">
        <v>0</v>
      </c>
      <c r="AG79" s="51">
        <f t="shared" si="29"/>
        <v>1.2072963359375</v>
      </c>
      <c r="AH79" s="52">
        <f t="shared" si="30"/>
        <v>0</v>
      </c>
      <c r="AI79" s="53">
        <f t="shared" si="31"/>
        <v>0</v>
      </c>
      <c r="AJ79" s="53">
        <f t="shared" si="32"/>
        <v>0</v>
      </c>
    </row>
    <row r="80" spans="1:38">
      <c r="A80" s="10">
        <v>76</v>
      </c>
      <c r="B80" s="190" t="s">
        <v>201</v>
      </c>
      <c r="C80" s="192" t="s">
        <v>202</v>
      </c>
      <c r="D80" s="187" t="s">
        <v>59</v>
      </c>
      <c r="E80" s="37">
        <v>1.4999999999999999E-2</v>
      </c>
      <c r="F80" s="37">
        <v>1.575E-2</v>
      </c>
      <c r="G80" s="14">
        <v>18.584099999999999</v>
      </c>
      <c r="H80" s="38">
        <v>0.96</v>
      </c>
      <c r="I80" s="14">
        <f t="shared" si="19"/>
        <v>0.30489539062499998</v>
      </c>
      <c r="J80" s="13" t="s">
        <v>65</v>
      </c>
      <c r="K80" s="14">
        <v>48</v>
      </c>
      <c r="L80" s="41">
        <v>75</v>
      </c>
      <c r="M80" s="13">
        <v>2</v>
      </c>
      <c r="N80" s="13">
        <v>48.5</v>
      </c>
      <c r="O80" s="13">
        <v>0.76</v>
      </c>
      <c r="P80" s="13">
        <v>22.5</v>
      </c>
      <c r="Q80" s="14">
        <f t="shared" si="20"/>
        <v>0.234375</v>
      </c>
      <c r="R80" s="14">
        <v>0</v>
      </c>
      <c r="S80" s="21">
        <v>4.3755333333333299E-2</v>
      </c>
      <c r="T80" s="21">
        <v>6.6666666666666693E-2</v>
      </c>
      <c r="U80" s="13">
        <v>0.3</v>
      </c>
      <c r="V80" s="14">
        <f t="shared" si="33"/>
        <v>1.25592930061849</v>
      </c>
      <c r="W80" s="13">
        <v>1.22</v>
      </c>
      <c r="X80" s="42">
        <f t="shared" si="21"/>
        <v>3.5929300618489798E-2</v>
      </c>
      <c r="Y80" s="44">
        <f t="shared" si="22"/>
        <v>5.30815441871101E-2</v>
      </c>
      <c r="Z80" s="45">
        <f t="shared" si="23"/>
        <v>0.18661480378280901</v>
      </c>
      <c r="AA80" s="15">
        <f t="shared" si="24"/>
        <v>0.19197916666666701</v>
      </c>
      <c r="AB80" s="45">
        <f t="shared" si="25"/>
        <v>0.15285825927631899</v>
      </c>
      <c r="AC80" s="46">
        <f t="shared" si="26"/>
        <v>3.4839009896325997E-2</v>
      </c>
      <c r="AD80" s="46">
        <f t="shared" si="27"/>
        <v>0.238866948841996</v>
      </c>
      <c r="AE80" s="46">
        <f t="shared" si="28"/>
        <v>0.75723522775139296</v>
      </c>
      <c r="AF80" s="47">
        <v>20551</v>
      </c>
      <c r="AG80" s="51">
        <f t="shared" si="29"/>
        <v>1.5072963359375</v>
      </c>
      <c r="AH80" s="52">
        <f t="shared" si="30"/>
        <v>30976.4469998516</v>
      </c>
      <c r="AI80" s="53">
        <f t="shared" si="31"/>
        <v>25810.603057010601</v>
      </c>
      <c r="AJ80" s="53">
        <f t="shared" si="32"/>
        <v>25072.22</v>
      </c>
      <c r="AK80" s="1">
        <f t="shared" si="34"/>
        <v>4.94365078083902</v>
      </c>
      <c r="AL80" s="33">
        <f t="shared" si="35"/>
        <v>0.235488799948771</v>
      </c>
    </row>
    <row r="81" spans="1:38">
      <c r="A81" s="10">
        <v>77</v>
      </c>
      <c r="B81" s="190" t="s">
        <v>203</v>
      </c>
      <c r="C81" s="191" t="s">
        <v>204</v>
      </c>
      <c r="D81" s="187" t="s">
        <v>86</v>
      </c>
      <c r="E81" s="37">
        <v>0</v>
      </c>
      <c r="F81" s="37">
        <v>0.124</v>
      </c>
      <c r="G81" s="14">
        <v>13.716799999999999</v>
      </c>
      <c r="H81" s="38">
        <v>0.95</v>
      </c>
      <c r="I81" s="14">
        <f t="shared" si="19"/>
        <v>1.7904033684210501</v>
      </c>
      <c r="J81" s="13" t="s">
        <v>87</v>
      </c>
      <c r="K81" s="14">
        <v>45</v>
      </c>
      <c r="L81" s="41">
        <v>80</v>
      </c>
      <c r="M81" s="13">
        <v>2</v>
      </c>
      <c r="N81" s="13">
        <v>75.900000000000006</v>
      </c>
      <c r="O81" s="13">
        <v>0.76</v>
      </c>
      <c r="P81" s="13">
        <v>22.5</v>
      </c>
      <c r="Q81" s="14">
        <f t="shared" si="20"/>
        <v>0.25</v>
      </c>
      <c r="R81" s="14">
        <v>0</v>
      </c>
      <c r="S81" s="21">
        <v>5.6082666666666697E-2</v>
      </c>
      <c r="T81" s="21">
        <v>0.133333333333333</v>
      </c>
      <c r="U81" s="13">
        <v>0</v>
      </c>
      <c r="V81" s="14">
        <f t="shared" si="33"/>
        <v>2.9479062515235501</v>
      </c>
      <c r="W81" s="13">
        <v>5</v>
      </c>
      <c r="X81" s="42">
        <f t="shared" si="21"/>
        <v>-2.0520937484764499</v>
      </c>
      <c r="Y81" s="44">
        <f t="shared" si="22"/>
        <v>4.5229841778185197E-2</v>
      </c>
      <c r="Z81" s="45">
        <f t="shared" si="23"/>
        <v>8.4805953334097503E-2</v>
      </c>
      <c r="AA81" s="15">
        <f t="shared" si="24"/>
        <v>0.32046666666666701</v>
      </c>
      <c r="AB81" s="45">
        <f t="shared" si="25"/>
        <v>0.10870992471386901</v>
      </c>
      <c r="AC81" s="46">
        <f t="shared" si="26"/>
        <v>1.9024576048740301E-2</v>
      </c>
      <c r="AD81" s="46">
        <f t="shared" si="27"/>
        <v>0</v>
      </c>
      <c r="AE81" s="46">
        <f t="shared" si="28"/>
        <v>0.39265254195389299</v>
      </c>
      <c r="AF81" s="47">
        <v>48643</v>
      </c>
      <c r="AG81" s="51">
        <f t="shared" si="29"/>
        <v>3.7307210526315799</v>
      </c>
      <c r="AH81" s="52">
        <f t="shared" si="30"/>
        <v>181473.464163158</v>
      </c>
      <c r="AI81" s="53">
        <f t="shared" si="31"/>
        <v>143395.00379285999</v>
      </c>
      <c r="AJ81" s="53">
        <f t="shared" si="32"/>
        <v>243215</v>
      </c>
      <c r="AK81" s="1">
        <f t="shared" si="34"/>
        <v>2.0837321457464002</v>
      </c>
      <c r="AL81" s="33">
        <f t="shared" si="35"/>
        <v>-0.25385578947368398</v>
      </c>
    </row>
    <row r="82" spans="1:38">
      <c r="A82" s="10">
        <v>78</v>
      </c>
      <c r="B82" s="190" t="s">
        <v>205</v>
      </c>
      <c r="C82" s="191" t="s">
        <v>206</v>
      </c>
      <c r="D82" s="187" t="s">
        <v>86</v>
      </c>
      <c r="E82" s="37">
        <v>0</v>
      </c>
      <c r="F82" s="37">
        <v>9.4750000000000001E-2</v>
      </c>
      <c r="G82" s="14">
        <v>13.716799999999999</v>
      </c>
      <c r="H82" s="38">
        <v>0.95</v>
      </c>
      <c r="I82" s="14">
        <f t="shared" si="19"/>
        <v>1.36807031578947</v>
      </c>
      <c r="J82" s="13" t="s">
        <v>87</v>
      </c>
      <c r="K82" s="14">
        <v>45</v>
      </c>
      <c r="L82" s="41">
        <v>80</v>
      </c>
      <c r="M82" s="13">
        <v>2</v>
      </c>
      <c r="N82" s="13">
        <v>75.900000000000006</v>
      </c>
      <c r="O82" s="13">
        <v>0.76</v>
      </c>
      <c r="P82" s="13">
        <v>22.5</v>
      </c>
      <c r="Q82" s="14">
        <f t="shared" si="20"/>
        <v>0.25</v>
      </c>
      <c r="R82" s="14">
        <v>0</v>
      </c>
      <c r="S82" s="21">
        <v>5.6082666666666697E-2</v>
      </c>
      <c r="T82" s="21">
        <v>0.133333333333333</v>
      </c>
      <c r="U82" s="13">
        <v>0</v>
      </c>
      <c r="V82" s="14">
        <f t="shared" si="33"/>
        <v>2.45444342160665</v>
      </c>
      <c r="W82" s="13">
        <v>4.46</v>
      </c>
      <c r="X82" s="42">
        <f t="shared" si="21"/>
        <v>-2.00555657839335</v>
      </c>
      <c r="Y82" s="44">
        <f t="shared" si="22"/>
        <v>5.43232458159719E-2</v>
      </c>
      <c r="Z82" s="45">
        <f t="shared" si="23"/>
        <v>0.10185608590494701</v>
      </c>
      <c r="AA82" s="15">
        <f t="shared" si="24"/>
        <v>0.32046666666666701</v>
      </c>
      <c r="AB82" s="45">
        <f t="shared" si="25"/>
        <v>0.13056592131868899</v>
      </c>
      <c r="AC82" s="46">
        <f t="shared" si="26"/>
        <v>2.28494436551142E-2</v>
      </c>
      <c r="AD82" s="46">
        <f t="shared" si="27"/>
        <v>0</v>
      </c>
      <c r="AE82" s="46">
        <f t="shared" si="28"/>
        <v>0.44261484956375502</v>
      </c>
      <c r="AF82" s="47">
        <v>49383</v>
      </c>
      <c r="AG82" s="51">
        <f t="shared" si="29"/>
        <v>3.0972214736842099</v>
      </c>
      <c r="AH82" s="52">
        <f t="shared" si="30"/>
        <v>152950.088034947</v>
      </c>
      <c r="AI82" s="53">
        <f t="shared" si="31"/>
        <v>121207.779489201</v>
      </c>
      <c r="AJ82" s="53">
        <f t="shared" si="32"/>
        <v>220248.18</v>
      </c>
      <c r="AK82" s="1">
        <f t="shared" si="34"/>
        <v>2.2639344176522802</v>
      </c>
      <c r="AL82" s="33">
        <f t="shared" si="35"/>
        <v>-0.30555572338919101</v>
      </c>
    </row>
    <row r="83" spans="1:38">
      <c r="A83" s="10">
        <v>79</v>
      </c>
      <c r="B83" s="190" t="s">
        <v>207</v>
      </c>
      <c r="C83" s="191" t="s">
        <v>134</v>
      </c>
      <c r="D83" s="187" t="s">
        <v>86</v>
      </c>
      <c r="E83" s="37">
        <v>0.24</v>
      </c>
      <c r="F83" s="37">
        <v>0.25440000000000002</v>
      </c>
      <c r="G83" s="14">
        <v>13.716799999999999</v>
      </c>
      <c r="H83" s="38">
        <v>0.95</v>
      </c>
      <c r="I83" s="14">
        <f t="shared" si="19"/>
        <v>3.6732146526315801</v>
      </c>
      <c r="J83" s="13" t="s">
        <v>208</v>
      </c>
      <c r="K83" s="14">
        <v>32.727272727272698</v>
      </c>
      <c r="L83" s="41">
        <v>110</v>
      </c>
      <c r="M83" s="13">
        <v>2</v>
      </c>
      <c r="N83" s="13">
        <v>84.3</v>
      </c>
      <c r="O83" s="13">
        <v>0.76</v>
      </c>
      <c r="P83" s="13">
        <v>22.5</v>
      </c>
      <c r="Q83" s="14">
        <f t="shared" si="20"/>
        <v>0.34375</v>
      </c>
      <c r="R83" s="14">
        <v>0</v>
      </c>
      <c r="S83" s="21">
        <v>5.6082666666666697E-2</v>
      </c>
      <c r="T83" s="21">
        <v>0.133333333333333</v>
      </c>
      <c r="U83" s="13">
        <v>0</v>
      </c>
      <c r="V83" s="14">
        <f t="shared" si="33"/>
        <v>5.4547570678116299</v>
      </c>
      <c r="W83" s="13">
        <v>8.91</v>
      </c>
      <c r="X83" s="42">
        <f t="shared" si="21"/>
        <v>-3.4552429321883702</v>
      </c>
      <c r="Y83" s="44">
        <f t="shared" si="22"/>
        <v>2.4443496140300901E-2</v>
      </c>
      <c r="Z83" s="45">
        <f t="shared" si="23"/>
        <v>6.3018388486713497E-2</v>
      </c>
      <c r="AA83" s="15">
        <f t="shared" si="24"/>
        <v>0.489408333333334</v>
      </c>
      <c r="AB83" s="45">
        <f t="shared" si="25"/>
        <v>8.9721380301483702E-2</v>
      </c>
      <c r="AC83" s="46">
        <f t="shared" si="26"/>
        <v>1.0281423346533401E-2</v>
      </c>
      <c r="AD83" s="46">
        <f t="shared" si="27"/>
        <v>0</v>
      </c>
      <c r="AE83" s="46">
        <f t="shared" si="28"/>
        <v>0.32660343861927199</v>
      </c>
      <c r="AF83" s="47">
        <v>3841</v>
      </c>
      <c r="AG83" s="51">
        <f t="shared" si="29"/>
        <v>6.9489754789473697</v>
      </c>
      <c r="AH83" s="52">
        <f t="shared" si="30"/>
        <v>26691.014814636801</v>
      </c>
      <c r="AI83" s="53">
        <f t="shared" si="31"/>
        <v>20951.7218974645</v>
      </c>
      <c r="AJ83" s="53">
        <f t="shared" si="32"/>
        <v>34223.31</v>
      </c>
      <c r="AK83" s="1">
        <f t="shared" si="34"/>
        <v>1.89179673286149</v>
      </c>
      <c r="AL83" s="33">
        <f t="shared" si="35"/>
        <v>-0.22009253883867899</v>
      </c>
    </row>
    <row r="84" spans="1:38">
      <c r="A84" s="10">
        <v>80</v>
      </c>
      <c r="B84" s="190" t="s">
        <v>209</v>
      </c>
      <c r="C84" s="191" t="s">
        <v>210</v>
      </c>
      <c r="D84" s="187" t="s">
        <v>86</v>
      </c>
      <c r="E84" s="37">
        <v>9.8000000000000004E-2</v>
      </c>
      <c r="F84" s="37">
        <v>0.10290000000000001</v>
      </c>
      <c r="G84" s="14">
        <v>13.716799999999999</v>
      </c>
      <c r="H84" s="38">
        <v>0.95</v>
      </c>
      <c r="I84" s="14">
        <f t="shared" si="19"/>
        <v>1.4857460210526301</v>
      </c>
      <c r="J84" s="13" t="s">
        <v>87</v>
      </c>
      <c r="K84" s="14">
        <v>30</v>
      </c>
      <c r="L84" s="41">
        <v>120</v>
      </c>
      <c r="M84" s="13">
        <v>1</v>
      </c>
      <c r="N84" s="13">
        <v>75.900000000000006</v>
      </c>
      <c r="O84" s="13">
        <v>0.76</v>
      </c>
      <c r="P84" s="13">
        <v>22.5</v>
      </c>
      <c r="Q84" s="14">
        <f t="shared" si="20"/>
        <v>0.75</v>
      </c>
      <c r="R84" s="14">
        <v>1.25</v>
      </c>
      <c r="S84" s="21">
        <v>5.6082666666666697E-2</v>
      </c>
      <c r="T84" s="21">
        <v>0.133333333333333</v>
      </c>
      <c r="U84" s="13">
        <v>0</v>
      </c>
      <c r="V84" s="14">
        <f t="shared" si="33"/>
        <v>5.2125287193351797</v>
      </c>
      <c r="W84" s="13">
        <v>5.22</v>
      </c>
      <c r="X84" s="42">
        <f t="shared" si="21"/>
        <v>-7.4712806648191696E-3</v>
      </c>
      <c r="Y84" s="44">
        <f t="shared" si="22"/>
        <v>2.55793954359907E-2</v>
      </c>
      <c r="Z84" s="45">
        <f t="shared" si="23"/>
        <v>0.143884099327448</v>
      </c>
      <c r="AA84" s="15">
        <f t="shared" si="24"/>
        <v>0.96140000000000003</v>
      </c>
      <c r="AB84" s="45">
        <f t="shared" si="25"/>
        <v>0.184440230791212</v>
      </c>
      <c r="AC84" s="46">
        <f t="shared" si="26"/>
        <v>1.07592053082865E-2</v>
      </c>
      <c r="AD84" s="46">
        <f t="shared" si="27"/>
        <v>0</v>
      </c>
      <c r="AE84" s="46">
        <f t="shared" si="28"/>
        <v>0.71496636257533597</v>
      </c>
      <c r="AF84" s="47">
        <v>3630</v>
      </c>
      <c r="AG84" s="51">
        <f t="shared" si="29"/>
        <v>6.36013503157894</v>
      </c>
      <c r="AH84" s="52">
        <f t="shared" si="30"/>
        <v>23087.290164631599</v>
      </c>
      <c r="AI84" s="53">
        <f t="shared" si="31"/>
        <v>18921.479251186702</v>
      </c>
      <c r="AJ84" s="53">
        <f t="shared" si="32"/>
        <v>18948.599999999999</v>
      </c>
      <c r="AK84" s="1">
        <f t="shared" si="34"/>
        <v>4.28076867880345</v>
      </c>
      <c r="AL84" s="33">
        <f t="shared" si="35"/>
        <v>0.21841667271627299</v>
      </c>
    </row>
    <row r="85" spans="1:38">
      <c r="A85" s="10">
        <v>81</v>
      </c>
      <c r="B85" s="190" t="s">
        <v>211</v>
      </c>
      <c r="C85" s="191" t="s">
        <v>212</v>
      </c>
      <c r="D85" s="187" t="s">
        <v>86</v>
      </c>
      <c r="E85" s="37">
        <v>0</v>
      </c>
      <c r="F85" s="37">
        <v>0.13719999999999999</v>
      </c>
      <c r="G85" s="14">
        <v>13.716799999999999</v>
      </c>
      <c r="H85" s="38">
        <v>0.95</v>
      </c>
      <c r="I85" s="14">
        <f t="shared" si="19"/>
        <v>1.98099469473684</v>
      </c>
      <c r="J85" s="13" t="s">
        <v>213</v>
      </c>
      <c r="K85" s="14">
        <v>45</v>
      </c>
      <c r="L85" s="41">
        <v>80</v>
      </c>
      <c r="M85" s="13">
        <v>2</v>
      </c>
      <c r="N85" s="13">
        <v>52.05</v>
      </c>
      <c r="O85" s="13">
        <v>0.76</v>
      </c>
      <c r="P85" s="13">
        <v>22.5</v>
      </c>
      <c r="Q85" s="14">
        <f t="shared" si="20"/>
        <v>0.25</v>
      </c>
      <c r="R85" s="14">
        <v>1.05</v>
      </c>
      <c r="S85" s="21">
        <v>5.6082666666666697E-2</v>
      </c>
      <c r="T85" s="21">
        <v>0.133333333333333</v>
      </c>
      <c r="U85" s="13">
        <v>0</v>
      </c>
      <c r="V85" s="14">
        <f t="shared" si="33"/>
        <v>4.1344371696398898</v>
      </c>
      <c r="W85" s="13">
        <v>5.45</v>
      </c>
      <c r="X85" s="42">
        <f t="shared" si="21"/>
        <v>-1.3155628303601099</v>
      </c>
      <c r="Y85" s="44">
        <f t="shared" si="22"/>
        <v>3.2249452068695103E-2</v>
      </c>
      <c r="Z85" s="45">
        <f t="shared" si="23"/>
        <v>6.04677226288034E-2</v>
      </c>
      <c r="AA85" s="15">
        <f t="shared" si="24"/>
        <v>0.219766666666667</v>
      </c>
      <c r="AB85" s="45">
        <f t="shared" si="25"/>
        <v>5.3155159372226903E-2</v>
      </c>
      <c r="AC85" s="46">
        <f t="shared" si="26"/>
        <v>1.3564764529134601E-2</v>
      </c>
      <c r="AD85" s="46">
        <f t="shared" si="27"/>
        <v>0</v>
      </c>
      <c r="AE85" s="46">
        <f t="shared" si="28"/>
        <v>0.520855049078086</v>
      </c>
      <c r="AF85" s="47">
        <v>124551</v>
      </c>
      <c r="AG85" s="51">
        <f t="shared" si="29"/>
        <v>5.02055804210526</v>
      </c>
      <c r="AH85" s="52">
        <f t="shared" si="30"/>
        <v>625315.52470225201</v>
      </c>
      <c r="AI85" s="53">
        <f t="shared" si="31"/>
        <v>514948.28391581803</v>
      </c>
      <c r="AJ85" s="53">
        <f t="shared" si="32"/>
        <v>678802.95</v>
      </c>
      <c r="AK85" s="1">
        <f t="shared" si="34"/>
        <v>2.53436218453488</v>
      </c>
      <c r="AL85" s="33">
        <f t="shared" si="35"/>
        <v>-7.8796689521970706E-2</v>
      </c>
    </row>
    <row r="86" spans="1:38">
      <c r="A86" s="10">
        <v>82</v>
      </c>
      <c r="B86" s="190" t="s">
        <v>214</v>
      </c>
      <c r="C86" s="191" t="s">
        <v>215</v>
      </c>
      <c r="D86" s="187" t="s">
        <v>86</v>
      </c>
      <c r="E86" s="37">
        <v>0</v>
      </c>
      <c r="F86" s="37">
        <v>7.7399999999999997E-2</v>
      </c>
      <c r="G86" s="14">
        <v>13.716799999999999</v>
      </c>
      <c r="H86" s="38">
        <v>0.95</v>
      </c>
      <c r="I86" s="14">
        <f t="shared" si="19"/>
        <v>1.1175582315789501</v>
      </c>
      <c r="J86" s="13" t="s">
        <v>213</v>
      </c>
      <c r="K86" s="14">
        <v>45</v>
      </c>
      <c r="L86" s="41">
        <v>80</v>
      </c>
      <c r="M86" s="13">
        <v>2</v>
      </c>
      <c r="N86" s="13">
        <v>52.05</v>
      </c>
      <c r="O86" s="13">
        <v>0.76</v>
      </c>
      <c r="P86" s="13">
        <v>22.5</v>
      </c>
      <c r="Q86" s="14">
        <f t="shared" si="20"/>
        <v>0.25</v>
      </c>
      <c r="R86" s="14">
        <v>1.25</v>
      </c>
      <c r="S86" s="21">
        <v>4.2062000000000002E-2</v>
      </c>
      <c r="T86" s="21">
        <v>0.1</v>
      </c>
      <c r="U86" s="13">
        <v>0</v>
      </c>
      <c r="V86" s="14">
        <f t="shared" si="33"/>
        <v>3.2842258284764498</v>
      </c>
      <c r="W86" s="13">
        <v>3.14</v>
      </c>
      <c r="X86" s="42">
        <f t="shared" si="21"/>
        <v>0.14422582847645499</v>
      </c>
      <c r="Y86" s="44">
        <f t="shared" si="22"/>
        <v>3.04485760793099E-2</v>
      </c>
      <c r="Z86" s="45">
        <f t="shared" si="23"/>
        <v>7.6121440198274798E-2</v>
      </c>
      <c r="AA86" s="15">
        <f t="shared" si="24"/>
        <v>0.219766666666667</v>
      </c>
      <c r="AB86" s="45">
        <f t="shared" si="25"/>
        <v>6.6915820696963502E-2</v>
      </c>
      <c r="AC86" s="46">
        <f t="shared" si="26"/>
        <v>1.28072800704793E-2</v>
      </c>
      <c r="AD86" s="46">
        <f t="shared" si="27"/>
        <v>0</v>
      </c>
      <c r="AE86" s="46">
        <f t="shared" si="28"/>
        <v>0.65971943162709401</v>
      </c>
      <c r="AF86" s="47">
        <v>126167</v>
      </c>
      <c r="AG86" s="51">
        <f t="shared" si="29"/>
        <v>3.8980493473684201</v>
      </c>
      <c r="AH86" s="52">
        <f t="shared" si="30"/>
        <v>491805.19200943102</v>
      </c>
      <c r="AI86" s="53">
        <f t="shared" si="31"/>
        <v>414360.920101389</v>
      </c>
      <c r="AJ86" s="53">
        <f t="shared" si="32"/>
        <v>396164.38</v>
      </c>
      <c r="AK86" s="1">
        <f t="shared" si="34"/>
        <v>3.4880055796833398</v>
      </c>
      <c r="AL86" s="33">
        <f t="shared" si="35"/>
        <v>0.24141698960777699</v>
      </c>
    </row>
    <row r="87" spans="1:38">
      <c r="A87" s="10">
        <v>83</v>
      </c>
      <c r="B87" s="190" t="s">
        <v>216</v>
      </c>
      <c r="C87" s="191" t="s">
        <v>217</v>
      </c>
      <c r="D87" s="187" t="s">
        <v>43</v>
      </c>
      <c r="E87" s="37">
        <v>0</v>
      </c>
      <c r="F87" s="37">
        <v>1.155E-2</v>
      </c>
      <c r="G87" s="14">
        <v>15.309699999999999</v>
      </c>
      <c r="H87" s="38">
        <v>0.9</v>
      </c>
      <c r="I87" s="14">
        <f t="shared" si="19"/>
        <v>0.19647448333333301</v>
      </c>
      <c r="J87" s="13" t="s">
        <v>47</v>
      </c>
      <c r="K87" s="14">
        <v>65</v>
      </c>
      <c r="L87" s="41">
        <v>55.384615384615401</v>
      </c>
      <c r="M87" s="13">
        <v>1</v>
      </c>
      <c r="N87" s="13">
        <v>21.2</v>
      </c>
      <c r="O87" s="13">
        <v>0.76</v>
      </c>
      <c r="P87" s="13">
        <v>22.5</v>
      </c>
      <c r="Q87" s="14">
        <f t="shared" si="20"/>
        <v>0.34615384615384598</v>
      </c>
      <c r="R87" s="14">
        <v>0</v>
      </c>
      <c r="S87" s="21">
        <v>1.6824800000000001E-2</v>
      </c>
      <c r="T87" s="21">
        <v>0.04</v>
      </c>
      <c r="U87" s="13">
        <v>0</v>
      </c>
      <c r="V87" s="14">
        <f t="shared" si="33"/>
        <v>0.87892384226495701</v>
      </c>
      <c r="W87" s="13">
        <v>2.06</v>
      </c>
      <c r="X87" s="42">
        <f t="shared" si="21"/>
        <v>-1.1810761577350399</v>
      </c>
      <c r="Y87" s="44">
        <f t="shared" si="22"/>
        <v>4.5510200174933603E-2</v>
      </c>
      <c r="Z87" s="45">
        <f t="shared" si="23"/>
        <v>0.39383827074461802</v>
      </c>
      <c r="AA87" s="15">
        <f t="shared" si="24"/>
        <v>0.123938461538462</v>
      </c>
      <c r="AB87" s="45">
        <f t="shared" si="25"/>
        <v>0.141011604849718</v>
      </c>
      <c r="AC87" s="46">
        <f t="shared" si="26"/>
        <v>1.91425003975806E-2</v>
      </c>
      <c r="AD87" s="46">
        <f t="shared" si="27"/>
        <v>0</v>
      </c>
      <c r="AE87" s="46">
        <f t="shared" si="28"/>
        <v>0.77646017335583395</v>
      </c>
      <c r="AF87" s="47">
        <v>67497</v>
      </c>
      <c r="AG87" s="51">
        <f t="shared" si="29"/>
        <v>1.0566749865384599</v>
      </c>
      <c r="AH87" s="52">
        <f t="shared" si="30"/>
        <v>71322.391566386403</v>
      </c>
      <c r="AI87" s="53">
        <f t="shared" si="31"/>
        <v>59324.722581357797</v>
      </c>
      <c r="AJ87" s="53">
        <f t="shared" si="32"/>
        <v>139043.82</v>
      </c>
      <c r="AK87" s="1">
        <f t="shared" si="34"/>
        <v>5.37817923534495</v>
      </c>
      <c r="AL87" s="33">
        <f t="shared" si="35"/>
        <v>-0.487050977408515</v>
      </c>
    </row>
    <row r="88" spans="1:38">
      <c r="A88" s="10">
        <v>84</v>
      </c>
      <c r="B88" s="190" t="s">
        <v>218</v>
      </c>
      <c r="C88" s="191" t="s">
        <v>219</v>
      </c>
      <c r="D88" s="187" t="s">
        <v>43</v>
      </c>
      <c r="E88" s="37">
        <v>0</v>
      </c>
      <c r="F88" s="37">
        <v>3.63E-3</v>
      </c>
      <c r="G88" s="14">
        <v>15.309699999999999</v>
      </c>
      <c r="H88" s="38">
        <v>0.88</v>
      </c>
      <c r="I88" s="14">
        <f t="shared" si="19"/>
        <v>6.3152512499999994E-2</v>
      </c>
      <c r="J88" s="13" t="s">
        <v>54</v>
      </c>
      <c r="K88" s="14">
        <v>72</v>
      </c>
      <c r="L88" s="41">
        <v>50</v>
      </c>
      <c r="M88" s="13">
        <v>2</v>
      </c>
      <c r="N88" s="13">
        <v>17.41</v>
      </c>
      <c r="O88" s="13">
        <v>0.76</v>
      </c>
      <c r="P88" s="13">
        <v>22.5</v>
      </c>
      <c r="Q88" s="14">
        <f t="shared" si="20"/>
        <v>0.15625</v>
      </c>
      <c r="R88" s="14">
        <v>0</v>
      </c>
      <c r="S88" s="21">
        <v>1.41516666666667E-3</v>
      </c>
      <c r="T88" s="21">
        <v>3.3333333333333301E-3</v>
      </c>
      <c r="U88" s="13">
        <v>0</v>
      </c>
      <c r="V88" s="14">
        <f t="shared" si="33"/>
        <v>0.33944575061553001</v>
      </c>
      <c r="W88" s="13">
        <v>0.32</v>
      </c>
      <c r="X88" s="42">
        <f t="shared" si="21"/>
        <v>1.9445750615530302E-2</v>
      </c>
      <c r="Y88" s="44">
        <f t="shared" si="22"/>
        <v>9.8199294800092995E-3</v>
      </c>
      <c r="Z88" s="45">
        <f t="shared" si="23"/>
        <v>0.46030919437543599</v>
      </c>
      <c r="AA88" s="15">
        <f t="shared" si="24"/>
        <v>4.5943055555555598E-2</v>
      </c>
      <c r="AB88" s="45">
        <f t="shared" si="25"/>
        <v>0.135347269695512</v>
      </c>
      <c r="AC88" s="46">
        <f t="shared" si="26"/>
        <v>4.1690510607379598E-3</v>
      </c>
      <c r="AD88" s="46">
        <f t="shared" si="27"/>
        <v>0</v>
      </c>
      <c r="AE88" s="46">
        <f t="shared" si="28"/>
        <v>0.81395403422937795</v>
      </c>
      <c r="AF88" s="47">
        <v>128942</v>
      </c>
      <c r="AG88" s="51">
        <f t="shared" si="29"/>
        <v>0.40276685208333302</v>
      </c>
      <c r="AH88" s="52">
        <f t="shared" si="30"/>
        <v>51933.563441329097</v>
      </c>
      <c r="AI88" s="53">
        <f t="shared" si="31"/>
        <v>43768.813975867699</v>
      </c>
      <c r="AJ88" s="53">
        <f t="shared" si="32"/>
        <v>41261.440000000002</v>
      </c>
      <c r="AK88" s="1">
        <f t="shared" si="34"/>
        <v>6.3776853230238997</v>
      </c>
      <c r="AL88" s="33">
        <f t="shared" si="35"/>
        <v>0.258646412760416</v>
      </c>
    </row>
    <row r="89" spans="1:38">
      <c r="A89" s="10">
        <v>85</v>
      </c>
      <c r="B89" s="190" t="s">
        <v>220</v>
      </c>
      <c r="C89" s="191" t="s">
        <v>221</v>
      </c>
      <c r="D89" s="187" t="s">
        <v>43</v>
      </c>
      <c r="E89" s="37">
        <v>0</v>
      </c>
      <c r="F89" s="37">
        <v>4.6000000000000001E-4</v>
      </c>
      <c r="G89" s="14">
        <v>15.309699999999999</v>
      </c>
      <c r="H89" s="38">
        <v>0.9</v>
      </c>
      <c r="I89" s="14">
        <f t="shared" si="19"/>
        <v>7.8249577777777801E-3</v>
      </c>
      <c r="J89" s="13" t="s">
        <v>54</v>
      </c>
      <c r="K89" s="14">
        <v>65</v>
      </c>
      <c r="L89" s="41">
        <v>55.384615384615401</v>
      </c>
      <c r="M89" s="13">
        <v>2</v>
      </c>
      <c r="N89" s="13">
        <v>17.41</v>
      </c>
      <c r="O89" s="13">
        <v>0.76</v>
      </c>
      <c r="P89" s="13">
        <v>22.5</v>
      </c>
      <c r="Q89" s="14">
        <f t="shared" si="20"/>
        <v>0.17307692307692299</v>
      </c>
      <c r="R89" s="14">
        <v>0</v>
      </c>
      <c r="S89" s="21">
        <v>7.1558333333333305E-4</v>
      </c>
      <c r="T89" s="21">
        <v>1.66666666666667E-3</v>
      </c>
      <c r="U89" s="13">
        <v>0</v>
      </c>
      <c r="V89" s="14">
        <f t="shared" si="33"/>
        <v>0.28825985177208002</v>
      </c>
      <c r="W89" s="13">
        <v>0.23</v>
      </c>
      <c r="X89" s="42">
        <f t="shared" si="21"/>
        <v>5.8259851772079603E-2</v>
      </c>
      <c r="Y89" s="44">
        <f t="shared" si="22"/>
        <v>5.7818203139314199E-3</v>
      </c>
      <c r="Z89" s="45">
        <f t="shared" si="23"/>
        <v>0.60041980183133803</v>
      </c>
      <c r="AA89" s="15">
        <f t="shared" si="24"/>
        <v>5.0890769230769198E-2</v>
      </c>
      <c r="AB89" s="45">
        <f t="shared" si="25"/>
        <v>0.17654476999803401</v>
      </c>
      <c r="AC89" s="46">
        <f t="shared" si="26"/>
        <v>2.4824245517864499E-3</v>
      </c>
      <c r="AD89" s="46">
        <f t="shared" si="27"/>
        <v>0</v>
      </c>
      <c r="AE89" s="46">
        <f t="shared" si="28"/>
        <v>0.97285450009887298</v>
      </c>
      <c r="AF89" s="47">
        <v>25150</v>
      </c>
      <c r="AG89" s="51">
        <f t="shared" si="29"/>
        <v>0.35007122512820499</v>
      </c>
      <c r="AH89" s="52">
        <f t="shared" si="30"/>
        <v>8804.2913119743607</v>
      </c>
      <c r="AI89" s="53">
        <f t="shared" si="31"/>
        <v>7249.7352720678</v>
      </c>
      <c r="AJ89" s="53">
        <f t="shared" si="32"/>
        <v>5784.5</v>
      </c>
      <c r="AK89" s="1">
        <f t="shared" si="34"/>
        <v>44.7377781542001</v>
      </c>
      <c r="AL89" s="33">
        <f t="shared" si="35"/>
        <v>0.52204880490523897</v>
      </c>
    </row>
    <row r="90" spans="1:38">
      <c r="A90" s="10">
        <v>86</v>
      </c>
      <c r="B90" s="190" t="s">
        <v>222</v>
      </c>
      <c r="C90" s="191" t="s">
        <v>223</v>
      </c>
      <c r="D90" s="187" t="s">
        <v>43</v>
      </c>
      <c r="E90" s="37">
        <v>0</v>
      </c>
      <c r="F90" s="37">
        <v>2.2000000000000001E-3</v>
      </c>
      <c r="G90" s="14">
        <v>15.309699999999999</v>
      </c>
      <c r="H90" s="38">
        <v>0.98</v>
      </c>
      <c r="I90" s="14">
        <f t="shared" si="19"/>
        <v>3.4368714285714301E-2</v>
      </c>
      <c r="J90" s="13" t="s">
        <v>54</v>
      </c>
      <c r="K90" s="14">
        <v>65</v>
      </c>
      <c r="L90" s="41">
        <v>55.384615384615401</v>
      </c>
      <c r="M90" s="13">
        <v>4</v>
      </c>
      <c r="N90" s="13">
        <v>17.41</v>
      </c>
      <c r="O90" s="13">
        <v>0.76</v>
      </c>
      <c r="P90" s="13">
        <v>22.5</v>
      </c>
      <c r="Q90" s="14">
        <f t="shared" si="20"/>
        <v>8.6538461538461495E-2</v>
      </c>
      <c r="R90" s="14">
        <v>0</v>
      </c>
      <c r="S90" s="21">
        <v>7.1558333333333305E-4</v>
      </c>
      <c r="T90" s="21">
        <v>1.66666666666667E-3</v>
      </c>
      <c r="U90" s="13">
        <v>0</v>
      </c>
      <c r="V90" s="14">
        <f t="shared" si="33"/>
        <v>0.16814892559990999</v>
      </c>
      <c r="W90" s="13">
        <v>0.14000000000000001</v>
      </c>
      <c r="X90" s="42">
        <f t="shared" si="21"/>
        <v>2.81489255999103E-2</v>
      </c>
      <c r="Y90" s="44">
        <f t="shared" si="22"/>
        <v>9.9118484445883306E-3</v>
      </c>
      <c r="Z90" s="45">
        <f t="shared" si="23"/>
        <v>0.51465366923823896</v>
      </c>
      <c r="AA90" s="15">
        <f t="shared" si="24"/>
        <v>2.5445384615384599E-2</v>
      </c>
      <c r="AB90" s="45">
        <f t="shared" si="25"/>
        <v>0.151326477553171</v>
      </c>
      <c r="AC90" s="46">
        <f t="shared" si="26"/>
        <v>4.2556521296839896E-3</v>
      </c>
      <c r="AD90" s="46">
        <f t="shared" si="27"/>
        <v>0</v>
      </c>
      <c r="AE90" s="46">
        <f t="shared" si="28"/>
        <v>0.79560550765878602</v>
      </c>
      <c r="AF90" s="47">
        <v>170420</v>
      </c>
      <c r="AG90" s="51">
        <f t="shared" si="29"/>
        <v>0.221911090659341</v>
      </c>
      <c r="AH90" s="52">
        <f t="shared" si="30"/>
        <v>37818.0880701649</v>
      </c>
      <c r="AI90" s="53">
        <f t="shared" si="31"/>
        <v>28655.939900736699</v>
      </c>
      <c r="AJ90" s="53">
        <f t="shared" si="32"/>
        <v>23858.799999999999</v>
      </c>
      <c r="AK90" s="1">
        <f t="shared" si="34"/>
        <v>6.4567760322526997</v>
      </c>
      <c r="AL90" s="33">
        <f t="shared" si="35"/>
        <v>0.58507921899529303</v>
      </c>
    </row>
    <row r="91" spans="1:38">
      <c r="A91" s="10">
        <v>87</v>
      </c>
      <c r="B91" s="190" t="s">
        <v>224</v>
      </c>
      <c r="C91" s="191" t="s">
        <v>225</v>
      </c>
      <c r="D91" s="187" t="s">
        <v>43</v>
      </c>
      <c r="E91" s="37">
        <f>0.171/1000</f>
        <v>1.7100000000000001E-4</v>
      </c>
      <c r="F91" s="37">
        <f>E91*1.03</f>
        <v>1.7613000000000001E-4</v>
      </c>
      <c r="G91" s="14">
        <v>15.309699999999999</v>
      </c>
      <c r="H91" s="38">
        <v>0.98</v>
      </c>
      <c r="I91" s="14">
        <f t="shared" si="19"/>
        <v>2.7515280214285699E-3</v>
      </c>
      <c r="J91" s="13" t="s">
        <v>54</v>
      </c>
      <c r="K91" s="14">
        <v>103</v>
      </c>
      <c r="L91" s="41">
        <v>34.951456310679603</v>
      </c>
      <c r="M91" s="13">
        <v>4</v>
      </c>
      <c r="N91" s="13">
        <v>17.41</v>
      </c>
      <c r="O91" s="13">
        <v>0.76</v>
      </c>
      <c r="P91" s="13">
        <v>22.5</v>
      </c>
      <c r="Q91" s="14">
        <f t="shared" si="20"/>
        <v>5.4611650485436897E-2</v>
      </c>
      <c r="R91" s="14">
        <v>0</v>
      </c>
      <c r="S91" s="21">
        <v>2.8303333333333301E-3</v>
      </c>
      <c r="T91" s="21">
        <v>6.6666666666666697E-3</v>
      </c>
      <c r="U91" s="13">
        <v>0</v>
      </c>
      <c r="V91" s="14">
        <f t="shared" si="33"/>
        <v>9.2657458675350995E-2</v>
      </c>
      <c r="W91" s="13">
        <v>0.08</v>
      </c>
      <c r="X91" s="42">
        <f t="shared" si="21"/>
        <v>1.2657458675351001E-2</v>
      </c>
      <c r="Y91" s="44">
        <f t="shared" si="22"/>
        <v>7.1949595445144204E-2</v>
      </c>
      <c r="Z91" s="45">
        <f t="shared" si="23"/>
        <v>0.58939292385281905</v>
      </c>
      <c r="AA91" s="15">
        <f t="shared" si="24"/>
        <v>1.6057766990291301E-2</v>
      </c>
      <c r="AB91" s="45">
        <f t="shared" si="25"/>
        <v>0.17330247580557701</v>
      </c>
      <c r="AC91" s="46">
        <f t="shared" si="26"/>
        <v>3.0546200746235899E-2</v>
      </c>
      <c r="AD91" s="46">
        <f t="shared" si="27"/>
        <v>0</v>
      </c>
      <c r="AE91" s="46">
        <f t="shared" si="28"/>
        <v>0.97030430080033503</v>
      </c>
      <c r="AF91" s="47">
        <v>754050</v>
      </c>
      <c r="AG91" s="51">
        <f t="shared" si="29"/>
        <v>0.119628418245735</v>
      </c>
      <c r="AH91" s="52">
        <f t="shared" si="30"/>
        <v>90205.8087781965</v>
      </c>
      <c r="AI91" s="53">
        <f t="shared" si="31"/>
        <v>69868.356714148395</v>
      </c>
      <c r="AJ91" s="53">
        <f t="shared" si="32"/>
        <v>60324</v>
      </c>
      <c r="AK91" s="1">
        <f t="shared" si="34"/>
        <v>43.477085210139002</v>
      </c>
      <c r="AL91" s="33">
        <f t="shared" si="35"/>
        <v>0.49535522807168703</v>
      </c>
    </row>
    <row r="92" spans="1:38">
      <c r="A92" s="10">
        <v>88</v>
      </c>
      <c r="B92" s="190" t="s">
        <v>226</v>
      </c>
      <c r="C92" s="192" t="s">
        <v>227</v>
      </c>
      <c r="D92" s="187" t="s">
        <v>86</v>
      </c>
      <c r="E92" s="37">
        <v>3.9199999999999999E-2</v>
      </c>
      <c r="F92" s="37">
        <v>4.2335999999999999E-2</v>
      </c>
      <c r="G92" s="14">
        <v>13.716799999999999</v>
      </c>
      <c r="H92" s="38">
        <v>0.85</v>
      </c>
      <c r="I92" s="14">
        <f t="shared" si="19"/>
        <v>0.68319346447058804</v>
      </c>
      <c r="J92" s="13" t="s">
        <v>87</v>
      </c>
      <c r="K92" s="14">
        <v>45</v>
      </c>
      <c r="L92" s="41">
        <v>80</v>
      </c>
      <c r="M92" s="13">
        <v>2</v>
      </c>
      <c r="N92" s="13">
        <v>75.900000000000006</v>
      </c>
      <c r="O92" s="13">
        <v>0.76</v>
      </c>
      <c r="P92" s="13">
        <v>22.5</v>
      </c>
      <c r="Q92" s="14">
        <f t="shared" si="20"/>
        <v>0.25</v>
      </c>
      <c r="R92" s="14">
        <v>0</v>
      </c>
      <c r="S92" s="21">
        <v>4.4676E-2</v>
      </c>
      <c r="T92" s="21">
        <v>0.1</v>
      </c>
      <c r="U92" s="13">
        <v>0</v>
      </c>
      <c r="V92" s="14">
        <f t="shared" si="33"/>
        <v>1.7818086418380601</v>
      </c>
      <c r="W92" s="13">
        <v>2.0299999999999998</v>
      </c>
      <c r="X92" s="42">
        <f t="shared" si="21"/>
        <v>-0.24819135816193699</v>
      </c>
      <c r="Y92" s="44">
        <f t="shared" si="22"/>
        <v>5.6122749464747698E-2</v>
      </c>
      <c r="Z92" s="45">
        <f t="shared" si="23"/>
        <v>0.140306873661869</v>
      </c>
      <c r="AA92" s="15">
        <f t="shared" si="24"/>
        <v>0.32046666666666701</v>
      </c>
      <c r="AB92" s="45">
        <f t="shared" si="25"/>
        <v>0.17985470445136201</v>
      </c>
      <c r="AC92" s="46">
        <f t="shared" si="26"/>
        <v>2.5073399550870699E-2</v>
      </c>
      <c r="AD92" s="46">
        <f t="shared" si="27"/>
        <v>0</v>
      </c>
      <c r="AE92" s="46">
        <f t="shared" si="28"/>
        <v>0.61657304357564102</v>
      </c>
      <c r="AF92" s="47">
        <v>0</v>
      </c>
      <c r="AG92" s="51">
        <f t="shared" si="29"/>
        <v>2.0251661967058801</v>
      </c>
      <c r="AH92" s="52">
        <f t="shared" si="30"/>
        <v>0</v>
      </c>
      <c r="AI92" s="53">
        <f t="shared" si="31"/>
        <v>0</v>
      </c>
      <c r="AJ92" s="53">
        <f t="shared" si="32"/>
        <v>0</v>
      </c>
    </row>
    <row r="93" spans="1:38">
      <c r="A93" s="10">
        <v>89</v>
      </c>
      <c r="B93" s="190" t="s">
        <v>228</v>
      </c>
      <c r="C93" s="192" t="s">
        <v>229</v>
      </c>
      <c r="D93" s="187" t="s">
        <v>86</v>
      </c>
      <c r="E93" s="37">
        <v>4.3999999999999997E-2</v>
      </c>
      <c r="F93" s="37">
        <v>4.6199999999999998E-2</v>
      </c>
      <c r="G93" s="14">
        <v>13.716799999999999</v>
      </c>
      <c r="H93" s="38">
        <v>0.98</v>
      </c>
      <c r="I93" s="14">
        <f t="shared" si="19"/>
        <v>0.64664914285714303</v>
      </c>
      <c r="J93" s="13" t="s">
        <v>87</v>
      </c>
      <c r="K93" s="14">
        <v>42.352941176470502</v>
      </c>
      <c r="L93" s="41">
        <v>85.000000000000199</v>
      </c>
      <c r="M93" s="13">
        <v>2</v>
      </c>
      <c r="N93" s="13">
        <v>75.900000000000006</v>
      </c>
      <c r="O93" s="13">
        <v>0.76</v>
      </c>
      <c r="P93" s="13">
        <v>22.5</v>
      </c>
      <c r="Q93" s="14">
        <f t="shared" si="20"/>
        <v>0.265625000000001</v>
      </c>
      <c r="R93" s="14">
        <v>0</v>
      </c>
      <c r="S93" s="21">
        <v>4.4676E-2</v>
      </c>
      <c r="T93" s="21">
        <v>0.1</v>
      </c>
      <c r="U93" s="13">
        <v>0</v>
      </c>
      <c r="V93" s="14">
        <f t="shared" si="33"/>
        <v>1.5636297485422801</v>
      </c>
      <c r="W93" s="13">
        <v>1.74</v>
      </c>
      <c r="X93" s="42">
        <f t="shared" si="21"/>
        <v>-0.176370251457724</v>
      </c>
      <c r="Y93" s="44">
        <f t="shared" si="22"/>
        <v>6.3953758933805699E-2</v>
      </c>
      <c r="Z93" s="45">
        <f t="shared" si="23"/>
        <v>0.169877172167922</v>
      </c>
      <c r="AA93" s="15">
        <f t="shared" si="24"/>
        <v>0.340495833333334</v>
      </c>
      <c r="AB93" s="45">
        <f t="shared" si="25"/>
        <v>0.21775988442965299</v>
      </c>
      <c r="AC93" s="46">
        <f t="shared" si="26"/>
        <v>2.8571981341267001E-2</v>
      </c>
      <c r="AD93" s="46">
        <f t="shared" si="27"/>
        <v>0</v>
      </c>
      <c r="AE93" s="46">
        <f t="shared" si="28"/>
        <v>0.586443566029622</v>
      </c>
      <c r="AF93" s="47"/>
      <c r="AG93" s="51">
        <f t="shared" si="29"/>
        <v>2.02383096428572</v>
      </c>
      <c r="AH93" s="52">
        <f t="shared" si="30"/>
        <v>0</v>
      </c>
      <c r="AI93" s="53">
        <f t="shared" si="31"/>
        <v>0</v>
      </c>
      <c r="AJ93" s="53">
        <f t="shared" si="32"/>
        <v>0</v>
      </c>
    </row>
    <row r="94" spans="1:38">
      <c r="A94" s="10">
        <v>90</v>
      </c>
      <c r="B94" s="190" t="s">
        <v>230</v>
      </c>
      <c r="C94" s="192" t="s">
        <v>231</v>
      </c>
      <c r="D94" s="187" t="s">
        <v>43</v>
      </c>
      <c r="E94" s="37">
        <v>1.2E-2</v>
      </c>
      <c r="F94" s="37">
        <v>1.26E-2</v>
      </c>
      <c r="G94" s="14">
        <v>15.309699999999999</v>
      </c>
      <c r="H94" s="38">
        <v>0.99</v>
      </c>
      <c r="I94" s="14">
        <f t="shared" si="19"/>
        <v>0.19485072727272701</v>
      </c>
      <c r="J94" s="13" t="s">
        <v>120</v>
      </c>
      <c r="K94" s="14">
        <v>36</v>
      </c>
      <c r="L94" s="41">
        <v>100</v>
      </c>
      <c r="M94" s="13">
        <v>4</v>
      </c>
      <c r="N94" s="13">
        <v>39.75</v>
      </c>
      <c r="O94" s="13">
        <v>0.76</v>
      </c>
      <c r="P94" s="13">
        <v>22.5</v>
      </c>
      <c r="Q94" s="14">
        <f t="shared" si="20"/>
        <v>0.15625</v>
      </c>
      <c r="R94" s="14">
        <v>0</v>
      </c>
      <c r="S94" s="21">
        <v>2.8623333333333299E-2</v>
      </c>
      <c r="T94" s="21">
        <v>6.6666666666666693E-2</v>
      </c>
      <c r="U94" s="13">
        <v>0</v>
      </c>
      <c r="V94" s="14">
        <f t="shared" si="33"/>
        <v>0.60655887098255301</v>
      </c>
      <c r="W94" s="13">
        <v>0.68</v>
      </c>
      <c r="X94" s="42">
        <f t="shared" si="21"/>
        <v>-7.3441129017447301E-2</v>
      </c>
      <c r="Y94" s="44">
        <f t="shared" si="22"/>
        <v>0.10990963920563</v>
      </c>
      <c r="Z94" s="45">
        <f t="shared" si="23"/>
        <v>0.25760071688819502</v>
      </c>
      <c r="AA94" s="15">
        <f t="shared" si="24"/>
        <v>0.10489583333333299</v>
      </c>
      <c r="AB94" s="45">
        <f t="shared" si="25"/>
        <v>0.172935947937608</v>
      </c>
      <c r="AC94" s="46">
        <f t="shared" si="26"/>
        <v>4.7189703592937199E-2</v>
      </c>
      <c r="AD94" s="46">
        <f t="shared" si="27"/>
        <v>0</v>
      </c>
      <c r="AE94" s="46">
        <f t="shared" si="28"/>
        <v>0.67876040299749896</v>
      </c>
      <c r="AF94" s="47"/>
      <c r="AG94" s="51">
        <f t="shared" si="29"/>
        <v>0.779284840909091</v>
      </c>
      <c r="AH94" s="52">
        <f t="shared" si="30"/>
        <v>0</v>
      </c>
      <c r="AI94" s="53">
        <f t="shared" si="31"/>
        <v>0</v>
      </c>
      <c r="AJ94" s="53">
        <f t="shared" si="32"/>
        <v>0</v>
      </c>
    </row>
    <row r="95" spans="1:38">
      <c r="A95" s="10">
        <v>91</v>
      </c>
      <c r="B95" s="190" t="s">
        <v>232</v>
      </c>
      <c r="C95" s="192" t="s">
        <v>233</v>
      </c>
      <c r="D95" s="187" t="s">
        <v>43</v>
      </c>
      <c r="E95" s="37">
        <v>2.7E-2</v>
      </c>
      <c r="F95" s="37">
        <v>2.835E-2</v>
      </c>
      <c r="G95" s="14">
        <v>15.309699999999999</v>
      </c>
      <c r="H95" s="38">
        <v>0.98</v>
      </c>
      <c r="I95" s="14">
        <f t="shared" si="19"/>
        <v>0.44288775000000002</v>
      </c>
      <c r="J95" s="13" t="s">
        <v>120</v>
      </c>
      <c r="K95" s="14">
        <v>36</v>
      </c>
      <c r="L95" s="41">
        <v>100</v>
      </c>
      <c r="M95" s="13">
        <v>4</v>
      </c>
      <c r="N95" s="13">
        <v>39.75</v>
      </c>
      <c r="O95" s="13">
        <v>0.76</v>
      </c>
      <c r="P95" s="13">
        <v>22.5</v>
      </c>
      <c r="Q95" s="14">
        <f t="shared" si="20"/>
        <v>0.15625</v>
      </c>
      <c r="R95" s="14">
        <v>0.45</v>
      </c>
      <c r="S95" s="21">
        <v>2.8623333333333299E-2</v>
      </c>
      <c r="T95" s="21">
        <v>6.6666666666666693E-2</v>
      </c>
      <c r="U95" s="13">
        <v>0</v>
      </c>
      <c r="V95" s="14">
        <f t="shared" si="33"/>
        <v>1.35621579336735</v>
      </c>
      <c r="W95" s="13">
        <v>2.4700000000000002</v>
      </c>
      <c r="X95" s="42">
        <f t="shared" si="21"/>
        <v>-1.11378420663265</v>
      </c>
      <c r="Y95" s="44">
        <f t="shared" si="22"/>
        <v>4.9156385726153599E-2</v>
      </c>
      <c r="Z95" s="45">
        <f t="shared" si="23"/>
        <v>0.11521027904567201</v>
      </c>
      <c r="AA95" s="15">
        <f t="shared" si="24"/>
        <v>0.10489583333333299</v>
      </c>
      <c r="AB95" s="45">
        <f t="shared" si="25"/>
        <v>7.7344500665994506E-2</v>
      </c>
      <c r="AC95" s="46">
        <f t="shared" si="26"/>
        <v>2.1105294211524E-2</v>
      </c>
      <c r="AD95" s="46">
        <f t="shared" si="27"/>
        <v>0</v>
      </c>
      <c r="AE95" s="46">
        <f t="shared" si="28"/>
        <v>0.67343858391417599</v>
      </c>
      <c r="AF95" s="47"/>
      <c r="AG95" s="51">
        <f t="shared" si="29"/>
        <v>1.6463403750000001</v>
      </c>
      <c r="AH95" s="52">
        <f t="shared" si="30"/>
        <v>0</v>
      </c>
      <c r="AI95" s="53">
        <f t="shared" si="31"/>
        <v>0</v>
      </c>
      <c r="AJ95" s="53">
        <f t="shared" si="32"/>
        <v>0</v>
      </c>
    </row>
    <row r="96" spans="1:38">
      <c r="A96" s="10">
        <v>92</v>
      </c>
      <c r="B96" s="190" t="s">
        <v>234</v>
      </c>
      <c r="C96" s="191" t="s">
        <v>235</v>
      </c>
      <c r="D96" s="187" t="s">
        <v>86</v>
      </c>
      <c r="E96" s="37">
        <v>0</v>
      </c>
      <c r="F96" s="37">
        <v>4.3029999999999999E-2</v>
      </c>
      <c r="G96" s="14">
        <v>13.716799999999999</v>
      </c>
      <c r="H96" s="38">
        <v>0.85</v>
      </c>
      <c r="I96" s="14">
        <f t="shared" si="19"/>
        <v>0.69439282823529402</v>
      </c>
      <c r="J96" s="13" t="s">
        <v>87</v>
      </c>
      <c r="K96" s="14">
        <v>72</v>
      </c>
      <c r="L96" s="41">
        <v>50</v>
      </c>
      <c r="M96" s="13">
        <v>2</v>
      </c>
      <c r="N96" s="13">
        <v>75.900000000000006</v>
      </c>
      <c r="O96" s="13">
        <v>0.76</v>
      </c>
      <c r="P96" s="13">
        <v>22.5</v>
      </c>
      <c r="Q96" s="14">
        <f t="shared" si="20"/>
        <v>0.15625</v>
      </c>
      <c r="R96" s="14">
        <v>0</v>
      </c>
      <c r="S96" s="21">
        <v>8.7133333333333301E-4</v>
      </c>
      <c r="T96" s="21">
        <v>0.133333333333333</v>
      </c>
      <c r="U96" s="13">
        <v>0</v>
      </c>
      <c r="V96" s="14">
        <f t="shared" si="33"/>
        <v>1.5066014776562899</v>
      </c>
      <c r="W96" s="13">
        <v>2.02</v>
      </c>
      <c r="X96" s="42">
        <f t="shared" si="21"/>
        <v>-0.51339852234371397</v>
      </c>
      <c r="Y96" s="44">
        <f t="shared" si="22"/>
        <v>8.84994043287083E-2</v>
      </c>
      <c r="Z96" s="45">
        <f t="shared" si="23"/>
        <v>0.10371023944770499</v>
      </c>
      <c r="AA96" s="15">
        <f t="shared" si="24"/>
        <v>0.20029166666666701</v>
      </c>
      <c r="AB96" s="45">
        <f t="shared" si="25"/>
        <v>0.13294269894003199</v>
      </c>
      <c r="AC96" s="46">
        <f t="shared" si="26"/>
        <v>5.7834360728811003E-4</v>
      </c>
      <c r="AD96" s="46">
        <f t="shared" si="27"/>
        <v>0</v>
      </c>
      <c r="AE96" s="46">
        <f t="shared" si="28"/>
        <v>0.53909986248286901</v>
      </c>
      <c r="AF96" s="47">
        <v>42378</v>
      </c>
      <c r="AG96" s="51">
        <f t="shared" si="29"/>
        <v>1.71060640901961</v>
      </c>
      <c r="AH96" s="52">
        <f t="shared" si="30"/>
        <v>72492.078401432998</v>
      </c>
      <c r="AI96" s="53">
        <f t="shared" si="31"/>
        <v>63846.757420118098</v>
      </c>
      <c r="AJ96" s="53">
        <f t="shared" si="32"/>
        <v>85603.56</v>
      </c>
      <c r="AK96" s="1">
        <f t="shared" si="34"/>
        <v>2.46345633114744</v>
      </c>
      <c r="AL96" s="33">
        <f t="shared" si="35"/>
        <v>-0.153165144049698</v>
      </c>
    </row>
    <row r="97" spans="1:38">
      <c r="A97" s="10">
        <v>93</v>
      </c>
      <c r="B97" s="190" t="s">
        <v>236</v>
      </c>
      <c r="C97" s="191" t="s">
        <v>237</v>
      </c>
      <c r="D97" s="187" t="s">
        <v>86</v>
      </c>
      <c r="E97" s="37">
        <v>0</v>
      </c>
      <c r="F97" s="37">
        <v>9.8499999999999994E-3</v>
      </c>
      <c r="G97" s="14">
        <v>13.716799999999999</v>
      </c>
      <c r="H97" s="38">
        <v>0.95</v>
      </c>
      <c r="I97" s="14">
        <f t="shared" si="19"/>
        <v>0.14222155789473701</v>
      </c>
      <c r="J97" s="13" t="s">
        <v>65</v>
      </c>
      <c r="K97" s="14">
        <v>65</v>
      </c>
      <c r="L97" s="41">
        <v>55.384615384615401</v>
      </c>
      <c r="M97" s="13">
        <v>2</v>
      </c>
      <c r="N97" s="13">
        <v>48.5</v>
      </c>
      <c r="O97" s="13">
        <v>0.76</v>
      </c>
      <c r="P97" s="13">
        <v>22.5</v>
      </c>
      <c r="Q97" s="14">
        <f t="shared" si="20"/>
        <v>0.17307692307692299</v>
      </c>
      <c r="R97" s="14">
        <v>0</v>
      </c>
      <c r="S97" s="21">
        <v>2.1684499999999999E-2</v>
      </c>
      <c r="T97" s="21">
        <v>0.05</v>
      </c>
      <c r="U97" s="13">
        <v>0</v>
      </c>
      <c r="V97" s="14">
        <f t="shared" si="33"/>
        <v>0.60573203687619903</v>
      </c>
      <c r="W97" s="13">
        <v>1.0900000000000001</v>
      </c>
      <c r="X97" s="42">
        <f t="shared" si="21"/>
        <v>-0.48426796312380099</v>
      </c>
      <c r="Y97" s="44">
        <f t="shared" si="22"/>
        <v>8.2544750741356504E-2</v>
      </c>
      <c r="Z97" s="45">
        <f t="shared" si="23"/>
        <v>0.28573182948931097</v>
      </c>
      <c r="AA97" s="15">
        <f t="shared" si="24"/>
        <v>0.14176923076923101</v>
      </c>
      <c r="AB97" s="45">
        <f t="shared" si="25"/>
        <v>0.23404611633280101</v>
      </c>
      <c r="AC97" s="46">
        <f t="shared" si="26"/>
        <v>3.5798832949018901E-2</v>
      </c>
      <c r="AD97" s="46">
        <f t="shared" si="27"/>
        <v>0</v>
      </c>
      <c r="AE97" s="46">
        <f t="shared" si="28"/>
        <v>0.76520713907063098</v>
      </c>
      <c r="AF97" s="47">
        <v>48938</v>
      </c>
      <c r="AG97" s="51">
        <f t="shared" si="29"/>
        <v>0.75728606761133599</v>
      </c>
      <c r="AH97" s="52">
        <f t="shared" si="30"/>
        <v>37060.065576763598</v>
      </c>
      <c r="AI97" s="53">
        <f t="shared" si="31"/>
        <v>29643.314420647399</v>
      </c>
      <c r="AJ97" s="53">
        <f t="shared" si="32"/>
        <v>53342.42</v>
      </c>
      <c r="AK97" s="1">
        <f t="shared" si="34"/>
        <v>5.3246925348112804</v>
      </c>
      <c r="AL97" s="33">
        <f t="shared" si="35"/>
        <v>-0.30524213980611398</v>
      </c>
    </row>
    <row r="98" spans="1:38">
      <c r="A98" s="10">
        <v>94</v>
      </c>
      <c r="B98" s="190" t="s">
        <v>238</v>
      </c>
      <c r="C98" s="191" t="s">
        <v>239</v>
      </c>
      <c r="D98" s="187" t="s">
        <v>86</v>
      </c>
      <c r="E98" s="37">
        <v>0</v>
      </c>
      <c r="F98" s="37">
        <v>3.3050000000000003E-2</v>
      </c>
      <c r="G98" s="14">
        <v>13.716799999999999</v>
      </c>
      <c r="H98" s="38">
        <v>0.95</v>
      </c>
      <c r="I98" s="14">
        <f t="shared" si="19"/>
        <v>0.477200252631579</v>
      </c>
      <c r="J98" s="13" t="s">
        <v>65</v>
      </c>
      <c r="K98" s="14">
        <v>42.352941176470502</v>
      </c>
      <c r="L98" s="41">
        <v>85.000000000000199</v>
      </c>
      <c r="M98" s="13">
        <v>2</v>
      </c>
      <c r="N98" s="13">
        <v>48.5</v>
      </c>
      <c r="O98" s="13">
        <v>0.76</v>
      </c>
      <c r="P98" s="13">
        <v>22.5</v>
      </c>
      <c r="Q98" s="14">
        <f t="shared" si="20"/>
        <v>0.265625000000001</v>
      </c>
      <c r="R98" s="14">
        <v>0</v>
      </c>
      <c r="S98" s="21">
        <v>2.2338E-2</v>
      </c>
      <c r="T98" s="21">
        <v>0.05</v>
      </c>
      <c r="U98" s="13">
        <v>0</v>
      </c>
      <c r="V98" s="14">
        <f t="shared" si="33"/>
        <v>1.19449149693444</v>
      </c>
      <c r="W98" s="13">
        <v>1.74</v>
      </c>
      <c r="X98" s="42">
        <f t="shared" si="21"/>
        <v>-0.54550850306555698</v>
      </c>
      <c r="Y98" s="44">
        <f t="shared" si="22"/>
        <v>4.1858816181044901E-2</v>
      </c>
      <c r="Z98" s="45">
        <f t="shared" si="23"/>
        <v>0.22237496096180201</v>
      </c>
      <c r="AA98" s="15">
        <f t="shared" si="24"/>
        <v>0.217576388888889</v>
      </c>
      <c r="AB98" s="45">
        <f t="shared" si="25"/>
        <v>0.18214980135671099</v>
      </c>
      <c r="AC98" s="46">
        <f t="shared" si="26"/>
        <v>1.8700844717043599E-2</v>
      </c>
      <c r="AD98" s="46">
        <f t="shared" si="27"/>
        <v>0</v>
      </c>
      <c r="AE98" s="46">
        <f t="shared" si="28"/>
        <v>0.60049924687093104</v>
      </c>
      <c r="AF98" s="47">
        <v>58483</v>
      </c>
      <c r="AG98" s="51">
        <f t="shared" si="29"/>
        <v>1.5129404622806999</v>
      </c>
      <c r="AH98" s="52">
        <f t="shared" si="30"/>
        <v>88481.297055562201</v>
      </c>
      <c r="AI98" s="53">
        <f t="shared" si="31"/>
        <v>69857.446215217002</v>
      </c>
      <c r="AJ98" s="53">
        <f t="shared" si="32"/>
        <v>101760.42</v>
      </c>
      <c r="AK98" s="1">
        <f t="shared" si="34"/>
        <v>3.1704519306882299</v>
      </c>
      <c r="AL98" s="33">
        <f t="shared" si="35"/>
        <v>-0.13049398719499999</v>
      </c>
    </row>
    <row r="99" spans="1:38">
      <c r="A99" s="10">
        <v>95</v>
      </c>
      <c r="B99" s="190" t="s">
        <v>240</v>
      </c>
      <c r="C99" s="191" t="s">
        <v>241</v>
      </c>
      <c r="D99" s="187" t="s">
        <v>43</v>
      </c>
      <c r="E99" s="37">
        <v>0</v>
      </c>
      <c r="F99" s="37">
        <v>7.6299999999999996E-3</v>
      </c>
      <c r="G99" s="14">
        <v>15.309699999999999</v>
      </c>
      <c r="H99" s="38">
        <v>0.85</v>
      </c>
      <c r="I99" s="14">
        <f t="shared" si="19"/>
        <v>0.137427071764706</v>
      </c>
      <c r="J99" s="13" t="s">
        <v>44</v>
      </c>
      <c r="K99" s="14">
        <v>60</v>
      </c>
      <c r="L99" s="41">
        <v>60</v>
      </c>
      <c r="M99" s="13">
        <v>4</v>
      </c>
      <c r="N99" s="13">
        <v>27.15</v>
      </c>
      <c r="O99" s="13">
        <v>0.76</v>
      </c>
      <c r="P99" s="13">
        <v>22.5</v>
      </c>
      <c r="Q99" s="14">
        <f t="shared" si="20"/>
        <v>9.375E-2</v>
      </c>
      <c r="R99" s="14">
        <v>0</v>
      </c>
      <c r="S99" s="21">
        <v>1.43116666666667E-2</v>
      </c>
      <c r="T99" s="21">
        <v>3.3333333333333298E-2</v>
      </c>
      <c r="U99" s="13">
        <v>0</v>
      </c>
      <c r="V99" s="14">
        <f t="shared" si="33"/>
        <v>0.40567167606920401</v>
      </c>
      <c r="W99" s="13">
        <v>0.81</v>
      </c>
      <c r="X99" s="42">
        <f t="shared" si="21"/>
        <v>-0.40432832393079599</v>
      </c>
      <c r="Y99" s="44">
        <f t="shared" si="22"/>
        <v>8.2168254033212096E-2</v>
      </c>
      <c r="Z99" s="45">
        <f t="shared" si="23"/>
        <v>0.231098214468409</v>
      </c>
      <c r="AA99" s="15">
        <f t="shared" si="24"/>
        <v>4.2987499999999998E-2</v>
      </c>
      <c r="AB99" s="45">
        <f t="shared" si="25"/>
        <v>0.10596623460758101</v>
      </c>
      <c r="AC99" s="46">
        <f t="shared" si="26"/>
        <v>3.5278939869159698E-2</v>
      </c>
      <c r="AD99" s="46">
        <f t="shared" si="27"/>
        <v>0</v>
      </c>
      <c r="AE99" s="46">
        <f t="shared" si="28"/>
        <v>0.66123572368591499</v>
      </c>
      <c r="AF99" s="47">
        <v>56835</v>
      </c>
      <c r="AG99" s="51">
        <f t="shared" si="29"/>
        <v>0.45889185764705898</v>
      </c>
      <c r="AH99" s="52">
        <f t="shared" si="30"/>
        <v>26081.118729370599</v>
      </c>
      <c r="AI99" s="53">
        <f t="shared" si="31"/>
        <v>23056.349709393198</v>
      </c>
      <c r="AJ99" s="53">
        <f t="shared" si="32"/>
        <v>46036.35</v>
      </c>
      <c r="AK99" s="1">
        <f t="shared" si="34"/>
        <v>3.3391663793342299</v>
      </c>
      <c r="AL99" s="33">
        <f t="shared" si="35"/>
        <v>-0.433466842411038</v>
      </c>
    </row>
    <row r="100" spans="1:38">
      <c r="A100" s="10">
        <v>96</v>
      </c>
      <c r="B100" s="190" t="s">
        <v>242</v>
      </c>
      <c r="C100" s="191" t="s">
        <v>243</v>
      </c>
      <c r="D100" s="187" t="s">
        <v>43</v>
      </c>
      <c r="E100" s="37">
        <v>0</v>
      </c>
      <c r="F100" s="37">
        <v>3.48E-3</v>
      </c>
      <c r="G100" s="14">
        <v>15.309699999999999</v>
      </c>
      <c r="H100" s="38">
        <v>0.95</v>
      </c>
      <c r="I100" s="14">
        <f t="shared" si="19"/>
        <v>5.6081848421052599E-2</v>
      </c>
      <c r="J100" s="13" t="s">
        <v>44</v>
      </c>
      <c r="K100" s="14">
        <v>60</v>
      </c>
      <c r="L100" s="41">
        <v>60</v>
      </c>
      <c r="M100" s="13">
        <v>4</v>
      </c>
      <c r="N100" s="13">
        <v>27.15</v>
      </c>
      <c r="O100" s="13">
        <v>0.76</v>
      </c>
      <c r="P100" s="13">
        <v>22.5</v>
      </c>
      <c r="Q100" s="14">
        <f t="shared" si="20"/>
        <v>9.375E-2</v>
      </c>
      <c r="R100" s="14">
        <v>0</v>
      </c>
      <c r="S100" s="21">
        <v>4.77055555555556E-3</v>
      </c>
      <c r="T100" s="21">
        <v>1.1111111111111099E-2</v>
      </c>
      <c r="U100" s="13">
        <v>0</v>
      </c>
      <c r="V100" s="14">
        <f t="shared" si="33"/>
        <v>0.241175852716528</v>
      </c>
      <c r="W100" s="13">
        <v>0.68</v>
      </c>
      <c r="X100" s="42">
        <f t="shared" si="21"/>
        <v>-0.43882414728347202</v>
      </c>
      <c r="Y100" s="44">
        <f t="shared" si="22"/>
        <v>4.60705787331488E-2</v>
      </c>
      <c r="Z100" s="45">
        <f t="shared" si="23"/>
        <v>0.38872050806094299</v>
      </c>
      <c r="AA100" s="15">
        <f t="shared" si="24"/>
        <v>4.2987499999999998E-2</v>
      </c>
      <c r="AB100" s="45">
        <f t="shared" si="25"/>
        <v>0.17824131029621099</v>
      </c>
      <c r="AC100" s="46">
        <f t="shared" si="26"/>
        <v>1.9780402979077499E-2</v>
      </c>
      <c r="AD100" s="46">
        <f t="shared" si="27"/>
        <v>0</v>
      </c>
      <c r="AE100" s="46">
        <f t="shared" si="28"/>
        <v>0.76746491081356405</v>
      </c>
      <c r="AF100" s="47">
        <v>48784</v>
      </c>
      <c r="AG100" s="51">
        <f t="shared" si="29"/>
        <v>0.30511068929824597</v>
      </c>
      <c r="AH100" s="52">
        <f t="shared" si="30"/>
        <v>14884.519866725601</v>
      </c>
      <c r="AI100" s="53">
        <f t="shared" si="31"/>
        <v>11765.522798923101</v>
      </c>
      <c r="AJ100" s="53">
        <f t="shared" si="32"/>
        <v>33173.120000000003</v>
      </c>
      <c r="AK100" s="1">
        <f t="shared" si="34"/>
        <v>5.4404535137203203</v>
      </c>
      <c r="AL100" s="33">
        <f t="shared" si="35"/>
        <v>-0.55130780985552097</v>
      </c>
    </row>
    <row r="101" spans="1:38">
      <c r="A101" s="10">
        <v>97</v>
      </c>
      <c r="B101" s="190" t="s">
        <v>244</v>
      </c>
      <c r="C101" s="191" t="s">
        <v>245</v>
      </c>
      <c r="D101" s="187" t="s">
        <v>43</v>
      </c>
      <c r="E101" s="37">
        <v>0</v>
      </c>
      <c r="F101" s="37">
        <v>1.383E-2</v>
      </c>
      <c r="G101" s="14">
        <v>15.309699999999999</v>
      </c>
      <c r="H101" s="38">
        <v>0.95</v>
      </c>
      <c r="I101" s="14">
        <f t="shared" si="19"/>
        <v>0.222877001052632</v>
      </c>
      <c r="J101" s="13" t="s">
        <v>44</v>
      </c>
      <c r="K101" s="14">
        <v>60</v>
      </c>
      <c r="L101" s="41">
        <v>60</v>
      </c>
      <c r="M101" s="13">
        <v>4</v>
      </c>
      <c r="N101" s="13">
        <v>27.15</v>
      </c>
      <c r="O101" s="13">
        <v>0.76</v>
      </c>
      <c r="P101" s="13">
        <v>22.5</v>
      </c>
      <c r="Q101" s="14">
        <f t="shared" si="20"/>
        <v>9.375E-2</v>
      </c>
      <c r="R101" s="14">
        <v>0.45</v>
      </c>
      <c r="S101" s="21">
        <v>1.43116666666667E-2</v>
      </c>
      <c r="T101" s="21">
        <v>3.3333333333333298E-2</v>
      </c>
      <c r="U101" s="13">
        <v>0</v>
      </c>
      <c r="V101" s="14">
        <f t="shared" si="33"/>
        <v>0.93132615386149598</v>
      </c>
      <c r="W101" s="13">
        <v>1.81</v>
      </c>
      <c r="X101" s="42">
        <f t="shared" si="21"/>
        <v>-0.87867384613850397</v>
      </c>
      <c r="Y101" s="44">
        <f t="shared" si="22"/>
        <v>3.5791256580871803E-2</v>
      </c>
      <c r="Z101" s="45">
        <f t="shared" si="23"/>
        <v>0.100662909133702</v>
      </c>
      <c r="AA101" s="15">
        <f t="shared" si="24"/>
        <v>4.2987499999999998E-2</v>
      </c>
      <c r="AB101" s="45">
        <f t="shared" si="25"/>
        <v>4.6157299268106897E-2</v>
      </c>
      <c r="AC101" s="46">
        <f t="shared" si="26"/>
        <v>1.5366976012997399E-2</v>
      </c>
      <c r="AD101" s="46">
        <f t="shared" si="27"/>
        <v>0</v>
      </c>
      <c r="AE101" s="46">
        <f t="shared" si="28"/>
        <v>0.76068856208050095</v>
      </c>
      <c r="AF101" s="47">
        <v>47668</v>
      </c>
      <c r="AG101" s="51">
        <f t="shared" si="29"/>
        <v>1.0820667515789499</v>
      </c>
      <c r="AH101" s="52">
        <f t="shared" si="30"/>
        <v>51579.957914265397</v>
      </c>
      <c r="AI101" s="53">
        <f t="shared" si="31"/>
        <v>44394.4551022698</v>
      </c>
      <c r="AJ101" s="53">
        <f t="shared" si="32"/>
        <v>86279.08</v>
      </c>
      <c r="AK101" s="1">
        <f t="shared" si="34"/>
        <v>4.85499511599863</v>
      </c>
      <c r="AL101" s="33">
        <f t="shared" si="35"/>
        <v>-0.40217306542599501</v>
      </c>
    </row>
    <row r="102" spans="1:38">
      <c r="A102" s="10">
        <v>98</v>
      </c>
      <c r="B102" s="190" t="s">
        <v>246</v>
      </c>
      <c r="C102" s="191" t="s">
        <v>247</v>
      </c>
      <c r="D102" s="187" t="s">
        <v>43</v>
      </c>
      <c r="E102" s="37">
        <v>0</v>
      </c>
      <c r="F102" s="37">
        <v>2.0799999999999998E-3</v>
      </c>
      <c r="G102" s="14">
        <v>15.309699999999999</v>
      </c>
      <c r="H102" s="38">
        <v>0.95</v>
      </c>
      <c r="I102" s="14">
        <f t="shared" si="19"/>
        <v>3.3520185263157899E-2</v>
      </c>
      <c r="J102" s="13" t="s">
        <v>44</v>
      </c>
      <c r="K102" s="14">
        <v>60</v>
      </c>
      <c r="L102" s="41">
        <v>60</v>
      </c>
      <c r="M102" s="13">
        <v>4</v>
      </c>
      <c r="N102" s="13">
        <v>27.15</v>
      </c>
      <c r="O102" s="13">
        <v>0.76</v>
      </c>
      <c r="P102" s="13">
        <v>22.5</v>
      </c>
      <c r="Q102" s="14">
        <f t="shared" si="20"/>
        <v>9.375E-2</v>
      </c>
      <c r="R102" s="14">
        <v>0</v>
      </c>
      <c r="S102" s="21">
        <v>4.77055555555556E-3</v>
      </c>
      <c r="T102" s="21">
        <v>1.1111111111111099E-2</v>
      </c>
      <c r="U102" s="13">
        <v>0</v>
      </c>
      <c r="V102" s="14">
        <f t="shared" si="33"/>
        <v>0.214814330500462</v>
      </c>
      <c r="W102" s="13">
        <v>0.2</v>
      </c>
      <c r="X102" s="42">
        <f t="shared" si="21"/>
        <v>1.48143305004617E-2</v>
      </c>
      <c r="Y102" s="44">
        <f t="shared" si="22"/>
        <v>5.17242545468223E-2</v>
      </c>
      <c r="Z102" s="45">
        <f t="shared" si="23"/>
        <v>0.436423397738814</v>
      </c>
      <c r="AA102" s="15">
        <f t="shared" si="24"/>
        <v>4.2987499999999998E-2</v>
      </c>
      <c r="AB102" s="45">
        <f t="shared" si="25"/>
        <v>0.20011467530983701</v>
      </c>
      <c r="AC102" s="46">
        <f t="shared" si="26"/>
        <v>2.2207808689678199E-2</v>
      </c>
      <c r="AD102" s="46">
        <f t="shared" si="27"/>
        <v>0</v>
      </c>
      <c r="AE102" s="46">
        <f t="shared" si="28"/>
        <v>0.84395740644925998</v>
      </c>
      <c r="AF102" s="47">
        <v>57194</v>
      </c>
      <c r="AG102" s="51">
        <f t="shared" si="29"/>
        <v>0.271268194561403</v>
      </c>
      <c r="AH102" s="52">
        <f t="shared" si="30"/>
        <v>15514.913119744901</v>
      </c>
      <c r="AI102" s="53">
        <f t="shared" si="31"/>
        <v>12286.090818643401</v>
      </c>
      <c r="AJ102" s="53">
        <f t="shared" si="32"/>
        <v>11438.8</v>
      </c>
      <c r="AK102" s="1">
        <f t="shared" ref="AK102:AK133" si="36">AG102/I102</f>
        <v>8.0926818402628093</v>
      </c>
      <c r="AL102" s="33">
        <f t="shared" ref="AL102:AL133" si="37">(AG102-W102)/W102</f>
        <v>0.35634097280701499</v>
      </c>
    </row>
    <row r="103" spans="1:38" ht="27">
      <c r="A103" s="10">
        <v>99</v>
      </c>
      <c r="B103" s="190" t="s">
        <v>248</v>
      </c>
      <c r="C103" s="192" t="s">
        <v>249</v>
      </c>
      <c r="D103" s="187" t="s">
        <v>43</v>
      </c>
      <c r="E103" s="37">
        <v>2.2000000000000001E-3</v>
      </c>
      <c r="F103" s="37">
        <v>2.31E-3</v>
      </c>
      <c r="G103" s="14">
        <v>15.309699999999999</v>
      </c>
      <c r="H103" s="38">
        <v>0.95</v>
      </c>
      <c r="I103" s="14">
        <f t="shared" si="19"/>
        <v>3.7226744210526297E-2</v>
      </c>
      <c r="J103" s="13" t="s">
        <v>44</v>
      </c>
      <c r="K103" s="14">
        <v>55.384615384615401</v>
      </c>
      <c r="L103" s="41">
        <v>65</v>
      </c>
      <c r="M103" s="13">
        <v>4</v>
      </c>
      <c r="N103" s="13">
        <v>27.15</v>
      </c>
      <c r="O103" s="13">
        <v>0.76</v>
      </c>
      <c r="P103" s="13">
        <v>22.5</v>
      </c>
      <c r="Q103" s="14">
        <f t="shared" si="20"/>
        <v>0.1015625</v>
      </c>
      <c r="R103" s="14">
        <v>0</v>
      </c>
      <c r="S103" s="21">
        <v>4.77055555555556E-3</v>
      </c>
      <c r="T103" s="21">
        <v>1.1111111111111099E-2</v>
      </c>
      <c r="U103" s="13">
        <v>0</v>
      </c>
      <c r="V103" s="14">
        <f t="shared" si="33"/>
        <v>0.23245906648107101</v>
      </c>
      <c r="W103" s="13">
        <v>0.21</v>
      </c>
      <c r="X103" s="42">
        <f t="shared" si="21"/>
        <v>2.2459066481071099E-2</v>
      </c>
      <c r="Y103" s="44">
        <f t="shared" si="22"/>
        <v>4.7798140461068499E-2</v>
      </c>
      <c r="Z103" s="45">
        <f t="shared" si="23"/>
        <v>0.43690487765195501</v>
      </c>
      <c r="AA103" s="15">
        <f t="shared" si="24"/>
        <v>4.65697916666667E-2</v>
      </c>
      <c r="AB103" s="45">
        <f t="shared" si="25"/>
        <v>0.20033544989934299</v>
      </c>
      <c r="AC103" s="46">
        <f t="shared" si="26"/>
        <v>2.0522131606959801E-2</v>
      </c>
      <c r="AD103" s="46">
        <f t="shared" si="27"/>
        <v>0</v>
      </c>
      <c r="AE103" s="46">
        <f t="shared" si="28"/>
        <v>0.83985677661852898</v>
      </c>
      <c r="AF103" s="47">
        <v>16420</v>
      </c>
      <c r="AG103" s="51">
        <f t="shared" si="29"/>
        <v>0.29392022048245597</v>
      </c>
      <c r="AH103" s="52">
        <f t="shared" si="30"/>
        <v>4826.1700203219298</v>
      </c>
      <c r="AI103" s="53">
        <f t="shared" si="31"/>
        <v>3816.97787161919</v>
      </c>
      <c r="AJ103" s="53">
        <f t="shared" si="32"/>
        <v>3448.2</v>
      </c>
      <c r="AK103" s="1">
        <f t="shared" si="36"/>
        <v>7.89540494920172</v>
      </c>
      <c r="AL103" s="33">
        <f t="shared" si="37"/>
        <v>0.39962009753550498</v>
      </c>
    </row>
    <row r="104" spans="1:38">
      <c r="A104" s="10">
        <v>100</v>
      </c>
      <c r="B104" s="190" t="s">
        <v>250</v>
      </c>
      <c r="C104" s="191" t="s">
        <v>251</v>
      </c>
      <c r="D104" s="187" t="s">
        <v>252</v>
      </c>
      <c r="E104" s="37">
        <v>2.7E-2</v>
      </c>
      <c r="F104" s="37">
        <v>2.835E-2</v>
      </c>
      <c r="G104" s="14">
        <v>9.0265486725663706</v>
      </c>
      <c r="H104" s="38">
        <v>0.95</v>
      </c>
      <c r="I104" s="14">
        <f t="shared" si="19"/>
        <v>0.26937121564974398</v>
      </c>
      <c r="J104" s="13" t="s">
        <v>65</v>
      </c>
      <c r="K104" s="14">
        <v>55.384615384615401</v>
      </c>
      <c r="L104" s="41">
        <v>65</v>
      </c>
      <c r="M104" s="13">
        <v>2</v>
      </c>
      <c r="N104" s="13">
        <v>48.5</v>
      </c>
      <c r="O104" s="13">
        <v>0.76</v>
      </c>
      <c r="P104" s="13">
        <v>22.5</v>
      </c>
      <c r="Q104" s="14">
        <f t="shared" si="20"/>
        <v>0.203125</v>
      </c>
      <c r="R104" s="14">
        <v>0</v>
      </c>
      <c r="S104" s="21">
        <v>0.10657111111111101</v>
      </c>
      <c r="T104" s="21">
        <v>0.22222222222222199</v>
      </c>
      <c r="U104" s="13">
        <v>0</v>
      </c>
      <c r="V104" s="14">
        <f t="shared" si="33"/>
        <v>1.0752720256539099</v>
      </c>
      <c r="W104" s="13">
        <v>1.1399999999999999</v>
      </c>
      <c r="X104" s="42">
        <f t="shared" si="21"/>
        <v>-6.4727974346088901E-2</v>
      </c>
      <c r="Y104" s="44">
        <f t="shared" si="22"/>
        <v>0.20666605000449101</v>
      </c>
      <c r="Z104" s="45">
        <f t="shared" si="23"/>
        <v>0.18890568633223101</v>
      </c>
      <c r="AA104" s="15">
        <f t="shared" si="24"/>
        <v>0.16638194444444401</v>
      </c>
      <c r="AB104" s="45">
        <f t="shared" si="25"/>
        <v>0.15473474662680001</v>
      </c>
      <c r="AC104" s="46">
        <f t="shared" si="26"/>
        <v>9.9110837600654006E-2</v>
      </c>
      <c r="AD104" s="46">
        <f t="shared" si="27"/>
        <v>0</v>
      </c>
      <c r="AE104" s="46">
        <f t="shared" si="28"/>
        <v>0.74948551694541699</v>
      </c>
      <c r="AF104" s="47">
        <v>1432</v>
      </c>
      <c r="AG104" s="51">
        <f t="shared" si="29"/>
        <v>1.28711057347462</v>
      </c>
      <c r="AH104" s="52">
        <f t="shared" si="30"/>
        <v>1843.1423412156601</v>
      </c>
      <c r="AI104" s="53">
        <f t="shared" si="31"/>
        <v>1539.7895407364001</v>
      </c>
      <c r="AJ104" s="53">
        <f t="shared" si="32"/>
        <v>1632.48</v>
      </c>
      <c r="AK104" s="1">
        <f t="shared" si="36"/>
        <v>4.77820382690114</v>
      </c>
      <c r="AL104" s="33">
        <f t="shared" si="37"/>
        <v>0.12904436269703501</v>
      </c>
    </row>
    <row r="105" spans="1:38">
      <c r="A105" s="10">
        <v>101</v>
      </c>
      <c r="B105" s="190" t="s">
        <v>253</v>
      </c>
      <c r="C105" s="191" t="s">
        <v>254</v>
      </c>
      <c r="D105" s="187" t="s">
        <v>252</v>
      </c>
      <c r="E105" s="37">
        <v>3.3000000000000002E-2</v>
      </c>
      <c r="F105" s="37">
        <v>3.465E-2</v>
      </c>
      <c r="G105" s="14">
        <v>9.0265486725663706</v>
      </c>
      <c r="H105" s="38">
        <v>0.95</v>
      </c>
      <c r="I105" s="14">
        <f t="shared" si="19"/>
        <v>0.32923148579413097</v>
      </c>
      <c r="J105" s="13" t="s">
        <v>65</v>
      </c>
      <c r="K105" s="14">
        <v>51.428571428571502</v>
      </c>
      <c r="L105" s="41">
        <v>69.999999999999901</v>
      </c>
      <c r="M105" s="13">
        <v>2</v>
      </c>
      <c r="N105" s="13">
        <v>48.5</v>
      </c>
      <c r="O105" s="13">
        <v>0.76</v>
      </c>
      <c r="P105" s="13">
        <v>22.5</v>
      </c>
      <c r="Q105" s="14">
        <f t="shared" si="20"/>
        <v>0.21875</v>
      </c>
      <c r="R105" s="14">
        <v>0</v>
      </c>
      <c r="S105" s="21">
        <v>0.10657111111111101</v>
      </c>
      <c r="T105" s="21">
        <v>0.22222222222222199</v>
      </c>
      <c r="U105" s="13">
        <v>0</v>
      </c>
      <c r="V105" s="14">
        <f t="shared" si="33"/>
        <v>1.17842477112086</v>
      </c>
      <c r="W105" s="13">
        <v>1.2</v>
      </c>
      <c r="X105" s="42">
        <f t="shared" si="21"/>
        <v>-2.1575228879138399E-2</v>
      </c>
      <c r="Y105" s="44">
        <f t="shared" si="22"/>
        <v>0.188575654270111</v>
      </c>
      <c r="Z105" s="45">
        <f t="shared" si="23"/>
        <v>0.18562915967214</v>
      </c>
      <c r="AA105" s="15">
        <f t="shared" si="24"/>
        <v>0.17918055555555501</v>
      </c>
      <c r="AB105" s="45">
        <f t="shared" si="25"/>
        <v>0.15205090723366799</v>
      </c>
      <c r="AC105" s="46">
        <f t="shared" si="26"/>
        <v>9.0435226518316994E-2</v>
      </c>
      <c r="AD105" s="46">
        <f t="shared" si="27"/>
        <v>0</v>
      </c>
      <c r="AE105" s="46">
        <f t="shared" si="28"/>
        <v>0.72061730722022899</v>
      </c>
      <c r="AF105" s="47">
        <v>4079</v>
      </c>
      <c r="AG105" s="51">
        <f t="shared" si="29"/>
        <v>1.4195363953578599</v>
      </c>
      <c r="AH105" s="52">
        <f t="shared" si="30"/>
        <v>5790.28895666471</v>
      </c>
      <c r="AI105" s="53">
        <f t="shared" si="31"/>
        <v>4806.7946414019898</v>
      </c>
      <c r="AJ105" s="53">
        <f t="shared" si="32"/>
        <v>4894.8</v>
      </c>
      <c r="AK105" s="1">
        <f t="shared" si="36"/>
        <v>4.3116665829631504</v>
      </c>
      <c r="AL105" s="33">
        <f t="shared" si="37"/>
        <v>0.18294699613154999</v>
      </c>
    </row>
    <row r="106" spans="1:38">
      <c r="A106" s="10">
        <v>102</v>
      </c>
      <c r="B106" s="190" t="s">
        <v>255</v>
      </c>
      <c r="C106" s="192" t="s">
        <v>256</v>
      </c>
      <c r="D106" s="187" t="s">
        <v>257</v>
      </c>
      <c r="E106" s="37">
        <v>2.9000000000000001E-2</v>
      </c>
      <c r="F106" s="37">
        <v>3.0450000000000001E-2</v>
      </c>
      <c r="G106" s="14">
        <v>6.6371681415929196</v>
      </c>
      <c r="H106" s="38">
        <v>0.95</v>
      </c>
      <c r="I106" s="14">
        <f t="shared" si="19"/>
        <v>0.21273870517000501</v>
      </c>
      <c r="J106" s="13" t="s">
        <v>65</v>
      </c>
      <c r="K106" s="14">
        <v>51.428571428571502</v>
      </c>
      <c r="L106" s="41">
        <v>69.999999999999901</v>
      </c>
      <c r="M106" s="13">
        <v>2</v>
      </c>
      <c r="N106" s="13">
        <v>48.5</v>
      </c>
      <c r="O106" s="13">
        <v>0.76</v>
      </c>
      <c r="P106" s="13">
        <v>22.5</v>
      </c>
      <c r="Q106" s="14">
        <f t="shared" si="20"/>
        <v>0.21875</v>
      </c>
      <c r="R106" s="14">
        <v>0</v>
      </c>
      <c r="S106" s="21">
        <v>0.10657111111111101</v>
      </c>
      <c r="T106" s="21">
        <v>0.22222222222222199</v>
      </c>
      <c r="U106" s="13">
        <v>0</v>
      </c>
      <c r="V106" s="14">
        <f t="shared" si="33"/>
        <v>1.0423121537600399</v>
      </c>
      <c r="W106" s="13">
        <v>1.2</v>
      </c>
      <c r="X106" s="42">
        <f t="shared" si="21"/>
        <v>-0.15768784623995999</v>
      </c>
      <c r="Y106" s="44">
        <f t="shared" si="22"/>
        <v>0.213201219443309</v>
      </c>
      <c r="Z106" s="45">
        <f t="shared" si="23"/>
        <v>0.20986995038950701</v>
      </c>
      <c r="AA106" s="15">
        <f t="shared" si="24"/>
        <v>0.17918055555555501</v>
      </c>
      <c r="AB106" s="45">
        <f t="shared" si="25"/>
        <v>0.171906808252382</v>
      </c>
      <c r="AC106" s="46">
        <f t="shared" si="26"/>
        <v>0.102244908808428</v>
      </c>
      <c r="AD106" s="46">
        <f t="shared" si="27"/>
        <v>0</v>
      </c>
      <c r="AE106" s="46">
        <f t="shared" si="28"/>
        <v>0.79589731885734005</v>
      </c>
      <c r="AF106" s="47">
        <v>0</v>
      </c>
      <c r="AG106" s="51">
        <f t="shared" si="29"/>
        <v>1.2447972244216701</v>
      </c>
      <c r="AH106" s="52">
        <f t="shared" si="30"/>
        <v>0</v>
      </c>
      <c r="AI106" s="53">
        <f t="shared" si="31"/>
        <v>0</v>
      </c>
      <c r="AJ106" s="53">
        <f t="shared" si="32"/>
        <v>0</v>
      </c>
    </row>
    <row r="107" spans="1:38">
      <c r="A107" s="10">
        <v>103</v>
      </c>
      <c r="B107" s="190" t="s">
        <v>258</v>
      </c>
      <c r="C107" s="192" t="s">
        <v>259</v>
      </c>
      <c r="D107" s="187" t="s">
        <v>257</v>
      </c>
      <c r="E107" s="37">
        <v>2.9000000000000001E-2</v>
      </c>
      <c r="F107" s="37">
        <v>3.0450000000000001E-2</v>
      </c>
      <c r="G107" s="14">
        <v>6.6371681415929196</v>
      </c>
      <c r="H107" s="38">
        <v>0.95</v>
      </c>
      <c r="I107" s="14">
        <f t="shared" si="19"/>
        <v>0.21273870517000501</v>
      </c>
      <c r="J107" s="13" t="s">
        <v>65</v>
      </c>
      <c r="K107" s="14">
        <v>51.428571428571502</v>
      </c>
      <c r="L107" s="41">
        <v>69.999999999999901</v>
      </c>
      <c r="M107" s="13">
        <v>2</v>
      </c>
      <c r="N107" s="13">
        <v>48.5</v>
      </c>
      <c r="O107" s="13">
        <v>0.76</v>
      </c>
      <c r="P107" s="13">
        <v>22.5</v>
      </c>
      <c r="Q107" s="14">
        <f t="shared" si="20"/>
        <v>0.21875</v>
      </c>
      <c r="R107" s="14">
        <v>0</v>
      </c>
      <c r="S107" s="21">
        <v>0.10657111111111101</v>
      </c>
      <c r="T107" s="21">
        <v>0.22222222222222199</v>
      </c>
      <c r="U107" s="13">
        <v>0</v>
      </c>
      <c r="V107" s="14">
        <f t="shared" si="33"/>
        <v>1.0423121537600399</v>
      </c>
      <c r="W107" s="13">
        <v>1.2</v>
      </c>
      <c r="X107" s="42">
        <f t="shared" si="21"/>
        <v>-0.15768784623995999</v>
      </c>
      <c r="Y107" s="44">
        <f t="shared" si="22"/>
        <v>0.213201219443309</v>
      </c>
      <c r="Z107" s="45">
        <f t="shared" si="23"/>
        <v>0.20986995038950701</v>
      </c>
      <c r="AA107" s="15">
        <f t="shared" si="24"/>
        <v>0.17918055555555501</v>
      </c>
      <c r="AB107" s="45">
        <f t="shared" si="25"/>
        <v>0.171906808252382</v>
      </c>
      <c r="AC107" s="46">
        <f t="shared" si="26"/>
        <v>0.102244908808428</v>
      </c>
      <c r="AD107" s="46">
        <f t="shared" si="27"/>
        <v>0</v>
      </c>
      <c r="AE107" s="46">
        <f t="shared" si="28"/>
        <v>0.79589731885734005</v>
      </c>
      <c r="AF107" s="47"/>
      <c r="AG107" s="51">
        <f t="shared" si="29"/>
        <v>1.2447972244216701</v>
      </c>
      <c r="AH107" s="52">
        <f t="shared" si="30"/>
        <v>0</v>
      </c>
      <c r="AI107" s="53">
        <f t="shared" si="31"/>
        <v>0</v>
      </c>
      <c r="AJ107" s="53">
        <f t="shared" si="32"/>
        <v>0</v>
      </c>
    </row>
    <row r="108" spans="1:38" ht="40.5">
      <c r="A108" s="10">
        <v>104</v>
      </c>
      <c r="B108" s="190" t="s">
        <v>260</v>
      </c>
      <c r="C108" s="192" t="s">
        <v>261</v>
      </c>
      <c r="D108" s="187" t="s">
        <v>59</v>
      </c>
      <c r="E108" s="37">
        <v>3.1E-2</v>
      </c>
      <c r="F108" s="37">
        <v>3.2550000000000003E-2</v>
      </c>
      <c r="G108" s="14">
        <v>18.584099999999999</v>
      </c>
      <c r="H108" s="38">
        <v>0.95</v>
      </c>
      <c r="I108" s="14">
        <f t="shared" si="19"/>
        <v>0.63674995263157896</v>
      </c>
      <c r="J108" s="13" t="s">
        <v>65</v>
      </c>
      <c r="K108" s="14">
        <v>30</v>
      </c>
      <c r="L108" s="41">
        <v>120</v>
      </c>
      <c r="M108" s="13">
        <v>2</v>
      </c>
      <c r="N108" s="13">
        <v>48.5</v>
      </c>
      <c r="O108" s="13">
        <v>0.76</v>
      </c>
      <c r="P108" s="13">
        <v>22.5</v>
      </c>
      <c r="Q108" s="14">
        <f t="shared" si="20"/>
        <v>0.375</v>
      </c>
      <c r="R108" s="14">
        <v>0.9</v>
      </c>
      <c r="S108" s="21">
        <v>8.4124000000000004E-2</v>
      </c>
      <c r="T108" s="21">
        <v>0.2</v>
      </c>
      <c r="U108" s="13">
        <v>0</v>
      </c>
      <c r="V108" s="14">
        <f t="shared" si="33"/>
        <v>2.7521739446537401</v>
      </c>
      <c r="W108" s="13">
        <v>3.33</v>
      </c>
      <c r="X108" s="42">
        <f t="shared" si="21"/>
        <v>-0.57782605534625997</v>
      </c>
      <c r="Y108" s="44">
        <f t="shared" si="22"/>
        <v>7.2669825389674897E-2</v>
      </c>
      <c r="Z108" s="45">
        <f t="shared" si="23"/>
        <v>0.13625592260564001</v>
      </c>
      <c r="AA108" s="15">
        <f t="shared" si="24"/>
        <v>0.30716666666666698</v>
      </c>
      <c r="AB108" s="45">
        <f t="shared" si="25"/>
        <v>0.11160874016097599</v>
      </c>
      <c r="AC108" s="46">
        <f t="shared" si="26"/>
        <v>3.0566381955404998E-2</v>
      </c>
      <c r="AD108" s="46">
        <f t="shared" si="27"/>
        <v>0</v>
      </c>
      <c r="AE108" s="46">
        <f t="shared" si="28"/>
        <v>0.76863746062689697</v>
      </c>
      <c r="AF108" s="47">
        <v>6856</v>
      </c>
      <c r="AG108" s="51">
        <f t="shared" si="29"/>
        <v>3.2524989289473698</v>
      </c>
      <c r="AH108" s="52">
        <f t="shared" si="30"/>
        <v>22299.132656863199</v>
      </c>
      <c r="AI108" s="53">
        <f t="shared" si="31"/>
        <v>18868.904564545999</v>
      </c>
      <c r="AJ108" s="53">
        <f t="shared" si="32"/>
        <v>22830.48</v>
      </c>
      <c r="AK108" s="1">
        <f t="shared" si="36"/>
        <v>5.1079688588987704</v>
      </c>
      <c r="AL108" s="33">
        <f>(AG108-W108)/W108</f>
        <v>-2.3273594910699798E-2</v>
      </c>
    </row>
    <row r="109" spans="1:38" ht="40.5">
      <c r="A109" s="10">
        <v>105</v>
      </c>
      <c r="B109" s="190" t="s">
        <v>262</v>
      </c>
      <c r="C109" s="192" t="s">
        <v>263</v>
      </c>
      <c r="D109" s="187" t="s">
        <v>59</v>
      </c>
      <c r="E109" s="37">
        <v>2.5999999999999999E-2</v>
      </c>
      <c r="F109" s="37">
        <v>2.7300000000000001E-2</v>
      </c>
      <c r="G109" s="14">
        <v>18.584099999999999</v>
      </c>
      <c r="H109" s="38">
        <v>0.9</v>
      </c>
      <c r="I109" s="14">
        <f t="shared" si="19"/>
        <v>0.56371769999999999</v>
      </c>
      <c r="J109" s="13" t="s">
        <v>65</v>
      </c>
      <c r="K109" s="14">
        <v>30</v>
      </c>
      <c r="L109" s="41">
        <v>120</v>
      </c>
      <c r="M109" s="13">
        <v>2</v>
      </c>
      <c r="N109" s="13">
        <v>48.5</v>
      </c>
      <c r="O109" s="13">
        <v>0.76</v>
      </c>
      <c r="P109" s="13">
        <v>22.5</v>
      </c>
      <c r="Q109" s="14">
        <f t="shared" si="20"/>
        <v>0.375</v>
      </c>
      <c r="R109" s="14">
        <v>0.9</v>
      </c>
      <c r="S109" s="21">
        <v>8.4124000000000004E-2</v>
      </c>
      <c r="T109" s="21">
        <v>0.2</v>
      </c>
      <c r="U109" s="13">
        <v>0</v>
      </c>
      <c r="V109" s="14">
        <f t="shared" si="33"/>
        <v>2.74771471888889</v>
      </c>
      <c r="W109" s="13">
        <v>4.28</v>
      </c>
      <c r="X109" s="42">
        <f t="shared" si="21"/>
        <v>-1.5322852811111101</v>
      </c>
      <c r="Y109" s="44">
        <f t="shared" si="22"/>
        <v>7.2787760179439304E-2</v>
      </c>
      <c r="Z109" s="45">
        <f t="shared" si="23"/>
        <v>0.136477050336449</v>
      </c>
      <c r="AA109" s="15">
        <f t="shared" si="24"/>
        <v>0.30716666666666698</v>
      </c>
      <c r="AB109" s="45">
        <f t="shared" si="25"/>
        <v>0.111789868342256</v>
      </c>
      <c r="AC109" s="46">
        <f t="shared" si="26"/>
        <v>3.06159876866758E-2</v>
      </c>
      <c r="AD109" s="46">
        <f t="shared" si="27"/>
        <v>0</v>
      </c>
      <c r="AE109" s="46">
        <f t="shared" si="28"/>
        <v>0.79484125621747403</v>
      </c>
      <c r="AF109" s="47">
        <v>0</v>
      </c>
      <c r="AG109" s="51">
        <f t="shared" si="29"/>
        <v>3.1429505500000001</v>
      </c>
      <c r="AH109" s="52">
        <f t="shared" si="30"/>
        <v>0</v>
      </c>
      <c r="AI109" s="53">
        <f t="shared" si="31"/>
        <v>0</v>
      </c>
      <c r="AJ109" s="53">
        <f t="shared" si="32"/>
        <v>0</v>
      </c>
    </row>
    <row r="110" spans="1:38" ht="27">
      <c r="A110" s="10">
        <v>106</v>
      </c>
      <c r="B110" s="190" t="s">
        <v>264</v>
      </c>
      <c r="C110" s="192" t="s">
        <v>265</v>
      </c>
      <c r="D110" s="187" t="s">
        <v>59</v>
      </c>
      <c r="E110" s="37">
        <v>2.5999999999999999E-2</v>
      </c>
      <c r="F110" s="37">
        <v>2.7300000000000001E-2</v>
      </c>
      <c r="G110" s="14">
        <v>18.584099999999999</v>
      </c>
      <c r="H110" s="38">
        <v>0.9</v>
      </c>
      <c r="I110" s="14">
        <f t="shared" si="19"/>
        <v>0.56371769999999999</v>
      </c>
      <c r="J110" s="13" t="s">
        <v>120</v>
      </c>
      <c r="K110" s="14">
        <v>48</v>
      </c>
      <c r="L110" s="41">
        <v>75</v>
      </c>
      <c r="M110" s="13">
        <v>2</v>
      </c>
      <c r="N110" s="13">
        <v>39.75</v>
      </c>
      <c r="O110" s="13">
        <v>0.76</v>
      </c>
      <c r="P110" s="13">
        <v>22.5</v>
      </c>
      <c r="Q110" s="14">
        <f t="shared" si="20"/>
        <v>0.234375</v>
      </c>
      <c r="R110" s="14">
        <v>0</v>
      </c>
      <c r="S110" s="21">
        <v>0.10657111111111101</v>
      </c>
      <c r="T110" s="21">
        <v>0.22222222222222199</v>
      </c>
      <c r="U110" s="13">
        <v>0.3</v>
      </c>
      <c r="V110" s="14">
        <f t="shared" si="33"/>
        <v>1.807164955</v>
      </c>
      <c r="W110" s="13">
        <v>3.27</v>
      </c>
      <c r="X110" s="42">
        <f t="shared" si="21"/>
        <v>-1.4628350450000001</v>
      </c>
      <c r="Y110" s="44">
        <f t="shared" si="22"/>
        <v>0.12296731496888801</v>
      </c>
      <c r="Z110" s="45">
        <f t="shared" si="23"/>
        <v>0.12969209000625001</v>
      </c>
      <c r="AA110" s="15">
        <f t="shared" si="24"/>
        <v>0.15734375</v>
      </c>
      <c r="AB110" s="45">
        <f t="shared" si="25"/>
        <v>8.7066623090862202E-2</v>
      </c>
      <c r="AC110" s="46">
        <f t="shared" si="26"/>
        <v>5.8971435239629798E-2</v>
      </c>
      <c r="AD110" s="46">
        <f t="shared" si="27"/>
        <v>0.166005875207999</v>
      </c>
      <c r="AE110" s="46">
        <f t="shared" si="28"/>
        <v>0.68806516613753199</v>
      </c>
      <c r="AF110" s="47"/>
      <c r="AG110" s="51">
        <f t="shared" si="29"/>
        <v>2.0619480083333301</v>
      </c>
      <c r="AH110" s="52">
        <f t="shared" si="30"/>
        <v>0</v>
      </c>
      <c r="AI110" s="53">
        <f t="shared" si="31"/>
        <v>0</v>
      </c>
      <c r="AJ110" s="53">
        <f t="shared" si="32"/>
        <v>0</v>
      </c>
    </row>
    <row r="111" spans="1:38" ht="27">
      <c r="A111" s="10">
        <v>107</v>
      </c>
      <c r="B111" s="190" t="s">
        <v>266</v>
      </c>
      <c r="C111" s="192" t="s">
        <v>267</v>
      </c>
      <c r="D111" s="187" t="s">
        <v>59</v>
      </c>
      <c r="E111" s="37">
        <v>2.5999999999999999E-2</v>
      </c>
      <c r="F111" s="37">
        <v>2.7300000000000001E-2</v>
      </c>
      <c r="G111" s="14">
        <v>18.584099999999999</v>
      </c>
      <c r="H111" s="38">
        <v>0.9</v>
      </c>
      <c r="I111" s="14">
        <f t="shared" si="19"/>
        <v>0.56371769999999999</v>
      </c>
      <c r="J111" s="13" t="s">
        <v>120</v>
      </c>
      <c r="K111" s="14">
        <v>48</v>
      </c>
      <c r="L111" s="41">
        <v>75</v>
      </c>
      <c r="M111" s="13">
        <v>2</v>
      </c>
      <c r="N111" s="13">
        <v>39.75</v>
      </c>
      <c r="O111" s="13">
        <v>0.76</v>
      </c>
      <c r="P111" s="13">
        <v>22.5</v>
      </c>
      <c r="Q111" s="14">
        <f t="shared" si="20"/>
        <v>0.234375</v>
      </c>
      <c r="R111" s="14">
        <v>0</v>
      </c>
      <c r="S111" s="21">
        <v>0.10657111111111101</v>
      </c>
      <c r="T111" s="21">
        <v>0.22222222222222199</v>
      </c>
      <c r="U111" s="13">
        <v>0.3</v>
      </c>
      <c r="V111" s="14">
        <f t="shared" si="33"/>
        <v>1.807164955</v>
      </c>
      <c r="W111" s="13">
        <v>3.29</v>
      </c>
      <c r="X111" s="42">
        <f t="shared" si="21"/>
        <v>-1.4828350450000001</v>
      </c>
      <c r="Y111" s="44">
        <f t="shared" si="22"/>
        <v>0.12296731496888801</v>
      </c>
      <c r="Z111" s="45">
        <f t="shared" si="23"/>
        <v>0.12969209000625001</v>
      </c>
      <c r="AA111" s="15">
        <f t="shared" si="24"/>
        <v>0.15734375</v>
      </c>
      <c r="AB111" s="45">
        <f t="shared" si="25"/>
        <v>8.7066623090862202E-2</v>
      </c>
      <c r="AC111" s="46">
        <f t="shared" si="26"/>
        <v>5.8971435239629798E-2</v>
      </c>
      <c r="AD111" s="46">
        <f t="shared" si="27"/>
        <v>0.166005875207999</v>
      </c>
      <c r="AE111" s="46">
        <f t="shared" si="28"/>
        <v>0.68806516613753199</v>
      </c>
      <c r="AF111" s="47"/>
      <c r="AG111" s="51">
        <f t="shared" si="29"/>
        <v>2.0619480083333301</v>
      </c>
      <c r="AH111" s="52">
        <f t="shared" si="30"/>
        <v>0</v>
      </c>
      <c r="AI111" s="53">
        <f t="shared" si="31"/>
        <v>0</v>
      </c>
      <c r="AJ111" s="53">
        <f t="shared" si="32"/>
        <v>0</v>
      </c>
    </row>
    <row r="112" spans="1:38" ht="27">
      <c r="A112" s="10">
        <v>108</v>
      </c>
      <c r="B112" s="190" t="s">
        <v>268</v>
      </c>
      <c r="C112" s="192" t="s">
        <v>269</v>
      </c>
      <c r="D112" s="187" t="s">
        <v>86</v>
      </c>
      <c r="E112" s="37">
        <v>0</v>
      </c>
      <c r="F112" s="37">
        <v>2.5729999999999999E-2</v>
      </c>
      <c r="G112" s="14">
        <v>13.716799999999999</v>
      </c>
      <c r="H112" s="38">
        <v>0.98</v>
      </c>
      <c r="I112" s="14">
        <f t="shared" si="19"/>
        <v>0.360135983673469</v>
      </c>
      <c r="J112" s="13" t="s">
        <v>270</v>
      </c>
      <c r="K112" s="14">
        <v>80</v>
      </c>
      <c r="L112" s="41">
        <v>45</v>
      </c>
      <c r="M112" s="13">
        <v>2</v>
      </c>
      <c r="N112" s="13">
        <v>47.5</v>
      </c>
      <c r="O112" s="13">
        <v>0.76</v>
      </c>
      <c r="P112" s="13">
        <v>22.5</v>
      </c>
      <c r="Q112" s="14">
        <f t="shared" si="20"/>
        <v>0.140625</v>
      </c>
      <c r="R112" s="14">
        <v>0</v>
      </c>
      <c r="S112" s="21">
        <v>2.2338E-2</v>
      </c>
      <c r="T112" s="21">
        <v>0.05</v>
      </c>
      <c r="U112" s="13">
        <v>0</v>
      </c>
      <c r="V112" s="14">
        <f t="shared" si="33"/>
        <v>0.76730388456892995</v>
      </c>
      <c r="W112" s="13">
        <v>1.34</v>
      </c>
      <c r="X112" s="42">
        <f t="shared" si="21"/>
        <v>-0.57269611543107002</v>
      </c>
      <c r="Y112" s="44">
        <f t="shared" si="22"/>
        <v>6.5163230638523306E-2</v>
      </c>
      <c r="Z112" s="45">
        <f t="shared" si="23"/>
        <v>0.18327158617084699</v>
      </c>
      <c r="AA112" s="15">
        <f t="shared" si="24"/>
        <v>0.1128125</v>
      </c>
      <c r="AB112" s="45">
        <f t="shared" si="25"/>
        <v>0.14702453912816801</v>
      </c>
      <c r="AC112" s="46">
        <f t="shared" si="26"/>
        <v>2.9112324920066698E-2</v>
      </c>
      <c r="AD112" s="46">
        <f t="shared" si="27"/>
        <v>0</v>
      </c>
      <c r="AE112" s="46">
        <f t="shared" si="28"/>
        <v>0.53064751669308496</v>
      </c>
      <c r="AF112" s="47">
        <v>30594</v>
      </c>
      <c r="AG112" s="51">
        <f t="shared" si="29"/>
        <v>0.99269822551020404</v>
      </c>
      <c r="AH112" s="52">
        <f t="shared" si="30"/>
        <v>30370.609511259201</v>
      </c>
      <c r="AI112" s="53">
        <f t="shared" si="31"/>
        <v>23474.895044501802</v>
      </c>
      <c r="AJ112" s="53">
        <f t="shared" si="32"/>
        <v>40995.96</v>
      </c>
      <c r="AK112" s="1">
        <f t="shared" si="36"/>
        <v>2.7564538688538001</v>
      </c>
      <c r="AL112" s="33">
        <f t="shared" si="37"/>
        <v>-0.25918042872372798</v>
      </c>
    </row>
    <row r="113" spans="1:38" ht="27">
      <c r="A113" s="10">
        <v>109</v>
      </c>
      <c r="B113" s="190" t="s">
        <v>271</v>
      </c>
      <c r="C113" s="192" t="s">
        <v>272</v>
      </c>
      <c r="D113" s="187" t="s">
        <v>86</v>
      </c>
      <c r="E113" s="37">
        <v>1.7999999999999999E-2</v>
      </c>
      <c r="F113" s="37">
        <v>1.89E-2</v>
      </c>
      <c r="G113" s="14">
        <v>13.716799999999999</v>
      </c>
      <c r="H113" s="38">
        <v>0.98</v>
      </c>
      <c r="I113" s="14">
        <f t="shared" si="19"/>
        <v>0.264538285714286</v>
      </c>
      <c r="J113" s="13" t="s">
        <v>65</v>
      </c>
      <c r="K113" s="14">
        <v>48</v>
      </c>
      <c r="L113" s="41">
        <v>75</v>
      </c>
      <c r="M113" s="13">
        <v>2</v>
      </c>
      <c r="N113" s="13">
        <v>48.5</v>
      </c>
      <c r="O113" s="13">
        <v>0.76</v>
      </c>
      <c r="P113" s="13">
        <v>22.5</v>
      </c>
      <c r="Q113" s="14">
        <f t="shared" si="20"/>
        <v>0.234375</v>
      </c>
      <c r="R113" s="14">
        <v>0</v>
      </c>
      <c r="S113" s="21">
        <v>0.10657111111111101</v>
      </c>
      <c r="T113" s="21">
        <v>0.22222222222222199</v>
      </c>
      <c r="U113" s="13">
        <v>0</v>
      </c>
      <c r="V113" s="14">
        <f t="shared" si="33"/>
        <v>1.1113347844995101</v>
      </c>
      <c r="W113" s="13">
        <v>1.18</v>
      </c>
      <c r="X113" s="42">
        <f t="shared" si="21"/>
        <v>-6.8665215500485904E-2</v>
      </c>
      <c r="Y113" s="44">
        <f t="shared" si="22"/>
        <v>0.199959746893281</v>
      </c>
      <c r="Z113" s="45">
        <f t="shared" si="23"/>
        <v>0.21089504555150801</v>
      </c>
      <c r="AA113" s="15">
        <f t="shared" si="24"/>
        <v>0.19197916666666701</v>
      </c>
      <c r="AB113" s="45">
        <f t="shared" si="25"/>
        <v>0.17274647508952401</v>
      </c>
      <c r="AC113" s="46">
        <f t="shared" si="26"/>
        <v>9.5894695817610898E-2</v>
      </c>
      <c r="AD113" s="46">
        <f t="shared" si="27"/>
        <v>0</v>
      </c>
      <c r="AE113" s="46">
        <f t="shared" si="28"/>
        <v>0.76196346105245005</v>
      </c>
      <c r="AF113" s="47">
        <v>28167</v>
      </c>
      <c r="AG113" s="51">
        <f t="shared" si="29"/>
        <v>1.3651320119047601</v>
      </c>
      <c r="AH113" s="52">
        <f t="shared" si="30"/>
        <v>38451.673379321401</v>
      </c>
      <c r="AI113" s="53">
        <f t="shared" si="31"/>
        <v>31302.966874997801</v>
      </c>
      <c r="AJ113" s="53">
        <f t="shared" si="32"/>
        <v>33237.06</v>
      </c>
      <c r="AK113" s="1">
        <f t="shared" si="36"/>
        <v>5.1604326693912599</v>
      </c>
      <c r="AL113" s="33">
        <f t="shared" si="37"/>
        <v>0.15689153551250901</v>
      </c>
    </row>
    <row r="114" spans="1:38" ht="27">
      <c r="A114" s="10">
        <v>110</v>
      </c>
      <c r="B114" s="190" t="s">
        <v>273</v>
      </c>
      <c r="C114" s="192" t="s">
        <v>274</v>
      </c>
      <c r="D114" s="187" t="s">
        <v>59</v>
      </c>
      <c r="E114" s="37">
        <v>2.1999999999999999E-2</v>
      </c>
      <c r="F114" s="37">
        <v>2.3099999999999999E-2</v>
      </c>
      <c r="G114" s="14">
        <v>18.584099999999999</v>
      </c>
      <c r="H114" s="38">
        <v>0.9</v>
      </c>
      <c r="I114" s="14">
        <f t="shared" si="19"/>
        <v>0.47699190000000002</v>
      </c>
      <c r="J114" s="13" t="s">
        <v>120</v>
      </c>
      <c r="K114" s="14">
        <v>48</v>
      </c>
      <c r="L114" s="41">
        <v>75</v>
      </c>
      <c r="M114" s="13">
        <v>2</v>
      </c>
      <c r="N114" s="13">
        <v>39.75</v>
      </c>
      <c r="O114" s="13">
        <v>0.76</v>
      </c>
      <c r="P114" s="13">
        <v>22.5</v>
      </c>
      <c r="Q114" s="14">
        <f t="shared" si="20"/>
        <v>0.234375</v>
      </c>
      <c r="R114" s="14">
        <v>0</v>
      </c>
      <c r="S114" s="21">
        <v>0.10657111111111101</v>
      </c>
      <c r="T114" s="21">
        <v>0.22222222222222199</v>
      </c>
      <c r="U114" s="13">
        <v>0.3</v>
      </c>
      <c r="V114" s="14">
        <f t="shared" si="33"/>
        <v>1.700203135</v>
      </c>
      <c r="W114" s="13">
        <v>3.29</v>
      </c>
      <c r="X114" s="42">
        <f t="shared" si="21"/>
        <v>-1.5897968650000001</v>
      </c>
      <c r="Y114" s="44">
        <f t="shared" si="22"/>
        <v>0.13070333635293599</v>
      </c>
      <c r="Z114" s="45">
        <f t="shared" si="23"/>
        <v>0.13785117505973801</v>
      </c>
      <c r="AA114" s="15">
        <f t="shared" si="24"/>
        <v>0.15734375</v>
      </c>
      <c r="AB114" s="45">
        <f t="shared" si="25"/>
        <v>9.2544088856770707E-2</v>
      </c>
      <c r="AC114" s="46">
        <f t="shared" si="26"/>
        <v>6.2681399014777706E-2</v>
      </c>
      <c r="AD114" s="46">
        <f t="shared" si="27"/>
        <v>0.17644950407646401</v>
      </c>
      <c r="AE114" s="46">
        <f t="shared" si="28"/>
        <v>0.71945005265503204</v>
      </c>
      <c r="AF114" s="47">
        <v>1982</v>
      </c>
      <c r="AG114" s="51">
        <f t="shared" si="29"/>
        <v>1.93185930833333</v>
      </c>
      <c r="AH114" s="52">
        <f t="shared" si="30"/>
        <v>3828.9451491166601</v>
      </c>
      <c r="AI114" s="53">
        <f t="shared" si="31"/>
        <v>3369.8026135700002</v>
      </c>
      <c r="AJ114" s="53">
        <f t="shared" si="32"/>
        <v>6520.78</v>
      </c>
      <c r="AK114" s="1">
        <f t="shared" si="36"/>
        <v>4.0500882894097998</v>
      </c>
      <c r="AL114" s="33">
        <f t="shared" si="37"/>
        <v>-0.41280872087132803</v>
      </c>
    </row>
    <row r="115" spans="1:38" ht="27">
      <c r="A115" s="10">
        <v>111</v>
      </c>
      <c r="B115" s="190" t="s">
        <v>275</v>
      </c>
      <c r="C115" s="192" t="s">
        <v>276</v>
      </c>
      <c r="D115" s="187" t="s">
        <v>59</v>
      </c>
      <c r="E115" s="37">
        <v>0</v>
      </c>
      <c r="F115" s="37">
        <v>4.5524000000000002E-2</v>
      </c>
      <c r="G115" s="14">
        <v>18.584099999999999</v>
      </c>
      <c r="H115" s="38">
        <v>0.9</v>
      </c>
      <c r="I115" s="14">
        <f t="shared" si="19"/>
        <v>0.94002507599999996</v>
      </c>
      <c r="J115" s="13" t="s">
        <v>120</v>
      </c>
      <c r="K115" s="14">
        <v>60</v>
      </c>
      <c r="L115" s="41">
        <v>60</v>
      </c>
      <c r="M115" s="13">
        <v>2</v>
      </c>
      <c r="N115" s="13">
        <v>39.75</v>
      </c>
      <c r="O115" s="13">
        <v>0.76</v>
      </c>
      <c r="P115" s="13">
        <v>22.5</v>
      </c>
      <c r="Q115" s="14">
        <f t="shared" si="20"/>
        <v>0.1875</v>
      </c>
      <c r="R115" s="14">
        <v>0</v>
      </c>
      <c r="S115" s="21">
        <v>0.10657111111111101</v>
      </c>
      <c r="T115" s="21">
        <v>0.22222222222222199</v>
      </c>
      <c r="U115" s="13">
        <v>0.3</v>
      </c>
      <c r="V115" s="14">
        <f t="shared" si="33"/>
        <v>2.1746534270666702</v>
      </c>
      <c r="W115" s="13">
        <v>3.27</v>
      </c>
      <c r="X115" s="42">
        <f t="shared" si="21"/>
        <v>-1.09534657293333</v>
      </c>
      <c r="Y115" s="44">
        <f t="shared" si="22"/>
        <v>0.102187419593554</v>
      </c>
      <c r="Z115" s="45">
        <f t="shared" si="23"/>
        <v>8.6220635282061406E-2</v>
      </c>
      <c r="AA115" s="15">
        <f t="shared" si="24"/>
        <v>0.12587499999999999</v>
      </c>
      <c r="AB115" s="45">
        <f t="shared" si="25"/>
        <v>5.78827864860239E-2</v>
      </c>
      <c r="AC115" s="46">
        <f t="shared" si="26"/>
        <v>4.90060208144808E-2</v>
      </c>
      <c r="AD115" s="46">
        <f t="shared" si="27"/>
        <v>0.13795301645129801</v>
      </c>
      <c r="AE115" s="46">
        <f t="shared" si="28"/>
        <v>0.56773568408646402</v>
      </c>
      <c r="AF115" s="47">
        <v>18428</v>
      </c>
      <c r="AG115" s="51">
        <f t="shared" si="29"/>
        <v>2.50889344733333</v>
      </c>
      <c r="AH115" s="52">
        <f t="shared" si="30"/>
        <v>46233.888447458601</v>
      </c>
      <c r="AI115" s="53">
        <f t="shared" si="31"/>
        <v>40074.513353984497</v>
      </c>
      <c r="AJ115" s="53">
        <f t="shared" si="32"/>
        <v>60259.56</v>
      </c>
      <c r="AK115" s="1">
        <f t="shared" si="36"/>
        <v>2.6689643833855898</v>
      </c>
      <c r="AL115" s="33">
        <f t="shared" si="37"/>
        <v>-0.23275429745158099</v>
      </c>
    </row>
    <row r="116" spans="1:38" ht="27">
      <c r="A116" s="10">
        <v>112</v>
      </c>
      <c r="B116" s="190" t="s">
        <v>277</v>
      </c>
      <c r="C116" s="192" t="s">
        <v>278</v>
      </c>
      <c r="D116" s="187" t="s">
        <v>279</v>
      </c>
      <c r="E116" s="37">
        <v>4.3999999999999997E-2</v>
      </c>
      <c r="F116" s="37">
        <v>4.6199999999999998E-2</v>
      </c>
      <c r="G116" s="14">
        <v>10.5</v>
      </c>
      <c r="H116" s="38">
        <v>0.98</v>
      </c>
      <c r="I116" s="14">
        <f t="shared" si="19"/>
        <v>0.495</v>
      </c>
      <c r="J116" s="13" t="s">
        <v>65</v>
      </c>
      <c r="K116" s="14">
        <v>51.428571428571502</v>
      </c>
      <c r="L116" s="41">
        <v>69.999999999999901</v>
      </c>
      <c r="M116" s="13">
        <v>2</v>
      </c>
      <c r="N116" s="13">
        <v>48.5</v>
      </c>
      <c r="O116" s="13">
        <v>0.76</v>
      </c>
      <c r="P116" s="13">
        <v>22.5</v>
      </c>
      <c r="Q116" s="14">
        <f t="shared" si="20"/>
        <v>0.21875</v>
      </c>
      <c r="R116" s="14">
        <v>0</v>
      </c>
      <c r="S116" s="21">
        <v>0.10657111111111101</v>
      </c>
      <c r="T116" s="21">
        <v>0.22222222222222199</v>
      </c>
      <c r="U116" s="13">
        <v>0.3</v>
      </c>
      <c r="V116" s="14">
        <f t="shared" si="33"/>
        <v>1.64017386054422</v>
      </c>
      <c r="W116" s="13">
        <v>1.85</v>
      </c>
      <c r="X116" s="42">
        <f t="shared" si="21"/>
        <v>-0.20982613945578299</v>
      </c>
      <c r="Y116" s="44">
        <f t="shared" si="22"/>
        <v>0.13548699169518999</v>
      </c>
      <c r="Z116" s="45">
        <f t="shared" si="23"/>
        <v>0.133370007449953</v>
      </c>
      <c r="AA116" s="15">
        <f t="shared" si="24"/>
        <v>0.17918055555555501</v>
      </c>
      <c r="AB116" s="45">
        <f t="shared" si="25"/>
        <v>0.109244854991228</v>
      </c>
      <c r="AC116" s="46">
        <f t="shared" si="26"/>
        <v>6.4975496607262206E-2</v>
      </c>
      <c r="AD116" s="46">
        <f t="shared" si="27"/>
        <v>0.18290743878850699</v>
      </c>
      <c r="AE116" s="46">
        <f t="shared" si="28"/>
        <v>0.69820272599896405</v>
      </c>
      <c r="AF116" s="47">
        <v>1626</v>
      </c>
      <c r="AG116" s="51">
        <f t="shared" si="29"/>
        <v>1.96818916666667</v>
      </c>
      <c r="AH116" s="52">
        <f t="shared" si="30"/>
        <v>3200.2755850000099</v>
      </c>
      <c r="AI116" s="53">
        <f t="shared" si="31"/>
        <v>2666.9226972449001</v>
      </c>
      <c r="AJ116" s="53">
        <f t="shared" si="32"/>
        <v>3008.1</v>
      </c>
      <c r="AK116" s="1">
        <f t="shared" si="36"/>
        <v>3.9761397306397401</v>
      </c>
      <c r="AL116" s="33">
        <f t="shared" si="37"/>
        <v>6.3886036036037805E-2</v>
      </c>
    </row>
    <row r="117" spans="1:38" ht="27">
      <c r="A117" s="10">
        <v>113</v>
      </c>
      <c r="B117" s="190" t="s">
        <v>280</v>
      </c>
      <c r="C117" s="192" t="s">
        <v>281</v>
      </c>
      <c r="D117" s="187" t="s">
        <v>279</v>
      </c>
      <c r="E117" s="37">
        <v>2.5999999999999999E-2</v>
      </c>
      <c r="F117" s="37">
        <v>2.7300000000000001E-2</v>
      </c>
      <c r="G117" s="14">
        <v>10.5</v>
      </c>
      <c r="H117" s="38">
        <v>0.98</v>
      </c>
      <c r="I117" s="14">
        <f t="shared" si="19"/>
        <v>0.29249999999999998</v>
      </c>
      <c r="J117" s="13" t="s">
        <v>65</v>
      </c>
      <c r="K117" s="14">
        <v>51.428571428571502</v>
      </c>
      <c r="L117" s="41">
        <v>69.999999999999901</v>
      </c>
      <c r="M117" s="13">
        <v>2</v>
      </c>
      <c r="N117" s="13">
        <v>48.5</v>
      </c>
      <c r="O117" s="13">
        <v>0.76</v>
      </c>
      <c r="P117" s="13">
        <v>22.5</v>
      </c>
      <c r="Q117" s="14">
        <f t="shared" si="20"/>
        <v>0.21875</v>
      </c>
      <c r="R117" s="14">
        <v>0</v>
      </c>
      <c r="S117" s="21">
        <v>8.4124000000000004E-2</v>
      </c>
      <c r="T117" s="21">
        <v>0.2</v>
      </c>
      <c r="U117" s="13">
        <v>0</v>
      </c>
      <c r="V117" s="14">
        <f t="shared" si="33"/>
        <v>1.0661422823129201</v>
      </c>
      <c r="W117" s="13">
        <v>1.34</v>
      </c>
      <c r="X117" s="42">
        <f t="shared" si="21"/>
        <v>-0.27385771768707501</v>
      </c>
      <c r="Y117" s="44">
        <f t="shared" si="22"/>
        <v>0.18759222227460401</v>
      </c>
      <c r="Z117" s="45">
        <f t="shared" si="23"/>
        <v>0.20517899311284801</v>
      </c>
      <c r="AA117" s="15">
        <f t="shared" si="24"/>
        <v>0.17918055555555501</v>
      </c>
      <c r="AB117" s="45">
        <f t="shared" si="25"/>
        <v>0.168064393025324</v>
      </c>
      <c r="AC117" s="46">
        <f t="shared" si="26"/>
        <v>7.8905040533143997E-2</v>
      </c>
      <c r="AD117" s="46">
        <f t="shared" si="27"/>
        <v>0</v>
      </c>
      <c r="AE117" s="46">
        <f t="shared" si="28"/>
        <v>0.72564637492339101</v>
      </c>
      <c r="AF117" s="47">
        <v>1580</v>
      </c>
      <c r="AG117" s="51">
        <f t="shared" si="29"/>
        <v>1.3197698333333301</v>
      </c>
      <c r="AH117" s="52">
        <f t="shared" si="30"/>
        <v>2085.23633666666</v>
      </c>
      <c r="AI117" s="53">
        <f t="shared" si="31"/>
        <v>1684.50480605442</v>
      </c>
      <c r="AJ117" s="53">
        <f t="shared" si="32"/>
        <v>2117.1999999999998</v>
      </c>
      <c r="AK117" s="1">
        <f t="shared" si="36"/>
        <v>4.5120336182336098</v>
      </c>
      <c r="AL117" s="33">
        <f t="shared" si="37"/>
        <v>-1.5097139303485101E-2</v>
      </c>
    </row>
    <row r="118" spans="1:38">
      <c r="A118" s="10">
        <v>114</v>
      </c>
      <c r="B118" s="190" t="s">
        <v>282</v>
      </c>
      <c r="C118" s="192" t="s">
        <v>283</v>
      </c>
      <c r="D118" s="187" t="s">
        <v>64</v>
      </c>
      <c r="E118" s="37">
        <f>0.632/1000</f>
        <v>6.3199999999999997E-4</v>
      </c>
      <c r="F118" s="37">
        <f>E118*1.03</f>
        <v>6.5096000000000002E-4</v>
      </c>
      <c r="G118" s="14">
        <v>21.238900000000001</v>
      </c>
      <c r="H118" s="38">
        <v>0.95</v>
      </c>
      <c r="I118" s="14">
        <f t="shared" si="19"/>
        <v>1.45533414147368E-2</v>
      </c>
      <c r="J118" s="13" t="s">
        <v>120</v>
      </c>
      <c r="K118" s="14">
        <v>65.454545454545496</v>
      </c>
      <c r="L118" s="41">
        <v>55</v>
      </c>
      <c r="M118" s="13">
        <v>2</v>
      </c>
      <c r="N118" s="13">
        <v>39.75</v>
      </c>
      <c r="O118" s="13">
        <v>0.76</v>
      </c>
      <c r="P118" s="13">
        <v>22.5</v>
      </c>
      <c r="Q118" s="14">
        <f t="shared" si="20"/>
        <v>0.171875</v>
      </c>
      <c r="R118" s="14">
        <v>0</v>
      </c>
      <c r="S118" s="21">
        <v>4.77055555555556E-3</v>
      </c>
      <c r="T118" s="21">
        <v>1.1111111111111099E-2</v>
      </c>
      <c r="U118" s="13">
        <v>0</v>
      </c>
      <c r="V118" s="14">
        <f t="shared" si="33"/>
        <v>0.36852721558283302</v>
      </c>
      <c r="W118" s="13">
        <v>0.28000000000000003</v>
      </c>
      <c r="X118" s="42">
        <f t="shared" si="21"/>
        <v>8.8527215582832802E-2</v>
      </c>
      <c r="Y118" s="44">
        <f t="shared" si="22"/>
        <v>3.0150042225616E-2</v>
      </c>
      <c r="Z118" s="45">
        <f t="shared" si="23"/>
        <v>0.466383465677498</v>
      </c>
      <c r="AA118" s="15">
        <f t="shared" si="24"/>
        <v>0.115385416666667</v>
      </c>
      <c r="AB118" s="45">
        <f t="shared" si="25"/>
        <v>0.313098766624828</v>
      </c>
      <c r="AC118" s="46">
        <f t="shared" si="26"/>
        <v>1.2944920629568301E-2</v>
      </c>
      <c r="AD118" s="46">
        <f t="shared" si="27"/>
        <v>0</v>
      </c>
      <c r="AE118" s="46">
        <f t="shared" si="28"/>
        <v>0.96050945276396904</v>
      </c>
      <c r="AF118" s="47">
        <v>61647</v>
      </c>
      <c r="AG118" s="51">
        <f t="shared" si="29"/>
        <v>0.46860230378877199</v>
      </c>
      <c r="AH118" s="52">
        <f t="shared" si="30"/>
        <v>28887.926221666399</v>
      </c>
      <c r="AI118" s="53">
        <f t="shared" si="31"/>
        <v>22718.597259034901</v>
      </c>
      <c r="AJ118" s="53">
        <f t="shared" si="32"/>
        <v>17261.16</v>
      </c>
      <c r="AK118" s="1">
        <f t="shared" si="36"/>
        <v>32.198949398264098</v>
      </c>
      <c r="AL118" s="33">
        <f t="shared" si="37"/>
        <v>0.67357965638847095</v>
      </c>
    </row>
    <row r="119" spans="1:38">
      <c r="A119" s="10">
        <v>115</v>
      </c>
      <c r="B119" s="190" t="s">
        <v>284</v>
      </c>
      <c r="C119" s="192" t="s">
        <v>174</v>
      </c>
      <c r="D119" s="187" t="s">
        <v>43</v>
      </c>
      <c r="E119" s="37">
        <f>0.447/1000</f>
        <v>4.4700000000000002E-4</v>
      </c>
      <c r="F119" s="37">
        <f>E119*1.03</f>
        <v>4.6041000000000002E-4</v>
      </c>
      <c r="G119" s="14">
        <v>15.309699999999999</v>
      </c>
      <c r="H119" s="38">
        <v>0.95</v>
      </c>
      <c r="I119" s="14">
        <f t="shared" si="19"/>
        <v>7.41972523894737E-3</v>
      </c>
      <c r="J119" s="13" t="s">
        <v>44</v>
      </c>
      <c r="K119" s="14">
        <v>65.454545454545496</v>
      </c>
      <c r="L119" s="41">
        <v>55</v>
      </c>
      <c r="M119" s="58">
        <v>6</v>
      </c>
      <c r="N119" s="13">
        <v>27.15</v>
      </c>
      <c r="O119" s="13">
        <v>0.76</v>
      </c>
      <c r="P119" s="13">
        <v>22.5</v>
      </c>
      <c r="Q119" s="14">
        <f t="shared" si="20"/>
        <v>5.7291666666666602E-2</v>
      </c>
      <c r="R119" s="14">
        <v>0</v>
      </c>
      <c r="S119" s="21">
        <v>8.4124000000000004E-2</v>
      </c>
      <c r="T119" s="21">
        <v>0.2</v>
      </c>
      <c r="U119" s="13">
        <v>0</v>
      </c>
      <c r="V119" s="14">
        <f t="shared" si="33"/>
        <v>0.39042873598094502</v>
      </c>
      <c r="W119" s="13">
        <v>0.2</v>
      </c>
      <c r="X119" s="42">
        <f t="shared" si="21"/>
        <v>0.19042873598094501</v>
      </c>
      <c r="Y119" s="44">
        <f t="shared" si="22"/>
        <v>0.51225737649024095</v>
      </c>
      <c r="Z119" s="45">
        <f t="shared" si="23"/>
        <v>0.14674039430710001</v>
      </c>
      <c r="AA119" s="15">
        <f t="shared" si="24"/>
        <v>2.6270138888888898E-2</v>
      </c>
      <c r="AB119" s="45">
        <f t="shared" si="25"/>
        <v>6.7285362136282403E-2</v>
      </c>
      <c r="AC119" s="46">
        <f t="shared" si="26"/>
        <v>0.215465697699325</v>
      </c>
      <c r="AD119" s="46">
        <f t="shared" si="27"/>
        <v>0</v>
      </c>
      <c r="AE119" s="46">
        <f t="shared" si="28"/>
        <v>0.98099595507409199</v>
      </c>
      <c r="AF119" s="47">
        <v>58200</v>
      </c>
      <c r="AG119" s="51">
        <f t="shared" si="29"/>
        <v>0.42059629619175398</v>
      </c>
      <c r="AH119" s="52">
        <f t="shared" si="30"/>
        <v>24478.704438360099</v>
      </c>
      <c r="AI119" s="53">
        <f t="shared" si="31"/>
        <v>22722.952434090999</v>
      </c>
      <c r="AJ119" s="53">
        <f t="shared" si="32"/>
        <v>11640</v>
      </c>
      <c r="AK119" s="1">
        <f t="shared" si="36"/>
        <v>56.686236032565503</v>
      </c>
      <c r="AL119" s="33">
        <f t="shared" si="37"/>
        <v>1.1029814809587699</v>
      </c>
    </row>
    <row r="120" spans="1:38" ht="27">
      <c r="A120" s="10">
        <v>116</v>
      </c>
      <c r="B120" s="190" t="s">
        <v>285</v>
      </c>
      <c r="C120" s="192" t="s">
        <v>286</v>
      </c>
      <c r="D120" s="187" t="s">
        <v>43</v>
      </c>
      <c r="E120" s="37">
        <f>0.067/1000</f>
        <v>6.7000000000000002E-5</v>
      </c>
      <c r="F120" s="37">
        <f>E120*1.03</f>
        <v>6.9010000000000005E-5</v>
      </c>
      <c r="G120" s="14">
        <v>15.309699999999999</v>
      </c>
      <c r="H120" s="38">
        <v>0.95</v>
      </c>
      <c r="I120" s="14">
        <f t="shared" si="19"/>
        <v>1.1121288389473699E-3</v>
      </c>
      <c r="J120" s="13" t="s">
        <v>44</v>
      </c>
      <c r="K120" s="14">
        <v>65.454545454545496</v>
      </c>
      <c r="L120" s="41">
        <v>55</v>
      </c>
      <c r="M120" s="58">
        <v>6</v>
      </c>
      <c r="N120" s="13">
        <v>27.15</v>
      </c>
      <c r="O120" s="13">
        <v>0.76</v>
      </c>
      <c r="P120" s="13">
        <v>22.5</v>
      </c>
      <c r="Q120" s="14">
        <f t="shared" si="20"/>
        <v>5.7291666666666602E-2</v>
      </c>
      <c r="R120" s="14">
        <v>0</v>
      </c>
      <c r="S120" s="21">
        <v>4.77055555555556E-3</v>
      </c>
      <c r="T120" s="21">
        <v>1.1111111111111099E-2</v>
      </c>
      <c r="U120" s="13">
        <v>0</v>
      </c>
      <c r="V120" s="14">
        <f t="shared" si="33"/>
        <v>0.114816474222349</v>
      </c>
      <c r="W120" s="13">
        <v>0.17</v>
      </c>
      <c r="X120" s="42">
        <f t="shared" si="21"/>
        <v>-5.51835257776511E-2</v>
      </c>
      <c r="Y120" s="44">
        <f t="shared" si="22"/>
        <v>9.6772794900440606E-2</v>
      </c>
      <c r="Z120" s="45">
        <f t="shared" si="23"/>
        <v>0.49898472370539698</v>
      </c>
      <c r="AA120" s="15">
        <f t="shared" si="24"/>
        <v>2.6270138888888898E-2</v>
      </c>
      <c r="AB120" s="45">
        <f t="shared" si="25"/>
        <v>0.228801128643048</v>
      </c>
      <c r="AC120" s="46">
        <f t="shared" si="26"/>
        <v>4.1549399490504298E-2</v>
      </c>
      <c r="AD120" s="46">
        <f t="shared" si="27"/>
        <v>0</v>
      </c>
      <c r="AE120" s="46">
        <f t="shared" si="28"/>
        <v>0.99031385655691095</v>
      </c>
      <c r="AF120" s="47">
        <v>61250</v>
      </c>
      <c r="AG120" s="51">
        <f t="shared" si="29"/>
        <v>0.142892568258421</v>
      </c>
      <c r="AH120" s="52">
        <f t="shared" si="30"/>
        <v>8752.1698058282891</v>
      </c>
      <c r="AI120" s="53">
        <f t="shared" si="31"/>
        <v>7032.5090461188702</v>
      </c>
      <c r="AJ120" s="53">
        <f t="shared" si="32"/>
        <v>10412.5</v>
      </c>
      <c r="AK120" s="1">
        <f t="shared" si="36"/>
        <v>128.485624375741</v>
      </c>
      <c r="AL120" s="33">
        <f t="shared" si="37"/>
        <v>-0.15945548083281799</v>
      </c>
    </row>
    <row r="121" spans="1:38">
      <c r="A121" s="10">
        <v>117</v>
      </c>
      <c r="B121" s="190" t="s">
        <v>287</v>
      </c>
      <c r="C121" s="192" t="s">
        <v>176</v>
      </c>
      <c r="D121" s="187" t="s">
        <v>43</v>
      </c>
      <c r="E121" s="37">
        <f>0.276/1000</f>
        <v>2.7599999999999999E-4</v>
      </c>
      <c r="F121" s="37">
        <f t="shared" ref="F121:F126" si="38">E121*1.03</f>
        <v>2.8427999999999998E-4</v>
      </c>
      <c r="G121" s="14">
        <v>15.309699999999999</v>
      </c>
      <c r="H121" s="38">
        <v>0.95</v>
      </c>
      <c r="I121" s="14">
        <f t="shared" si="19"/>
        <v>4.5813068589473701E-3</v>
      </c>
      <c r="J121" s="13" t="s">
        <v>44</v>
      </c>
      <c r="K121" s="14">
        <v>65.454545454545496</v>
      </c>
      <c r="L121" s="41">
        <v>55</v>
      </c>
      <c r="M121" s="58">
        <v>6</v>
      </c>
      <c r="N121" s="13">
        <v>27.15</v>
      </c>
      <c r="O121" s="13">
        <v>0.76</v>
      </c>
      <c r="P121" s="13">
        <v>22.5</v>
      </c>
      <c r="Q121" s="14">
        <f t="shared" si="20"/>
        <v>5.7291666666666602E-2</v>
      </c>
      <c r="R121" s="14">
        <v>0</v>
      </c>
      <c r="S121" s="21">
        <v>4.77055555555556E-3</v>
      </c>
      <c r="T121" s="21">
        <v>1.1111111111111099E-2</v>
      </c>
      <c r="U121" s="13">
        <v>0</v>
      </c>
      <c r="V121" s="14">
        <f t="shared" si="33"/>
        <v>0.118869934856244</v>
      </c>
      <c r="W121" s="13">
        <v>0.2</v>
      </c>
      <c r="X121" s="42">
        <f t="shared" si="21"/>
        <v>-8.11300651437563E-2</v>
      </c>
      <c r="Y121" s="44">
        <f t="shared" si="22"/>
        <v>9.3472845968565699E-2</v>
      </c>
      <c r="Z121" s="45">
        <f t="shared" si="23"/>
        <v>0.48196936202541701</v>
      </c>
      <c r="AA121" s="15">
        <f t="shared" si="24"/>
        <v>2.6270138888888898E-2</v>
      </c>
      <c r="AB121" s="45">
        <f t="shared" si="25"/>
        <v>0.22099901813405501</v>
      </c>
      <c r="AC121" s="46">
        <f t="shared" si="26"/>
        <v>4.0132566416603697E-2</v>
      </c>
      <c r="AD121" s="46">
        <f t="shared" si="27"/>
        <v>0</v>
      </c>
      <c r="AE121" s="46">
        <f t="shared" si="28"/>
        <v>0.96145949886749904</v>
      </c>
      <c r="AF121" s="47">
        <v>61280</v>
      </c>
      <c r="AG121" s="51">
        <f t="shared" si="29"/>
        <v>0.148096335288421</v>
      </c>
      <c r="AH121" s="52">
        <f t="shared" si="30"/>
        <v>9075.3434264744392</v>
      </c>
      <c r="AI121" s="53">
        <f t="shared" si="31"/>
        <v>7284.3496079906099</v>
      </c>
      <c r="AJ121" s="53">
        <f t="shared" si="32"/>
        <v>12256</v>
      </c>
      <c r="AK121" s="1">
        <f t="shared" si="36"/>
        <v>32.326220410053203</v>
      </c>
      <c r="AL121" s="33">
        <f t="shared" si="37"/>
        <v>-0.259518323557895</v>
      </c>
    </row>
    <row r="122" spans="1:38" ht="40.5">
      <c r="A122" s="10">
        <v>118</v>
      </c>
      <c r="B122" s="190" t="s">
        <v>288</v>
      </c>
      <c r="C122" s="192" t="s">
        <v>289</v>
      </c>
      <c r="D122" s="187" t="s">
        <v>43</v>
      </c>
      <c r="E122" s="37">
        <v>4.0000000000000001E-3</v>
      </c>
      <c r="F122" s="37">
        <v>4.1999999999999997E-3</v>
      </c>
      <c r="G122" s="14">
        <v>15.309699999999999</v>
      </c>
      <c r="H122" s="38">
        <v>0.95</v>
      </c>
      <c r="I122" s="14">
        <f t="shared" si="19"/>
        <v>6.7684989473684204E-2</v>
      </c>
      <c r="J122" s="13" t="s">
        <v>47</v>
      </c>
      <c r="K122" s="14">
        <v>65.454545454545496</v>
      </c>
      <c r="L122" s="41">
        <v>55</v>
      </c>
      <c r="M122" s="13">
        <v>2</v>
      </c>
      <c r="N122" s="13">
        <v>21.2</v>
      </c>
      <c r="O122" s="13">
        <v>0.76</v>
      </c>
      <c r="P122" s="13">
        <v>22.5</v>
      </c>
      <c r="Q122" s="14">
        <f t="shared" si="20"/>
        <v>0.171875</v>
      </c>
      <c r="R122" s="14">
        <v>0</v>
      </c>
      <c r="S122" s="21">
        <v>2.9348333333333299E-2</v>
      </c>
      <c r="T122" s="21">
        <v>6.6666666666666693E-2</v>
      </c>
      <c r="U122" s="13">
        <v>0</v>
      </c>
      <c r="V122" s="14">
        <f t="shared" si="33"/>
        <v>0.44782526840258502</v>
      </c>
      <c r="W122" s="13">
        <v>0.34</v>
      </c>
      <c r="X122" s="42">
        <f t="shared" si="21"/>
        <v>0.107825268402585</v>
      </c>
      <c r="Y122" s="44">
        <f t="shared" si="22"/>
        <v>0.14886758602181999</v>
      </c>
      <c r="Z122" s="45">
        <f t="shared" si="23"/>
        <v>0.38379924521250602</v>
      </c>
      <c r="AA122" s="15">
        <f t="shared" si="24"/>
        <v>6.1538888888888803E-2</v>
      </c>
      <c r="AB122" s="45">
        <f t="shared" si="25"/>
        <v>0.13741718753030799</v>
      </c>
      <c r="AC122" s="46">
        <f t="shared" si="26"/>
        <v>6.5535233056455797E-2</v>
      </c>
      <c r="AD122" s="46">
        <f t="shared" si="27"/>
        <v>0</v>
      </c>
      <c r="AE122" s="46">
        <f t="shared" si="28"/>
        <v>0.84885848510710504</v>
      </c>
      <c r="AF122" s="47">
        <v>0</v>
      </c>
      <c r="AG122" s="51">
        <f t="shared" si="29"/>
        <v>0.54766331754386</v>
      </c>
      <c r="AH122" s="52">
        <f t="shared" si="30"/>
        <v>0</v>
      </c>
      <c r="AI122" s="53">
        <f t="shared" si="31"/>
        <v>0</v>
      </c>
      <c r="AJ122" s="53">
        <f t="shared" si="32"/>
        <v>0</v>
      </c>
    </row>
    <row r="123" spans="1:38">
      <c r="A123" s="10">
        <v>119</v>
      </c>
      <c r="B123" s="190" t="s">
        <v>290</v>
      </c>
      <c r="C123" s="192" t="s">
        <v>291</v>
      </c>
      <c r="D123" s="187" t="s">
        <v>86</v>
      </c>
      <c r="E123" s="37">
        <v>5.1999999999999998E-2</v>
      </c>
      <c r="F123" s="37">
        <v>5.4600000000000003E-2</v>
      </c>
      <c r="G123" s="14">
        <v>13.716799999999999</v>
      </c>
      <c r="H123" s="38">
        <v>0.95</v>
      </c>
      <c r="I123" s="14">
        <f t="shared" si="19"/>
        <v>0.78835503157894704</v>
      </c>
      <c r="J123" s="13" t="s">
        <v>65</v>
      </c>
      <c r="K123" s="14">
        <v>48</v>
      </c>
      <c r="L123" s="41">
        <v>75</v>
      </c>
      <c r="M123" s="13">
        <v>2</v>
      </c>
      <c r="N123" s="13">
        <v>48.5</v>
      </c>
      <c r="O123" s="13">
        <v>0.76</v>
      </c>
      <c r="P123" s="13">
        <v>22.5</v>
      </c>
      <c r="Q123" s="14">
        <f t="shared" si="20"/>
        <v>0.234375</v>
      </c>
      <c r="R123" s="14">
        <v>0</v>
      </c>
      <c r="S123" s="21">
        <v>0.10657111111111101</v>
      </c>
      <c r="T123" s="21">
        <v>0.22222222222222199</v>
      </c>
      <c r="U123" s="13">
        <v>0</v>
      </c>
      <c r="V123" s="14">
        <f t="shared" si="33"/>
        <v>1.74808513338873</v>
      </c>
      <c r="W123" s="13">
        <v>2.56</v>
      </c>
      <c r="X123" s="42">
        <f t="shared" si="21"/>
        <v>-0.811914866611265</v>
      </c>
      <c r="Y123" s="44">
        <f t="shared" si="22"/>
        <v>0.127123226425154</v>
      </c>
      <c r="Z123" s="45">
        <f t="shared" si="23"/>
        <v>0.13407527787028001</v>
      </c>
      <c r="AA123" s="15">
        <f t="shared" si="24"/>
        <v>0.19197916666666701</v>
      </c>
      <c r="AB123" s="45">
        <f t="shared" si="25"/>
        <v>0.109822549828856</v>
      </c>
      <c r="AC123" s="46">
        <f t="shared" si="26"/>
        <v>6.0964485696711201E-2</v>
      </c>
      <c r="AD123" s="46">
        <f t="shared" si="27"/>
        <v>0</v>
      </c>
      <c r="AE123" s="46">
        <f t="shared" si="28"/>
        <v>0.549017941677309</v>
      </c>
      <c r="AF123" s="47"/>
      <c r="AG123" s="51">
        <f t="shared" si="29"/>
        <v>2.1508571307017501</v>
      </c>
      <c r="AH123" s="52">
        <f t="shared" si="30"/>
        <v>0</v>
      </c>
      <c r="AI123" s="53">
        <f t="shared" si="31"/>
        <v>0</v>
      </c>
      <c r="AJ123" s="53">
        <f t="shared" si="32"/>
        <v>0</v>
      </c>
    </row>
    <row r="124" spans="1:38" ht="27">
      <c r="A124" s="10">
        <v>120</v>
      </c>
      <c r="B124" s="190" t="s">
        <v>292</v>
      </c>
      <c r="C124" s="192" t="s">
        <v>293</v>
      </c>
      <c r="D124" s="187" t="s">
        <v>86</v>
      </c>
      <c r="E124" s="37">
        <v>3.7999999999999999E-2</v>
      </c>
      <c r="F124" s="37">
        <v>3.9899999999999998E-2</v>
      </c>
      <c r="G124" s="14">
        <v>13.716799999999999</v>
      </c>
      <c r="H124" s="38">
        <v>0.95</v>
      </c>
      <c r="I124" s="14">
        <f t="shared" si="19"/>
        <v>0.5761056</v>
      </c>
      <c r="J124" s="13" t="s">
        <v>65</v>
      </c>
      <c r="K124" s="14">
        <v>51.428571428571502</v>
      </c>
      <c r="L124" s="41">
        <v>69.999999999999901</v>
      </c>
      <c r="M124" s="13">
        <v>2</v>
      </c>
      <c r="N124" s="13">
        <v>48.5</v>
      </c>
      <c r="O124" s="13">
        <v>0.76</v>
      </c>
      <c r="P124" s="13">
        <v>22.5</v>
      </c>
      <c r="Q124" s="14">
        <f t="shared" si="20"/>
        <v>0.21875</v>
      </c>
      <c r="R124" s="14">
        <v>0</v>
      </c>
      <c r="S124" s="21">
        <v>8.4124000000000004E-2</v>
      </c>
      <c r="T124" s="21">
        <v>0.2</v>
      </c>
      <c r="U124" s="13">
        <v>0</v>
      </c>
      <c r="V124" s="14">
        <f t="shared" si="33"/>
        <v>1.4222083501754399</v>
      </c>
      <c r="W124" s="13">
        <v>2.25</v>
      </c>
      <c r="X124" s="42">
        <f t="shared" si="21"/>
        <v>-0.82779164982456199</v>
      </c>
      <c r="Y124" s="44">
        <f t="shared" si="22"/>
        <v>0.140626371639098</v>
      </c>
      <c r="Z124" s="45">
        <f t="shared" si="23"/>
        <v>0.15381009398026399</v>
      </c>
      <c r="AA124" s="15">
        <f t="shared" si="24"/>
        <v>0.17918055555555501</v>
      </c>
      <c r="AB124" s="45">
        <f t="shared" si="25"/>
        <v>0.125987556980278</v>
      </c>
      <c r="AC124" s="46">
        <f t="shared" si="26"/>
        <v>5.9150264438837502E-2</v>
      </c>
      <c r="AD124" s="46">
        <f t="shared" si="27"/>
        <v>0</v>
      </c>
      <c r="AE124" s="46">
        <f t="shared" si="28"/>
        <v>0.59492179895517205</v>
      </c>
      <c r="AF124" s="47"/>
      <c r="AG124" s="51">
        <f t="shared" si="29"/>
        <v>1.7451782333333301</v>
      </c>
      <c r="AH124" s="52">
        <f t="shared" si="30"/>
        <v>0</v>
      </c>
      <c r="AI124" s="53">
        <f t="shared" si="31"/>
        <v>0</v>
      </c>
      <c r="AJ124" s="53">
        <f t="shared" si="32"/>
        <v>0</v>
      </c>
    </row>
    <row r="125" spans="1:38" ht="40.5">
      <c r="A125" s="10">
        <v>121</v>
      </c>
      <c r="B125" s="190" t="s">
        <v>294</v>
      </c>
      <c r="C125" s="192" t="s">
        <v>295</v>
      </c>
      <c r="D125" s="187" t="s">
        <v>86</v>
      </c>
      <c r="E125" s="37">
        <f>0.56/1000</f>
        <v>5.5999999999999995E-4</v>
      </c>
      <c r="F125" s="37">
        <f t="shared" si="38"/>
        <v>5.7680000000000003E-4</v>
      </c>
      <c r="G125" s="14">
        <v>13.716799999999999</v>
      </c>
      <c r="H125" s="38">
        <v>0.8</v>
      </c>
      <c r="I125" s="14">
        <f t="shared" si="19"/>
        <v>9.8898127999999998E-3</v>
      </c>
      <c r="J125" s="13" t="s">
        <v>120</v>
      </c>
      <c r="K125" s="14">
        <v>48</v>
      </c>
      <c r="L125" s="41">
        <v>75</v>
      </c>
      <c r="M125" s="13">
        <v>2</v>
      </c>
      <c r="N125" s="13">
        <v>39.75</v>
      </c>
      <c r="O125" s="13">
        <v>0.76</v>
      </c>
      <c r="P125" s="13">
        <v>22.5</v>
      </c>
      <c r="Q125" s="14">
        <f t="shared" si="20"/>
        <v>0.234375</v>
      </c>
      <c r="R125" s="14">
        <v>0</v>
      </c>
      <c r="S125" s="21">
        <v>4.77055555555556E-3</v>
      </c>
      <c r="T125" s="21">
        <v>1.1111111111111099E-2</v>
      </c>
      <c r="U125" s="13">
        <v>0</v>
      </c>
      <c r="V125" s="14">
        <f t="shared" si="33"/>
        <v>0.57311354755166699</v>
      </c>
      <c r="W125" s="13">
        <v>0.59</v>
      </c>
      <c r="X125" s="42">
        <f t="shared" si="21"/>
        <v>-1.68864524483332E-2</v>
      </c>
      <c r="Y125" s="44">
        <f t="shared" si="22"/>
        <v>1.93872770214168E-2</v>
      </c>
      <c r="Z125" s="45">
        <f t="shared" si="23"/>
        <v>0.40895037467051099</v>
      </c>
      <c r="AA125" s="15">
        <f t="shared" si="24"/>
        <v>0.15734375</v>
      </c>
      <c r="AB125" s="45">
        <f t="shared" si="25"/>
        <v>0.27454201819546997</v>
      </c>
      <c r="AC125" s="46">
        <f t="shared" si="26"/>
        <v>8.3239273891453202E-3</v>
      </c>
      <c r="AD125" s="46">
        <f t="shared" si="27"/>
        <v>0</v>
      </c>
      <c r="AE125" s="46">
        <f t="shared" si="28"/>
        <v>0.98274371136007999</v>
      </c>
      <c r="AF125" s="47">
        <v>135954</v>
      </c>
      <c r="AG125" s="51">
        <f t="shared" si="29"/>
        <v>0.61829451086666698</v>
      </c>
      <c r="AH125" s="52">
        <f t="shared" si="30"/>
        <v>84059.611930366795</v>
      </c>
      <c r="AI125" s="53">
        <f t="shared" si="31"/>
        <v>77917.079243839296</v>
      </c>
      <c r="AJ125" s="53">
        <f t="shared" si="32"/>
        <v>80212.86</v>
      </c>
      <c r="AK125" s="1">
        <f t="shared" si="36"/>
        <v>62.5183229824802</v>
      </c>
      <c r="AL125" s="33">
        <f t="shared" si="37"/>
        <v>4.7956798079096599E-2</v>
      </c>
    </row>
    <row r="126" spans="1:38" ht="40.5">
      <c r="A126" s="10">
        <v>122</v>
      </c>
      <c r="B126" s="190" t="s">
        <v>296</v>
      </c>
      <c r="C126" s="192" t="s">
        <v>297</v>
      </c>
      <c r="D126" s="187" t="s">
        <v>86</v>
      </c>
      <c r="E126" s="37">
        <v>4.0000000000000001E-3</v>
      </c>
      <c r="F126" s="37">
        <f t="shared" si="38"/>
        <v>4.1200000000000004E-3</v>
      </c>
      <c r="G126" s="14">
        <v>13.716799999999999</v>
      </c>
      <c r="H126" s="38">
        <v>0.8</v>
      </c>
      <c r="I126" s="14">
        <f t="shared" si="19"/>
        <v>7.0641519999999999E-2</v>
      </c>
      <c r="J126" s="13" t="s">
        <v>120</v>
      </c>
      <c r="K126" s="14">
        <v>48</v>
      </c>
      <c r="L126" s="41">
        <v>75</v>
      </c>
      <c r="M126" s="13">
        <v>2</v>
      </c>
      <c r="N126" s="13">
        <v>39.75</v>
      </c>
      <c r="O126" s="13">
        <v>0.76</v>
      </c>
      <c r="P126" s="13">
        <v>22.5</v>
      </c>
      <c r="Q126" s="14">
        <f t="shared" si="20"/>
        <v>0.234375</v>
      </c>
      <c r="R126" s="14">
        <v>0</v>
      </c>
      <c r="S126" s="21">
        <v>0.10657111111111101</v>
      </c>
      <c r="T126" s="21">
        <v>0.22222222222222199</v>
      </c>
      <c r="U126" s="13">
        <v>0</v>
      </c>
      <c r="V126" s="14">
        <f t="shared" si="33"/>
        <v>0.97031820795833301</v>
      </c>
      <c r="W126" s="13">
        <v>1.27</v>
      </c>
      <c r="X126" s="42">
        <f t="shared" si="21"/>
        <v>-0.29968179204166701</v>
      </c>
      <c r="Y126" s="44">
        <f t="shared" si="22"/>
        <v>0.229019944590965</v>
      </c>
      <c r="Z126" s="45">
        <f t="shared" si="23"/>
        <v>0.24154447281078401</v>
      </c>
      <c r="AA126" s="15">
        <f t="shared" si="24"/>
        <v>0.15734375</v>
      </c>
      <c r="AB126" s="45">
        <f t="shared" si="25"/>
        <v>0.162156856080306</v>
      </c>
      <c r="AC126" s="46">
        <f t="shared" si="26"/>
        <v>0.109831094827489</v>
      </c>
      <c r="AD126" s="46">
        <f t="shared" si="27"/>
        <v>0</v>
      </c>
      <c r="AE126" s="46">
        <f t="shared" si="28"/>
        <v>0.92719757351700305</v>
      </c>
      <c r="AF126" s="47">
        <v>68706</v>
      </c>
      <c r="AG126" s="51">
        <f t="shared" si="29"/>
        <v>1.02233373833333</v>
      </c>
      <c r="AH126" s="52">
        <f t="shared" si="30"/>
        <v>70240.4618259298</v>
      </c>
      <c r="AI126" s="53">
        <f t="shared" si="31"/>
        <v>66666.682795985194</v>
      </c>
      <c r="AJ126" s="53">
        <f t="shared" si="32"/>
        <v>87256.62</v>
      </c>
      <c r="AK126" s="1">
        <f t="shared" si="36"/>
        <v>14.472136759420399</v>
      </c>
      <c r="AL126" s="33">
        <f t="shared" si="37"/>
        <v>-0.19501280446194499</v>
      </c>
    </row>
    <row r="127" spans="1:38" ht="40.5">
      <c r="A127" s="10">
        <v>123</v>
      </c>
      <c r="B127" s="190" t="s">
        <v>298</v>
      </c>
      <c r="C127" s="192" t="s">
        <v>299</v>
      </c>
      <c r="D127" s="187" t="s">
        <v>86</v>
      </c>
      <c r="E127" s="37">
        <v>8.5000000000000006E-2</v>
      </c>
      <c r="F127" s="37">
        <v>8.9249999999999996E-2</v>
      </c>
      <c r="G127" s="14">
        <v>13.716799999999999</v>
      </c>
      <c r="H127" s="38">
        <v>0.95</v>
      </c>
      <c r="I127" s="14">
        <f t="shared" si="19"/>
        <v>1.2886572631578901</v>
      </c>
      <c r="J127" s="13" t="s">
        <v>120</v>
      </c>
      <c r="K127" s="14">
        <v>48</v>
      </c>
      <c r="L127" s="41">
        <v>75</v>
      </c>
      <c r="M127" s="13">
        <v>2</v>
      </c>
      <c r="N127" s="13">
        <v>39.75</v>
      </c>
      <c r="O127" s="13">
        <v>0.76</v>
      </c>
      <c r="P127" s="13">
        <v>22.5</v>
      </c>
      <c r="Q127" s="14">
        <f t="shared" si="20"/>
        <v>0.234375</v>
      </c>
      <c r="R127" s="14">
        <v>0</v>
      </c>
      <c r="S127" s="21">
        <v>0.10657111111111101</v>
      </c>
      <c r="T127" s="21">
        <v>0.22222222222222199</v>
      </c>
      <c r="U127" s="13">
        <v>0</v>
      </c>
      <c r="V127" s="14">
        <f t="shared" si="33"/>
        <v>2.2921800434441399</v>
      </c>
      <c r="W127" s="13">
        <v>2.98</v>
      </c>
      <c r="X127" s="42">
        <f t="shared" si="21"/>
        <v>-0.68781995655586403</v>
      </c>
      <c r="Y127" s="44">
        <f t="shared" si="22"/>
        <v>9.6947978784563502E-2</v>
      </c>
      <c r="Z127" s="45">
        <f t="shared" si="23"/>
        <v>0.102249821374344</v>
      </c>
      <c r="AA127" s="15">
        <f t="shared" si="24"/>
        <v>0.15734375</v>
      </c>
      <c r="AB127" s="45">
        <f t="shared" si="25"/>
        <v>6.8643713415976595E-2</v>
      </c>
      <c r="AC127" s="46">
        <f t="shared" si="26"/>
        <v>4.6493342185713098E-2</v>
      </c>
      <c r="AD127" s="46">
        <f t="shared" si="27"/>
        <v>0</v>
      </c>
      <c r="AE127" s="46">
        <f t="shared" si="28"/>
        <v>0.43780277345857599</v>
      </c>
      <c r="AF127" s="47">
        <v>912</v>
      </c>
      <c r="AG127" s="51">
        <f t="shared" si="29"/>
        <v>2.8493573530701699</v>
      </c>
      <c r="AH127" s="52">
        <f t="shared" si="30"/>
        <v>2598.613906</v>
      </c>
      <c r="AI127" s="53">
        <f t="shared" si="31"/>
        <v>2090.4681996210502</v>
      </c>
      <c r="AJ127" s="53">
        <f t="shared" si="32"/>
        <v>2717.76</v>
      </c>
      <c r="AK127" s="1">
        <f t="shared" si="36"/>
        <v>2.2111056481284601</v>
      </c>
      <c r="AL127" s="33">
        <f t="shared" si="37"/>
        <v>-4.3839814405983203E-2</v>
      </c>
    </row>
    <row r="128" spans="1:38" ht="14.25">
      <c r="A128" s="10">
        <v>124</v>
      </c>
      <c r="B128" s="193" t="s">
        <v>300</v>
      </c>
      <c r="C128" s="194" t="s">
        <v>301</v>
      </c>
      <c r="D128" s="187" t="s">
        <v>43</v>
      </c>
      <c r="E128" s="37">
        <v>0</v>
      </c>
      <c r="F128" s="37">
        <v>1.5900000000000001E-3</v>
      </c>
      <c r="G128" s="14">
        <v>15.309699999999999</v>
      </c>
      <c r="H128" s="38">
        <v>0.98</v>
      </c>
      <c r="I128" s="14">
        <f t="shared" si="19"/>
        <v>2.48392071428571E-2</v>
      </c>
      <c r="J128" s="13" t="s">
        <v>44</v>
      </c>
      <c r="K128" s="14">
        <v>65</v>
      </c>
      <c r="L128" s="41">
        <v>55.384615384615401</v>
      </c>
      <c r="M128" s="13">
        <v>4</v>
      </c>
      <c r="N128" s="13">
        <v>27.15</v>
      </c>
      <c r="O128" s="13">
        <v>0.76</v>
      </c>
      <c r="P128" s="13">
        <v>22.5</v>
      </c>
      <c r="Q128" s="14">
        <f t="shared" si="20"/>
        <v>8.6538461538461495E-2</v>
      </c>
      <c r="R128" s="14">
        <v>0</v>
      </c>
      <c r="S128" s="21">
        <v>4.77055555555556E-3</v>
      </c>
      <c r="T128" s="21">
        <v>1.1111111111111099E-2</v>
      </c>
      <c r="U128" s="13">
        <v>0</v>
      </c>
      <c r="V128" s="14">
        <f t="shared" si="33"/>
        <v>0.186978468791583</v>
      </c>
      <c r="W128" s="13">
        <v>0.35</v>
      </c>
      <c r="X128" s="42">
        <f t="shared" si="21"/>
        <v>-0.163021531208417</v>
      </c>
      <c r="Y128" s="44">
        <f t="shared" si="22"/>
        <v>5.9424548628089401E-2</v>
      </c>
      <c r="Z128" s="45">
        <f t="shared" si="23"/>
        <v>0.46282581143031198</v>
      </c>
      <c r="AA128" s="15">
        <f t="shared" si="24"/>
        <v>3.96807692307692E-2</v>
      </c>
      <c r="AB128" s="45">
        <f t="shared" si="25"/>
        <v>0.21222106206784599</v>
      </c>
      <c r="AC128" s="46">
        <f t="shared" si="26"/>
        <v>2.55139299534703E-2</v>
      </c>
      <c r="AD128" s="46">
        <f t="shared" si="27"/>
        <v>0</v>
      </c>
      <c r="AE128" s="46">
        <f t="shared" si="28"/>
        <v>0.86715471945304901</v>
      </c>
      <c r="AF128" s="47">
        <v>71365</v>
      </c>
      <c r="AG128" s="51">
        <f t="shared" si="29"/>
        <v>0.242469323534798</v>
      </c>
      <c r="AH128" s="52">
        <f t="shared" si="30"/>
        <v>17303.823274060898</v>
      </c>
      <c r="AI128" s="53">
        <f t="shared" si="31"/>
        <v>13343.718425311299</v>
      </c>
      <c r="AJ128" s="53">
        <f t="shared" si="32"/>
        <v>24977.75</v>
      </c>
      <c r="AK128" s="1">
        <f t="shared" si="36"/>
        <v>9.7615564836788202</v>
      </c>
      <c r="AL128" s="33">
        <f t="shared" si="37"/>
        <v>-0.307230504186291</v>
      </c>
    </row>
    <row r="129" spans="1:38" ht="14.25">
      <c r="A129" s="10">
        <v>125</v>
      </c>
      <c r="B129" s="193" t="s">
        <v>302</v>
      </c>
      <c r="C129" s="194" t="s">
        <v>303</v>
      </c>
      <c r="D129" s="187" t="s">
        <v>43</v>
      </c>
      <c r="E129" s="37">
        <v>0</v>
      </c>
      <c r="F129" s="37">
        <v>3.7000000000000002E-3</v>
      </c>
      <c r="G129" s="14">
        <v>15.309699999999999</v>
      </c>
      <c r="H129" s="38">
        <v>0.98</v>
      </c>
      <c r="I129" s="14">
        <f t="shared" si="19"/>
        <v>5.7801928571428601E-2</v>
      </c>
      <c r="J129" s="13" t="s">
        <v>44</v>
      </c>
      <c r="K129" s="14">
        <v>65</v>
      </c>
      <c r="L129" s="41">
        <v>55.384615384615401</v>
      </c>
      <c r="M129" s="13">
        <v>4</v>
      </c>
      <c r="N129" s="13">
        <v>27.15</v>
      </c>
      <c r="O129" s="13">
        <v>0.76</v>
      </c>
      <c r="P129" s="13">
        <v>22.5</v>
      </c>
      <c r="Q129" s="14">
        <f t="shared" si="20"/>
        <v>8.6538461538461495E-2</v>
      </c>
      <c r="R129" s="14">
        <v>0</v>
      </c>
      <c r="S129" s="21">
        <v>4.77055555555556E-3</v>
      </c>
      <c r="T129" s="21">
        <v>1.1111111111111099E-2</v>
      </c>
      <c r="U129" s="13">
        <v>0</v>
      </c>
      <c r="V129" s="14">
        <f t="shared" si="33"/>
        <v>0.224313796123944</v>
      </c>
      <c r="W129" s="13">
        <v>0.4</v>
      </c>
      <c r="X129" s="42">
        <f t="shared" si="21"/>
        <v>-0.17568620387605599</v>
      </c>
      <c r="Y129" s="44">
        <f t="shared" si="22"/>
        <v>4.95337839361948E-2</v>
      </c>
      <c r="Z129" s="45">
        <f t="shared" si="23"/>
        <v>0.38579197104151802</v>
      </c>
      <c r="AA129" s="15">
        <f t="shared" si="24"/>
        <v>3.96807692307692E-2</v>
      </c>
      <c r="AB129" s="45">
        <f t="shared" si="25"/>
        <v>0.176898478454904</v>
      </c>
      <c r="AC129" s="46">
        <f t="shared" si="26"/>
        <v>2.1267330133005299E-2</v>
      </c>
      <c r="AD129" s="46">
        <f t="shared" si="27"/>
        <v>0</v>
      </c>
      <c r="AE129" s="46">
        <f t="shared" si="28"/>
        <v>0.74231665831427396</v>
      </c>
      <c r="AF129" s="47">
        <v>37700</v>
      </c>
      <c r="AG129" s="51">
        <f t="shared" si="29"/>
        <v>0.291913405677656</v>
      </c>
      <c r="AH129" s="52">
        <f t="shared" si="30"/>
        <v>11005.1353940476</v>
      </c>
      <c r="AI129" s="53">
        <f t="shared" si="31"/>
        <v>8456.6301138726903</v>
      </c>
      <c r="AJ129" s="53">
        <f t="shared" si="32"/>
        <v>15080</v>
      </c>
      <c r="AK129" s="1">
        <f t="shared" si="36"/>
        <v>5.0502364348782001</v>
      </c>
      <c r="AL129" s="33">
        <f t="shared" si="37"/>
        <v>-0.27021648580586</v>
      </c>
    </row>
    <row r="130" spans="1:38" ht="14.25">
      <c r="A130" s="10">
        <v>126</v>
      </c>
      <c r="B130" s="193" t="s">
        <v>304</v>
      </c>
      <c r="C130" s="194" t="s">
        <v>305</v>
      </c>
      <c r="D130" s="187" t="s">
        <v>43</v>
      </c>
      <c r="E130" s="37">
        <v>0</v>
      </c>
      <c r="F130" s="37">
        <v>2.32E-3</v>
      </c>
      <c r="G130" s="14">
        <v>15.309699999999999</v>
      </c>
      <c r="H130" s="38">
        <v>0.98</v>
      </c>
      <c r="I130" s="14">
        <f t="shared" si="19"/>
        <v>3.6243371428571397E-2</v>
      </c>
      <c r="J130" s="13" t="s">
        <v>44</v>
      </c>
      <c r="K130" s="14">
        <v>65</v>
      </c>
      <c r="L130" s="41">
        <v>55.384615384615401</v>
      </c>
      <c r="M130" s="13">
        <v>8</v>
      </c>
      <c r="N130" s="13">
        <v>27.15</v>
      </c>
      <c r="O130" s="13">
        <v>0.76</v>
      </c>
      <c r="P130" s="13">
        <v>22.5</v>
      </c>
      <c r="Q130" s="14">
        <f t="shared" si="20"/>
        <v>4.3269230769230803E-2</v>
      </c>
      <c r="R130" s="14">
        <v>0</v>
      </c>
      <c r="S130" s="21">
        <v>4.77055555555556E-3</v>
      </c>
      <c r="T130" s="21">
        <v>1.1111111111111099E-2</v>
      </c>
      <c r="U130" s="13">
        <v>0</v>
      </c>
      <c r="V130" s="14">
        <f t="shared" si="33"/>
        <v>0.128414131322419</v>
      </c>
      <c r="W130" s="13">
        <v>0.17</v>
      </c>
      <c r="X130" s="42">
        <f t="shared" si="21"/>
        <v>-4.1585868677580899E-2</v>
      </c>
      <c r="Y130" s="44">
        <f t="shared" si="22"/>
        <v>8.6525610512550102E-2</v>
      </c>
      <c r="Z130" s="45">
        <f t="shared" si="23"/>
        <v>0.336950694784451</v>
      </c>
      <c r="AA130" s="15">
        <f t="shared" si="24"/>
        <v>1.98403846153846E-2</v>
      </c>
      <c r="AB130" s="45">
        <f t="shared" si="25"/>
        <v>0.15450312524849599</v>
      </c>
      <c r="AC130" s="46">
        <f t="shared" si="26"/>
        <v>3.7149770873563498E-2</v>
      </c>
      <c r="AD130" s="46">
        <f t="shared" si="27"/>
        <v>0</v>
      </c>
      <c r="AE130" s="46">
        <f t="shared" si="28"/>
        <v>0.71776181440987596</v>
      </c>
      <c r="AF130" s="47">
        <v>34230</v>
      </c>
      <c r="AG130" s="51">
        <f t="shared" si="29"/>
        <v>0.16491114688644701</v>
      </c>
      <c r="AH130" s="52">
        <f t="shared" si="30"/>
        <v>5644.9085579230796</v>
      </c>
      <c r="AI130" s="53">
        <f t="shared" si="31"/>
        <v>4395.6157151664102</v>
      </c>
      <c r="AJ130" s="53">
        <f t="shared" si="32"/>
        <v>5819.1</v>
      </c>
      <c r="AK130" s="1">
        <f t="shared" si="36"/>
        <v>4.55010503676389</v>
      </c>
      <c r="AL130" s="33">
        <f t="shared" si="37"/>
        <v>-2.9934430079723601E-2</v>
      </c>
    </row>
    <row r="131" spans="1:38" ht="14.25">
      <c r="A131" s="10">
        <v>127</v>
      </c>
      <c r="B131" s="193" t="s">
        <v>306</v>
      </c>
      <c r="C131" s="194" t="s">
        <v>307</v>
      </c>
      <c r="D131" s="187" t="s">
        <v>59</v>
      </c>
      <c r="E131" s="37">
        <v>0</v>
      </c>
      <c r="F131" s="37">
        <v>3.3E-3</v>
      </c>
      <c r="G131" s="14">
        <v>18.584099999999999</v>
      </c>
      <c r="H131" s="38">
        <v>0.98</v>
      </c>
      <c r="I131" s="14">
        <f t="shared" si="19"/>
        <v>6.2579112244897997E-2</v>
      </c>
      <c r="J131" s="13" t="s">
        <v>44</v>
      </c>
      <c r="K131" s="14">
        <v>65</v>
      </c>
      <c r="L131" s="41">
        <v>55.384615384615401</v>
      </c>
      <c r="M131" s="13">
        <v>3</v>
      </c>
      <c r="N131" s="13">
        <v>27.15</v>
      </c>
      <c r="O131" s="13">
        <v>0.76</v>
      </c>
      <c r="P131" s="13">
        <v>22.5</v>
      </c>
      <c r="Q131" s="14">
        <f t="shared" si="20"/>
        <v>0.115384615384615</v>
      </c>
      <c r="R131" s="14">
        <v>0</v>
      </c>
      <c r="S131" s="21">
        <v>4.77055555555556E-3</v>
      </c>
      <c r="T131" s="21">
        <v>1.1111111111111099E-2</v>
      </c>
      <c r="U131" s="13">
        <v>0.2</v>
      </c>
      <c r="V131" s="14">
        <f t="shared" si="33"/>
        <v>0.47737888720778698</v>
      </c>
      <c r="W131" s="13">
        <v>0.39</v>
      </c>
      <c r="X131" s="42">
        <f t="shared" si="21"/>
        <v>8.7378887207786901E-2</v>
      </c>
      <c r="Y131" s="44">
        <f t="shared" si="22"/>
        <v>2.32752461595035E-2</v>
      </c>
      <c r="Z131" s="45">
        <f t="shared" si="23"/>
        <v>0.24170447934868999</v>
      </c>
      <c r="AA131" s="15">
        <f t="shared" si="24"/>
        <v>5.2907692307692301E-2</v>
      </c>
      <c r="AB131" s="45">
        <f t="shared" si="25"/>
        <v>0.11082956059735299</v>
      </c>
      <c r="AC131" s="46">
        <f t="shared" si="26"/>
        <v>9.9932269385828495E-3</v>
      </c>
      <c r="AD131" s="46">
        <f t="shared" si="27"/>
        <v>0.41895443087106399</v>
      </c>
      <c r="AE131" s="46">
        <f t="shared" si="28"/>
        <v>0.86891101822511196</v>
      </c>
      <c r="AF131" s="47">
        <v>22678</v>
      </c>
      <c r="AG131" s="51">
        <f t="shared" si="29"/>
        <v>0.562188796572475</v>
      </c>
      <c r="AH131" s="52">
        <f t="shared" si="30"/>
        <v>12749.317528670599</v>
      </c>
      <c r="AI131" s="53">
        <f t="shared" si="31"/>
        <v>10825.9984040982</v>
      </c>
      <c r="AJ131" s="53">
        <f t="shared" si="32"/>
        <v>8844.42</v>
      </c>
      <c r="AK131" s="1">
        <f t="shared" si="36"/>
        <v>8.9836492785707396</v>
      </c>
      <c r="AL131" s="33">
        <f t="shared" si="37"/>
        <v>0.44150973480121802</v>
      </c>
    </row>
    <row r="132" spans="1:38" ht="14.25">
      <c r="A132" s="10">
        <v>128</v>
      </c>
      <c r="B132" s="193" t="s">
        <v>308</v>
      </c>
      <c r="C132" s="194" t="s">
        <v>309</v>
      </c>
      <c r="D132" s="187" t="s">
        <v>59</v>
      </c>
      <c r="E132" s="37">
        <v>0</v>
      </c>
      <c r="F132" s="37">
        <v>3.3E-3</v>
      </c>
      <c r="G132" s="14">
        <v>18.584099999999999</v>
      </c>
      <c r="H132" s="38">
        <v>0.98</v>
      </c>
      <c r="I132" s="14">
        <f t="shared" si="19"/>
        <v>6.2579112244897997E-2</v>
      </c>
      <c r="J132" s="13" t="s">
        <v>44</v>
      </c>
      <c r="K132" s="14">
        <v>65</v>
      </c>
      <c r="L132" s="41">
        <v>55.384615384615401</v>
      </c>
      <c r="M132" s="13">
        <v>3</v>
      </c>
      <c r="N132" s="13">
        <v>27.15</v>
      </c>
      <c r="O132" s="13">
        <v>0.76</v>
      </c>
      <c r="P132" s="13">
        <v>22.5</v>
      </c>
      <c r="Q132" s="14">
        <f t="shared" si="20"/>
        <v>0.115384615384615</v>
      </c>
      <c r="R132" s="14">
        <v>0</v>
      </c>
      <c r="S132" s="21">
        <v>4.77055555555556E-3</v>
      </c>
      <c r="T132" s="21">
        <v>1.1111111111111099E-2</v>
      </c>
      <c r="U132" s="13">
        <v>0.2</v>
      </c>
      <c r="V132" s="14">
        <f t="shared" si="33"/>
        <v>0.47737888720778698</v>
      </c>
      <c r="W132" s="13">
        <v>0.39</v>
      </c>
      <c r="X132" s="42">
        <f t="shared" si="21"/>
        <v>8.7378887207786901E-2</v>
      </c>
      <c r="Y132" s="44">
        <f t="shared" si="22"/>
        <v>2.32752461595035E-2</v>
      </c>
      <c r="Z132" s="45">
        <f t="shared" si="23"/>
        <v>0.24170447934868999</v>
      </c>
      <c r="AA132" s="15">
        <f t="shared" si="24"/>
        <v>5.2907692307692301E-2</v>
      </c>
      <c r="AB132" s="45">
        <f t="shared" si="25"/>
        <v>0.11082956059735299</v>
      </c>
      <c r="AC132" s="46">
        <f t="shared" si="26"/>
        <v>9.9932269385828495E-3</v>
      </c>
      <c r="AD132" s="46">
        <f t="shared" si="27"/>
        <v>0.41895443087106399</v>
      </c>
      <c r="AE132" s="46">
        <f t="shared" si="28"/>
        <v>0.86891101822511196</v>
      </c>
      <c r="AF132" s="47">
        <v>23729</v>
      </c>
      <c r="AG132" s="51">
        <f t="shared" si="29"/>
        <v>0.562188796572475</v>
      </c>
      <c r="AH132" s="52">
        <f t="shared" si="30"/>
        <v>13340.1779538683</v>
      </c>
      <c r="AI132" s="53">
        <f t="shared" si="31"/>
        <v>11327.723614553601</v>
      </c>
      <c r="AJ132" s="53">
        <f t="shared" si="32"/>
        <v>9254.31</v>
      </c>
      <c r="AK132" s="1">
        <f t="shared" si="36"/>
        <v>8.9836492785707396</v>
      </c>
      <c r="AL132" s="33">
        <f t="shared" si="37"/>
        <v>0.44150973480121802</v>
      </c>
    </row>
    <row r="133" spans="1:38" ht="14.25">
      <c r="A133" s="10">
        <v>129</v>
      </c>
      <c r="B133" s="193" t="s">
        <v>310</v>
      </c>
      <c r="C133" s="194" t="s">
        <v>311</v>
      </c>
      <c r="D133" s="187" t="s">
        <v>59</v>
      </c>
      <c r="E133" s="37">
        <v>0</v>
      </c>
      <c r="F133" s="37">
        <v>3.3E-3</v>
      </c>
      <c r="G133" s="14">
        <v>18.584099999999999</v>
      </c>
      <c r="H133" s="38">
        <v>0.98</v>
      </c>
      <c r="I133" s="14">
        <f t="shared" ref="I133:I146" si="39">F133*G133/H133</f>
        <v>6.2579112244897997E-2</v>
      </c>
      <c r="J133" s="13" t="s">
        <v>44</v>
      </c>
      <c r="K133" s="14">
        <v>65</v>
      </c>
      <c r="L133" s="41">
        <v>55.384615384615401</v>
      </c>
      <c r="M133" s="13">
        <v>3</v>
      </c>
      <c r="N133" s="13">
        <v>27.15</v>
      </c>
      <c r="O133" s="13">
        <v>0.76</v>
      </c>
      <c r="P133" s="13">
        <v>22.5</v>
      </c>
      <c r="Q133" s="14">
        <f t="shared" ref="Q133:Q147" si="40">P133/K133/M133</f>
        <v>0.115384615384615</v>
      </c>
      <c r="R133" s="14">
        <v>0</v>
      </c>
      <c r="S133" s="21">
        <v>4.77055555555556E-3</v>
      </c>
      <c r="T133" s="21">
        <v>1.1111111111111099E-2</v>
      </c>
      <c r="U133" s="13">
        <v>0.2</v>
      </c>
      <c r="V133" s="14">
        <f t="shared" si="33"/>
        <v>0.47737888720778698</v>
      </c>
      <c r="W133" s="13">
        <v>0.39</v>
      </c>
      <c r="X133" s="42">
        <f t="shared" ref="X133:X169" si="41">V133-W133</f>
        <v>8.7378887207786901E-2</v>
      </c>
      <c r="Y133" s="44">
        <f t="shared" ref="Y133:Y169" si="42">T133/V133</f>
        <v>2.32752461595035E-2</v>
      </c>
      <c r="Z133" s="45">
        <f t="shared" ref="Z133:Z169" si="43">Q133/V133</f>
        <v>0.24170447934868999</v>
      </c>
      <c r="AA133" s="15">
        <f t="shared" ref="AA133:AA169" si="44">(N133*O133/K133/M133)/2</f>
        <v>5.2907692307692301E-2</v>
      </c>
      <c r="AB133" s="45">
        <f t="shared" ref="AB133:AB169" si="45">AA133/V133</f>
        <v>0.11082956059735299</v>
      </c>
      <c r="AC133" s="46">
        <f t="shared" ref="AC133:AC169" si="46">S133/V133</f>
        <v>9.9932269385828495E-3</v>
      </c>
      <c r="AD133" s="46">
        <f t="shared" ref="AD133:AD169" si="47">U133/V133</f>
        <v>0.41895443087106399</v>
      </c>
      <c r="AE133" s="46">
        <f t="shared" ref="AE133:AE169" si="48">1-I133/V133</f>
        <v>0.86891101822511196</v>
      </c>
      <c r="AF133" s="47">
        <v>4480</v>
      </c>
      <c r="AG133" s="51">
        <f t="shared" ref="AG133:AG169" si="49">(I133+Q133+(N133*O133/K133/M133)/2)*1.5+R133*1.1+S133+T133+U133</f>
        <v>0.562188796572475</v>
      </c>
      <c r="AH133" s="52">
        <f t="shared" ref="AH133:AH169" si="50">AG133*AF133</f>
        <v>2518.6058086446901</v>
      </c>
      <c r="AI133" s="53">
        <f t="shared" ref="AI133:AI169" si="51">V133*AF133</f>
        <v>2138.6574146908902</v>
      </c>
      <c r="AJ133" s="53">
        <f t="shared" ref="AJ133:AJ169" si="52">W133*AF133</f>
        <v>1747.2</v>
      </c>
      <c r="AK133" s="1">
        <f t="shared" si="36"/>
        <v>8.9836492785707396</v>
      </c>
      <c r="AL133" s="33">
        <f t="shared" si="37"/>
        <v>0.44150973480121802</v>
      </c>
    </row>
    <row r="134" spans="1:38" ht="14.25">
      <c r="A134" s="10">
        <v>130</v>
      </c>
      <c r="B134" s="193" t="s">
        <v>312</v>
      </c>
      <c r="C134" s="194" t="s">
        <v>313</v>
      </c>
      <c r="D134" s="187" t="s">
        <v>314</v>
      </c>
      <c r="E134" s="37">
        <v>0</v>
      </c>
      <c r="F134" s="37">
        <v>9.7000000000000003E-3</v>
      </c>
      <c r="G134" s="14">
        <v>21.55</v>
      </c>
      <c r="H134" s="38">
        <v>0.98</v>
      </c>
      <c r="I134" s="14">
        <f t="shared" si="39"/>
        <v>0.21330102040816301</v>
      </c>
      <c r="J134" s="13" t="s">
        <v>120</v>
      </c>
      <c r="K134" s="14">
        <v>60</v>
      </c>
      <c r="L134" s="41">
        <v>60</v>
      </c>
      <c r="M134" s="13">
        <v>4</v>
      </c>
      <c r="N134" s="13">
        <v>39.75</v>
      </c>
      <c r="O134" s="13">
        <v>0.76</v>
      </c>
      <c r="P134" s="13">
        <v>22.5</v>
      </c>
      <c r="Q134" s="14">
        <f t="shared" si="40"/>
        <v>9.375E-2</v>
      </c>
      <c r="R134" s="14">
        <v>0</v>
      </c>
      <c r="S134" s="21">
        <v>4.77055555555556E-3</v>
      </c>
      <c r="T134" s="21">
        <v>1.1111111111111099E-2</v>
      </c>
      <c r="U134" s="13">
        <v>0</v>
      </c>
      <c r="V134" s="14">
        <f t="shared" ref="V134:V146" si="53">(I134+Q134+(N134*O134/K134/M134)/2)/H134*1.11+R134*1.03+S134+T134+U134</f>
        <v>0.43495029692489301</v>
      </c>
      <c r="W134" s="13">
        <v>0.98</v>
      </c>
      <c r="X134" s="42">
        <f t="shared" si="41"/>
        <v>-0.54504970307510703</v>
      </c>
      <c r="Y134" s="44">
        <f t="shared" si="42"/>
        <v>2.5545703014038301E-2</v>
      </c>
      <c r="Z134" s="45">
        <f t="shared" si="43"/>
        <v>0.215541869180949</v>
      </c>
      <c r="AA134" s="15">
        <f t="shared" si="44"/>
        <v>6.2937499999999993E-2</v>
      </c>
      <c r="AB134" s="45">
        <f t="shared" si="45"/>
        <v>0.144700441510144</v>
      </c>
      <c r="AC134" s="46">
        <f t="shared" si="46"/>
        <v>1.09680475890774E-2</v>
      </c>
      <c r="AD134" s="46">
        <f t="shared" si="47"/>
        <v>0</v>
      </c>
      <c r="AE134" s="46">
        <f t="shared" si="48"/>
        <v>0.50959679320555495</v>
      </c>
      <c r="AF134" s="47">
        <v>56099</v>
      </c>
      <c r="AG134" s="51">
        <f t="shared" si="49"/>
        <v>0.57086444727891195</v>
      </c>
      <c r="AH134" s="52">
        <f t="shared" si="50"/>
        <v>32024.924627899702</v>
      </c>
      <c r="AI134" s="53">
        <f t="shared" si="51"/>
        <v>24400.2767071895</v>
      </c>
      <c r="AJ134" s="53">
        <f t="shared" si="52"/>
        <v>54977.02</v>
      </c>
      <c r="AK134" s="1">
        <f t="shared" ref="AK134:AK169" si="54">AG134/I134</f>
        <v>2.6763324722335202</v>
      </c>
      <c r="AL134" s="33">
        <f t="shared" ref="AL134:AL169" si="55">(AG134-W134)/W134</f>
        <v>-0.41748525787866098</v>
      </c>
    </row>
    <row r="135" spans="1:38" ht="14.25">
      <c r="A135" s="10">
        <v>131</v>
      </c>
      <c r="B135" s="193" t="s">
        <v>315</v>
      </c>
      <c r="C135" s="194" t="s">
        <v>316</v>
      </c>
      <c r="D135" s="187" t="s">
        <v>59</v>
      </c>
      <c r="E135" s="37">
        <v>0</v>
      </c>
      <c r="F135" s="37">
        <v>1.2800000000000001E-3</v>
      </c>
      <c r="G135" s="14">
        <v>18.584099999999999</v>
      </c>
      <c r="H135" s="38">
        <v>0.98</v>
      </c>
      <c r="I135" s="14">
        <f t="shared" si="39"/>
        <v>2.4273110204081599E-2</v>
      </c>
      <c r="J135" s="13" t="s">
        <v>44</v>
      </c>
      <c r="K135" s="14">
        <v>72</v>
      </c>
      <c r="L135" s="41">
        <v>50</v>
      </c>
      <c r="M135" s="13">
        <v>4</v>
      </c>
      <c r="N135" s="13">
        <v>27.15</v>
      </c>
      <c r="O135" s="13">
        <v>0.76</v>
      </c>
      <c r="P135" s="13">
        <v>22.5</v>
      </c>
      <c r="Q135" s="14">
        <f t="shared" si="40"/>
        <v>7.8125E-2</v>
      </c>
      <c r="R135" s="14">
        <v>0</v>
      </c>
      <c r="S135" s="21">
        <v>4.77055555555556E-3</v>
      </c>
      <c r="T135" s="21">
        <v>1.1111111111111099E-2</v>
      </c>
      <c r="U135" s="13">
        <v>0</v>
      </c>
      <c r="V135" s="14">
        <f t="shared" si="53"/>
        <v>0.172438135877412</v>
      </c>
      <c r="W135" s="13">
        <v>0.43</v>
      </c>
      <c r="X135" s="42">
        <f t="shared" si="41"/>
        <v>-0.25756186412258802</v>
      </c>
      <c r="Y135" s="44">
        <f t="shared" si="42"/>
        <v>6.4435346940946298E-2</v>
      </c>
      <c r="Z135" s="45">
        <f t="shared" si="43"/>
        <v>0.45306103317852903</v>
      </c>
      <c r="AA135" s="15">
        <f t="shared" si="44"/>
        <v>3.5822916666666697E-2</v>
      </c>
      <c r="AB135" s="45">
        <f t="shared" si="45"/>
        <v>0.207743585746795</v>
      </c>
      <c r="AC135" s="46">
        <f t="shared" si="46"/>
        <v>2.76653162090954E-2</v>
      </c>
      <c r="AD135" s="46">
        <f t="shared" si="47"/>
        <v>0</v>
      </c>
      <c r="AE135" s="46">
        <f t="shared" si="48"/>
        <v>0.85923583503977596</v>
      </c>
      <c r="AF135" s="47">
        <v>55730</v>
      </c>
      <c r="AG135" s="51">
        <f t="shared" si="49"/>
        <v>0.22321320697278901</v>
      </c>
      <c r="AH135" s="52">
        <f t="shared" si="50"/>
        <v>12439.672024593499</v>
      </c>
      <c r="AI135" s="53">
        <f t="shared" si="51"/>
        <v>9609.9773124481799</v>
      </c>
      <c r="AJ135" s="53">
        <f t="shared" si="52"/>
        <v>23963.9</v>
      </c>
      <c r="AK135" s="1">
        <f t="shared" si="54"/>
        <v>9.1959046490570895</v>
      </c>
      <c r="AL135" s="33">
        <f t="shared" si="55"/>
        <v>-0.48089951866793301</v>
      </c>
    </row>
    <row r="136" spans="1:38" ht="14.25">
      <c r="A136" s="10">
        <v>132</v>
      </c>
      <c r="B136" s="193" t="s">
        <v>317</v>
      </c>
      <c r="C136" s="194" t="s">
        <v>318</v>
      </c>
      <c r="D136" s="187" t="s">
        <v>59</v>
      </c>
      <c r="E136" s="37">
        <v>0</v>
      </c>
      <c r="F136" s="37">
        <v>2.2000000000000001E-3</v>
      </c>
      <c r="G136" s="14">
        <v>18.584099999999999</v>
      </c>
      <c r="H136" s="38">
        <v>0.98</v>
      </c>
      <c r="I136" s="14">
        <f t="shared" si="39"/>
        <v>4.1719408163265297E-2</v>
      </c>
      <c r="J136" s="13" t="s">
        <v>44</v>
      </c>
      <c r="K136" s="14">
        <v>72</v>
      </c>
      <c r="L136" s="41">
        <v>50</v>
      </c>
      <c r="M136" s="13">
        <v>3</v>
      </c>
      <c r="N136" s="13">
        <v>27.15</v>
      </c>
      <c r="O136" s="13">
        <v>0.76</v>
      </c>
      <c r="P136" s="13">
        <v>22.5</v>
      </c>
      <c r="Q136" s="14">
        <f t="shared" si="40"/>
        <v>0.104166666666667</v>
      </c>
      <c r="R136" s="14">
        <v>0</v>
      </c>
      <c r="S136" s="21">
        <v>4.77055555555556E-3</v>
      </c>
      <c r="T136" s="21">
        <v>1.1111111111111099E-2</v>
      </c>
      <c r="U136" s="13">
        <v>0.2</v>
      </c>
      <c r="V136" s="14">
        <f t="shared" si="53"/>
        <v>0.43521989087880097</v>
      </c>
      <c r="W136" s="13">
        <v>0.61</v>
      </c>
      <c r="X136" s="42">
        <f t="shared" si="41"/>
        <v>-0.17478010912119901</v>
      </c>
      <c r="Y136" s="44">
        <f t="shared" si="42"/>
        <v>2.5529878904834599E-2</v>
      </c>
      <c r="Z136" s="45">
        <f t="shared" si="43"/>
        <v>0.239342614732825</v>
      </c>
      <c r="AA136" s="15">
        <f t="shared" si="44"/>
        <v>4.7763888888888897E-2</v>
      </c>
      <c r="AB136" s="45">
        <f t="shared" si="45"/>
        <v>0.10974656694215799</v>
      </c>
      <c r="AC136" s="46">
        <f t="shared" si="46"/>
        <v>1.0961253507790701E-2</v>
      </c>
      <c r="AD136" s="46">
        <f t="shared" si="47"/>
        <v>0.459537820287023</v>
      </c>
      <c r="AE136" s="46">
        <f t="shared" si="48"/>
        <v>0.90414177054494205</v>
      </c>
      <c r="AF136" s="47">
        <v>0</v>
      </c>
      <c r="AG136" s="51">
        <f t="shared" si="49"/>
        <v>0.50635661224489903</v>
      </c>
      <c r="AH136" s="52">
        <f t="shared" si="50"/>
        <v>0</v>
      </c>
      <c r="AI136" s="53">
        <f t="shared" si="51"/>
        <v>0</v>
      </c>
      <c r="AJ136" s="53">
        <f t="shared" si="52"/>
        <v>0</v>
      </c>
    </row>
    <row r="137" spans="1:38" ht="14.25">
      <c r="A137" s="10">
        <v>133</v>
      </c>
      <c r="B137" s="193" t="s">
        <v>319</v>
      </c>
      <c r="C137" s="194" t="s">
        <v>320</v>
      </c>
      <c r="D137" s="187" t="s">
        <v>59</v>
      </c>
      <c r="E137" s="37">
        <v>0</v>
      </c>
      <c r="F137" s="37">
        <v>2.2000000000000001E-3</v>
      </c>
      <c r="G137" s="14">
        <v>18.584099999999999</v>
      </c>
      <c r="H137" s="38">
        <v>0.98</v>
      </c>
      <c r="I137" s="14">
        <f t="shared" si="39"/>
        <v>4.1719408163265297E-2</v>
      </c>
      <c r="J137" s="13" t="s">
        <v>44</v>
      </c>
      <c r="K137" s="14">
        <v>72</v>
      </c>
      <c r="L137" s="41">
        <v>50</v>
      </c>
      <c r="M137" s="13">
        <v>3</v>
      </c>
      <c r="N137" s="13">
        <v>27.15</v>
      </c>
      <c r="O137" s="13">
        <v>0.76</v>
      </c>
      <c r="P137" s="13">
        <v>22.5</v>
      </c>
      <c r="Q137" s="14">
        <f t="shared" si="40"/>
        <v>0.104166666666667</v>
      </c>
      <c r="R137" s="14">
        <v>0</v>
      </c>
      <c r="S137" s="21">
        <v>4.77055555555556E-3</v>
      </c>
      <c r="T137" s="21">
        <v>1.1111111111111099E-2</v>
      </c>
      <c r="U137" s="13">
        <v>0.2</v>
      </c>
      <c r="V137" s="14">
        <f t="shared" si="53"/>
        <v>0.43521989087880097</v>
      </c>
      <c r="W137" s="13">
        <v>0.61</v>
      </c>
      <c r="X137" s="42">
        <f t="shared" si="41"/>
        <v>-0.17478010912119901</v>
      </c>
      <c r="Y137" s="44">
        <f t="shared" si="42"/>
        <v>2.5529878904834599E-2</v>
      </c>
      <c r="Z137" s="45">
        <f t="shared" si="43"/>
        <v>0.239342614732825</v>
      </c>
      <c r="AA137" s="15">
        <f t="shared" si="44"/>
        <v>4.7763888888888897E-2</v>
      </c>
      <c r="AB137" s="45">
        <f t="shared" si="45"/>
        <v>0.10974656694215799</v>
      </c>
      <c r="AC137" s="46">
        <f t="shared" si="46"/>
        <v>1.0961253507790701E-2</v>
      </c>
      <c r="AD137" s="46">
        <f t="shared" si="47"/>
        <v>0.459537820287023</v>
      </c>
      <c r="AE137" s="46">
        <f t="shared" si="48"/>
        <v>0.90414177054494205</v>
      </c>
      <c r="AF137" s="47"/>
      <c r="AG137" s="51">
        <f t="shared" si="49"/>
        <v>0.50635661224489903</v>
      </c>
      <c r="AH137" s="52">
        <f t="shared" si="50"/>
        <v>0</v>
      </c>
      <c r="AI137" s="53">
        <f t="shared" si="51"/>
        <v>0</v>
      </c>
      <c r="AJ137" s="53">
        <f t="shared" si="52"/>
        <v>0</v>
      </c>
    </row>
    <row r="138" spans="1:38" ht="14.25">
      <c r="A138" s="10">
        <v>134</v>
      </c>
      <c r="B138" s="193" t="s">
        <v>321</v>
      </c>
      <c r="C138" s="194" t="s">
        <v>322</v>
      </c>
      <c r="D138" s="187" t="s">
        <v>59</v>
      </c>
      <c r="E138" s="37">
        <v>0</v>
      </c>
      <c r="F138" s="37">
        <v>2.2000000000000001E-3</v>
      </c>
      <c r="G138" s="14">
        <v>18.584099999999999</v>
      </c>
      <c r="H138" s="38">
        <v>0.98</v>
      </c>
      <c r="I138" s="14">
        <f t="shared" si="39"/>
        <v>4.1719408163265297E-2</v>
      </c>
      <c r="J138" s="13" t="s">
        <v>44</v>
      </c>
      <c r="K138" s="14">
        <v>72</v>
      </c>
      <c r="L138" s="41">
        <v>50</v>
      </c>
      <c r="M138" s="13">
        <v>3</v>
      </c>
      <c r="N138" s="13">
        <v>27.15</v>
      </c>
      <c r="O138" s="13">
        <v>0.76</v>
      </c>
      <c r="P138" s="13">
        <v>22.5</v>
      </c>
      <c r="Q138" s="14">
        <f t="shared" si="40"/>
        <v>0.104166666666667</v>
      </c>
      <c r="R138" s="14">
        <v>0</v>
      </c>
      <c r="S138" s="21">
        <v>4.77055555555556E-3</v>
      </c>
      <c r="T138" s="21">
        <v>1.1111111111111099E-2</v>
      </c>
      <c r="U138" s="13">
        <v>0.2</v>
      </c>
      <c r="V138" s="14">
        <f t="shared" si="53"/>
        <v>0.43521989087880097</v>
      </c>
      <c r="W138" s="13">
        <v>0.61</v>
      </c>
      <c r="X138" s="42">
        <f t="shared" si="41"/>
        <v>-0.17478010912119901</v>
      </c>
      <c r="Y138" s="44">
        <f t="shared" si="42"/>
        <v>2.5529878904834599E-2</v>
      </c>
      <c r="Z138" s="45">
        <f t="shared" si="43"/>
        <v>0.239342614732825</v>
      </c>
      <c r="AA138" s="15">
        <f t="shared" si="44"/>
        <v>4.7763888888888897E-2</v>
      </c>
      <c r="AB138" s="45">
        <f t="shared" si="45"/>
        <v>0.10974656694215799</v>
      </c>
      <c r="AC138" s="46">
        <f t="shared" si="46"/>
        <v>1.0961253507790701E-2</v>
      </c>
      <c r="AD138" s="46">
        <f t="shared" si="47"/>
        <v>0.459537820287023</v>
      </c>
      <c r="AE138" s="46">
        <f t="shared" si="48"/>
        <v>0.90414177054494205</v>
      </c>
      <c r="AF138" s="47"/>
      <c r="AG138" s="51">
        <f t="shared" si="49"/>
        <v>0.50635661224489903</v>
      </c>
      <c r="AH138" s="52">
        <f t="shared" si="50"/>
        <v>0</v>
      </c>
      <c r="AI138" s="53">
        <f t="shared" si="51"/>
        <v>0</v>
      </c>
      <c r="AJ138" s="53">
        <f t="shared" si="52"/>
        <v>0</v>
      </c>
    </row>
    <row r="139" spans="1:38" ht="14.25">
      <c r="A139" s="10">
        <v>135</v>
      </c>
      <c r="B139" s="193" t="s">
        <v>323</v>
      </c>
      <c r="C139" s="194" t="s">
        <v>324</v>
      </c>
      <c r="D139" s="187" t="s">
        <v>43</v>
      </c>
      <c r="E139" s="37">
        <v>0</v>
      </c>
      <c r="F139" s="37">
        <v>1.7600000000000001E-3</v>
      </c>
      <c r="G139" s="14">
        <v>15.309699999999999</v>
      </c>
      <c r="H139" s="38">
        <v>0.98</v>
      </c>
      <c r="I139" s="14">
        <f t="shared" si="39"/>
        <v>2.7494971428571401E-2</v>
      </c>
      <c r="J139" s="13" t="s">
        <v>44</v>
      </c>
      <c r="K139" s="14">
        <v>65</v>
      </c>
      <c r="L139" s="41">
        <v>55.384615384615401</v>
      </c>
      <c r="M139" s="13">
        <v>4</v>
      </c>
      <c r="N139" s="13">
        <v>27.15</v>
      </c>
      <c r="O139" s="13">
        <v>0.76</v>
      </c>
      <c r="P139" s="13">
        <v>22.5</v>
      </c>
      <c r="Q139" s="14">
        <f t="shared" si="40"/>
        <v>8.6538461538461495E-2</v>
      </c>
      <c r="R139" s="14">
        <v>0</v>
      </c>
      <c r="S139" s="21">
        <v>4.77055555555556E-3</v>
      </c>
      <c r="T139" s="21">
        <v>1.1111111111111099E-2</v>
      </c>
      <c r="U139" s="13">
        <v>0</v>
      </c>
      <c r="V139" s="14">
        <f t="shared" si="53"/>
        <v>0.18998652833968699</v>
      </c>
      <c r="W139" s="13">
        <v>0.35</v>
      </c>
      <c r="X139" s="42">
        <f t="shared" si="41"/>
        <v>-0.16001347166031199</v>
      </c>
      <c r="Y139" s="44">
        <f t="shared" si="42"/>
        <v>5.84836788598238E-2</v>
      </c>
      <c r="Z139" s="45">
        <f t="shared" si="43"/>
        <v>0.45549788342747399</v>
      </c>
      <c r="AA139" s="15">
        <f t="shared" si="44"/>
        <v>3.96807692307692E-2</v>
      </c>
      <c r="AB139" s="45">
        <f t="shared" si="45"/>
        <v>0.20886096281427799</v>
      </c>
      <c r="AC139" s="46">
        <f t="shared" si="46"/>
        <v>2.5109967518465399E-2</v>
      </c>
      <c r="AD139" s="46">
        <f t="shared" si="47"/>
        <v>0</v>
      </c>
      <c r="AE139" s="46">
        <f t="shared" si="48"/>
        <v>0.85527936286402595</v>
      </c>
      <c r="AF139" s="47">
        <v>229279</v>
      </c>
      <c r="AG139" s="51">
        <f t="shared" si="49"/>
        <v>0.24645296996336999</v>
      </c>
      <c r="AH139" s="52">
        <f t="shared" si="50"/>
        <v>56506.490500231499</v>
      </c>
      <c r="AI139" s="53">
        <f t="shared" si="51"/>
        <v>43559.9212311952</v>
      </c>
      <c r="AJ139" s="53">
        <f t="shared" si="52"/>
        <v>80247.649999999994</v>
      </c>
      <c r="AK139" s="1">
        <f t="shared" si="54"/>
        <v>8.9635652324143997</v>
      </c>
      <c r="AL139" s="33">
        <f t="shared" si="55"/>
        <v>-0.29584865724751402</v>
      </c>
    </row>
    <row r="140" spans="1:38">
      <c r="A140" s="10">
        <v>136</v>
      </c>
      <c r="B140" s="195" t="s">
        <v>325</v>
      </c>
      <c r="C140" s="196" t="s">
        <v>326</v>
      </c>
      <c r="D140" s="187" t="s">
        <v>59</v>
      </c>
      <c r="E140" s="37">
        <v>0</v>
      </c>
      <c r="F140" s="37">
        <v>2.2000000000000001E-3</v>
      </c>
      <c r="G140" s="14">
        <v>18.584099999999999</v>
      </c>
      <c r="H140" s="38">
        <v>0.98</v>
      </c>
      <c r="I140" s="14">
        <f t="shared" si="39"/>
        <v>4.1719408163265297E-2</v>
      </c>
      <c r="J140" s="13" t="s">
        <v>44</v>
      </c>
      <c r="K140" s="14">
        <v>72</v>
      </c>
      <c r="L140" s="41">
        <v>50</v>
      </c>
      <c r="M140" s="13">
        <v>3</v>
      </c>
      <c r="N140" s="13">
        <v>27.15</v>
      </c>
      <c r="O140" s="13">
        <v>0.76</v>
      </c>
      <c r="P140" s="13">
        <v>22.5</v>
      </c>
      <c r="Q140" s="14">
        <f t="shared" si="40"/>
        <v>0.104166666666667</v>
      </c>
      <c r="R140" s="14">
        <v>0</v>
      </c>
      <c r="S140" s="21">
        <v>4.77055555555556E-3</v>
      </c>
      <c r="T140" s="21">
        <v>1.1111111111111099E-2</v>
      </c>
      <c r="U140" s="13">
        <v>0.2</v>
      </c>
      <c r="V140" s="14">
        <f t="shared" si="53"/>
        <v>0.43521989087880097</v>
      </c>
      <c r="W140" s="13">
        <v>0.61</v>
      </c>
      <c r="X140" s="42">
        <f t="shared" si="41"/>
        <v>-0.17478010912119901</v>
      </c>
      <c r="Y140" s="44">
        <f t="shared" si="42"/>
        <v>2.5529878904834599E-2</v>
      </c>
      <c r="Z140" s="45">
        <f t="shared" si="43"/>
        <v>0.239342614732825</v>
      </c>
      <c r="AA140" s="15">
        <f t="shared" si="44"/>
        <v>4.7763888888888897E-2</v>
      </c>
      <c r="AB140" s="45">
        <f t="shared" si="45"/>
        <v>0.10974656694215799</v>
      </c>
      <c r="AC140" s="46">
        <f t="shared" si="46"/>
        <v>1.0961253507790701E-2</v>
      </c>
      <c r="AD140" s="46">
        <f t="shared" si="47"/>
        <v>0.459537820287023</v>
      </c>
      <c r="AE140" s="46">
        <f t="shared" si="48"/>
        <v>0.90414177054494205</v>
      </c>
      <c r="AF140" s="47">
        <v>0</v>
      </c>
      <c r="AG140" s="51">
        <f t="shared" si="49"/>
        <v>0.50635661224489903</v>
      </c>
      <c r="AH140" s="52">
        <f t="shared" si="50"/>
        <v>0</v>
      </c>
      <c r="AI140" s="53">
        <f t="shared" si="51"/>
        <v>0</v>
      </c>
      <c r="AJ140" s="53">
        <f t="shared" si="52"/>
        <v>0</v>
      </c>
    </row>
    <row r="141" spans="1:38">
      <c r="A141" s="10">
        <v>137</v>
      </c>
      <c r="B141" s="195" t="s">
        <v>327</v>
      </c>
      <c r="C141" s="196" t="s">
        <v>328</v>
      </c>
      <c r="D141" s="187" t="s">
        <v>59</v>
      </c>
      <c r="E141" s="37">
        <v>0</v>
      </c>
      <c r="F141" s="37">
        <v>2.2000000000000001E-3</v>
      </c>
      <c r="G141" s="14">
        <v>18.584099999999999</v>
      </c>
      <c r="H141" s="38">
        <v>0.98</v>
      </c>
      <c r="I141" s="14">
        <f t="shared" si="39"/>
        <v>4.1719408163265297E-2</v>
      </c>
      <c r="J141" s="13" t="s">
        <v>44</v>
      </c>
      <c r="K141" s="14">
        <v>72</v>
      </c>
      <c r="L141" s="41">
        <v>50</v>
      </c>
      <c r="M141" s="13">
        <v>3</v>
      </c>
      <c r="N141" s="13">
        <v>27.15</v>
      </c>
      <c r="O141" s="13">
        <v>0.76</v>
      </c>
      <c r="P141" s="13">
        <v>22.5</v>
      </c>
      <c r="Q141" s="14">
        <f t="shared" si="40"/>
        <v>0.104166666666667</v>
      </c>
      <c r="R141" s="14">
        <v>0</v>
      </c>
      <c r="S141" s="21">
        <v>4.77055555555556E-3</v>
      </c>
      <c r="T141" s="21">
        <v>1.1111111111111099E-2</v>
      </c>
      <c r="U141" s="13">
        <v>0.2</v>
      </c>
      <c r="V141" s="14">
        <f t="shared" si="53"/>
        <v>0.43521989087880097</v>
      </c>
      <c r="W141" s="13">
        <v>0.61</v>
      </c>
      <c r="X141" s="42">
        <f t="shared" si="41"/>
        <v>-0.17478010912119901</v>
      </c>
      <c r="Y141" s="44">
        <f t="shared" si="42"/>
        <v>2.5529878904834599E-2</v>
      </c>
      <c r="Z141" s="45">
        <f t="shared" si="43"/>
        <v>0.239342614732825</v>
      </c>
      <c r="AA141" s="15">
        <f t="shared" si="44"/>
        <v>4.7763888888888897E-2</v>
      </c>
      <c r="AB141" s="45">
        <f t="shared" si="45"/>
        <v>0.10974656694215799</v>
      </c>
      <c r="AC141" s="46">
        <f t="shared" si="46"/>
        <v>1.0961253507790701E-2</v>
      </c>
      <c r="AD141" s="46">
        <f t="shared" si="47"/>
        <v>0.459537820287023</v>
      </c>
      <c r="AE141" s="46">
        <f t="shared" si="48"/>
        <v>0.90414177054494205</v>
      </c>
      <c r="AF141" s="47"/>
      <c r="AG141" s="51">
        <f t="shared" si="49"/>
        <v>0.50635661224489903</v>
      </c>
      <c r="AH141" s="52">
        <f t="shared" si="50"/>
        <v>0</v>
      </c>
      <c r="AI141" s="53">
        <f t="shared" si="51"/>
        <v>0</v>
      </c>
      <c r="AJ141" s="53">
        <f t="shared" si="52"/>
        <v>0</v>
      </c>
    </row>
    <row r="142" spans="1:38">
      <c r="A142" s="10">
        <v>138</v>
      </c>
      <c r="B142" s="195" t="s">
        <v>329</v>
      </c>
      <c r="C142" s="196" t="s">
        <v>330</v>
      </c>
      <c r="D142" s="187" t="s">
        <v>59</v>
      </c>
      <c r="E142" s="37">
        <v>0</v>
      </c>
      <c r="F142" s="37">
        <v>2.2000000000000001E-3</v>
      </c>
      <c r="G142" s="14">
        <v>18.584099999999999</v>
      </c>
      <c r="H142" s="38">
        <v>0.98</v>
      </c>
      <c r="I142" s="14">
        <f t="shared" si="39"/>
        <v>4.1719408163265297E-2</v>
      </c>
      <c r="J142" s="13" t="s">
        <v>44</v>
      </c>
      <c r="K142" s="14">
        <v>72</v>
      </c>
      <c r="L142" s="41">
        <v>50</v>
      </c>
      <c r="M142" s="13">
        <v>3</v>
      </c>
      <c r="N142" s="13">
        <v>27.15</v>
      </c>
      <c r="O142" s="13">
        <v>0.76</v>
      </c>
      <c r="P142" s="13">
        <v>22.5</v>
      </c>
      <c r="Q142" s="14">
        <f t="shared" si="40"/>
        <v>0.104166666666667</v>
      </c>
      <c r="R142" s="14">
        <v>0</v>
      </c>
      <c r="S142" s="21">
        <v>4.77055555555556E-3</v>
      </c>
      <c r="T142" s="21">
        <v>1.1111111111111099E-2</v>
      </c>
      <c r="U142" s="13">
        <v>0.2</v>
      </c>
      <c r="V142" s="14">
        <f t="shared" si="53"/>
        <v>0.43521989087880097</v>
      </c>
      <c r="W142" s="13">
        <v>0.61</v>
      </c>
      <c r="X142" s="42">
        <f t="shared" si="41"/>
        <v>-0.17478010912119901</v>
      </c>
      <c r="Y142" s="44">
        <f t="shared" si="42"/>
        <v>2.5529878904834599E-2</v>
      </c>
      <c r="Z142" s="45">
        <f t="shared" si="43"/>
        <v>0.239342614732825</v>
      </c>
      <c r="AA142" s="15">
        <f t="shared" si="44"/>
        <v>4.7763888888888897E-2</v>
      </c>
      <c r="AB142" s="45">
        <f t="shared" si="45"/>
        <v>0.10974656694215799</v>
      </c>
      <c r="AC142" s="46">
        <f t="shared" si="46"/>
        <v>1.0961253507790701E-2</v>
      </c>
      <c r="AD142" s="46">
        <f t="shared" si="47"/>
        <v>0.459537820287023</v>
      </c>
      <c r="AE142" s="46">
        <f t="shared" si="48"/>
        <v>0.90414177054494205</v>
      </c>
      <c r="AF142" s="47"/>
      <c r="AG142" s="51">
        <f t="shared" si="49"/>
        <v>0.50635661224489903</v>
      </c>
      <c r="AH142" s="52">
        <f t="shared" si="50"/>
        <v>0</v>
      </c>
      <c r="AI142" s="53">
        <f t="shared" si="51"/>
        <v>0</v>
      </c>
      <c r="AJ142" s="53">
        <f t="shared" si="52"/>
        <v>0</v>
      </c>
    </row>
    <row r="143" spans="1:38">
      <c r="A143" s="10">
        <v>139</v>
      </c>
      <c r="B143" s="195" t="s">
        <v>331</v>
      </c>
      <c r="C143" s="196" t="s">
        <v>332</v>
      </c>
      <c r="D143" s="187" t="s">
        <v>59</v>
      </c>
      <c r="E143" s="37">
        <v>0</v>
      </c>
      <c r="F143" s="37">
        <v>2.2000000000000001E-3</v>
      </c>
      <c r="G143" s="14">
        <v>18.584099999999999</v>
      </c>
      <c r="H143" s="38">
        <v>0.98</v>
      </c>
      <c r="I143" s="14">
        <f t="shared" si="39"/>
        <v>4.1719408163265297E-2</v>
      </c>
      <c r="J143" s="13" t="s">
        <v>44</v>
      </c>
      <c r="K143" s="14">
        <v>72</v>
      </c>
      <c r="L143" s="41">
        <v>50</v>
      </c>
      <c r="M143" s="13">
        <v>3</v>
      </c>
      <c r="N143" s="13">
        <v>27.15</v>
      </c>
      <c r="O143" s="13">
        <v>0.76</v>
      </c>
      <c r="P143" s="13">
        <v>22.5</v>
      </c>
      <c r="Q143" s="14">
        <f t="shared" si="40"/>
        <v>0.104166666666667</v>
      </c>
      <c r="R143" s="14">
        <v>0</v>
      </c>
      <c r="S143" s="21">
        <v>4.77055555555556E-3</v>
      </c>
      <c r="T143" s="21">
        <v>1.1111111111111099E-2</v>
      </c>
      <c r="U143" s="13">
        <v>0.2</v>
      </c>
      <c r="V143" s="14">
        <f t="shared" si="53"/>
        <v>0.43521989087880097</v>
      </c>
      <c r="W143" s="13">
        <v>0.61</v>
      </c>
      <c r="X143" s="42">
        <f t="shared" si="41"/>
        <v>-0.17478010912119901</v>
      </c>
      <c r="Y143" s="44">
        <f t="shared" si="42"/>
        <v>2.5529878904834599E-2</v>
      </c>
      <c r="Z143" s="45">
        <f t="shared" si="43"/>
        <v>0.239342614732825</v>
      </c>
      <c r="AA143" s="15">
        <f t="shared" si="44"/>
        <v>4.7763888888888897E-2</v>
      </c>
      <c r="AB143" s="45">
        <f t="shared" si="45"/>
        <v>0.10974656694215799</v>
      </c>
      <c r="AC143" s="46">
        <f t="shared" si="46"/>
        <v>1.0961253507790701E-2</v>
      </c>
      <c r="AD143" s="46">
        <f t="shared" si="47"/>
        <v>0.459537820287023</v>
      </c>
      <c r="AE143" s="46">
        <f t="shared" si="48"/>
        <v>0.90414177054494205</v>
      </c>
      <c r="AF143" s="47"/>
      <c r="AG143" s="51">
        <f t="shared" si="49"/>
        <v>0.50635661224489903</v>
      </c>
      <c r="AH143" s="52">
        <f t="shared" si="50"/>
        <v>0</v>
      </c>
      <c r="AI143" s="53">
        <f t="shared" si="51"/>
        <v>0</v>
      </c>
      <c r="AJ143" s="53">
        <f t="shared" si="52"/>
        <v>0</v>
      </c>
    </row>
    <row r="144" spans="1:38" ht="14.25">
      <c r="A144" s="10">
        <v>140</v>
      </c>
      <c r="B144" s="193" t="s">
        <v>333</v>
      </c>
      <c r="C144" s="194" t="s">
        <v>334</v>
      </c>
      <c r="D144" s="187" t="s">
        <v>59</v>
      </c>
      <c r="E144" s="37">
        <v>0</v>
      </c>
      <c r="F144" s="37">
        <v>2.2000000000000001E-3</v>
      </c>
      <c r="G144" s="14">
        <v>18.584099999999999</v>
      </c>
      <c r="H144" s="38">
        <v>0.98</v>
      </c>
      <c r="I144" s="14">
        <f t="shared" si="39"/>
        <v>4.1719408163265297E-2</v>
      </c>
      <c r="J144" s="13" t="s">
        <v>44</v>
      </c>
      <c r="K144" s="14">
        <v>72</v>
      </c>
      <c r="L144" s="41">
        <v>50</v>
      </c>
      <c r="M144" s="13">
        <v>3</v>
      </c>
      <c r="N144" s="13">
        <v>27.15</v>
      </c>
      <c r="O144" s="13">
        <v>0.76</v>
      </c>
      <c r="P144" s="13">
        <v>22.5</v>
      </c>
      <c r="Q144" s="14">
        <f t="shared" si="40"/>
        <v>0.104166666666667</v>
      </c>
      <c r="R144" s="14">
        <v>0</v>
      </c>
      <c r="S144" s="21">
        <v>4.77055555555556E-3</v>
      </c>
      <c r="T144" s="21">
        <v>1.1111111111111099E-2</v>
      </c>
      <c r="U144" s="13">
        <v>0.2</v>
      </c>
      <c r="V144" s="14">
        <f t="shared" si="53"/>
        <v>0.43521989087880097</v>
      </c>
      <c r="W144" s="13">
        <v>0.6</v>
      </c>
      <c r="X144" s="42">
        <f t="shared" si="41"/>
        <v>-0.164780109121199</v>
      </c>
      <c r="Y144" s="44">
        <f t="shared" si="42"/>
        <v>2.5529878904834599E-2</v>
      </c>
      <c r="Z144" s="45">
        <f t="shared" si="43"/>
        <v>0.239342614732825</v>
      </c>
      <c r="AA144" s="15">
        <f t="shared" si="44"/>
        <v>4.7763888888888897E-2</v>
      </c>
      <c r="AB144" s="45">
        <f t="shared" si="45"/>
        <v>0.10974656694215799</v>
      </c>
      <c r="AC144" s="46">
        <f t="shared" si="46"/>
        <v>1.0961253507790701E-2</v>
      </c>
      <c r="AD144" s="46">
        <f t="shared" si="47"/>
        <v>0.459537820287023</v>
      </c>
      <c r="AE144" s="46">
        <f t="shared" si="48"/>
        <v>0.90414177054494205</v>
      </c>
      <c r="AF144" s="47">
        <v>64225</v>
      </c>
      <c r="AG144" s="51">
        <f t="shared" si="49"/>
        <v>0.50635661224489903</v>
      </c>
      <c r="AH144" s="52">
        <f t="shared" si="50"/>
        <v>32520.753421428599</v>
      </c>
      <c r="AI144" s="53">
        <f t="shared" si="51"/>
        <v>27951.997491691</v>
      </c>
      <c r="AJ144" s="53">
        <f t="shared" si="52"/>
        <v>38535</v>
      </c>
      <c r="AK144" s="1">
        <f t="shared" si="54"/>
        <v>12.1371954813768</v>
      </c>
      <c r="AL144" s="33">
        <f t="shared" si="55"/>
        <v>-0.15607231292516799</v>
      </c>
    </row>
    <row r="145" spans="1:38" ht="14.25">
      <c r="A145" s="10">
        <v>141</v>
      </c>
      <c r="B145" s="193" t="s">
        <v>335</v>
      </c>
      <c r="C145" s="194" t="s">
        <v>336</v>
      </c>
      <c r="D145" s="187" t="s">
        <v>59</v>
      </c>
      <c r="E145" s="37">
        <v>0</v>
      </c>
      <c r="F145" s="37">
        <v>2.2000000000000001E-3</v>
      </c>
      <c r="G145" s="14">
        <v>18.584099999999999</v>
      </c>
      <c r="H145" s="38">
        <v>0.98</v>
      </c>
      <c r="I145" s="14">
        <f t="shared" si="39"/>
        <v>4.1719408163265297E-2</v>
      </c>
      <c r="J145" s="13" t="s">
        <v>44</v>
      </c>
      <c r="K145" s="14">
        <v>72</v>
      </c>
      <c r="L145" s="41">
        <v>50</v>
      </c>
      <c r="M145" s="13">
        <v>3</v>
      </c>
      <c r="N145" s="13">
        <v>27.15</v>
      </c>
      <c r="O145" s="13">
        <v>0.76</v>
      </c>
      <c r="P145" s="13">
        <v>22.5</v>
      </c>
      <c r="Q145" s="14">
        <f t="shared" si="40"/>
        <v>0.104166666666667</v>
      </c>
      <c r="R145" s="14">
        <v>0</v>
      </c>
      <c r="S145" s="21">
        <v>4.77055555555556E-3</v>
      </c>
      <c r="T145" s="21">
        <v>1.1111111111111099E-2</v>
      </c>
      <c r="U145" s="13">
        <v>0.2</v>
      </c>
      <c r="V145" s="14">
        <f t="shared" si="53"/>
        <v>0.43521989087880097</v>
      </c>
      <c r="W145" s="13">
        <v>0.6</v>
      </c>
      <c r="X145" s="42">
        <f t="shared" si="41"/>
        <v>-0.164780109121199</v>
      </c>
      <c r="Y145" s="44">
        <f t="shared" si="42"/>
        <v>2.5529878904834599E-2</v>
      </c>
      <c r="Z145" s="45">
        <f t="shared" si="43"/>
        <v>0.239342614732825</v>
      </c>
      <c r="AA145" s="15">
        <f t="shared" si="44"/>
        <v>4.7763888888888897E-2</v>
      </c>
      <c r="AB145" s="45">
        <f t="shared" si="45"/>
        <v>0.10974656694215799</v>
      </c>
      <c r="AC145" s="46">
        <f t="shared" si="46"/>
        <v>1.0961253507790701E-2</v>
      </c>
      <c r="AD145" s="46">
        <f t="shared" si="47"/>
        <v>0.459537820287023</v>
      </c>
      <c r="AE145" s="46">
        <f t="shared" si="48"/>
        <v>0.90414177054494205</v>
      </c>
      <c r="AF145" s="47">
        <v>64580</v>
      </c>
      <c r="AG145" s="51">
        <f t="shared" si="49"/>
        <v>0.50635661224489903</v>
      </c>
      <c r="AH145" s="52">
        <f t="shared" si="50"/>
        <v>32700.510018775502</v>
      </c>
      <c r="AI145" s="53">
        <f t="shared" si="51"/>
        <v>28106.500552952999</v>
      </c>
      <c r="AJ145" s="53">
        <f t="shared" si="52"/>
        <v>38748</v>
      </c>
      <c r="AK145" s="1">
        <f t="shared" si="54"/>
        <v>12.1371954813768</v>
      </c>
      <c r="AL145" s="33">
        <f t="shared" si="55"/>
        <v>-0.15607231292516799</v>
      </c>
    </row>
    <row r="146" spans="1:38" ht="16.5">
      <c r="A146" s="10">
        <v>143</v>
      </c>
      <c r="B146" s="197" t="s">
        <v>412</v>
      </c>
      <c r="C146" s="198" t="s">
        <v>413</v>
      </c>
      <c r="D146" s="199" t="s">
        <v>86</v>
      </c>
      <c r="E146" s="63">
        <f>44.241/1000</f>
        <v>4.4241000000000003E-2</v>
      </c>
      <c r="F146" s="63">
        <f>E146*1.03</f>
        <v>4.5568230000000001E-2</v>
      </c>
      <c r="G146" s="64">
        <v>15.66372</v>
      </c>
      <c r="H146" s="65">
        <v>0.99</v>
      </c>
      <c r="I146" s="64">
        <f t="shared" si="39"/>
        <v>0.72097777334909097</v>
      </c>
      <c r="J146" s="95" t="s">
        <v>339</v>
      </c>
      <c r="K146" s="96">
        <v>65</v>
      </c>
      <c r="L146" s="97">
        <v>55</v>
      </c>
      <c r="M146" s="62">
        <v>2</v>
      </c>
      <c r="N146" s="96">
        <v>48.5</v>
      </c>
      <c r="O146" s="96">
        <v>0.76</v>
      </c>
      <c r="P146" s="96">
        <v>22.5</v>
      </c>
      <c r="Q146" s="64">
        <f t="shared" si="40"/>
        <v>0.17307692307692299</v>
      </c>
      <c r="R146" s="109">
        <v>0</v>
      </c>
      <c r="S146" s="110">
        <v>0.01</v>
      </c>
      <c r="T146" s="110"/>
      <c r="U146" s="110">
        <v>0.3</v>
      </c>
      <c r="V146" s="64">
        <f t="shared" si="53"/>
        <v>1.4713783426128499</v>
      </c>
      <c r="W146" s="13">
        <v>2.15</v>
      </c>
      <c r="X146" s="42">
        <f t="shared" si="41"/>
        <v>-0.67862165738714997</v>
      </c>
      <c r="Y146" s="44">
        <f t="shared" si="42"/>
        <v>0</v>
      </c>
      <c r="Z146" s="45">
        <f t="shared" si="43"/>
        <v>0.11762910875089801</v>
      </c>
      <c r="AA146" s="15">
        <f t="shared" si="44"/>
        <v>0.14176923076923101</v>
      </c>
      <c r="AB146" s="45">
        <f t="shared" si="45"/>
        <v>9.6351309967958002E-2</v>
      </c>
      <c r="AC146" s="46">
        <f t="shared" si="46"/>
        <v>6.7963485056074403E-3</v>
      </c>
      <c r="AD146" s="46">
        <f t="shared" si="47"/>
        <v>0.20389045516822299</v>
      </c>
      <c r="AE146" s="46">
        <f t="shared" si="48"/>
        <v>0.50999837875227205</v>
      </c>
      <c r="AF146" s="47">
        <v>37518</v>
      </c>
      <c r="AG146" s="51">
        <f t="shared" si="49"/>
        <v>1.8637358907928701</v>
      </c>
      <c r="AH146" s="52">
        <f t="shared" si="50"/>
        <v>69923.643150766802</v>
      </c>
      <c r="AI146" s="53">
        <f t="shared" si="51"/>
        <v>55203.172658148898</v>
      </c>
      <c r="AJ146" s="53">
        <f t="shared" si="52"/>
        <v>80663.7</v>
      </c>
      <c r="AK146" s="1">
        <f t="shared" si="54"/>
        <v>2.5850115768970698</v>
      </c>
      <c r="AL146" s="33">
        <f t="shared" si="55"/>
        <v>-0.133146097305642</v>
      </c>
    </row>
    <row r="147" spans="1:38" ht="16.5">
      <c r="A147" s="10">
        <v>144</v>
      </c>
      <c r="B147" s="197" t="s">
        <v>414</v>
      </c>
      <c r="C147" s="198" t="s">
        <v>415</v>
      </c>
      <c r="D147" s="200" t="s">
        <v>342</v>
      </c>
      <c r="E147" s="67"/>
      <c r="F147" s="67">
        <v>3.9800000000000002E-2</v>
      </c>
      <c r="G147" s="68">
        <v>19.46</v>
      </c>
      <c r="H147" s="69"/>
      <c r="I147" s="68">
        <f>F147*G147</f>
        <v>0.77450799999999997</v>
      </c>
      <c r="J147" s="98" t="s">
        <v>81</v>
      </c>
      <c r="K147" s="99">
        <f t="shared" ref="K147:K158" si="56">3600/L147</f>
        <v>72</v>
      </c>
      <c r="L147" s="99">
        <v>50</v>
      </c>
      <c r="M147" s="76">
        <v>4</v>
      </c>
      <c r="N147" s="78">
        <v>39.75</v>
      </c>
      <c r="O147" s="78">
        <v>0.76</v>
      </c>
      <c r="P147" s="78">
        <v>22.5</v>
      </c>
      <c r="Q147" s="68">
        <f t="shared" si="40"/>
        <v>7.8125E-2</v>
      </c>
      <c r="R147" s="111"/>
      <c r="S147" s="112">
        <v>0.02</v>
      </c>
      <c r="T147" s="112">
        <v>0.02</v>
      </c>
      <c r="U147" s="112"/>
      <c r="V147" s="68">
        <f>(I147+Q147+(N147*O147/K147/M147)/2)*1.11+R147*1.03+S147+T147+U147</f>
        <v>1.0446398175</v>
      </c>
      <c r="W147" s="13">
        <v>1.35</v>
      </c>
      <c r="X147" s="42">
        <f t="shared" si="41"/>
        <v>-0.30536018250000002</v>
      </c>
      <c r="Y147" s="44">
        <f t="shared" si="42"/>
        <v>1.9145354853372699E-2</v>
      </c>
      <c r="Z147" s="45">
        <f t="shared" si="43"/>
        <v>7.4786542395987102E-2</v>
      </c>
      <c r="AA147" s="15">
        <f t="shared" si="44"/>
        <v>5.2447916666666698E-2</v>
      </c>
      <c r="AB147" s="45">
        <f t="shared" si="45"/>
        <v>5.02066987951727E-2</v>
      </c>
      <c r="AC147" s="46">
        <f t="shared" si="46"/>
        <v>1.9145354853372699E-2</v>
      </c>
      <c r="AD147" s="46">
        <f t="shared" si="47"/>
        <v>0</v>
      </c>
      <c r="AE147" s="46">
        <f t="shared" si="48"/>
        <v>0.25858847516120098</v>
      </c>
      <c r="AF147" s="47">
        <v>21517</v>
      </c>
      <c r="AG147" s="51">
        <f t="shared" si="49"/>
        <v>1.3976213749999999</v>
      </c>
      <c r="AH147" s="52">
        <f t="shared" si="50"/>
        <v>30072.619125875</v>
      </c>
      <c r="AI147" s="53">
        <f t="shared" si="51"/>
        <v>22477.5149531475</v>
      </c>
      <c r="AJ147" s="53">
        <f t="shared" si="52"/>
        <v>29047.95</v>
      </c>
      <c r="AK147" s="1">
        <f t="shared" si="54"/>
        <v>1.8045280035842099</v>
      </c>
      <c r="AL147" s="33">
        <f t="shared" si="55"/>
        <v>3.5275092592592497E-2</v>
      </c>
    </row>
    <row r="148" spans="1:38" ht="14.25">
      <c r="A148" s="10">
        <v>145</v>
      </c>
      <c r="B148" s="199" t="s">
        <v>343</v>
      </c>
      <c r="C148" s="201" t="s">
        <v>416</v>
      </c>
      <c r="D148" s="202" t="s">
        <v>43</v>
      </c>
      <c r="E148" s="72">
        <f>21/1000</f>
        <v>2.1000000000000001E-2</v>
      </c>
      <c r="F148" s="67">
        <v>2.247E-2</v>
      </c>
      <c r="G148" s="68">
        <v>17.3</v>
      </c>
      <c r="H148" s="73">
        <v>0.95</v>
      </c>
      <c r="I148" s="68">
        <f t="shared" ref="I148:I169" si="57">F148*G148/H148</f>
        <v>0.40919052631579</v>
      </c>
      <c r="J148" s="98" t="s">
        <v>65</v>
      </c>
      <c r="K148" s="99">
        <v>48</v>
      </c>
      <c r="L148" s="99">
        <f>3600/K148</f>
        <v>75</v>
      </c>
      <c r="M148" s="100">
        <v>2</v>
      </c>
      <c r="N148" s="78">
        <v>48.5</v>
      </c>
      <c r="O148" s="78">
        <v>0.76</v>
      </c>
      <c r="P148" s="78">
        <v>22.5</v>
      </c>
      <c r="Q148" s="68">
        <f>P148/K148/M148+P148/200</f>
        <v>0.34687499999999999</v>
      </c>
      <c r="R148" s="113"/>
      <c r="S148" s="112">
        <f>0.00291/10+8.4124/100</f>
        <v>8.4415000000000004E-2</v>
      </c>
      <c r="T148" s="112">
        <f>20/100</f>
        <v>0.2</v>
      </c>
      <c r="U148" s="112"/>
      <c r="V148" s="68">
        <f t="shared" ref="V148:V159" si="58">(I148+Q148+(N148*O148/K148/M148)/2)*1.11+R148*1.03+T148+U148</f>
        <v>1.25232960921053</v>
      </c>
      <c r="W148" s="13">
        <v>1.74</v>
      </c>
      <c r="X148" s="42">
        <f t="shared" si="41"/>
        <v>-0.487670390789473</v>
      </c>
      <c r="Y148" s="44">
        <f t="shared" si="42"/>
        <v>0.159702364720164</v>
      </c>
      <c r="Z148" s="45">
        <f t="shared" si="43"/>
        <v>0.27698378881153501</v>
      </c>
      <c r="AA148" s="15">
        <f t="shared" si="44"/>
        <v>0.19197916666666701</v>
      </c>
      <c r="AB148" s="45">
        <f t="shared" si="45"/>
        <v>0.153297634468366</v>
      </c>
      <c r="AC148" s="46">
        <f t="shared" si="46"/>
        <v>6.7406375589263198E-2</v>
      </c>
      <c r="AD148" s="46">
        <f t="shared" si="47"/>
        <v>0</v>
      </c>
      <c r="AE148" s="46">
        <f t="shared" si="48"/>
        <v>0.67325652663139901</v>
      </c>
      <c r="AF148" s="47">
        <v>1600</v>
      </c>
      <c r="AG148" s="51">
        <f t="shared" si="49"/>
        <v>1.7064820394736799</v>
      </c>
      <c r="AH148" s="52">
        <f t="shared" si="50"/>
        <v>2730.3712631579001</v>
      </c>
      <c r="AI148" s="53">
        <f t="shared" si="51"/>
        <v>2003.7273747368399</v>
      </c>
      <c r="AJ148" s="53">
        <f t="shared" si="52"/>
        <v>2784</v>
      </c>
      <c r="AK148" s="1">
        <f t="shared" si="54"/>
        <v>4.1703850156020303</v>
      </c>
      <c r="AL148" s="33">
        <f t="shared" si="55"/>
        <v>-1.9263195704781601E-2</v>
      </c>
    </row>
    <row r="149" spans="1:38" ht="14.25">
      <c r="A149" s="10">
        <v>146</v>
      </c>
      <c r="B149" s="203" t="s">
        <v>345</v>
      </c>
      <c r="C149" s="204" t="s">
        <v>417</v>
      </c>
      <c r="D149" s="199" t="s">
        <v>347</v>
      </c>
      <c r="E149" s="77"/>
      <c r="F149" s="78">
        <v>5.1499999999999997E-2</v>
      </c>
      <c r="G149" s="79">
        <v>17.399999999999999</v>
      </c>
      <c r="H149" s="80">
        <v>0.95</v>
      </c>
      <c r="I149" s="79">
        <f t="shared" si="57"/>
        <v>0.94326315789473703</v>
      </c>
      <c r="J149" s="101" t="s">
        <v>65</v>
      </c>
      <c r="K149" s="102">
        <f t="shared" si="56"/>
        <v>65.454545454545496</v>
      </c>
      <c r="L149" s="102">
        <v>55</v>
      </c>
      <c r="M149" s="103">
        <v>2</v>
      </c>
      <c r="N149" s="101">
        <v>34</v>
      </c>
      <c r="O149" s="101">
        <v>0.76</v>
      </c>
      <c r="P149" s="101">
        <v>22.5</v>
      </c>
      <c r="Q149" s="79">
        <f t="shared" ref="Q149:Q169" si="59">P149/K149/M149</f>
        <v>0.171875</v>
      </c>
      <c r="R149" s="101">
        <v>0</v>
      </c>
      <c r="S149" s="114">
        <v>7.15583333333333E-3</v>
      </c>
      <c r="T149" s="114">
        <v>1.6666666666666701E-2</v>
      </c>
      <c r="U149" s="101">
        <v>0.3</v>
      </c>
      <c r="V149" s="68">
        <f t="shared" si="58"/>
        <v>1.6640208552631599</v>
      </c>
      <c r="W149" s="13">
        <v>2.2599999999999998</v>
      </c>
      <c r="X149" s="42">
        <f t="shared" si="41"/>
        <v>-0.59597914473684199</v>
      </c>
      <c r="Y149" s="44">
        <f t="shared" si="42"/>
        <v>1.0015900109635901E-2</v>
      </c>
      <c r="Z149" s="45">
        <f t="shared" si="43"/>
        <v>0.10328896988062</v>
      </c>
      <c r="AA149" s="15">
        <f t="shared" si="44"/>
        <v>9.8694444444444404E-2</v>
      </c>
      <c r="AB149" s="45">
        <f t="shared" si="45"/>
        <v>5.9310821815893797E-2</v>
      </c>
      <c r="AC149" s="46">
        <f t="shared" si="46"/>
        <v>4.3003267120721696E-3</v>
      </c>
      <c r="AD149" s="46">
        <f t="shared" si="47"/>
        <v>0.180286201973446</v>
      </c>
      <c r="AE149" s="46">
        <f t="shared" si="48"/>
        <v>0.43314222600559699</v>
      </c>
      <c r="AF149" s="47">
        <v>1512</v>
      </c>
      <c r="AG149" s="51">
        <f t="shared" si="49"/>
        <v>2.14457140350877</v>
      </c>
      <c r="AH149" s="52">
        <f t="shared" si="50"/>
        <v>3242.5919621052599</v>
      </c>
      <c r="AI149" s="53">
        <f t="shared" si="51"/>
        <v>2515.9995331578898</v>
      </c>
      <c r="AJ149" s="53">
        <f t="shared" si="52"/>
        <v>3417.12</v>
      </c>
      <c r="AK149" s="1">
        <f t="shared" si="54"/>
        <v>2.2735663802402999</v>
      </c>
      <c r="AL149" s="33">
        <f t="shared" si="55"/>
        <v>-5.1074600217358303E-2</v>
      </c>
    </row>
    <row r="150" spans="1:38" ht="14.25">
      <c r="A150" s="10">
        <v>147</v>
      </c>
      <c r="B150" s="203" t="s">
        <v>348</v>
      </c>
      <c r="C150" s="201" t="s">
        <v>418</v>
      </c>
      <c r="D150" s="205" t="s">
        <v>419</v>
      </c>
      <c r="E150" s="77"/>
      <c r="F150" s="78">
        <v>1.6480000000000002E-2</v>
      </c>
      <c r="G150" s="79">
        <v>16</v>
      </c>
      <c r="H150" s="80">
        <v>0.85</v>
      </c>
      <c r="I150" s="79">
        <f t="shared" si="57"/>
        <v>0.31021176470588202</v>
      </c>
      <c r="J150" s="101" t="s">
        <v>65</v>
      </c>
      <c r="K150" s="102">
        <f t="shared" si="56"/>
        <v>65.454545454545496</v>
      </c>
      <c r="L150" s="102">
        <v>55</v>
      </c>
      <c r="M150" s="103">
        <v>2</v>
      </c>
      <c r="N150" s="101">
        <v>34</v>
      </c>
      <c r="O150" s="101">
        <v>0.76</v>
      </c>
      <c r="P150" s="101">
        <v>22.5</v>
      </c>
      <c r="Q150" s="79">
        <f t="shared" si="59"/>
        <v>0.171875</v>
      </c>
      <c r="R150" s="101">
        <v>0</v>
      </c>
      <c r="S150" s="114">
        <v>0.03</v>
      </c>
      <c r="T150" s="114">
        <v>6.6666666666666697E-3</v>
      </c>
      <c r="U150" s="101">
        <v>0.3</v>
      </c>
      <c r="V150" s="68">
        <f t="shared" si="58"/>
        <v>0.95133380882352903</v>
      </c>
      <c r="W150" s="13">
        <v>1.43</v>
      </c>
      <c r="X150" s="42">
        <f t="shared" si="41"/>
        <v>-0.47866619117647002</v>
      </c>
      <c r="Y150" s="44">
        <f t="shared" si="42"/>
        <v>7.0077049767746898E-3</v>
      </c>
      <c r="Z150" s="45">
        <f t="shared" si="43"/>
        <v>0.180667393932472</v>
      </c>
      <c r="AA150" s="15">
        <f t="shared" si="44"/>
        <v>9.8694444444444404E-2</v>
      </c>
      <c r="AB150" s="45">
        <f t="shared" si="45"/>
        <v>0.10374323242700199</v>
      </c>
      <c r="AC150" s="46">
        <f t="shared" si="46"/>
        <v>3.1534672395486102E-2</v>
      </c>
      <c r="AD150" s="46">
        <f t="shared" si="47"/>
        <v>0.31534672395486102</v>
      </c>
      <c r="AE150" s="46">
        <f t="shared" si="48"/>
        <v>0.67391912089247896</v>
      </c>
      <c r="AF150" s="47">
        <v>600</v>
      </c>
      <c r="AG150" s="51">
        <f t="shared" si="49"/>
        <v>1.20783848039216</v>
      </c>
      <c r="AH150" s="52">
        <f t="shared" si="50"/>
        <v>724.70308823529399</v>
      </c>
      <c r="AI150" s="53">
        <f t="shared" si="51"/>
        <v>570.800285294118</v>
      </c>
      <c r="AJ150" s="53">
        <f t="shared" si="52"/>
        <v>858</v>
      </c>
      <c r="AK150" s="1">
        <f t="shared" si="54"/>
        <v>3.89359340235641</v>
      </c>
      <c r="AL150" s="33">
        <f t="shared" si="55"/>
        <v>-0.15535770601946799</v>
      </c>
    </row>
    <row r="151" spans="1:38" ht="14.25">
      <c r="A151" s="10">
        <v>148</v>
      </c>
      <c r="B151" s="203" t="s">
        <v>351</v>
      </c>
      <c r="C151" s="201" t="s">
        <v>420</v>
      </c>
      <c r="D151" s="199" t="s">
        <v>350</v>
      </c>
      <c r="E151" s="77"/>
      <c r="F151" s="78">
        <v>8.9249999999999996E-2</v>
      </c>
      <c r="G151" s="79">
        <v>16</v>
      </c>
      <c r="H151" s="80">
        <v>0.95</v>
      </c>
      <c r="I151" s="79">
        <f t="shared" si="57"/>
        <v>1.50315789473684</v>
      </c>
      <c r="J151" s="101" t="s">
        <v>65</v>
      </c>
      <c r="K151" s="102">
        <f t="shared" si="56"/>
        <v>65.454545454545496</v>
      </c>
      <c r="L151" s="102">
        <v>55</v>
      </c>
      <c r="M151" s="103">
        <v>2</v>
      </c>
      <c r="N151" s="101">
        <v>34</v>
      </c>
      <c r="O151" s="101">
        <v>0.76</v>
      </c>
      <c r="P151" s="101">
        <v>22.5</v>
      </c>
      <c r="Q151" s="79">
        <f t="shared" si="59"/>
        <v>0.171875</v>
      </c>
      <c r="R151" s="101">
        <v>0</v>
      </c>
      <c r="S151" s="114">
        <v>0.03</v>
      </c>
      <c r="T151" s="114">
        <v>6.6666666666666697E-3</v>
      </c>
      <c r="U151" s="101">
        <v>0.3</v>
      </c>
      <c r="V151" s="68">
        <f t="shared" si="58"/>
        <v>2.2755040131578901</v>
      </c>
      <c r="W151" s="13">
        <v>3.13</v>
      </c>
      <c r="X151" s="42">
        <f t="shared" si="41"/>
        <v>-0.85449598684210504</v>
      </c>
      <c r="Y151" s="44">
        <f t="shared" si="42"/>
        <v>2.9297538602952502E-3</v>
      </c>
      <c r="Z151" s="45">
        <f t="shared" si="43"/>
        <v>7.5532716710736802E-2</v>
      </c>
      <c r="AA151" s="15">
        <f t="shared" si="44"/>
        <v>9.8694444444444404E-2</v>
      </c>
      <c r="AB151" s="45">
        <f t="shared" si="45"/>
        <v>4.33725644401209E-2</v>
      </c>
      <c r="AC151" s="46">
        <f t="shared" si="46"/>
        <v>1.3183892371328601E-2</v>
      </c>
      <c r="AD151" s="46">
        <f t="shared" si="47"/>
        <v>0.13183892371328601</v>
      </c>
      <c r="AE151" s="46">
        <f t="shared" si="48"/>
        <v>0.33941760328921899</v>
      </c>
      <c r="AF151" s="47">
        <v>178</v>
      </c>
      <c r="AG151" s="51">
        <f t="shared" si="49"/>
        <v>2.9972576754386</v>
      </c>
      <c r="AH151" s="52">
        <f t="shared" si="50"/>
        <v>533.51186622806995</v>
      </c>
      <c r="AI151" s="53">
        <f t="shared" si="51"/>
        <v>405.03971434210501</v>
      </c>
      <c r="AJ151" s="53">
        <f t="shared" si="52"/>
        <v>557.14</v>
      </c>
      <c r="AK151" s="1">
        <f t="shared" si="54"/>
        <v>1.9939739437441699</v>
      </c>
      <c r="AL151" s="33">
        <f t="shared" si="55"/>
        <v>-4.2409688358274703E-2</v>
      </c>
    </row>
    <row r="152" spans="1:38" ht="14.25">
      <c r="A152" s="10">
        <v>149</v>
      </c>
      <c r="B152" s="203" t="s">
        <v>353</v>
      </c>
      <c r="C152" s="201" t="s">
        <v>421</v>
      </c>
      <c r="D152" s="199" t="s">
        <v>350</v>
      </c>
      <c r="E152" s="77"/>
      <c r="F152" s="78">
        <v>8.9249999999999996E-2</v>
      </c>
      <c r="G152" s="79">
        <v>16</v>
      </c>
      <c r="H152" s="80">
        <v>0.95</v>
      </c>
      <c r="I152" s="79">
        <f t="shared" si="57"/>
        <v>1.50315789473684</v>
      </c>
      <c r="J152" s="101" t="s">
        <v>65</v>
      </c>
      <c r="K152" s="102">
        <f t="shared" si="56"/>
        <v>65</v>
      </c>
      <c r="L152" s="102">
        <v>55.384615384615401</v>
      </c>
      <c r="M152" s="103">
        <v>2</v>
      </c>
      <c r="N152" s="101">
        <v>34</v>
      </c>
      <c r="O152" s="101">
        <v>0.76</v>
      </c>
      <c r="P152" s="101">
        <v>22.5</v>
      </c>
      <c r="Q152" s="79">
        <f t="shared" si="59"/>
        <v>0.17307692307692299</v>
      </c>
      <c r="R152" s="101">
        <v>0</v>
      </c>
      <c r="S152" s="114">
        <v>0.03</v>
      </c>
      <c r="T152" s="114">
        <v>6.6666666666666697E-3</v>
      </c>
      <c r="U152" s="101">
        <v>0.3</v>
      </c>
      <c r="V152" s="68">
        <f t="shared" si="58"/>
        <v>2.2776042375168699</v>
      </c>
      <c r="W152" s="13">
        <v>3.13</v>
      </c>
      <c r="X152" s="42">
        <f t="shared" si="41"/>
        <v>-0.85239576248313098</v>
      </c>
      <c r="Y152" s="44">
        <f t="shared" si="42"/>
        <v>2.9270522757434501E-3</v>
      </c>
      <c r="Z152" s="45">
        <f t="shared" si="43"/>
        <v>7.5990780235647204E-2</v>
      </c>
      <c r="AA152" s="15">
        <f t="shared" si="44"/>
        <v>9.9384615384615405E-2</v>
      </c>
      <c r="AB152" s="45">
        <f t="shared" si="45"/>
        <v>4.3635594695313799E-2</v>
      </c>
      <c r="AC152" s="46">
        <f t="shared" si="46"/>
        <v>1.31717352408455E-2</v>
      </c>
      <c r="AD152" s="46">
        <f t="shared" si="47"/>
        <v>0.131717352408455</v>
      </c>
      <c r="AE152" s="46">
        <f t="shared" si="48"/>
        <v>0.34002673951132001</v>
      </c>
      <c r="AF152" s="47">
        <v>335</v>
      </c>
      <c r="AG152" s="51">
        <f t="shared" si="49"/>
        <v>3.0000958164642402</v>
      </c>
      <c r="AH152" s="52">
        <f t="shared" si="50"/>
        <v>1005.03209851552</v>
      </c>
      <c r="AI152" s="53">
        <f t="shared" si="51"/>
        <v>762.99741956815103</v>
      </c>
      <c r="AJ152" s="53">
        <f t="shared" si="52"/>
        <v>1048.55</v>
      </c>
      <c r="AK152" s="1">
        <f t="shared" si="54"/>
        <v>1.9958620627738299</v>
      </c>
      <c r="AL152" s="33">
        <f t="shared" si="55"/>
        <v>-4.15029340369839E-2</v>
      </c>
    </row>
    <row r="153" spans="1:38" ht="14.25">
      <c r="A153" s="10">
        <v>150</v>
      </c>
      <c r="B153" s="203" t="s">
        <v>355</v>
      </c>
      <c r="C153" s="201" t="s">
        <v>422</v>
      </c>
      <c r="D153" s="199" t="s">
        <v>357</v>
      </c>
      <c r="E153" s="77"/>
      <c r="F153" s="78">
        <v>3.8600000000000001E-3</v>
      </c>
      <c r="G153" s="79">
        <v>19</v>
      </c>
      <c r="H153" s="80">
        <v>0.95</v>
      </c>
      <c r="I153" s="79">
        <f t="shared" si="57"/>
        <v>7.7200000000000005E-2</v>
      </c>
      <c r="J153" s="101" t="s">
        <v>65</v>
      </c>
      <c r="K153" s="102">
        <f t="shared" si="56"/>
        <v>65</v>
      </c>
      <c r="L153" s="102">
        <v>55.384615384615401</v>
      </c>
      <c r="M153" s="103">
        <v>2</v>
      </c>
      <c r="N153" s="101">
        <v>34</v>
      </c>
      <c r="O153" s="101">
        <v>0.76</v>
      </c>
      <c r="P153" s="101">
        <v>22.5</v>
      </c>
      <c r="Q153" s="79">
        <f t="shared" si="59"/>
        <v>0.17307692307692299</v>
      </c>
      <c r="R153" s="101">
        <v>0</v>
      </c>
      <c r="S153" s="114">
        <v>0.01</v>
      </c>
      <c r="T153" s="114">
        <v>6.6666666666666697E-3</v>
      </c>
      <c r="U153" s="101">
        <v>0.3</v>
      </c>
      <c r="V153" s="68">
        <f t="shared" si="58"/>
        <v>0.69479097435897397</v>
      </c>
      <c r="W153" s="13">
        <v>0.95</v>
      </c>
      <c r="X153" s="42">
        <f t="shared" si="41"/>
        <v>-0.25520902564102599</v>
      </c>
      <c r="Y153" s="44">
        <f t="shared" si="42"/>
        <v>9.5952119597083798E-3</v>
      </c>
      <c r="Z153" s="45">
        <f t="shared" si="43"/>
        <v>0.24910646433858299</v>
      </c>
      <c r="AA153" s="15">
        <f t="shared" si="44"/>
        <v>9.9384615384615405E-2</v>
      </c>
      <c r="AB153" s="45">
        <f t="shared" si="45"/>
        <v>0.143042467522422</v>
      </c>
      <c r="AC153" s="46">
        <f t="shared" si="46"/>
        <v>1.43928179395626E-2</v>
      </c>
      <c r="AD153" s="46">
        <f t="shared" si="47"/>
        <v>0.43178453818687701</v>
      </c>
      <c r="AE153" s="46">
        <f t="shared" si="48"/>
        <v>0.88888744550657695</v>
      </c>
      <c r="AF153" s="47">
        <v>610</v>
      </c>
      <c r="AG153" s="51">
        <f t="shared" si="49"/>
        <v>0.84115897435897402</v>
      </c>
      <c r="AH153" s="52">
        <f t="shared" si="50"/>
        <v>513.10697435897396</v>
      </c>
      <c r="AI153" s="53">
        <f t="shared" si="51"/>
        <v>423.82249435897398</v>
      </c>
      <c r="AJ153" s="53">
        <f t="shared" si="52"/>
        <v>579.5</v>
      </c>
      <c r="AK153" s="1">
        <f t="shared" si="54"/>
        <v>10.8958416367743</v>
      </c>
      <c r="AL153" s="33">
        <f t="shared" si="55"/>
        <v>-0.114569500674764</v>
      </c>
    </row>
    <row r="154" spans="1:38" ht="14.25">
      <c r="A154" s="10">
        <v>151</v>
      </c>
      <c r="B154" s="205" t="s">
        <v>423</v>
      </c>
      <c r="C154" s="201" t="s">
        <v>424</v>
      </c>
      <c r="D154" s="199" t="s">
        <v>360</v>
      </c>
      <c r="E154" s="77"/>
      <c r="F154" s="78">
        <v>2.1579999999999998E-2</v>
      </c>
      <c r="G154" s="79">
        <v>17.3</v>
      </c>
      <c r="H154" s="80">
        <v>0.96</v>
      </c>
      <c r="I154" s="79">
        <f t="shared" si="57"/>
        <v>0.38888958333333301</v>
      </c>
      <c r="J154" s="98" t="s">
        <v>81</v>
      </c>
      <c r="K154" s="102">
        <f t="shared" si="56"/>
        <v>72</v>
      </c>
      <c r="L154" s="102">
        <v>50</v>
      </c>
      <c r="M154" s="103">
        <v>2</v>
      </c>
      <c r="N154" s="101">
        <v>39.75</v>
      </c>
      <c r="O154" s="101">
        <v>0.76</v>
      </c>
      <c r="P154" s="101">
        <v>22.5</v>
      </c>
      <c r="Q154" s="79">
        <f t="shared" si="59"/>
        <v>0.15625</v>
      </c>
      <c r="R154" s="101">
        <v>0</v>
      </c>
      <c r="S154" s="114">
        <v>1.43116666666667E-2</v>
      </c>
      <c r="T154" s="114">
        <v>3.3333333333333298E-2</v>
      </c>
      <c r="U154" s="101">
        <v>0</v>
      </c>
      <c r="V154" s="68">
        <f t="shared" si="58"/>
        <v>0.75487264583333302</v>
      </c>
      <c r="W154" s="13">
        <v>1.04</v>
      </c>
      <c r="X154" s="42">
        <f t="shared" si="41"/>
        <v>-0.28512735416666701</v>
      </c>
      <c r="Y154" s="44">
        <f t="shared" si="42"/>
        <v>4.4157558917153901E-2</v>
      </c>
      <c r="Z154" s="45">
        <f t="shared" si="43"/>
        <v>0.206988557424159</v>
      </c>
      <c r="AA154" s="15">
        <f t="shared" si="44"/>
        <v>0.10489583333333299</v>
      </c>
      <c r="AB154" s="45">
        <f t="shared" si="45"/>
        <v>0.138958318217419</v>
      </c>
      <c r="AC154" s="46">
        <f t="shared" si="46"/>
        <v>1.8959047921080101E-2</v>
      </c>
      <c r="AD154" s="46">
        <f t="shared" si="47"/>
        <v>0</v>
      </c>
      <c r="AE154" s="46">
        <f t="shared" si="48"/>
        <v>0.48482755935072602</v>
      </c>
      <c r="AF154" s="47">
        <v>1960</v>
      </c>
      <c r="AG154" s="51">
        <f t="shared" si="49"/>
        <v>1.022698125</v>
      </c>
      <c r="AH154" s="52">
        <f t="shared" si="50"/>
        <v>2004.488325</v>
      </c>
      <c r="AI154" s="53">
        <f t="shared" si="51"/>
        <v>1479.55038583333</v>
      </c>
      <c r="AJ154" s="53">
        <f t="shared" si="52"/>
        <v>2038.4</v>
      </c>
      <c r="AK154" s="1">
        <f t="shared" si="54"/>
        <v>2.629790482517</v>
      </c>
      <c r="AL154" s="33">
        <f t="shared" si="55"/>
        <v>-1.6636418269230801E-2</v>
      </c>
    </row>
    <row r="155" spans="1:38" ht="14.25">
      <c r="A155" s="10">
        <v>152</v>
      </c>
      <c r="B155" s="199" t="s">
        <v>361</v>
      </c>
      <c r="C155" s="201" t="s">
        <v>425</v>
      </c>
      <c r="D155" s="199" t="s">
        <v>357</v>
      </c>
      <c r="E155" s="77"/>
      <c r="F155" s="78">
        <v>1.536E-2</v>
      </c>
      <c r="G155" s="79">
        <v>19</v>
      </c>
      <c r="H155" s="80">
        <v>0.96</v>
      </c>
      <c r="I155" s="79">
        <f t="shared" si="57"/>
        <v>0.30399999999999999</v>
      </c>
      <c r="J155" s="101" t="s">
        <v>65</v>
      </c>
      <c r="K155" s="102">
        <f t="shared" si="56"/>
        <v>72</v>
      </c>
      <c r="L155" s="102">
        <v>50</v>
      </c>
      <c r="M155" s="103">
        <v>2</v>
      </c>
      <c r="N155" s="101">
        <v>34</v>
      </c>
      <c r="O155" s="101">
        <v>0.76</v>
      </c>
      <c r="P155" s="101">
        <v>22.5</v>
      </c>
      <c r="Q155" s="79">
        <f t="shared" si="59"/>
        <v>0.15625</v>
      </c>
      <c r="R155" s="101">
        <v>0</v>
      </c>
      <c r="S155" s="114">
        <v>2.8623333333333299E-2</v>
      </c>
      <c r="T155" s="114">
        <v>6.6666666666666693E-2</v>
      </c>
      <c r="U155" s="101">
        <v>0</v>
      </c>
      <c r="V155" s="68">
        <f t="shared" si="58"/>
        <v>0.67713583333333305</v>
      </c>
      <c r="W155" s="13">
        <v>0.95</v>
      </c>
      <c r="X155" s="42">
        <f t="shared" si="41"/>
        <v>-0.27286416666666702</v>
      </c>
      <c r="Y155" s="44">
        <f t="shared" si="42"/>
        <v>9.8453904497251304E-2</v>
      </c>
      <c r="Z155" s="45">
        <f t="shared" si="43"/>
        <v>0.23075133866543299</v>
      </c>
      <c r="AA155" s="15">
        <f t="shared" si="44"/>
        <v>8.9722222222222203E-2</v>
      </c>
      <c r="AB155" s="45">
        <f t="shared" si="45"/>
        <v>0.132502546469217</v>
      </c>
      <c r="AC155" s="46">
        <f t="shared" si="46"/>
        <v>4.22711838958948E-2</v>
      </c>
      <c r="AD155" s="46">
        <f t="shared" si="47"/>
        <v>0</v>
      </c>
      <c r="AE155" s="46">
        <f t="shared" si="48"/>
        <v>0.55105019549253398</v>
      </c>
      <c r="AF155" s="47">
        <v>300</v>
      </c>
      <c r="AG155" s="51">
        <f t="shared" si="49"/>
        <v>0.920248333333333</v>
      </c>
      <c r="AH155" s="52">
        <f t="shared" si="50"/>
        <v>276.0745</v>
      </c>
      <c r="AI155" s="53">
        <f t="shared" si="51"/>
        <v>203.14075</v>
      </c>
      <c r="AJ155" s="53">
        <f t="shared" si="52"/>
        <v>285</v>
      </c>
      <c r="AK155" s="1">
        <f t="shared" si="54"/>
        <v>3.0271326754386001</v>
      </c>
      <c r="AL155" s="33">
        <f t="shared" si="55"/>
        <v>-3.1317543859649397E-2</v>
      </c>
    </row>
    <row r="156" spans="1:38" ht="14.25">
      <c r="A156" s="10">
        <v>153</v>
      </c>
      <c r="B156" s="199" t="s">
        <v>362</v>
      </c>
      <c r="C156" s="201" t="s">
        <v>426</v>
      </c>
      <c r="D156" s="199" t="s">
        <v>357</v>
      </c>
      <c r="E156" s="77"/>
      <c r="F156" s="78">
        <v>3.0599999999999998E-3</v>
      </c>
      <c r="G156" s="79">
        <v>19</v>
      </c>
      <c r="H156" s="80">
        <v>0.98</v>
      </c>
      <c r="I156" s="79">
        <f t="shared" si="57"/>
        <v>5.9326530612244903E-2</v>
      </c>
      <c r="J156" s="101" t="s">
        <v>65</v>
      </c>
      <c r="K156" s="102">
        <f t="shared" si="56"/>
        <v>80</v>
      </c>
      <c r="L156" s="102">
        <v>45</v>
      </c>
      <c r="M156" s="103">
        <v>2</v>
      </c>
      <c r="N156" s="101">
        <v>34</v>
      </c>
      <c r="O156" s="101">
        <v>0.76</v>
      </c>
      <c r="P156" s="101">
        <v>22.5</v>
      </c>
      <c r="Q156" s="79">
        <f t="shared" si="59"/>
        <v>0.140625</v>
      </c>
      <c r="R156" s="101">
        <v>0</v>
      </c>
      <c r="S156" s="114">
        <v>0.01</v>
      </c>
      <c r="T156" s="114">
        <v>0.01</v>
      </c>
      <c r="U156" s="101">
        <v>0.3</v>
      </c>
      <c r="V156" s="68">
        <f t="shared" si="58"/>
        <v>0.62157869897959195</v>
      </c>
      <c r="W156" s="13">
        <v>0.83</v>
      </c>
      <c r="X156" s="42">
        <f t="shared" si="41"/>
        <v>-0.20842130102040801</v>
      </c>
      <c r="Y156" s="44">
        <f t="shared" si="42"/>
        <v>1.60880673942276E-2</v>
      </c>
      <c r="Z156" s="45">
        <f t="shared" si="43"/>
        <v>0.22623844773132601</v>
      </c>
      <c r="AA156" s="15">
        <f t="shared" si="44"/>
        <v>8.0750000000000002E-2</v>
      </c>
      <c r="AB156" s="45">
        <f t="shared" si="45"/>
        <v>0.12991114420838801</v>
      </c>
      <c r="AC156" s="46">
        <f t="shared" si="46"/>
        <v>1.60880673942276E-2</v>
      </c>
      <c r="AD156" s="46">
        <f t="shared" si="47"/>
        <v>0.48264202182682903</v>
      </c>
      <c r="AE156" s="46">
        <f t="shared" si="48"/>
        <v>0.90455507772444999</v>
      </c>
      <c r="AF156" s="47">
        <v>410</v>
      </c>
      <c r="AG156" s="51">
        <f t="shared" si="49"/>
        <v>0.74105229591836697</v>
      </c>
      <c r="AH156" s="52">
        <f t="shared" si="50"/>
        <v>303.83144132653098</v>
      </c>
      <c r="AI156" s="53">
        <f t="shared" si="51"/>
        <v>254.84726658163299</v>
      </c>
      <c r="AJ156" s="53">
        <f t="shared" si="52"/>
        <v>340.3</v>
      </c>
      <c r="AK156" s="1">
        <f t="shared" si="54"/>
        <v>12.4910775713794</v>
      </c>
      <c r="AL156" s="33">
        <f t="shared" si="55"/>
        <v>-0.107165908532088</v>
      </c>
    </row>
    <row r="157" spans="1:38" ht="14.25">
      <c r="A157" s="10">
        <v>154</v>
      </c>
      <c r="B157" s="199" t="s">
        <v>364</v>
      </c>
      <c r="C157" s="201" t="s">
        <v>427</v>
      </c>
      <c r="D157" s="199" t="s">
        <v>357</v>
      </c>
      <c r="E157" s="77"/>
      <c r="F157" s="78">
        <v>3.0599999999999998E-3</v>
      </c>
      <c r="G157" s="79">
        <v>19</v>
      </c>
      <c r="H157" s="80">
        <v>0.98</v>
      </c>
      <c r="I157" s="79">
        <f t="shared" si="57"/>
        <v>5.9326530612244903E-2</v>
      </c>
      <c r="J157" s="101" t="s">
        <v>65</v>
      </c>
      <c r="K157" s="102">
        <f t="shared" si="56"/>
        <v>80</v>
      </c>
      <c r="L157" s="102">
        <v>45</v>
      </c>
      <c r="M157" s="103">
        <v>2</v>
      </c>
      <c r="N157" s="101">
        <v>34</v>
      </c>
      <c r="O157" s="101">
        <v>0.76</v>
      </c>
      <c r="P157" s="101">
        <v>22.5</v>
      </c>
      <c r="Q157" s="79">
        <f t="shared" si="59"/>
        <v>0.140625</v>
      </c>
      <c r="R157" s="101">
        <v>0</v>
      </c>
      <c r="S157" s="114">
        <v>0.01</v>
      </c>
      <c r="T157" s="114">
        <v>0.01</v>
      </c>
      <c r="U157" s="101">
        <v>0.3</v>
      </c>
      <c r="V157" s="68">
        <f t="shared" si="58"/>
        <v>0.62157869897959195</v>
      </c>
      <c r="W157" s="13">
        <v>0.83</v>
      </c>
      <c r="X157" s="42">
        <f t="shared" si="41"/>
        <v>-0.20842130102040801</v>
      </c>
      <c r="Y157" s="44">
        <f t="shared" si="42"/>
        <v>1.60880673942276E-2</v>
      </c>
      <c r="Z157" s="45">
        <f t="shared" si="43"/>
        <v>0.22623844773132601</v>
      </c>
      <c r="AA157" s="15">
        <f t="shared" si="44"/>
        <v>8.0750000000000002E-2</v>
      </c>
      <c r="AB157" s="45">
        <f t="shared" si="45"/>
        <v>0.12991114420838801</v>
      </c>
      <c r="AC157" s="46">
        <f t="shared" si="46"/>
        <v>1.60880673942276E-2</v>
      </c>
      <c r="AD157" s="46">
        <f t="shared" si="47"/>
        <v>0.48264202182682903</v>
      </c>
      <c r="AE157" s="46">
        <f t="shared" si="48"/>
        <v>0.90455507772444999</v>
      </c>
      <c r="AF157" s="47"/>
      <c r="AG157" s="51">
        <f t="shared" si="49"/>
        <v>0.74105229591836697</v>
      </c>
      <c r="AH157" s="52">
        <f t="shared" si="50"/>
        <v>0</v>
      </c>
      <c r="AI157" s="53">
        <f t="shared" si="51"/>
        <v>0</v>
      </c>
      <c r="AJ157" s="53">
        <f t="shared" si="52"/>
        <v>0</v>
      </c>
    </row>
    <row r="158" spans="1:38" ht="14.25">
      <c r="A158" s="10">
        <v>155</v>
      </c>
      <c r="B158" s="199" t="s">
        <v>366</v>
      </c>
      <c r="C158" s="201" t="s">
        <v>428</v>
      </c>
      <c r="D158" s="199" t="s">
        <v>357</v>
      </c>
      <c r="E158" s="77"/>
      <c r="F158" s="78">
        <v>3.0599999999999998E-3</v>
      </c>
      <c r="G158" s="79">
        <v>19</v>
      </c>
      <c r="H158" s="80">
        <v>0.97</v>
      </c>
      <c r="I158" s="79">
        <f t="shared" si="57"/>
        <v>5.99381443298969E-2</v>
      </c>
      <c r="J158" s="101" t="s">
        <v>368</v>
      </c>
      <c r="K158" s="102">
        <f t="shared" si="56"/>
        <v>80</v>
      </c>
      <c r="L158" s="102">
        <v>45</v>
      </c>
      <c r="M158" s="103">
        <v>2</v>
      </c>
      <c r="N158" s="101">
        <v>34</v>
      </c>
      <c r="O158" s="101">
        <v>0.76</v>
      </c>
      <c r="P158" s="101">
        <v>22.5</v>
      </c>
      <c r="Q158" s="79">
        <f t="shared" si="59"/>
        <v>0.140625</v>
      </c>
      <c r="R158" s="101">
        <v>0</v>
      </c>
      <c r="S158" s="114">
        <v>0.01</v>
      </c>
      <c r="T158" s="114">
        <v>6.6666666666666697E-3</v>
      </c>
      <c r="U158" s="101">
        <v>0.3</v>
      </c>
      <c r="V158" s="68">
        <f t="shared" si="58"/>
        <v>0.61892425687285202</v>
      </c>
      <c r="W158" s="13">
        <v>0.83</v>
      </c>
      <c r="X158" s="42">
        <f t="shared" si="41"/>
        <v>-0.211075743127148</v>
      </c>
      <c r="Y158" s="44">
        <f t="shared" si="42"/>
        <v>1.0771377260846701E-2</v>
      </c>
      <c r="Z158" s="45">
        <f t="shared" si="43"/>
        <v>0.22720873909598499</v>
      </c>
      <c r="AA158" s="15">
        <f t="shared" si="44"/>
        <v>8.0750000000000002E-2</v>
      </c>
      <c r="AB158" s="45">
        <f t="shared" si="45"/>
        <v>0.13046830707200499</v>
      </c>
      <c r="AC158" s="46">
        <f t="shared" si="46"/>
        <v>1.615706589127E-2</v>
      </c>
      <c r="AD158" s="46">
        <f t="shared" si="47"/>
        <v>0.48471197673810001</v>
      </c>
      <c r="AE158" s="46">
        <f t="shared" si="48"/>
        <v>0.90315754526614</v>
      </c>
      <c r="AF158" s="47">
        <v>370</v>
      </c>
      <c r="AG158" s="51">
        <f t="shared" si="49"/>
        <v>0.73863638316151203</v>
      </c>
      <c r="AH158" s="52">
        <f t="shared" si="50"/>
        <v>273.29546176975902</v>
      </c>
      <c r="AI158" s="53">
        <f t="shared" si="51"/>
        <v>229.001975042955</v>
      </c>
      <c r="AJ158" s="53">
        <f t="shared" si="52"/>
        <v>307.10000000000002</v>
      </c>
      <c r="AK158" s="1">
        <f t="shared" si="54"/>
        <v>12.323310830180001</v>
      </c>
      <c r="AL158" s="33">
        <f t="shared" si="55"/>
        <v>-0.110076646793359</v>
      </c>
    </row>
    <row r="159" spans="1:38" ht="14.25">
      <c r="A159" s="10">
        <v>156</v>
      </c>
      <c r="B159" s="199" t="s">
        <v>369</v>
      </c>
      <c r="C159" s="201" t="s">
        <v>429</v>
      </c>
      <c r="D159" s="200" t="s">
        <v>360</v>
      </c>
      <c r="E159" s="67"/>
      <c r="F159" s="67">
        <v>1.6629999999999999E-2</v>
      </c>
      <c r="G159" s="68">
        <v>17.3</v>
      </c>
      <c r="H159" s="69">
        <v>0.96</v>
      </c>
      <c r="I159" s="104">
        <f t="shared" si="57"/>
        <v>0.29968645833333302</v>
      </c>
      <c r="J159" s="99" t="s">
        <v>81</v>
      </c>
      <c r="K159" s="99">
        <v>60</v>
      </c>
      <c r="L159" s="78">
        <v>60</v>
      </c>
      <c r="M159" s="76">
        <v>1</v>
      </c>
      <c r="N159" s="78">
        <v>39.75</v>
      </c>
      <c r="O159" s="78">
        <v>0.76</v>
      </c>
      <c r="P159" s="78">
        <v>22.5</v>
      </c>
      <c r="Q159" s="79">
        <f t="shared" si="59"/>
        <v>0.375</v>
      </c>
      <c r="R159" s="68"/>
      <c r="S159" s="111"/>
      <c r="T159" s="68">
        <v>0.01</v>
      </c>
      <c r="U159" s="78"/>
      <c r="V159" s="68">
        <f t="shared" si="58"/>
        <v>1.0383444687500001</v>
      </c>
      <c r="W159" s="13">
        <v>1.35</v>
      </c>
      <c r="X159" s="42">
        <f t="shared" si="41"/>
        <v>-0.31165553125000001</v>
      </c>
      <c r="Y159" s="44">
        <f t="shared" si="42"/>
        <v>9.6307153367305894E-3</v>
      </c>
      <c r="Z159" s="45">
        <f t="shared" si="43"/>
        <v>0.36115182512739702</v>
      </c>
      <c r="AA159" s="15">
        <f t="shared" si="44"/>
        <v>0.25174999999999997</v>
      </c>
      <c r="AB159" s="45">
        <f t="shared" si="45"/>
        <v>0.24245325860219299</v>
      </c>
      <c r="AC159" s="46">
        <f t="shared" si="46"/>
        <v>0</v>
      </c>
      <c r="AD159" s="46">
        <f t="shared" si="47"/>
        <v>0</v>
      </c>
      <c r="AE159" s="46">
        <f t="shared" si="48"/>
        <v>0.71138050295186905</v>
      </c>
      <c r="AF159" s="47">
        <v>720</v>
      </c>
      <c r="AG159" s="51">
        <f t="shared" si="49"/>
        <v>1.3996546875</v>
      </c>
      <c r="AH159" s="52">
        <f t="shared" si="50"/>
        <v>1007.7513750000001</v>
      </c>
      <c r="AI159" s="53">
        <f t="shared" si="51"/>
        <v>747.60801749999996</v>
      </c>
      <c r="AJ159" s="53">
        <f t="shared" si="52"/>
        <v>972</v>
      </c>
      <c r="AK159" s="1">
        <f t="shared" si="54"/>
        <v>4.6703968383623202</v>
      </c>
      <c r="AL159" s="33">
        <f t="shared" si="55"/>
        <v>3.6781249999999897E-2</v>
      </c>
    </row>
    <row r="160" spans="1:38" ht="14.25">
      <c r="A160" s="10">
        <v>157</v>
      </c>
      <c r="B160" s="203" t="s">
        <v>371</v>
      </c>
      <c r="C160" s="204" t="s">
        <v>430</v>
      </c>
      <c r="D160" s="199" t="s">
        <v>43</v>
      </c>
      <c r="E160" s="67"/>
      <c r="F160" s="67">
        <v>2.52E-2</v>
      </c>
      <c r="G160" s="68">
        <v>17.3</v>
      </c>
      <c r="H160" s="69">
        <v>0.96</v>
      </c>
      <c r="I160" s="68">
        <f t="shared" si="57"/>
        <v>0.454125</v>
      </c>
      <c r="J160" s="98" t="s">
        <v>65</v>
      </c>
      <c r="K160" s="78">
        <v>55</v>
      </c>
      <c r="L160" s="99">
        <f>3600/K160</f>
        <v>65.454545454545496</v>
      </c>
      <c r="M160" s="76">
        <v>2</v>
      </c>
      <c r="N160" s="78">
        <v>34</v>
      </c>
      <c r="O160" s="78">
        <v>0.76</v>
      </c>
      <c r="P160" s="78">
        <v>22.5</v>
      </c>
      <c r="Q160" s="68">
        <f t="shared" si="59"/>
        <v>0.204545454545455</v>
      </c>
      <c r="R160" s="111"/>
      <c r="S160" s="112">
        <v>0.27</v>
      </c>
      <c r="T160" s="112">
        <v>0.01</v>
      </c>
      <c r="U160" s="112"/>
      <c r="V160" s="68">
        <f t="shared" ref="V160:V169" si="60">(I160+Q160+(N160*O160/K160/M160)/2)*1.11+R160*1.03+S160+T160+U160</f>
        <v>1.14149875</v>
      </c>
      <c r="W160" s="13">
        <v>1.48</v>
      </c>
      <c r="X160" s="42">
        <f t="shared" si="41"/>
        <v>-0.33850124999999998</v>
      </c>
      <c r="Y160" s="44">
        <f t="shared" si="42"/>
        <v>8.7604125716300597E-3</v>
      </c>
      <c r="Z160" s="45">
        <f t="shared" si="43"/>
        <v>0.179190257146979</v>
      </c>
      <c r="AA160" s="15">
        <f t="shared" si="44"/>
        <v>0.11745454545454501</v>
      </c>
      <c r="AB160" s="45">
        <f t="shared" si="45"/>
        <v>0.102895027659509</v>
      </c>
      <c r="AC160" s="46">
        <f t="shared" si="46"/>
        <v>0.23653113943401199</v>
      </c>
      <c r="AD160" s="46">
        <f t="shared" si="47"/>
        <v>0</v>
      </c>
      <c r="AE160" s="46">
        <f t="shared" si="48"/>
        <v>0.60216776409085004</v>
      </c>
      <c r="AF160" s="47">
        <v>314</v>
      </c>
      <c r="AG160" s="51">
        <f t="shared" si="49"/>
        <v>1.4441875</v>
      </c>
      <c r="AH160" s="52">
        <f t="shared" si="50"/>
        <v>453.474875</v>
      </c>
      <c r="AI160" s="53">
        <f t="shared" si="51"/>
        <v>358.43060750000001</v>
      </c>
      <c r="AJ160" s="53">
        <f t="shared" si="52"/>
        <v>464.72</v>
      </c>
      <c r="AK160" s="1">
        <f t="shared" si="54"/>
        <v>3.1801541425818902</v>
      </c>
      <c r="AL160" s="33">
        <f t="shared" si="55"/>
        <v>-2.41976351351352E-2</v>
      </c>
    </row>
    <row r="161" spans="1:38" ht="14.25">
      <c r="A161" s="10">
        <v>158</v>
      </c>
      <c r="B161" s="206" t="s">
        <v>431</v>
      </c>
      <c r="C161" s="204" t="s">
        <v>432</v>
      </c>
      <c r="D161" s="199" t="s">
        <v>347</v>
      </c>
      <c r="E161" s="67"/>
      <c r="F161" s="67">
        <v>0.02</v>
      </c>
      <c r="G161" s="79">
        <v>17.399999999999999</v>
      </c>
      <c r="H161" s="69">
        <v>0.96</v>
      </c>
      <c r="I161" s="68">
        <f t="shared" si="57"/>
        <v>0.36249999999999999</v>
      </c>
      <c r="J161" s="98" t="s">
        <v>65</v>
      </c>
      <c r="K161" s="78">
        <v>65</v>
      </c>
      <c r="L161" s="99">
        <v>55</v>
      </c>
      <c r="M161" s="76">
        <v>2</v>
      </c>
      <c r="N161" s="78">
        <v>34</v>
      </c>
      <c r="O161" s="78">
        <v>0.76</v>
      </c>
      <c r="P161" s="78">
        <v>22.5</v>
      </c>
      <c r="Q161" s="68">
        <f t="shared" si="59"/>
        <v>0.17307692307692299</v>
      </c>
      <c r="R161" s="111"/>
      <c r="S161" s="112">
        <f>0.1307/200</f>
        <v>6.535E-4</v>
      </c>
      <c r="T161" s="112">
        <v>0.01</v>
      </c>
      <c r="U161" s="112"/>
      <c r="V161" s="68">
        <f t="shared" si="60"/>
        <v>0.71546080769230802</v>
      </c>
      <c r="W161" s="13">
        <v>0.94</v>
      </c>
      <c r="X161" s="42">
        <f t="shared" si="41"/>
        <v>-0.22453919230769201</v>
      </c>
      <c r="Y161" s="44">
        <f t="shared" si="42"/>
        <v>1.3977005997372E-2</v>
      </c>
      <c r="Z161" s="45">
        <f t="shared" si="43"/>
        <v>0.241909719185285</v>
      </c>
      <c r="AA161" s="15">
        <f t="shared" si="44"/>
        <v>9.9384615384615405E-2</v>
      </c>
      <c r="AB161" s="45">
        <f t="shared" si="45"/>
        <v>0.13890993652772801</v>
      </c>
      <c r="AC161" s="46">
        <f t="shared" si="46"/>
        <v>9.1339734192826005E-4</v>
      </c>
      <c r="AD161" s="46">
        <f t="shared" si="47"/>
        <v>0</v>
      </c>
      <c r="AE161" s="46">
        <f t="shared" si="48"/>
        <v>0.49333353259526502</v>
      </c>
      <c r="AF161" s="47">
        <v>370</v>
      </c>
      <c r="AG161" s="51">
        <f t="shared" si="49"/>
        <v>0.96309580769230796</v>
      </c>
      <c r="AH161" s="52">
        <f t="shared" si="50"/>
        <v>356.345448846154</v>
      </c>
      <c r="AI161" s="53">
        <f t="shared" si="51"/>
        <v>264.72049884615399</v>
      </c>
      <c r="AJ161" s="53">
        <f t="shared" si="52"/>
        <v>347.8</v>
      </c>
      <c r="AK161" s="1">
        <f t="shared" si="54"/>
        <v>2.6568160212201599</v>
      </c>
      <c r="AL161" s="33">
        <f t="shared" si="55"/>
        <v>2.4570008183306399E-2</v>
      </c>
    </row>
    <row r="162" spans="1:38" ht="14.25">
      <c r="A162" s="10">
        <v>159</v>
      </c>
      <c r="B162" s="203" t="s">
        <v>375</v>
      </c>
      <c r="C162" s="204" t="s">
        <v>433</v>
      </c>
      <c r="D162" s="199" t="s">
        <v>350</v>
      </c>
      <c r="E162" s="67"/>
      <c r="F162" s="67">
        <v>1.7000000000000001E-2</v>
      </c>
      <c r="G162" s="68">
        <v>19</v>
      </c>
      <c r="H162" s="69">
        <v>0.96</v>
      </c>
      <c r="I162" s="68">
        <f t="shared" si="57"/>
        <v>0.33645833333333303</v>
      </c>
      <c r="J162" s="98" t="s">
        <v>65</v>
      </c>
      <c r="K162" s="78">
        <v>65</v>
      </c>
      <c r="L162" s="99">
        <v>55</v>
      </c>
      <c r="M162" s="76">
        <v>2</v>
      </c>
      <c r="N162" s="78">
        <v>34</v>
      </c>
      <c r="O162" s="78">
        <v>0.76</v>
      </c>
      <c r="P162" s="78">
        <v>22.5</v>
      </c>
      <c r="Q162" s="68">
        <f t="shared" si="59"/>
        <v>0.17307692307692299</v>
      </c>
      <c r="R162" s="111"/>
      <c r="S162" s="112">
        <f>0.1307/200</f>
        <v>6.535E-4</v>
      </c>
      <c r="T162" s="112">
        <v>0.01</v>
      </c>
      <c r="U162" s="112">
        <v>0.5</v>
      </c>
      <c r="V162" s="68">
        <f t="shared" si="60"/>
        <v>1.18655455769231</v>
      </c>
      <c r="W162" s="13">
        <v>1.55</v>
      </c>
      <c r="X162" s="42">
        <f t="shared" si="41"/>
        <v>-0.36344544230769199</v>
      </c>
      <c r="Y162" s="44">
        <f t="shared" si="42"/>
        <v>8.4277624953450793E-3</v>
      </c>
      <c r="Z162" s="45">
        <f t="shared" si="43"/>
        <v>0.14586512011174199</v>
      </c>
      <c r="AA162" s="15">
        <f t="shared" si="44"/>
        <v>9.9384615384615405E-2</v>
      </c>
      <c r="AB162" s="45">
        <f t="shared" si="45"/>
        <v>8.3758993415275707E-2</v>
      </c>
      <c r="AC162" s="46">
        <f t="shared" si="46"/>
        <v>5.5075427907080095E-4</v>
      </c>
      <c r="AD162" s="46">
        <f t="shared" si="47"/>
        <v>0.42138812476725401</v>
      </c>
      <c r="AE162" s="46">
        <f t="shared" si="48"/>
        <v>0.71644090770870195</v>
      </c>
      <c r="AF162" s="47">
        <v>400</v>
      </c>
      <c r="AG162" s="51">
        <f t="shared" si="49"/>
        <v>1.42403330769231</v>
      </c>
      <c r="AH162" s="52">
        <f t="shared" si="50"/>
        <v>569.61332307692305</v>
      </c>
      <c r="AI162" s="53">
        <f t="shared" si="51"/>
        <v>474.62182307692302</v>
      </c>
      <c r="AJ162" s="53">
        <f t="shared" si="52"/>
        <v>620</v>
      </c>
      <c r="AK162" s="1">
        <f t="shared" si="54"/>
        <v>4.2324209764229703</v>
      </c>
      <c r="AL162" s="33">
        <f t="shared" si="55"/>
        <v>-8.1268833746896793E-2</v>
      </c>
    </row>
    <row r="163" spans="1:38" ht="14.25">
      <c r="A163" s="10">
        <v>160</v>
      </c>
      <c r="B163" s="203" t="s">
        <v>377</v>
      </c>
      <c r="C163" s="204" t="s">
        <v>434</v>
      </c>
      <c r="D163" s="199" t="s">
        <v>347</v>
      </c>
      <c r="E163" s="67"/>
      <c r="F163" s="67">
        <v>7.5999999999999998E-2</v>
      </c>
      <c r="G163" s="79">
        <v>17.399999999999999</v>
      </c>
      <c r="H163" s="69">
        <v>0.96</v>
      </c>
      <c r="I163" s="68">
        <f t="shared" si="57"/>
        <v>1.3774999999999999</v>
      </c>
      <c r="J163" s="98" t="s">
        <v>65</v>
      </c>
      <c r="K163" s="78">
        <v>65</v>
      </c>
      <c r="L163" s="99">
        <f>3600/K163</f>
        <v>55.384615384615401</v>
      </c>
      <c r="M163" s="76">
        <v>2</v>
      </c>
      <c r="N163" s="78">
        <v>34</v>
      </c>
      <c r="O163" s="78">
        <v>0.76</v>
      </c>
      <c r="P163" s="78">
        <v>22.5</v>
      </c>
      <c r="Q163" s="68">
        <f t="shared" si="59"/>
        <v>0.17307692307692299</v>
      </c>
      <c r="R163" s="111"/>
      <c r="S163" s="112">
        <f>0.0131+0.1307/100</f>
        <v>1.4407E-2</v>
      </c>
      <c r="T163" s="112">
        <v>0.01</v>
      </c>
      <c r="U163" s="112">
        <v>0.5</v>
      </c>
      <c r="V163" s="68">
        <f t="shared" si="60"/>
        <v>2.3558643076923098</v>
      </c>
      <c r="W163" s="13">
        <v>3.07</v>
      </c>
      <c r="X163" s="42">
        <f t="shared" si="41"/>
        <v>-0.71413569230769203</v>
      </c>
      <c r="Y163" s="44">
        <f t="shared" si="42"/>
        <v>4.2447266454813401E-3</v>
      </c>
      <c r="Z163" s="45">
        <f t="shared" si="43"/>
        <v>7.3466422710253998E-2</v>
      </c>
      <c r="AA163" s="15">
        <f t="shared" si="44"/>
        <v>9.9384615384615405E-2</v>
      </c>
      <c r="AB163" s="45">
        <f t="shared" si="45"/>
        <v>4.2186052507399201E-2</v>
      </c>
      <c r="AC163" s="46">
        <f t="shared" si="46"/>
        <v>6.1153776781449698E-3</v>
      </c>
      <c r="AD163" s="46">
        <f t="shared" si="47"/>
        <v>0.21223633227406699</v>
      </c>
      <c r="AE163" s="46">
        <f t="shared" si="48"/>
        <v>0.415288904584945</v>
      </c>
      <c r="AF163" s="47">
        <v>320</v>
      </c>
      <c r="AG163" s="51">
        <f t="shared" si="49"/>
        <v>2.9993493076923099</v>
      </c>
      <c r="AH163" s="52">
        <f t="shared" si="50"/>
        <v>959.791778461538</v>
      </c>
      <c r="AI163" s="53">
        <f t="shared" si="51"/>
        <v>753.876578461539</v>
      </c>
      <c r="AJ163" s="53">
        <f t="shared" si="52"/>
        <v>982.4</v>
      </c>
      <c r="AK163" s="1">
        <f t="shared" si="54"/>
        <v>2.1773860672902399</v>
      </c>
      <c r="AL163" s="33">
        <f t="shared" si="55"/>
        <v>-2.30132548233518E-2</v>
      </c>
    </row>
    <row r="164" spans="1:38" ht="14.25">
      <c r="A164" s="10">
        <v>161</v>
      </c>
      <c r="B164" s="206" t="s">
        <v>435</v>
      </c>
      <c r="C164" s="204" t="s">
        <v>436</v>
      </c>
      <c r="D164" s="199" t="s">
        <v>381</v>
      </c>
      <c r="E164" s="67"/>
      <c r="F164" s="67">
        <v>6.0000000000000001E-3</v>
      </c>
      <c r="G164" s="68">
        <v>17.3</v>
      </c>
      <c r="H164" s="69">
        <v>0.96</v>
      </c>
      <c r="I164" s="68">
        <f t="shared" si="57"/>
        <v>0.108125</v>
      </c>
      <c r="J164" s="98" t="s">
        <v>120</v>
      </c>
      <c r="K164" s="78">
        <v>72</v>
      </c>
      <c r="L164" s="99">
        <v>50</v>
      </c>
      <c r="M164" s="76">
        <v>2</v>
      </c>
      <c r="N164" s="78">
        <v>32.75</v>
      </c>
      <c r="O164" s="78">
        <v>0.76</v>
      </c>
      <c r="P164" s="78">
        <v>22.5</v>
      </c>
      <c r="Q164" s="68">
        <f t="shared" si="59"/>
        <v>0.15625</v>
      </c>
      <c r="R164" s="111"/>
      <c r="S164" s="112">
        <v>1E-3</v>
      </c>
      <c r="T164" s="112">
        <v>1E-3</v>
      </c>
      <c r="U164" s="112"/>
      <c r="V164" s="68">
        <f t="shared" si="60"/>
        <v>0.39138645833333302</v>
      </c>
      <c r="W164" s="13">
        <v>1</v>
      </c>
      <c r="X164" s="42">
        <f t="shared" si="41"/>
        <v>-0.60861354166666704</v>
      </c>
      <c r="Y164" s="44">
        <f t="shared" si="42"/>
        <v>2.55501941548608E-3</v>
      </c>
      <c r="Z164" s="45">
        <f t="shared" si="43"/>
        <v>0.39922178366970001</v>
      </c>
      <c r="AA164" s="15">
        <f t="shared" si="44"/>
        <v>8.6423611111111104E-2</v>
      </c>
      <c r="AB164" s="45">
        <f t="shared" si="45"/>
        <v>0.22081400434530701</v>
      </c>
      <c r="AC164" s="46">
        <f t="shared" si="46"/>
        <v>2.55501941548608E-3</v>
      </c>
      <c r="AD164" s="46">
        <f t="shared" si="47"/>
        <v>0</v>
      </c>
      <c r="AE164" s="46">
        <f t="shared" si="48"/>
        <v>0.72373852570056796</v>
      </c>
      <c r="AF164" s="47">
        <v>17359</v>
      </c>
      <c r="AG164" s="51">
        <f t="shared" si="49"/>
        <v>0.52819791666666704</v>
      </c>
      <c r="AH164" s="52">
        <f t="shared" si="50"/>
        <v>9168.9876354166699</v>
      </c>
      <c r="AI164" s="53">
        <f t="shared" si="51"/>
        <v>6794.0775302083302</v>
      </c>
      <c r="AJ164" s="53">
        <f t="shared" si="52"/>
        <v>17359</v>
      </c>
      <c r="AK164" s="1">
        <f t="shared" si="54"/>
        <v>4.8850674373795799</v>
      </c>
      <c r="AL164" s="33">
        <f t="shared" si="55"/>
        <v>-0.47180208333333301</v>
      </c>
    </row>
    <row r="165" spans="1:38" ht="14.25">
      <c r="A165" s="10">
        <v>162</v>
      </c>
      <c r="B165" s="206" t="s">
        <v>437</v>
      </c>
      <c r="C165" s="204" t="s">
        <v>438</v>
      </c>
      <c r="D165" s="199" t="s">
        <v>381</v>
      </c>
      <c r="E165" s="67"/>
      <c r="F165" s="67">
        <v>2.3800000000000002E-2</v>
      </c>
      <c r="G165" s="68">
        <v>17.3</v>
      </c>
      <c r="H165" s="69">
        <v>0.96</v>
      </c>
      <c r="I165" s="68">
        <f t="shared" si="57"/>
        <v>0.42889583333333298</v>
      </c>
      <c r="J165" s="98" t="s">
        <v>384</v>
      </c>
      <c r="K165" s="78">
        <v>65</v>
      </c>
      <c r="L165" s="99">
        <v>55</v>
      </c>
      <c r="M165" s="76">
        <v>2</v>
      </c>
      <c r="N165" s="78">
        <v>32.75</v>
      </c>
      <c r="O165" s="78">
        <v>0.76</v>
      </c>
      <c r="P165" s="78">
        <v>22.5</v>
      </c>
      <c r="Q165" s="68">
        <f t="shared" si="59"/>
        <v>0.17307692307692299</v>
      </c>
      <c r="R165" s="111"/>
      <c r="S165" s="112">
        <v>1E-3</v>
      </c>
      <c r="T165" s="112">
        <v>0.01</v>
      </c>
      <c r="U165" s="112"/>
      <c r="V165" s="68">
        <f t="shared" si="60"/>
        <v>0.78545091346153895</v>
      </c>
      <c r="W165" s="13">
        <v>1.26</v>
      </c>
      <c r="X165" s="42">
        <f t="shared" si="41"/>
        <v>-0.47454908653846101</v>
      </c>
      <c r="Y165" s="44">
        <f t="shared" si="42"/>
        <v>1.2731540352953799E-2</v>
      </c>
      <c r="Z165" s="45">
        <f t="shared" si="43"/>
        <v>0.22035358303189301</v>
      </c>
      <c r="AA165" s="15">
        <f t="shared" si="44"/>
        <v>9.5730769230769203E-2</v>
      </c>
      <c r="AB165" s="45">
        <f t="shared" si="45"/>
        <v>0.121880015148085</v>
      </c>
      <c r="AC165" s="46">
        <f t="shared" si="46"/>
        <v>1.27315403529538E-3</v>
      </c>
      <c r="AD165" s="46">
        <f t="shared" si="47"/>
        <v>0</v>
      </c>
      <c r="AE165" s="46">
        <f t="shared" si="48"/>
        <v>0.45394953907029201</v>
      </c>
      <c r="AF165" s="47">
        <v>54840</v>
      </c>
      <c r="AG165" s="51">
        <f t="shared" si="49"/>
        <v>1.05755528846154</v>
      </c>
      <c r="AH165" s="52">
        <f t="shared" si="50"/>
        <v>57996.332019230802</v>
      </c>
      <c r="AI165" s="53">
        <f t="shared" si="51"/>
        <v>43074.1280942308</v>
      </c>
      <c r="AJ165" s="53">
        <f t="shared" si="52"/>
        <v>69098.399999999994</v>
      </c>
      <c r="AK165" s="1">
        <f t="shared" si="54"/>
        <v>2.4657625611382898</v>
      </c>
      <c r="AL165" s="33">
        <f t="shared" si="55"/>
        <v>-0.160670405982905</v>
      </c>
    </row>
    <row r="166" spans="1:38" ht="14.25">
      <c r="A166" s="10">
        <v>163</v>
      </c>
      <c r="B166" s="199" t="s">
        <v>385</v>
      </c>
      <c r="C166" s="201" t="s">
        <v>439</v>
      </c>
      <c r="D166" s="200" t="s">
        <v>387</v>
      </c>
      <c r="E166" s="67"/>
      <c r="F166" s="67">
        <v>3.3E-3</v>
      </c>
      <c r="G166" s="81">
        <v>24</v>
      </c>
      <c r="H166" s="73">
        <v>0.98</v>
      </c>
      <c r="I166" s="68">
        <f t="shared" si="57"/>
        <v>8.0816326530612201E-2</v>
      </c>
      <c r="J166" s="98" t="s">
        <v>44</v>
      </c>
      <c r="K166" s="99">
        <v>65</v>
      </c>
      <c r="L166" s="99">
        <v>55</v>
      </c>
      <c r="M166" s="100">
        <v>3</v>
      </c>
      <c r="N166" s="78">
        <v>27.15</v>
      </c>
      <c r="O166" s="78">
        <v>0.76</v>
      </c>
      <c r="P166" s="78">
        <v>22.5</v>
      </c>
      <c r="Q166" s="68">
        <f t="shared" si="59"/>
        <v>0.115384615384615</v>
      </c>
      <c r="R166" s="113"/>
      <c r="S166" s="112">
        <f>0.0291/300+8.4124/1800</f>
        <v>4.77055555555556E-3</v>
      </c>
      <c r="T166" s="112">
        <v>1.1111111111111099E-2</v>
      </c>
      <c r="U166" s="112">
        <v>0.2</v>
      </c>
      <c r="V166" s="68">
        <f t="shared" si="60"/>
        <v>0.49239225065410802</v>
      </c>
      <c r="W166" s="13">
        <v>0.47</v>
      </c>
      <c r="X166" s="42">
        <f t="shared" si="41"/>
        <v>2.2392250654107802E-2</v>
      </c>
      <c r="Y166" s="44">
        <f t="shared" si="42"/>
        <v>2.2565568601761701E-2</v>
      </c>
      <c r="Z166" s="45">
        <f t="shared" si="43"/>
        <v>0.23433475086444799</v>
      </c>
      <c r="AA166" s="15">
        <f t="shared" si="44"/>
        <v>5.2907692307692301E-2</v>
      </c>
      <c r="AB166" s="45">
        <f t="shared" si="45"/>
        <v>0.107450294429712</v>
      </c>
      <c r="AC166" s="46">
        <f t="shared" si="46"/>
        <v>9.6885268791663797E-3</v>
      </c>
      <c r="AD166" s="46">
        <f t="shared" si="47"/>
        <v>0.40618023483171101</v>
      </c>
      <c r="AE166" s="46">
        <f t="shared" si="48"/>
        <v>0.83587002755779904</v>
      </c>
      <c r="AF166" s="47">
        <v>14695</v>
      </c>
      <c r="AG166" s="51">
        <f t="shared" si="49"/>
        <v>0.58954461800104696</v>
      </c>
      <c r="AH166" s="52">
        <f t="shared" si="50"/>
        <v>8663.3581615253806</v>
      </c>
      <c r="AI166" s="53">
        <f t="shared" si="51"/>
        <v>7235.7041233621103</v>
      </c>
      <c r="AJ166" s="53">
        <f t="shared" si="52"/>
        <v>6906.65</v>
      </c>
      <c r="AK166" s="1">
        <f t="shared" si="54"/>
        <v>7.2948702732452801</v>
      </c>
      <c r="AL166" s="33">
        <f t="shared" si="55"/>
        <v>0.25435025106605702</v>
      </c>
    </row>
    <row r="167" spans="1:38" ht="14.25">
      <c r="A167" s="10">
        <v>164</v>
      </c>
      <c r="B167" s="199" t="s">
        <v>388</v>
      </c>
      <c r="C167" s="201" t="s">
        <v>440</v>
      </c>
      <c r="D167" s="200" t="s">
        <v>387</v>
      </c>
      <c r="E167" s="67"/>
      <c r="F167" s="67">
        <v>3.3E-3</v>
      </c>
      <c r="G167" s="81">
        <v>24</v>
      </c>
      <c r="H167" s="73">
        <v>0.98</v>
      </c>
      <c r="I167" s="68">
        <f t="shared" si="57"/>
        <v>8.0816326530612201E-2</v>
      </c>
      <c r="J167" s="98" t="s">
        <v>44</v>
      </c>
      <c r="K167" s="99">
        <v>65</v>
      </c>
      <c r="L167" s="99">
        <v>55</v>
      </c>
      <c r="M167" s="100">
        <v>3</v>
      </c>
      <c r="N167" s="78">
        <v>27.15</v>
      </c>
      <c r="O167" s="78">
        <v>0.76</v>
      </c>
      <c r="P167" s="78">
        <v>22.5</v>
      </c>
      <c r="Q167" s="68">
        <f t="shared" si="59"/>
        <v>0.115384615384615</v>
      </c>
      <c r="R167" s="113"/>
      <c r="S167" s="112">
        <f>0.0291/300+8.4124/1800</f>
        <v>4.77055555555556E-3</v>
      </c>
      <c r="T167" s="112">
        <v>1.1111111111111099E-2</v>
      </c>
      <c r="U167" s="112">
        <v>0.2</v>
      </c>
      <c r="V167" s="68">
        <f t="shared" si="60"/>
        <v>0.49239225065410802</v>
      </c>
      <c r="W167" s="13">
        <v>0.47</v>
      </c>
      <c r="X167" s="42">
        <f t="shared" si="41"/>
        <v>2.2392250654107802E-2</v>
      </c>
      <c r="Y167" s="44">
        <f t="shared" si="42"/>
        <v>2.2565568601761701E-2</v>
      </c>
      <c r="Z167" s="45">
        <f t="shared" si="43"/>
        <v>0.23433475086444799</v>
      </c>
      <c r="AA167" s="15">
        <f t="shared" si="44"/>
        <v>5.2907692307692301E-2</v>
      </c>
      <c r="AB167" s="45">
        <f t="shared" si="45"/>
        <v>0.107450294429712</v>
      </c>
      <c r="AC167" s="46">
        <f t="shared" si="46"/>
        <v>9.6885268791663797E-3</v>
      </c>
      <c r="AD167" s="46">
        <f t="shared" si="47"/>
        <v>0.40618023483171101</v>
      </c>
      <c r="AE167" s="46">
        <f t="shared" si="48"/>
        <v>0.83587002755779904</v>
      </c>
      <c r="AF167" s="47">
        <v>14699</v>
      </c>
      <c r="AG167" s="51">
        <f t="shared" si="49"/>
        <v>0.58954461800104696</v>
      </c>
      <c r="AH167" s="52">
        <f t="shared" si="50"/>
        <v>8665.7163399973906</v>
      </c>
      <c r="AI167" s="53">
        <f t="shared" si="51"/>
        <v>7237.6736923647304</v>
      </c>
      <c r="AJ167" s="53">
        <f t="shared" si="52"/>
        <v>6908.53</v>
      </c>
      <c r="AK167" s="1">
        <f t="shared" si="54"/>
        <v>7.2948702732452801</v>
      </c>
      <c r="AL167" s="33">
        <f t="shared" si="55"/>
        <v>0.25435025106605702</v>
      </c>
    </row>
    <row r="168" spans="1:38" ht="14.25">
      <c r="A168" s="10">
        <v>165</v>
      </c>
      <c r="B168" s="207" t="s">
        <v>389</v>
      </c>
      <c r="C168" s="208" t="s">
        <v>441</v>
      </c>
      <c r="D168" s="199" t="s">
        <v>391</v>
      </c>
      <c r="E168" s="67"/>
      <c r="F168" s="67">
        <v>4.0000000000000001E-3</v>
      </c>
      <c r="G168" s="67">
        <f>40/1.13</f>
        <v>35.398230088495602</v>
      </c>
      <c r="H168" s="69">
        <v>0.98</v>
      </c>
      <c r="I168" s="68">
        <f t="shared" si="57"/>
        <v>0.144482571789778</v>
      </c>
      <c r="J168" s="98" t="s">
        <v>47</v>
      </c>
      <c r="K168" s="78">
        <v>72</v>
      </c>
      <c r="L168" s="99">
        <v>50</v>
      </c>
      <c r="M168" s="76">
        <v>4</v>
      </c>
      <c r="N168" s="78">
        <v>27.5</v>
      </c>
      <c r="O168" s="78">
        <v>0.76</v>
      </c>
      <c r="P168" s="78">
        <v>22.5</v>
      </c>
      <c r="Q168" s="68">
        <f t="shared" si="59"/>
        <v>7.8125E-2</v>
      </c>
      <c r="R168" s="111"/>
      <c r="S168" s="112">
        <v>0.01</v>
      </c>
      <c r="T168" s="112">
        <v>0.02</v>
      </c>
      <c r="U168" s="112"/>
      <c r="V168" s="68">
        <f t="shared" si="60"/>
        <v>0.31737044635332001</v>
      </c>
      <c r="W168" s="13">
        <v>0.9</v>
      </c>
      <c r="X168" s="42">
        <f t="shared" si="41"/>
        <v>-0.58262955364668001</v>
      </c>
      <c r="Y168" s="44">
        <f t="shared" si="42"/>
        <v>6.3017839971572301E-2</v>
      </c>
      <c r="Z168" s="45">
        <f t="shared" si="43"/>
        <v>0.24616343738895399</v>
      </c>
      <c r="AA168" s="15">
        <f t="shared" si="44"/>
        <v>3.6284722222222197E-2</v>
      </c>
      <c r="AB168" s="45">
        <f t="shared" si="45"/>
        <v>0.114329240920648</v>
      </c>
      <c r="AC168" s="46">
        <f t="shared" si="46"/>
        <v>3.1508919985786102E-2</v>
      </c>
      <c r="AD168" s="46">
        <f t="shared" si="47"/>
        <v>0</v>
      </c>
      <c r="AE168" s="46">
        <f t="shared" si="48"/>
        <v>0.54475102061352898</v>
      </c>
      <c r="AF168" s="47">
        <v>19300</v>
      </c>
      <c r="AG168" s="51">
        <f t="shared" si="49"/>
        <v>0.418338441018</v>
      </c>
      <c r="AH168" s="52">
        <f t="shared" si="50"/>
        <v>8073.9319116473998</v>
      </c>
      <c r="AI168" s="53">
        <f t="shared" si="51"/>
        <v>6125.2496146190797</v>
      </c>
      <c r="AJ168" s="53">
        <f t="shared" si="52"/>
        <v>17370</v>
      </c>
      <c r="AK168" s="1">
        <f t="shared" si="54"/>
        <v>2.8954249348958299</v>
      </c>
      <c r="AL168" s="33">
        <f t="shared" si="55"/>
        <v>-0.53517950997999997</v>
      </c>
    </row>
    <row r="169" spans="1:38" ht="14.25">
      <c r="A169" s="84">
        <v>166</v>
      </c>
      <c r="B169" s="209" t="s">
        <v>392</v>
      </c>
      <c r="C169" s="210" t="s">
        <v>442</v>
      </c>
      <c r="D169" s="211" t="s">
        <v>381</v>
      </c>
      <c r="E169" s="88"/>
      <c r="F169" s="88">
        <v>1.2999999999999999E-3</v>
      </c>
      <c r="G169" s="89">
        <v>17.3</v>
      </c>
      <c r="H169" s="90">
        <v>0.98</v>
      </c>
      <c r="I169" s="89">
        <f t="shared" si="57"/>
        <v>2.2948979591836699E-2</v>
      </c>
      <c r="J169" s="105" t="s">
        <v>394</v>
      </c>
      <c r="K169" s="106">
        <v>51</v>
      </c>
      <c r="L169" s="107">
        <v>70</v>
      </c>
      <c r="M169" s="87">
        <v>4</v>
      </c>
      <c r="N169" s="106">
        <v>27.5</v>
      </c>
      <c r="O169" s="106">
        <v>0.76</v>
      </c>
      <c r="P169" s="106">
        <v>22.5</v>
      </c>
      <c r="Q169" s="89">
        <f t="shared" si="59"/>
        <v>0.110294117647059</v>
      </c>
      <c r="R169" s="115"/>
      <c r="S169" s="116">
        <v>7.15583333333333E-3</v>
      </c>
      <c r="T169" s="116">
        <v>1.6666666666666701E-2</v>
      </c>
      <c r="U169" s="116"/>
      <c r="V169" s="89">
        <f t="shared" si="60"/>
        <v>0.22858263205282101</v>
      </c>
      <c r="W169" s="117">
        <v>0.5</v>
      </c>
      <c r="X169" s="118">
        <f t="shared" si="41"/>
        <v>-0.27141736794717902</v>
      </c>
      <c r="Y169" s="119">
        <f t="shared" si="42"/>
        <v>7.2913092814572797E-2</v>
      </c>
      <c r="Z169" s="120">
        <f t="shared" si="43"/>
        <v>0.48251311421408399</v>
      </c>
      <c r="AA169" s="121">
        <f t="shared" si="44"/>
        <v>5.1225490196078402E-2</v>
      </c>
      <c r="AB169" s="120">
        <f t="shared" si="45"/>
        <v>0.224100535268319</v>
      </c>
      <c r="AC169" s="122">
        <f t="shared" si="46"/>
        <v>3.1305236399936799E-2</v>
      </c>
      <c r="AD169" s="122">
        <f t="shared" si="47"/>
        <v>0</v>
      </c>
      <c r="AE169" s="122">
        <f t="shared" si="48"/>
        <v>0.89960313526124003</v>
      </c>
      <c r="AF169" s="123">
        <v>19364</v>
      </c>
      <c r="AG169" s="51">
        <f t="shared" si="49"/>
        <v>0.30052538115246102</v>
      </c>
      <c r="AH169" s="52">
        <f t="shared" si="50"/>
        <v>5819.37348063625</v>
      </c>
      <c r="AI169" s="128">
        <f t="shared" si="51"/>
        <v>4426.2740870708303</v>
      </c>
      <c r="AJ169" s="128">
        <f t="shared" si="52"/>
        <v>9682</v>
      </c>
      <c r="AK169" s="1">
        <f t="shared" si="54"/>
        <v>13.095370099128999</v>
      </c>
      <c r="AL169" s="33">
        <f t="shared" si="55"/>
        <v>-0.39894923769507801</v>
      </c>
    </row>
    <row r="170" spans="1:38">
      <c r="A170" s="13"/>
      <c r="B170" s="195"/>
      <c r="C170" s="196"/>
      <c r="D170" s="187"/>
      <c r="E170" s="37"/>
      <c r="F170" s="37"/>
      <c r="G170" s="14"/>
      <c r="H170" s="38"/>
      <c r="I170" s="21"/>
      <c r="J170" s="13"/>
      <c r="K170" s="14"/>
      <c r="L170" s="13"/>
      <c r="M170" s="13"/>
      <c r="N170" s="13"/>
      <c r="O170" s="13"/>
      <c r="P170" s="13"/>
      <c r="Q170" s="13"/>
      <c r="R170" s="14"/>
      <c r="S170" s="21"/>
      <c r="T170" s="21"/>
      <c r="U170" s="13"/>
      <c r="V170" s="13"/>
      <c r="W170" s="13"/>
      <c r="X170" s="13"/>
      <c r="Y170" s="124">
        <v>6.5000000000000002E-2</v>
      </c>
      <c r="Z170" s="125">
        <v>0.26</v>
      </c>
      <c r="AA170" s="14">
        <v>0.14199999999999999</v>
      </c>
      <c r="AB170" s="126">
        <v>0.15</v>
      </c>
      <c r="AC170" s="126">
        <v>3.1E-2</v>
      </c>
      <c r="AD170" s="126">
        <v>8.2000000000000003E-2</v>
      </c>
      <c r="AE170" s="126">
        <v>0.72</v>
      </c>
      <c r="AF170" s="23"/>
      <c r="AG170" s="51"/>
      <c r="AH170" s="129">
        <f>SUM(AH5:AH169)</f>
        <v>4929441.6421725601</v>
      </c>
      <c r="AI170" s="129">
        <f t="shared" ref="AI170:AJ170" si="61">SUM(AI5:AI169)</f>
        <v>4074835.8058294798</v>
      </c>
      <c r="AJ170" s="129">
        <f t="shared" si="61"/>
        <v>5193715.76</v>
      </c>
      <c r="AK170" s="129"/>
      <c r="AL170" s="129"/>
    </row>
    <row r="172" spans="1:38">
      <c r="AI172" s="17">
        <f>AH170-AI170</f>
        <v>854605.836343084</v>
      </c>
      <c r="AJ172" s="32">
        <f>AJ170-AH170</f>
        <v>264274.11782743997</v>
      </c>
    </row>
    <row r="173" spans="1:38">
      <c r="AG173" s="130"/>
      <c r="AH173" s="130"/>
      <c r="AI173" s="33"/>
      <c r="AJ173" s="32">
        <f>AI172+AJ172</f>
        <v>1118879.95417052</v>
      </c>
    </row>
    <row r="174" spans="1:38" s="27" customFormat="1" ht="18.75">
      <c r="B174" s="215" t="s">
        <v>395</v>
      </c>
      <c r="C174" s="216" t="s">
        <v>396</v>
      </c>
      <c r="D174" s="217"/>
      <c r="E174" s="92"/>
      <c r="F174" s="92"/>
      <c r="G174" s="93"/>
      <c r="H174" s="94"/>
      <c r="I174" s="108"/>
      <c r="K174" s="93"/>
      <c r="R174" s="93"/>
      <c r="S174" s="108"/>
      <c r="T174" s="108"/>
      <c r="AA174" s="93"/>
      <c r="AF174" s="127"/>
      <c r="AG174" s="131"/>
      <c r="AH174" s="132"/>
      <c r="AI174" s="133"/>
      <c r="AJ174" s="133"/>
      <c r="AL174" s="134"/>
    </row>
    <row r="175" spans="1:38" s="27" customFormat="1" ht="18.75">
      <c r="B175" s="215"/>
      <c r="C175" s="216" t="s">
        <v>397</v>
      </c>
      <c r="D175" s="217"/>
      <c r="E175" s="92"/>
      <c r="F175" s="92"/>
      <c r="G175" s="93"/>
      <c r="H175" s="94"/>
      <c r="I175" s="108"/>
      <c r="K175" s="93"/>
      <c r="R175" s="93"/>
      <c r="S175" s="108"/>
      <c r="T175" s="108"/>
      <c r="AA175" s="93"/>
      <c r="AF175" s="127"/>
      <c r="AG175" s="131"/>
      <c r="AH175" s="132"/>
      <c r="AI175" s="133"/>
      <c r="AJ175" s="133"/>
      <c r="AL175" s="134"/>
    </row>
    <row r="176" spans="1:38" s="27" customFormat="1" ht="18.75">
      <c r="B176" s="215"/>
      <c r="C176" s="216" t="s">
        <v>398</v>
      </c>
      <c r="D176" s="217"/>
      <c r="E176" s="92"/>
      <c r="F176" s="92"/>
      <c r="G176" s="93"/>
      <c r="H176" s="94"/>
      <c r="I176" s="108"/>
      <c r="K176" s="93"/>
      <c r="R176" s="93"/>
      <c r="S176" s="108"/>
      <c r="T176" s="108"/>
      <c r="AA176" s="93"/>
      <c r="AF176" s="127"/>
      <c r="AG176" s="131"/>
      <c r="AH176" s="132"/>
      <c r="AI176" s="133"/>
      <c r="AJ176" s="133"/>
      <c r="AL176" s="134"/>
    </row>
    <row r="177" spans="2:38" s="27" customFormat="1" ht="18.75">
      <c r="B177" s="215"/>
      <c r="C177" s="216" t="s">
        <v>399</v>
      </c>
      <c r="D177" s="217"/>
      <c r="E177" s="92"/>
      <c r="F177" s="92"/>
      <c r="G177" s="93"/>
      <c r="H177" s="94"/>
      <c r="I177" s="108"/>
      <c r="K177" s="93"/>
      <c r="R177" s="93"/>
      <c r="S177" s="108"/>
      <c r="T177" s="108"/>
      <c r="AA177" s="93"/>
      <c r="AF177" s="127"/>
      <c r="AG177" s="131"/>
      <c r="AH177" s="132"/>
      <c r="AI177" s="133"/>
      <c r="AJ177" s="133"/>
      <c r="AL177" s="134"/>
    </row>
  </sheetData>
  <autoFilter ref="A4:AL170"/>
  <mergeCells count="36">
    <mergeCell ref="AE3:AE4"/>
    <mergeCell ref="AF3:AF4"/>
    <mergeCell ref="AI3:AI4"/>
    <mergeCell ref="AJ3:AJ4"/>
    <mergeCell ref="AA3:AB4"/>
    <mergeCell ref="X3:X4"/>
    <mergeCell ref="Y3:Y4"/>
    <mergeCell ref="Z3:Z4"/>
    <mergeCell ref="AC3:AC4"/>
    <mergeCell ref="AD3:AD4"/>
    <mergeCell ref="S3:S4"/>
    <mergeCell ref="T3:T4"/>
    <mergeCell ref="U3:U4"/>
    <mergeCell ref="V3:V4"/>
    <mergeCell ref="W3:W4"/>
    <mergeCell ref="N3:N4"/>
    <mergeCell ref="O3:O4"/>
    <mergeCell ref="P3:P4"/>
    <mergeCell ref="Q3:Q4"/>
    <mergeCell ref="R3:R4"/>
    <mergeCell ref="A2:X2"/>
    <mergeCell ref="Y2:AE2"/>
    <mergeCell ref="AG2:AH2"/>
    <mergeCell ref="E3:F3"/>
    <mergeCell ref="AG3:AH3"/>
    <mergeCell ref="A3:A4"/>
    <mergeCell ref="B3:B4"/>
    <mergeCell ref="C3:C4"/>
    <mergeCell ref="D3:D4"/>
    <mergeCell ref="G3:G4"/>
    <mergeCell ref="H3:H4"/>
    <mergeCell ref="I3:I4"/>
    <mergeCell ref="J3:J4"/>
    <mergeCell ref="K3:K4"/>
    <mergeCell ref="L3:L4"/>
    <mergeCell ref="M3:M4"/>
  </mergeCells>
  <phoneticPr fontId="20" type="noConversion"/>
  <conditionalFormatting sqref="B16">
    <cfRule type="duplicateValues" dxfId="71" priority="21"/>
  </conditionalFormatting>
  <conditionalFormatting sqref="B18">
    <cfRule type="duplicateValues" dxfId="70" priority="43"/>
  </conditionalFormatting>
  <conditionalFormatting sqref="B30">
    <cfRule type="duplicateValues" dxfId="69" priority="17"/>
  </conditionalFormatting>
  <conditionalFormatting sqref="B31">
    <cfRule type="duplicateValues" dxfId="68" priority="11"/>
  </conditionalFormatting>
  <conditionalFormatting sqref="B32">
    <cfRule type="duplicateValues" dxfId="67" priority="16"/>
  </conditionalFormatting>
  <conditionalFormatting sqref="B33">
    <cfRule type="duplicateValues" dxfId="66" priority="15"/>
  </conditionalFormatting>
  <conditionalFormatting sqref="B34">
    <cfRule type="duplicateValues" dxfId="65" priority="14"/>
  </conditionalFormatting>
  <conditionalFormatting sqref="B35">
    <cfRule type="duplicateValues" dxfId="64" priority="13"/>
  </conditionalFormatting>
  <conditionalFormatting sqref="B36">
    <cfRule type="duplicateValues" dxfId="63" priority="12"/>
  </conditionalFormatting>
  <conditionalFormatting sqref="B38">
    <cfRule type="duplicateValues" dxfId="62" priority="40"/>
  </conditionalFormatting>
  <conditionalFormatting sqref="B39">
    <cfRule type="duplicateValues" dxfId="61" priority="39"/>
  </conditionalFormatting>
  <conditionalFormatting sqref="B40">
    <cfRule type="duplicateValues" dxfId="60" priority="38"/>
  </conditionalFormatting>
  <conditionalFormatting sqref="B41">
    <cfRule type="duplicateValues" dxfId="59" priority="37"/>
  </conditionalFormatting>
  <conditionalFormatting sqref="B42">
    <cfRule type="duplicateValues" dxfId="58" priority="36"/>
  </conditionalFormatting>
  <conditionalFormatting sqref="B46">
    <cfRule type="duplicateValues" dxfId="57" priority="19"/>
  </conditionalFormatting>
  <conditionalFormatting sqref="B52">
    <cfRule type="duplicateValues" dxfId="56" priority="18"/>
  </conditionalFormatting>
  <conditionalFormatting sqref="B55">
    <cfRule type="duplicateValues" dxfId="55" priority="28"/>
  </conditionalFormatting>
  <conditionalFormatting sqref="B57">
    <cfRule type="duplicateValues" dxfId="54" priority="27"/>
  </conditionalFormatting>
  <conditionalFormatting sqref="B58">
    <cfRule type="duplicateValues" dxfId="53" priority="33"/>
  </conditionalFormatting>
  <conditionalFormatting sqref="B59">
    <cfRule type="duplicateValues" dxfId="52" priority="26"/>
  </conditionalFormatting>
  <conditionalFormatting sqref="B60">
    <cfRule type="duplicateValues" dxfId="51" priority="34"/>
  </conditionalFormatting>
  <conditionalFormatting sqref="B61">
    <cfRule type="duplicateValues" dxfId="50" priority="22"/>
  </conditionalFormatting>
  <conditionalFormatting sqref="B62">
    <cfRule type="duplicateValues" dxfId="49" priority="35"/>
  </conditionalFormatting>
  <conditionalFormatting sqref="B63">
    <cfRule type="duplicateValues" dxfId="48" priority="32"/>
  </conditionalFormatting>
  <conditionalFormatting sqref="B64">
    <cfRule type="duplicateValues" dxfId="47" priority="31"/>
  </conditionalFormatting>
  <conditionalFormatting sqref="B65">
    <cfRule type="duplicateValues" dxfId="46" priority="30"/>
  </conditionalFormatting>
  <conditionalFormatting sqref="B66">
    <cfRule type="duplicateValues" dxfId="45" priority="29"/>
  </conditionalFormatting>
  <conditionalFormatting sqref="B71">
    <cfRule type="duplicateValues" dxfId="44" priority="20"/>
  </conditionalFormatting>
  <conditionalFormatting sqref="B78">
    <cfRule type="duplicateValues" dxfId="43" priority="25"/>
  </conditionalFormatting>
  <conditionalFormatting sqref="B79">
    <cfRule type="duplicateValues" dxfId="42" priority="24"/>
  </conditionalFormatting>
  <conditionalFormatting sqref="B80">
    <cfRule type="duplicateValues" dxfId="41" priority="23"/>
  </conditionalFormatting>
  <conditionalFormatting sqref="B92">
    <cfRule type="duplicateValues" dxfId="40" priority="8"/>
  </conditionalFormatting>
  <conditionalFormatting sqref="B93">
    <cfRule type="duplicateValues" dxfId="39" priority="50"/>
  </conditionalFormatting>
  <conditionalFormatting sqref="B94">
    <cfRule type="duplicateValues" dxfId="38" priority="48"/>
  </conditionalFormatting>
  <conditionalFormatting sqref="B95">
    <cfRule type="duplicateValues" dxfId="37" priority="49"/>
  </conditionalFormatting>
  <conditionalFormatting sqref="B103">
    <cfRule type="duplicateValues" dxfId="36" priority="59"/>
  </conditionalFormatting>
  <conditionalFormatting sqref="B106">
    <cfRule type="duplicateValues" dxfId="35" priority="56"/>
  </conditionalFormatting>
  <conditionalFormatting sqref="B107">
    <cfRule type="duplicateValues" dxfId="34" priority="55"/>
  </conditionalFormatting>
  <conditionalFormatting sqref="B108">
    <cfRule type="duplicateValues" dxfId="33" priority="54"/>
  </conditionalFormatting>
  <conditionalFormatting sqref="B109">
    <cfRule type="duplicateValues" dxfId="32" priority="53"/>
  </conditionalFormatting>
  <conditionalFormatting sqref="B110">
    <cfRule type="duplicateValues" dxfId="31" priority="52"/>
  </conditionalFormatting>
  <conditionalFormatting sqref="B111">
    <cfRule type="duplicateValues" dxfId="30" priority="51"/>
  </conditionalFormatting>
  <conditionalFormatting sqref="B112">
    <cfRule type="duplicateValues" dxfId="29" priority="47"/>
  </conditionalFormatting>
  <conditionalFormatting sqref="B113">
    <cfRule type="duplicateValues" dxfId="28" priority="46"/>
  </conditionalFormatting>
  <conditionalFormatting sqref="B114">
    <cfRule type="duplicateValues" dxfId="27" priority="45"/>
  </conditionalFormatting>
  <conditionalFormatting sqref="B115">
    <cfRule type="duplicateValues" dxfId="26" priority="44"/>
  </conditionalFormatting>
  <conditionalFormatting sqref="B116">
    <cfRule type="duplicateValues" dxfId="25" priority="42"/>
  </conditionalFormatting>
  <conditionalFormatting sqref="B117">
    <cfRule type="duplicateValues" dxfId="24" priority="41"/>
  </conditionalFormatting>
  <conditionalFormatting sqref="B122">
    <cfRule type="duplicateValues" dxfId="23" priority="7"/>
  </conditionalFormatting>
  <conditionalFormatting sqref="B123">
    <cfRule type="duplicateValues" dxfId="22" priority="10"/>
  </conditionalFormatting>
  <conditionalFormatting sqref="B124">
    <cfRule type="duplicateValues" dxfId="21" priority="9"/>
  </conditionalFormatting>
  <conditionalFormatting sqref="B127">
    <cfRule type="duplicateValues" dxfId="20" priority="6"/>
  </conditionalFormatting>
  <conditionalFormatting sqref="B158">
    <cfRule type="duplicateValues" dxfId="19" priority="5"/>
  </conditionalFormatting>
  <conditionalFormatting sqref="B1:B1048576">
    <cfRule type="duplicateValues" dxfId="18" priority="1"/>
  </conditionalFormatting>
  <conditionalFormatting sqref="B83:B84">
    <cfRule type="duplicateValues" dxfId="17" priority="58"/>
  </conditionalFormatting>
  <conditionalFormatting sqref="B146:B169">
    <cfRule type="duplicateValues" dxfId="16" priority="2"/>
  </conditionalFormatting>
  <conditionalFormatting sqref="B149:B157">
    <cfRule type="duplicateValues" dxfId="15" priority="4"/>
  </conditionalFormatting>
  <conditionalFormatting sqref="B149:B158">
    <cfRule type="duplicateValues" dxfId="14" priority="3"/>
  </conditionalFormatting>
  <conditionalFormatting sqref="B19:B22 B43 B102 B104:B105 B72 B67:B68 B100 B5:B14">
    <cfRule type="duplicateValues" dxfId="13" priority="61"/>
  </conditionalFormatting>
  <conditionalFormatting sqref="B19:B29 B56 B43:B45 B53:B54 B47:B51 B67:B68 B81:B82 B72:B77 B96:B102 B85:B91 B118:B121 B104:B105 B125:B126 B37 B5:B15 B17">
    <cfRule type="duplicateValues" dxfId="12" priority="60"/>
  </conditionalFormatting>
  <conditionalFormatting sqref="B17 B118:B121 B56 B53:B54 B47:B51 B43:B45 B67:B70 B81:B91 B72:B77 B96:B105 B125:B126 B37 B5:B15 B19:B29">
    <cfRule type="duplicateValues" dxfId="11" priority="57"/>
  </conditionalFormatting>
  <conditionalFormatting sqref="B15 B85:B91 B96:B99 B44:B45 B81:B82 B73:B77 B101 B23:B29 B37 B17">
    <cfRule type="duplicateValues" dxfId="10" priority="62"/>
  </conditionalFormatting>
  <conditionalFormatting sqref="B125:B126 B47:B51 B53:B54 B56 B69:B70 B118:B121">
    <cfRule type="duplicateValues" dxfId="9" priority="63"/>
  </conditionalFormatting>
  <pageMargins left="0.7" right="0.7" top="0.75" bottom="0.75" header="0.3" footer="0.3"/>
  <pageSetup paperSize="9"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topLeftCell="I1" workbookViewId="0">
      <selection activeCell="O5" sqref="O5:O23"/>
    </sheetView>
  </sheetViews>
  <sheetFormatPr defaultColWidth="8.75" defaultRowHeight="13.5"/>
  <cols>
    <col min="1" max="1" width="5.75" customWidth="1"/>
    <col min="2" max="2" width="13" customWidth="1"/>
    <col min="3" max="3" width="22.875" customWidth="1"/>
    <col min="9" max="11" width="8.75" style="3"/>
    <col min="12" max="12" width="10.875" style="4" customWidth="1"/>
    <col min="13" max="13" width="15" style="4" customWidth="1"/>
    <col min="14" max="19" width="10.875" style="4" customWidth="1"/>
    <col min="23" max="23" width="12.875" style="5" customWidth="1"/>
    <col min="24" max="24" width="15.125"/>
    <col min="25" max="25" width="12.875"/>
  </cols>
  <sheetData>
    <row r="1" spans="1:24" s="1" customFormat="1">
      <c r="B1" s="6"/>
      <c r="C1" s="7"/>
      <c r="E1" s="8"/>
      <c r="H1" s="9"/>
      <c r="I1" s="8"/>
      <c r="J1" s="8"/>
      <c r="L1" s="17"/>
      <c r="M1" s="17"/>
      <c r="N1" s="17"/>
      <c r="O1" s="17"/>
      <c r="P1" s="17"/>
      <c r="Q1" s="17"/>
      <c r="R1" s="17"/>
      <c r="S1" s="17"/>
      <c r="W1" s="17"/>
    </row>
    <row r="2" spans="1:24" s="1" customFormat="1" ht="20.25">
      <c r="A2" s="140" t="s">
        <v>0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77"/>
      <c r="M2" s="177"/>
      <c r="N2" s="177"/>
      <c r="O2" s="177"/>
      <c r="P2" s="177"/>
      <c r="Q2" s="177"/>
      <c r="R2" s="177"/>
      <c r="S2" s="177"/>
      <c r="T2" s="140"/>
      <c r="U2" s="140"/>
      <c r="V2" s="140"/>
      <c r="W2" s="17"/>
    </row>
    <row r="3" spans="1:24" s="2" customFormat="1">
      <c r="A3" s="148" t="s">
        <v>3</v>
      </c>
      <c r="B3" s="148" t="s">
        <v>4</v>
      </c>
      <c r="C3" s="149" t="s">
        <v>5</v>
      </c>
      <c r="D3" s="148" t="s">
        <v>6</v>
      </c>
      <c r="E3" s="152" t="s">
        <v>10</v>
      </c>
      <c r="F3" s="155" t="s">
        <v>28</v>
      </c>
      <c r="G3" s="150" t="s">
        <v>18</v>
      </c>
      <c r="H3" s="156" t="s">
        <v>19</v>
      </c>
      <c r="I3" s="157" t="s">
        <v>20</v>
      </c>
      <c r="J3" s="157" t="s">
        <v>21</v>
      </c>
      <c r="K3" s="159" t="s">
        <v>22</v>
      </c>
      <c r="L3" s="178" t="s">
        <v>403</v>
      </c>
      <c r="M3" s="178"/>
      <c r="N3" s="178"/>
      <c r="O3" s="178"/>
      <c r="P3" s="178"/>
      <c r="Q3" s="178"/>
      <c r="R3" s="178"/>
      <c r="S3" s="178"/>
      <c r="T3" s="160" t="s">
        <v>23</v>
      </c>
      <c r="U3" s="160" t="s">
        <v>24</v>
      </c>
      <c r="V3" s="161" t="s">
        <v>25</v>
      </c>
      <c r="W3" s="182" t="s">
        <v>404</v>
      </c>
      <c r="X3" s="148" t="s">
        <v>405</v>
      </c>
    </row>
    <row r="4" spans="1:24" s="2" customFormat="1">
      <c r="A4" s="148"/>
      <c r="B4" s="148"/>
      <c r="C4" s="149"/>
      <c r="D4" s="148"/>
      <c r="E4" s="152"/>
      <c r="F4" s="155"/>
      <c r="G4" s="150"/>
      <c r="H4" s="156"/>
      <c r="I4" s="158"/>
      <c r="J4" s="158"/>
      <c r="K4" s="159"/>
      <c r="L4" s="20" t="s">
        <v>406</v>
      </c>
      <c r="M4" s="19" t="s">
        <v>407</v>
      </c>
      <c r="N4" s="19" t="s">
        <v>408</v>
      </c>
      <c r="O4" s="19" t="s">
        <v>409</v>
      </c>
      <c r="P4" s="19" t="s">
        <v>410</v>
      </c>
      <c r="Q4" s="19" t="s">
        <v>411</v>
      </c>
      <c r="R4" s="19"/>
      <c r="S4" s="19"/>
      <c r="T4" s="160"/>
      <c r="U4" s="160"/>
      <c r="V4" s="161"/>
      <c r="W4" s="182"/>
      <c r="X4" s="148"/>
    </row>
    <row r="5" spans="1:24" s="1" customFormat="1">
      <c r="A5" s="10">
        <v>16</v>
      </c>
      <c r="B5" s="11" t="s">
        <v>79</v>
      </c>
      <c r="C5" s="12" t="s">
        <v>80</v>
      </c>
      <c r="D5" s="13" t="s">
        <v>59</v>
      </c>
      <c r="E5" s="14">
        <v>0.70408832474226801</v>
      </c>
      <c r="F5" s="15">
        <v>0.18758181818181799</v>
      </c>
      <c r="G5" s="14">
        <f>VLOOKUP(B:B,安路普产品报价!B:Q,16,0)</f>
        <v>0.26785714285714302</v>
      </c>
      <c r="H5" s="14">
        <f>VLOOKUP(B:B,安路普产品报价!B:R,17,0)</f>
        <v>0</v>
      </c>
      <c r="I5" s="21">
        <f>VLOOKUP(B:B,安路普产品报价!B:S,18,0)</f>
        <v>9.4781111111111094E-2</v>
      </c>
      <c r="J5" s="21">
        <f>VLOOKUP(B:B,安路普产品报价!B:T,19,0)</f>
        <v>0.22222222222222199</v>
      </c>
      <c r="K5" s="13">
        <f>VLOOKUP(B:B,安路普产品报价!B:U,20,0)</f>
        <v>0.3</v>
      </c>
      <c r="L5" s="22">
        <v>0.15847400777509299</v>
      </c>
      <c r="M5" s="179">
        <v>1.66E-2</v>
      </c>
      <c r="N5" s="179">
        <v>6.5600000000000006E-2</v>
      </c>
      <c r="O5" s="179">
        <v>0.10009999999999999</v>
      </c>
      <c r="P5" s="179">
        <v>1.4999999999999999E-2</v>
      </c>
      <c r="Q5" s="179"/>
      <c r="R5" s="23"/>
      <c r="S5" s="23"/>
      <c r="T5" s="24">
        <f>VLOOKUP(B:B,安路普产品报价!B:V,21,0)</f>
        <v>1.9350046268896499</v>
      </c>
      <c r="U5" s="25">
        <v>2.79</v>
      </c>
      <c r="V5" s="26">
        <v>-0.85499537311034601</v>
      </c>
      <c r="W5" s="23">
        <v>6550</v>
      </c>
      <c r="X5" s="23">
        <f t="shared" ref="X5:X23" si="0">W5*V5</f>
        <v>-5600.2196938727702</v>
      </c>
    </row>
    <row r="6" spans="1:24" s="1" customFormat="1">
      <c r="A6" s="10">
        <v>18</v>
      </c>
      <c r="B6" s="11" t="s">
        <v>84</v>
      </c>
      <c r="C6" s="16" t="s">
        <v>85</v>
      </c>
      <c r="D6" s="13" t="s">
        <v>86</v>
      </c>
      <c r="E6" s="14">
        <v>0.65373685106382995</v>
      </c>
      <c r="F6" s="15">
        <v>0.36363888888888901</v>
      </c>
      <c r="G6" s="14">
        <f>VLOOKUP(B:B,安路普产品报价!B:Q,16,0)</f>
        <v>0.3125</v>
      </c>
      <c r="H6" s="14">
        <f>VLOOKUP(B:B,安路普产品报价!B:R,17,0)</f>
        <v>0.9</v>
      </c>
      <c r="I6" s="21">
        <f>VLOOKUP(B:B,安路普产品报价!B:S,18,0)</f>
        <v>3.6575652173913002E-2</v>
      </c>
      <c r="J6" s="21">
        <f>VLOOKUP(B:B,安路普产品报价!B:T,19,0)</f>
        <v>8.6956521739130405E-2</v>
      </c>
      <c r="K6" s="13">
        <f>VLOOKUP(B:B,安路普产品报价!B:U,20,0)</f>
        <v>0</v>
      </c>
      <c r="L6" s="22">
        <v>0.26750944233187801</v>
      </c>
      <c r="M6" s="180"/>
      <c r="N6" s="180"/>
      <c r="O6" s="180"/>
      <c r="P6" s="180"/>
      <c r="Q6" s="180"/>
      <c r="R6" s="23"/>
      <c r="S6" s="23"/>
      <c r="T6" s="24">
        <f>VLOOKUP(B:B,安路普产品报价!B:V,21,0)</f>
        <v>2.6209173561976402</v>
      </c>
      <c r="U6" s="25">
        <v>4.59</v>
      </c>
      <c r="V6" s="26">
        <v>-1.9690826438023601</v>
      </c>
      <c r="W6" s="23">
        <v>43454</v>
      </c>
      <c r="X6" s="23">
        <f t="shared" si="0"/>
        <v>-85564.517203787706</v>
      </c>
    </row>
    <row r="7" spans="1:24" s="1" customFormat="1">
      <c r="A7" s="10">
        <v>40</v>
      </c>
      <c r="B7" s="11" t="s">
        <v>131</v>
      </c>
      <c r="C7" s="16" t="s">
        <v>132</v>
      </c>
      <c r="D7" s="13" t="s">
        <v>86</v>
      </c>
      <c r="E7" s="14">
        <v>1.22440488421053</v>
      </c>
      <c r="F7" s="15">
        <v>0.4206125</v>
      </c>
      <c r="G7" s="14">
        <f>VLOOKUP(B:B,安路普产品报价!B:Q,16,0)</f>
        <v>0.328125</v>
      </c>
      <c r="H7" s="14">
        <f>VLOOKUP(B:B,安路普产品报价!B:R,17,0)</f>
        <v>0</v>
      </c>
      <c r="I7" s="21">
        <f>VLOOKUP(B:B,安路普产品报价!B:S,18,0)</f>
        <v>5.6082666666666697E-2</v>
      </c>
      <c r="J7" s="21">
        <f>VLOOKUP(B:B,安路普产品报价!B:T,19,0)</f>
        <v>0.133333333333333</v>
      </c>
      <c r="K7" s="13">
        <f>VLOOKUP(B:B,安路普产品报价!B:U,20,0)</f>
        <v>0</v>
      </c>
      <c r="L7" s="22">
        <v>0.33231871734071999</v>
      </c>
      <c r="M7" s="180"/>
      <c r="N7" s="180"/>
      <c r="O7" s="180"/>
      <c r="P7" s="180"/>
      <c r="Q7" s="180"/>
      <c r="R7" s="23"/>
      <c r="S7" s="23"/>
      <c r="T7" s="24">
        <f>VLOOKUP(B:B,安路普产品报价!B:V,21,0)</f>
        <v>2.4948771015512499</v>
      </c>
      <c r="U7" s="25">
        <v>3.65</v>
      </c>
      <c r="V7" s="26">
        <v>-1.15512289844875</v>
      </c>
      <c r="W7" s="23">
        <v>8451</v>
      </c>
      <c r="X7" s="23">
        <f t="shared" si="0"/>
        <v>-9761.9436147903907</v>
      </c>
    </row>
    <row r="8" spans="1:24" s="1" customFormat="1">
      <c r="A8" s="10">
        <v>41</v>
      </c>
      <c r="B8" s="11" t="s">
        <v>133</v>
      </c>
      <c r="C8" s="16" t="s">
        <v>134</v>
      </c>
      <c r="D8" s="13" t="s">
        <v>86</v>
      </c>
      <c r="E8" s="14">
        <v>3.4589437978947402</v>
      </c>
      <c r="F8" s="15">
        <v>0.4206125</v>
      </c>
      <c r="G8" s="14">
        <f>VLOOKUP(B:B,安路普产品报价!B:Q,16,0)</f>
        <v>0.328125</v>
      </c>
      <c r="H8" s="14">
        <f>VLOOKUP(B:B,安路普产品报价!B:R,17,0)</f>
        <v>0</v>
      </c>
      <c r="I8" s="21">
        <f>VLOOKUP(B:B,安路普产品报价!B:S,18,0)</f>
        <v>8.4124000000000004E-2</v>
      </c>
      <c r="J8" s="21">
        <f>VLOOKUP(B:B,安路普产品报价!B:T,19,0)</f>
        <v>0.2</v>
      </c>
      <c r="K8" s="13">
        <f>VLOOKUP(B:B,安路普产品报价!B:U,20,0)</f>
        <v>0</v>
      </c>
      <c r="L8" s="22">
        <v>0.70866211332963902</v>
      </c>
      <c r="M8" s="180"/>
      <c r="N8" s="180"/>
      <c r="O8" s="180"/>
      <c r="P8" s="180"/>
      <c r="Q8" s="180"/>
      <c r="R8" s="23"/>
      <c r="S8" s="23"/>
      <c r="T8" s="24">
        <f>VLOOKUP(B:B,安路普产品报价!B:V,21,0)</f>
        <v>5.2004674112243796</v>
      </c>
      <c r="U8" s="25">
        <v>8.8699999999999992</v>
      </c>
      <c r="V8" s="26">
        <v>-3.6695325887756201</v>
      </c>
      <c r="W8" s="23">
        <v>3710</v>
      </c>
      <c r="X8" s="23">
        <f t="shared" si="0"/>
        <v>-13613.965904357599</v>
      </c>
    </row>
    <row r="9" spans="1:24" s="1" customFormat="1">
      <c r="A9" s="10">
        <v>43</v>
      </c>
      <c r="B9" s="11" t="s">
        <v>137</v>
      </c>
      <c r="C9" s="12" t="s">
        <v>138</v>
      </c>
      <c r="D9" s="13" t="s">
        <v>86</v>
      </c>
      <c r="E9" s="14">
        <v>1.2886572631578901</v>
      </c>
      <c r="F9" s="15">
        <v>0.30043750000000002</v>
      </c>
      <c r="G9" s="14">
        <f>VLOOKUP(B:B,安路普产品报价!B:Q,16,0)</f>
        <v>0.234375</v>
      </c>
      <c r="H9" s="14">
        <f>VLOOKUP(B:B,安路普产品报价!B:R,17,0)</f>
        <v>0</v>
      </c>
      <c r="I9" s="21">
        <f>VLOOKUP(B:B,安路普产品报价!B:S,18,0)</f>
        <v>9.4781111111111094E-2</v>
      </c>
      <c r="J9" s="21">
        <f>VLOOKUP(B:B,安路普产品报价!B:T,19,0)</f>
        <v>0.22222222222222199</v>
      </c>
      <c r="K9" s="13">
        <f>VLOOKUP(B:B,安路普产品报价!B:U,20,0)</f>
        <v>0</v>
      </c>
      <c r="L9" s="22">
        <v>0.30711069695291698</v>
      </c>
      <c r="M9" s="180"/>
      <c r="N9" s="180"/>
      <c r="O9" s="180"/>
      <c r="P9" s="180"/>
      <c r="Q9" s="180"/>
      <c r="R9" s="23"/>
      <c r="S9" s="23"/>
      <c r="T9" s="24">
        <f>VLOOKUP(B:B,安路普产品报价!B:V,21,0)</f>
        <v>2.44758379344414</v>
      </c>
      <c r="U9" s="25">
        <v>3.45</v>
      </c>
      <c r="V9" s="26">
        <v>-1.0024162065558599</v>
      </c>
      <c r="W9" s="23">
        <v>6550</v>
      </c>
      <c r="X9" s="23">
        <f t="shared" si="0"/>
        <v>-6565.8261529408801</v>
      </c>
    </row>
    <row r="10" spans="1:24" s="1" customFormat="1">
      <c r="A10" s="10">
        <v>50</v>
      </c>
      <c r="B10" s="11" t="s">
        <v>152</v>
      </c>
      <c r="C10" s="12" t="s">
        <v>153</v>
      </c>
      <c r="D10" s="13" t="s">
        <v>86</v>
      </c>
      <c r="E10" s="14">
        <v>0.78605662040816304</v>
      </c>
      <c r="F10" s="15">
        <v>0.30043750000000002</v>
      </c>
      <c r="G10" s="14">
        <f>VLOOKUP(B:B,安路普产品报价!B:Q,16,0)</f>
        <v>0.234375</v>
      </c>
      <c r="H10" s="14">
        <f>VLOOKUP(B:B,安路普产品报价!B:R,17,0)</f>
        <v>0</v>
      </c>
      <c r="I10" s="21">
        <f>VLOOKUP(B:B,安路普产品报价!B:S,18,0)</f>
        <v>9.7224000000000005E-2</v>
      </c>
      <c r="J10" s="21">
        <f>VLOOKUP(B:B,安路普产品报价!B:T,19,0)</f>
        <v>0.2</v>
      </c>
      <c r="K10" s="13">
        <f>VLOOKUP(B:B,安路普产品报价!B:U,20,0)</f>
        <v>0.3</v>
      </c>
      <c r="L10" s="22">
        <v>0.17521733229904701</v>
      </c>
      <c r="M10" s="180"/>
      <c r="N10" s="180"/>
      <c r="O10" s="180"/>
      <c r="P10" s="180"/>
      <c r="Q10" s="180"/>
      <c r="R10" s="23"/>
      <c r="S10" s="23"/>
      <c r="T10" s="24">
        <f>VLOOKUP(B:B,安路普产品报价!B:V,21,0)</f>
        <v>2.0933104527072102</v>
      </c>
      <c r="U10" s="25">
        <v>3.15</v>
      </c>
      <c r="V10" s="26">
        <v>-1.05668954729279</v>
      </c>
      <c r="W10" s="23">
        <v>13771</v>
      </c>
      <c r="X10" s="23">
        <f t="shared" si="0"/>
        <v>-14551.671755769001</v>
      </c>
    </row>
    <row r="11" spans="1:24" s="1" customFormat="1">
      <c r="A11" s="10">
        <v>52</v>
      </c>
      <c r="B11" s="11" t="s">
        <v>156</v>
      </c>
      <c r="C11" s="12" t="s">
        <v>157</v>
      </c>
      <c r="D11" s="13" t="s">
        <v>86</v>
      </c>
      <c r="E11" s="14">
        <v>1.1702144999999999</v>
      </c>
      <c r="F11" s="15">
        <v>0.32046666666666701</v>
      </c>
      <c r="G11" s="14">
        <f>VLOOKUP(B:B,安路普产品报价!B:Q,16,0)</f>
        <v>0.25</v>
      </c>
      <c r="H11" s="14">
        <f>VLOOKUP(B:B,安路普产品报价!B:R,17,0)</f>
        <v>0</v>
      </c>
      <c r="I11" s="21">
        <f>VLOOKUP(B:B,安路普产品报价!B:S,18,0)</f>
        <v>8.4124000000000004E-2</v>
      </c>
      <c r="J11" s="21">
        <f>VLOOKUP(B:B,安路普产品报价!B:T,19,0)</f>
        <v>0.2</v>
      </c>
      <c r="K11" s="13">
        <f>VLOOKUP(B:B,安路普产品报价!B:U,20,0)</f>
        <v>0</v>
      </c>
      <c r="L11" s="22">
        <v>0.27198143229166299</v>
      </c>
      <c r="M11" s="180"/>
      <c r="N11" s="180"/>
      <c r="O11" s="180"/>
      <c r="P11" s="180"/>
      <c r="Q11" s="180"/>
      <c r="R11" s="23"/>
      <c r="S11" s="23"/>
      <c r="T11" s="24">
        <f>VLOOKUP(B:B,安路普产品报价!B:V,21,0)</f>
        <v>2.29678659895833</v>
      </c>
      <c r="U11" s="25">
        <v>3.31</v>
      </c>
      <c r="V11" s="26">
        <v>-1.01321340104167</v>
      </c>
      <c r="W11" s="23">
        <v>37820</v>
      </c>
      <c r="X11" s="23">
        <f t="shared" si="0"/>
        <v>-38319.730827396001</v>
      </c>
    </row>
    <row r="12" spans="1:24" s="1" customFormat="1">
      <c r="A12" s="10">
        <v>63</v>
      </c>
      <c r="B12" s="11" t="s">
        <v>177</v>
      </c>
      <c r="C12" s="16" t="s">
        <v>178</v>
      </c>
      <c r="D12" s="13" t="s">
        <v>59</v>
      </c>
      <c r="E12" s="14">
        <v>1.0569706875</v>
      </c>
      <c r="F12" s="15">
        <v>0.26877083333333301</v>
      </c>
      <c r="G12" s="14">
        <f>VLOOKUP(B:B,安路普产品报价!B:Q,16,0)</f>
        <v>0.234375</v>
      </c>
      <c r="H12" s="14">
        <f>VLOOKUP(B:B,安路普产品报价!B:R,17,0)</f>
        <v>0</v>
      </c>
      <c r="I12" s="21">
        <f>VLOOKUP(B:B,安路普产品报价!B:S,18,0)</f>
        <v>0.10657111111111101</v>
      </c>
      <c r="J12" s="21">
        <f>VLOOKUP(B:B,安路普产品报价!B:T,19,0)</f>
        <v>0.22222222222222199</v>
      </c>
      <c r="K12" s="13">
        <f>VLOOKUP(B:B,安路普产品报价!B:U,20,0)</f>
        <v>0.3</v>
      </c>
      <c r="L12" s="22">
        <v>0.24376820638020399</v>
      </c>
      <c r="M12" s="180"/>
      <c r="N12" s="180"/>
      <c r="O12" s="180"/>
      <c r="P12" s="180"/>
      <c r="Q12" s="180"/>
      <c r="R12" s="23"/>
      <c r="S12" s="23"/>
      <c r="T12" s="24">
        <f>VLOOKUP(B:B,安路普产品报价!B:V,21,0)</f>
        <v>2.4326780605468699</v>
      </c>
      <c r="U12" s="25">
        <v>3.44</v>
      </c>
      <c r="V12" s="26">
        <v>-1.0073219394531301</v>
      </c>
      <c r="W12" s="23">
        <v>3730</v>
      </c>
      <c r="X12" s="23">
        <f t="shared" si="0"/>
        <v>-3757.3108341601801</v>
      </c>
    </row>
    <row r="13" spans="1:24" s="1" customFormat="1">
      <c r="A13" s="10">
        <v>67</v>
      </c>
      <c r="B13" s="11" t="s">
        <v>184</v>
      </c>
      <c r="C13" s="12" t="s">
        <v>185</v>
      </c>
      <c r="D13" s="13" t="s">
        <v>59</v>
      </c>
      <c r="E13" s="14">
        <v>0.75885075000000002</v>
      </c>
      <c r="F13" s="15">
        <v>0.15734375</v>
      </c>
      <c r="G13" s="14">
        <f>VLOOKUP(B:B,安路普产品报价!B:Q,16,0)</f>
        <v>0.234375</v>
      </c>
      <c r="H13" s="14">
        <f>VLOOKUP(B:B,安路普产品报价!B:R,17,0)</f>
        <v>0</v>
      </c>
      <c r="I13" s="21">
        <f>VLOOKUP(B:B,安路普产品报价!B:S,18,0)</f>
        <v>0.10657111111111101</v>
      </c>
      <c r="J13" s="21">
        <f>VLOOKUP(B:B,安路普产品报价!B:T,19,0)</f>
        <v>0.22222222222222199</v>
      </c>
      <c r="K13" s="13">
        <f>VLOOKUP(B:B,安路普产品报价!B:U,20,0)</f>
        <v>0.3</v>
      </c>
      <c r="L13" s="22">
        <v>0.26846621666666698</v>
      </c>
      <c r="M13" s="180"/>
      <c r="N13" s="180"/>
      <c r="O13" s="180"/>
      <c r="P13" s="180"/>
      <c r="Q13" s="180"/>
      <c r="R13" s="23"/>
      <c r="S13" s="23"/>
      <c r="T13" s="24">
        <f>VLOOKUP(B:B,安路普产品报价!B:V,21,0)</f>
        <v>2.0478290499999998</v>
      </c>
      <c r="U13" s="25">
        <v>3.27</v>
      </c>
      <c r="V13" s="26">
        <v>-1.22217095</v>
      </c>
      <c r="W13" s="23">
        <v>4961</v>
      </c>
      <c r="X13" s="23">
        <f t="shared" si="0"/>
        <v>-6063.19008295</v>
      </c>
    </row>
    <row r="14" spans="1:24" s="1" customFormat="1">
      <c r="A14" s="10">
        <v>68</v>
      </c>
      <c r="B14" s="11" t="s">
        <v>186</v>
      </c>
      <c r="C14" s="16" t="s">
        <v>178</v>
      </c>
      <c r="D14" s="13" t="s">
        <v>59</v>
      </c>
      <c r="E14" s="14">
        <v>0.76442597999999995</v>
      </c>
      <c r="F14" s="15">
        <v>0.13731818181818201</v>
      </c>
      <c r="G14" s="14">
        <f>VLOOKUP(B:B,安路普产品报价!B:Q,16,0)</f>
        <v>0.204545454545455</v>
      </c>
      <c r="H14" s="14">
        <f>VLOOKUP(B:B,安路普产品报价!B:R,17,0)</f>
        <v>0</v>
      </c>
      <c r="I14" s="21">
        <f>VLOOKUP(B:B,安路普产品报价!B:S,18,0)</f>
        <v>0.10657111111111101</v>
      </c>
      <c r="J14" s="21">
        <f>VLOOKUP(B:B,安路普产品报价!B:T,19,0)</f>
        <v>0.22222222222222199</v>
      </c>
      <c r="K14" s="13">
        <f>VLOOKUP(B:B,安路普产品报价!B:U,20,0)</f>
        <v>0.3</v>
      </c>
      <c r="L14" s="22">
        <v>0.25813424381818001</v>
      </c>
      <c r="M14" s="180"/>
      <c r="N14" s="180"/>
      <c r="O14" s="180"/>
      <c r="P14" s="180"/>
      <c r="Q14" s="180"/>
      <c r="R14" s="23"/>
      <c r="S14" s="23"/>
      <c r="T14" s="24">
        <f>VLOOKUP(B:B,安路普产品报价!B:V,21,0)</f>
        <v>1.9932171935151499</v>
      </c>
      <c r="U14" s="25">
        <v>2.79</v>
      </c>
      <c r="V14" s="26">
        <v>-0.796782806484849</v>
      </c>
      <c r="W14" s="23">
        <v>2500</v>
      </c>
      <c r="X14" s="23">
        <f t="shared" si="0"/>
        <v>-1991.9570162121199</v>
      </c>
    </row>
    <row r="15" spans="1:24" s="1" customFormat="1">
      <c r="A15" s="10">
        <v>69</v>
      </c>
      <c r="B15" s="11" t="s">
        <v>187</v>
      </c>
      <c r="C15" s="16" t="s">
        <v>188</v>
      </c>
      <c r="D15" s="13" t="s">
        <v>86</v>
      </c>
      <c r="E15" s="14">
        <v>0.72771233684210501</v>
      </c>
      <c r="F15" s="15">
        <v>0.178322916666667</v>
      </c>
      <c r="G15" s="14">
        <f>VLOOKUP(B:B,安路普产品报价!B:Q,16,0)</f>
        <v>0.265625000000001</v>
      </c>
      <c r="H15" s="14">
        <f>VLOOKUP(B:B,安路普产品报价!B:R,17,0)</f>
        <v>0</v>
      </c>
      <c r="I15" s="21">
        <f>VLOOKUP(B:B,安路普产品报价!B:S,18,0)</f>
        <v>4.2062000000000002E-2</v>
      </c>
      <c r="J15" s="21">
        <f>VLOOKUP(B:B,安路普产品报价!B:T,19,0)</f>
        <v>0.1</v>
      </c>
      <c r="K15" s="13">
        <f>VLOOKUP(B:B,安路普产品报价!B:U,20,0)</f>
        <v>0</v>
      </c>
      <c r="L15" s="22">
        <v>0.19733225322252701</v>
      </c>
      <c r="M15" s="180"/>
      <c r="N15" s="180"/>
      <c r="O15" s="180"/>
      <c r="P15" s="180"/>
      <c r="Q15" s="180"/>
      <c r="R15" s="23"/>
      <c r="S15" s="23"/>
      <c r="T15" s="24">
        <f>VLOOKUP(B:B,安路普产品报价!B:V,21,0)</f>
        <v>1.5110545067312999</v>
      </c>
      <c r="U15" s="25">
        <v>2.48</v>
      </c>
      <c r="V15" s="26">
        <v>-0.96894549326869694</v>
      </c>
      <c r="W15" s="23">
        <v>6500</v>
      </c>
      <c r="X15" s="23">
        <f t="shared" si="0"/>
        <v>-6298.1457062465297</v>
      </c>
    </row>
    <row r="16" spans="1:24" s="1" customFormat="1">
      <c r="A16" s="10">
        <v>77</v>
      </c>
      <c r="B16" s="11" t="s">
        <v>203</v>
      </c>
      <c r="C16" s="16" t="s">
        <v>204</v>
      </c>
      <c r="D16" s="13" t="s">
        <v>86</v>
      </c>
      <c r="E16" s="14">
        <v>1.7904033684210501</v>
      </c>
      <c r="F16" s="15">
        <v>0.32046666666666701</v>
      </c>
      <c r="G16" s="14">
        <f>VLOOKUP(B:B,安路普产品报价!B:Q,16,0)</f>
        <v>0.25</v>
      </c>
      <c r="H16" s="14">
        <f>VLOOKUP(B:B,安路普产品报价!B:R,17,0)</f>
        <v>0</v>
      </c>
      <c r="I16" s="21">
        <f>VLOOKUP(B:B,安路普产品报价!B:S,18,0)</f>
        <v>5.6082666666666697E-2</v>
      </c>
      <c r="J16" s="21">
        <f>VLOOKUP(B:B,安路普产品报价!B:T,19,0)</f>
        <v>0.133333333333333</v>
      </c>
      <c r="K16" s="13">
        <f>VLOOKUP(B:B,安路普产品报价!B:U,20,0)</f>
        <v>0</v>
      </c>
      <c r="L16" s="22">
        <v>0.39762021643583301</v>
      </c>
      <c r="M16" s="180"/>
      <c r="N16" s="180"/>
      <c r="O16" s="180"/>
      <c r="P16" s="180"/>
      <c r="Q16" s="180"/>
      <c r="R16" s="23"/>
      <c r="S16" s="23"/>
      <c r="T16" s="24">
        <f>VLOOKUP(B:B,安路普产品报价!B:V,21,0)</f>
        <v>2.9479062515235501</v>
      </c>
      <c r="U16" s="25">
        <v>5</v>
      </c>
      <c r="V16" s="26">
        <v>-2.0520937484764499</v>
      </c>
      <c r="W16" s="23">
        <v>42052</v>
      </c>
      <c r="X16" s="23">
        <f t="shared" si="0"/>
        <v>-86294.646310931697</v>
      </c>
    </row>
    <row r="17" spans="1:24" s="1" customFormat="1">
      <c r="A17" s="10">
        <v>78</v>
      </c>
      <c r="B17" s="11" t="s">
        <v>205</v>
      </c>
      <c r="C17" s="16" t="s">
        <v>206</v>
      </c>
      <c r="D17" s="13" t="s">
        <v>86</v>
      </c>
      <c r="E17" s="14">
        <v>1.36807031578947</v>
      </c>
      <c r="F17" s="15">
        <v>0.32046666666666701</v>
      </c>
      <c r="G17" s="14">
        <f>VLOOKUP(B:B,安路普产品报价!B:Q,16,0)</f>
        <v>0.25</v>
      </c>
      <c r="H17" s="14">
        <f>VLOOKUP(B:B,安路普产品报价!B:R,17,0)</f>
        <v>0</v>
      </c>
      <c r="I17" s="21">
        <f>VLOOKUP(B:B,安路普产品报价!B:S,18,0)</f>
        <v>5.6082666666666697E-2</v>
      </c>
      <c r="J17" s="21">
        <f>VLOOKUP(B:B,安路普产品报价!B:T,19,0)</f>
        <v>0.133333333333333</v>
      </c>
      <c r="K17" s="13">
        <f>VLOOKUP(B:B,安路普产品报价!B:U,20,0)</f>
        <v>0</v>
      </c>
      <c r="L17" s="22">
        <v>0.32649043915051301</v>
      </c>
      <c r="M17" s="180"/>
      <c r="N17" s="180"/>
      <c r="O17" s="180"/>
      <c r="P17" s="180"/>
      <c r="Q17" s="180"/>
      <c r="R17" s="23"/>
      <c r="S17" s="23"/>
      <c r="T17" s="24">
        <f>VLOOKUP(B:B,安路普产品报价!B:V,21,0)</f>
        <v>2.45444342160665</v>
      </c>
      <c r="U17" s="25">
        <v>4.46</v>
      </c>
      <c r="V17" s="26">
        <v>-2.00555657839335</v>
      </c>
      <c r="W17" s="23">
        <v>43930</v>
      </c>
      <c r="X17" s="23">
        <f t="shared" si="0"/>
        <v>-88104.100488819895</v>
      </c>
    </row>
    <row r="18" spans="1:24" s="1" customFormat="1">
      <c r="A18" s="10">
        <v>79</v>
      </c>
      <c r="B18" s="11" t="s">
        <v>207</v>
      </c>
      <c r="C18" s="16" t="s">
        <v>134</v>
      </c>
      <c r="D18" s="13" t="s">
        <v>86</v>
      </c>
      <c r="E18" s="14">
        <v>3.6732146526315801</v>
      </c>
      <c r="F18" s="15">
        <v>0.489408333333334</v>
      </c>
      <c r="G18" s="14">
        <f>VLOOKUP(B:B,安路普产品报价!B:Q,16,0)</f>
        <v>0.34375</v>
      </c>
      <c r="H18" s="14">
        <f>VLOOKUP(B:B,安路普产品报价!B:R,17,0)</f>
        <v>0</v>
      </c>
      <c r="I18" s="21">
        <f>VLOOKUP(B:B,安路普产品报价!B:S,18,0)</f>
        <v>5.6082666666666697E-2</v>
      </c>
      <c r="J18" s="21">
        <f>VLOOKUP(B:B,安路普产品报价!B:T,19,0)</f>
        <v>0.133333333333333</v>
      </c>
      <c r="K18" s="13">
        <f>VLOOKUP(B:B,安路普产品报价!B:U,20,0)</f>
        <v>0</v>
      </c>
      <c r="L18" s="22">
        <v>0.75896808184672604</v>
      </c>
      <c r="M18" s="180"/>
      <c r="N18" s="180"/>
      <c r="O18" s="180"/>
      <c r="P18" s="180"/>
      <c r="Q18" s="180"/>
      <c r="R18" s="23"/>
      <c r="S18" s="23"/>
      <c r="T18" s="24">
        <f>VLOOKUP(B:B,安路普产品报价!B:V,21,0)</f>
        <v>5.4547570678116397</v>
      </c>
      <c r="U18" s="25">
        <v>8.91</v>
      </c>
      <c r="V18" s="26">
        <v>-3.45524293218836</v>
      </c>
      <c r="W18" s="23">
        <v>3841</v>
      </c>
      <c r="X18" s="23">
        <f t="shared" si="0"/>
        <v>-13271.588102535499</v>
      </c>
    </row>
    <row r="19" spans="1:24" s="1" customFormat="1">
      <c r="A19" s="10">
        <v>81</v>
      </c>
      <c r="B19" s="11" t="s">
        <v>211</v>
      </c>
      <c r="C19" s="16" t="s">
        <v>212</v>
      </c>
      <c r="D19" s="13" t="s">
        <v>86</v>
      </c>
      <c r="E19" s="14">
        <v>1.98099469473684</v>
      </c>
      <c r="F19" s="15">
        <v>0.219766666666667</v>
      </c>
      <c r="G19" s="14">
        <f>VLOOKUP(B:B,安路普产品报价!B:Q,16,0)</f>
        <v>0.25</v>
      </c>
      <c r="H19" s="14">
        <f>VLOOKUP(B:B,安路普产品报价!B:R,17,0)</f>
        <v>1.05</v>
      </c>
      <c r="I19" s="21">
        <f>VLOOKUP(B:B,安路普产品报价!B:S,18,0)</f>
        <v>5.6082666666666697E-2</v>
      </c>
      <c r="J19" s="21">
        <f>VLOOKUP(B:B,安路普产品报价!B:T,19,0)</f>
        <v>0.133333333333333</v>
      </c>
      <c r="K19" s="13">
        <f>VLOOKUP(B:B,安路普产品报价!B:U,20,0)</f>
        <v>0</v>
      </c>
      <c r="L19" s="22">
        <v>0.444259808236383</v>
      </c>
      <c r="M19" s="180"/>
      <c r="N19" s="180"/>
      <c r="O19" s="180"/>
      <c r="P19" s="180"/>
      <c r="Q19" s="180"/>
      <c r="R19" s="23"/>
      <c r="S19" s="23"/>
      <c r="T19" s="24">
        <f>VLOOKUP(B:B,安路普产品报价!B:V,21,0)</f>
        <v>4.1344371696398898</v>
      </c>
      <c r="U19" s="25">
        <v>5.45</v>
      </c>
      <c r="V19" s="26">
        <v>-1.3155628303601099</v>
      </c>
      <c r="W19" s="23">
        <v>99252</v>
      </c>
      <c r="X19" s="23">
        <f t="shared" si="0"/>
        <v>-130572.242038902</v>
      </c>
    </row>
    <row r="20" spans="1:24" s="1" customFormat="1">
      <c r="A20" s="10">
        <v>83</v>
      </c>
      <c r="B20" s="11" t="s">
        <v>216</v>
      </c>
      <c r="C20" s="16" t="s">
        <v>217</v>
      </c>
      <c r="D20" s="13" t="s">
        <v>43</v>
      </c>
      <c r="E20" s="14">
        <v>0.19647448333333301</v>
      </c>
      <c r="F20" s="15">
        <v>0.123938461538462</v>
      </c>
      <c r="G20" s="14">
        <f>VLOOKUP(B:B,安路普产品报价!B:Q,16,0)</f>
        <v>0.34615384615384598</v>
      </c>
      <c r="H20" s="14">
        <f>VLOOKUP(B:B,安路普产品报价!B:R,17,0)</f>
        <v>0</v>
      </c>
      <c r="I20" s="21">
        <f>VLOOKUP(B:B,安路普产品报价!B:S,18,0)</f>
        <v>1.6824800000000001E-2</v>
      </c>
      <c r="J20" s="21">
        <f>VLOOKUP(B:B,安路普产品报价!B:T,19,0)</f>
        <v>0.04</v>
      </c>
      <c r="K20" s="13">
        <f>VLOOKUP(B:B,安路普产品报价!B:U,20,0)</f>
        <v>0</v>
      </c>
      <c r="L20" s="22">
        <v>0.15553225123931599</v>
      </c>
      <c r="M20" s="180"/>
      <c r="N20" s="180"/>
      <c r="O20" s="180"/>
      <c r="P20" s="180"/>
      <c r="Q20" s="180"/>
      <c r="R20" s="23"/>
      <c r="S20" s="23"/>
      <c r="T20" s="24">
        <f>VLOOKUP(B:B,安路普产品报价!B:V,21,0)</f>
        <v>0.87892384226495701</v>
      </c>
      <c r="U20" s="25">
        <v>2.06</v>
      </c>
      <c r="V20" s="26">
        <v>-1.1810761577350399</v>
      </c>
      <c r="W20" s="23">
        <v>60497</v>
      </c>
      <c r="X20" s="23">
        <f t="shared" si="0"/>
        <v>-71451.564314496703</v>
      </c>
    </row>
    <row r="21" spans="1:24" s="1" customFormat="1">
      <c r="A21" s="10">
        <v>97</v>
      </c>
      <c r="B21" s="11" t="s">
        <v>244</v>
      </c>
      <c r="C21" s="16" t="s">
        <v>245</v>
      </c>
      <c r="D21" s="13" t="s">
        <v>43</v>
      </c>
      <c r="E21" s="14">
        <v>0.222877001052632</v>
      </c>
      <c r="F21" s="15">
        <v>4.2987499999999998E-2</v>
      </c>
      <c r="G21" s="14">
        <f>VLOOKUP(B:B,安路普产品报价!B:Q,16,0)</f>
        <v>9.375E-2</v>
      </c>
      <c r="H21" s="14">
        <f>VLOOKUP(B:B,安路普产品报价!B:R,17,0)</f>
        <v>0.45</v>
      </c>
      <c r="I21" s="21">
        <f>VLOOKUP(B:B,安路普产品报价!B:S,18,0)</f>
        <v>1.43116666666667E-2</v>
      </c>
      <c r="J21" s="21">
        <f>VLOOKUP(B:B,安路普产品报价!B:T,19,0)</f>
        <v>3.3333333333333298E-2</v>
      </c>
      <c r="K21" s="13">
        <f>VLOOKUP(B:B,安路普产品报价!B:U,20,0)</f>
        <v>0</v>
      </c>
      <c r="L21" s="22">
        <v>7.4066652808864E-2</v>
      </c>
      <c r="M21" s="180"/>
      <c r="N21" s="180"/>
      <c r="O21" s="180"/>
      <c r="P21" s="180"/>
      <c r="Q21" s="180"/>
      <c r="R21" s="23"/>
      <c r="S21" s="23"/>
      <c r="T21" s="24">
        <f>VLOOKUP(B:B,安路普产品报价!B:V,21,0)</f>
        <v>0.93132615386149598</v>
      </c>
      <c r="U21" s="25">
        <v>1.81</v>
      </c>
      <c r="V21" s="26">
        <v>-0.87867384613850397</v>
      </c>
      <c r="W21" s="23">
        <v>44468</v>
      </c>
      <c r="X21" s="23">
        <f t="shared" si="0"/>
        <v>-39072.868590086997</v>
      </c>
    </row>
    <row r="22" spans="1:24" s="1" customFormat="1" ht="27">
      <c r="A22" s="10">
        <v>110</v>
      </c>
      <c r="B22" s="11" t="s">
        <v>273</v>
      </c>
      <c r="C22" s="12" t="s">
        <v>274</v>
      </c>
      <c r="D22" s="13" t="s">
        <v>59</v>
      </c>
      <c r="E22" s="14">
        <v>0.47699190000000002</v>
      </c>
      <c r="F22" s="15">
        <v>0.15734375</v>
      </c>
      <c r="G22" s="14">
        <f>VLOOKUP(B:B,安路普产品报价!B:Q,16,0)</f>
        <v>0.234375</v>
      </c>
      <c r="H22" s="14">
        <f>VLOOKUP(B:B,安路普产品报价!B:R,17,0)</f>
        <v>0</v>
      </c>
      <c r="I22" s="21">
        <f>VLOOKUP(B:B,安路普产品报价!B:S,18,0)</f>
        <v>0.10657111111111101</v>
      </c>
      <c r="J22" s="21">
        <f>VLOOKUP(B:B,安路普产品报价!B:T,19,0)</f>
        <v>0.22222222222222199</v>
      </c>
      <c r="K22" s="13">
        <f>VLOOKUP(B:B,安路普产品报价!B:U,20,0)</f>
        <v>0.3</v>
      </c>
      <c r="L22" s="22">
        <v>0.20269915166666699</v>
      </c>
      <c r="M22" s="180"/>
      <c r="N22" s="180"/>
      <c r="O22" s="180"/>
      <c r="P22" s="180"/>
      <c r="Q22" s="180"/>
      <c r="R22" s="23"/>
      <c r="S22" s="23"/>
      <c r="T22" s="24">
        <f>VLOOKUP(B:B,安路普产品报价!B:V,21,0)</f>
        <v>1.700203135</v>
      </c>
      <c r="U22" s="25">
        <v>3.29</v>
      </c>
      <c r="V22" s="26">
        <v>-1.5897968650000001</v>
      </c>
      <c r="W22" s="23">
        <v>1982</v>
      </c>
      <c r="X22" s="23">
        <f t="shared" si="0"/>
        <v>-3150.97738643</v>
      </c>
    </row>
    <row r="23" spans="1:24" s="1" customFormat="1" ht="27">
      <c r="A23" s="10">
        <v>111</v>
      </c>
      <c r="B23" s="11" t="s">
        <v>275</v>
      </c>
      <c r="C23" s="12" t="s">
        <v>276</v>
      </c>
      <c r="D23" s="13" t="s">
        <v>59</v>
      </c>
      <c r="E23" s="14">
        <v>0.94002507599999996</v>
      </c>
      <c r="F23" s="15">
        <v>0.12587499999999999</v>
      </c>
      <c r="G23" s="14">
        <f>VLOOKUP(B:B,安路普产品报价!B:Q,16,0)</f>
        <v>0.1875</v>
      </c>
      <c r="H23" s="14">
        <f>VLOOKUP(B:B,安路普产品报价!B:R,17,0)</f>
        <v>0</v>
      </c>
      <c r="I23" s="21">
        <f>VLOOKUP(B:B,安路普产品报价!B:S,18,0)</f>
        <v>0.10657111111111101</v>
      </c>
      <c r="J23" s="21">
        <f>VLOOKUP(B:B,安路普产品报价!B:T,19,0)</f>
        <v>0.22222222222222199</v>
      </c>
      <c r="K23" s="13">
        <f>VLOOKUP(B:B,安路普产品报价!B:U,20,0)</f>
        <v>0.3</v>
      </c>
      <c r="L23" s="22">
        <v>0.29246001773333702</v>
      </c>
      <c r="M23" s="181"/>
      <c r="N23" s="181"/>
      <c r="O23" s="181"/>
      <c r="P23" s="181"/>
      <c r="Q23" s="181"/>
      <c r="R23" s="23"/>
      <c r="S23" s="23"/>
      <c r="T23" s="24">
        <f>VLOOKUP(B:B,安路普产品报价!B:V,21,0)</f>
        <v>2.1746534270666702</v>
      </c>
      <c r="U23" s="25">
        <v>3.27</v>
      </c>
      <c r="V23" s="26">
        <v>-1.09534657293333</v>
      </c>
      <c r="W23" s="23">
        <v>14433</v>
      </c>
      <c r="X23" s="23">
        <f t="shared" si="0"/>
        <v>-15809.137087146801</v>
      </c>
    </row>
    <row r="24" spans="1:24">
      <c r="W24" s="5">
        <f>SUM(W5:W23)</f>
        <v>448452</v>
      </c>
      <c r="X24" s="5">
        <f>SUM(X5:X23)</f>
        <v>-639815.60311183205</v>
      </c>
    </row>
  </sheetData>
  <autoFilter ref="A4:W24"/>
  <mergeCells count="23">
    <mergeCell ref="W3:W4"/>
    <mergeCell ref="X3:X4"/>
    <mergeCell ref="M5:M23"/>
    <mergeCell ref="N5:N23"/>
    <mergeCell ref="O5:O23"/>
    <mergeCell ref="P5:P23"/>
    <mergeCell ref="Q5:Q23"/>
    <mergeCell ref="A2:V2"/>
    <mergeCell ref="L3:S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T3:T4"/>
    <mergeCell ref="U3:U4"/>
    <mergeCell ref="V3:V4"/>
  </mergeCells>
  <phoneticPr fontId="20" type="noConversion"/>
  <conditionalFormatting sqref="B13">
    <cfRule type="duplicateValues" dxfId="8" priority="10"/>
  </conditionalFormatting>
  <conditionalFormatting sqref="B18">
    <cfRule type="duplicateValues" dxfId="7" priority="20"/>
  </conditionalFormatting>
  <conditionalFormatting sqref="B22">
    <cfRule type="duplicateValues" dxfId="6" priority="14"/>
  </conditionalFormatting>
  <conditionalFormatting sqref="B23">
    <cfRule type="duplicateValues" dxfId="5" priority="13"/>
  </conditionalFormatting>
  <conditionalFormatting sqref="B9:B11">
    <cfRule type="duplicateValues" dxfId="4" priority="24"/>
  </conditionalFormatting>
  <conditionalFormatting sqref="B5:B6 B12 B14">
    <cfRule type="duplicateValues" dxfId="3" priority="22"/>
  </conditionalFormatting>
  <conditionalFormatting sqref="B5:B12 B14:B17 B19:B21">
    <cfRule type="duplicateValues" dxfId="2" priority="21"/>
  </conditionalFormatting>
  <conditionalFormatting sqref="B5:B12 B14:B21">
    <cfRule type="duplicateValues" dxfId="1" priority="19"/>
  </conditionalFormatting>
  <conditionalFormatting sqref="B7:B8 B15:B17 B19:B21">
    <cfRule type="duplicateValues" dxfId="0" priority="23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安路普产品报价</vt:lpstr>
      <vt:lpstr>安路普产品报价 （不考虑合格率）</vt:lpstr>
      <vt:lpstr>重点产品核算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psj</cp:lastModifiedBy>
  <dcterms:created xsi:type="dcterms:W3CDTF">2023-05-12T11:15:00Z</dcterms:created>
  <dcterms:modified xsi:type="dcterms:W3CDTF">2025-03-13T08:41:55Z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2D8F75BA0E7642AE8259EC4D331325F6_13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true</vt:bool>
  </property>
</Properties>
</file>