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出口升级130G转盘、星盘、明芳滑轨和槽、轮配合项目\"/>
    </mc:Choice>
  </mc:AlternateContent>
  <bookViews>
    <workbookView xWindow="0" yWindow="0" windowWidth="20745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2028" sheetId="59" r:id="rId7"/>
    <sheet name="2029" sheetId="60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'2028'!$A$1:$I$48</definedName>
    <definedName name="_xlnm.Print_Area" localSheetId="7">'2029'!$A$1:$I$48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9" l="1"/>
  <c r="C8" i="60"/>
  <c r="F28" i="56"/>
  <c r="G28" i="56"/>
  <c r="F31" i="56"/>
  <c r="G31" i="56"/>
  <c r="F35" i="56"/>
  <c r="G35" i="56"/>
  <c r="F36" i="56"/>
  <c r="G36" i="56"/>
  <c r="F37" i="56"/>
  <c r="G37" i="56"/>
  <c r="F43" i="56"/>
  <c r="G43" i="56"/>
  <c r="F44" i="56"/>
  <c r="G44" i="56"/>
  <c r="F46" i="56"/>
  <c r="G46" i="56"/>
  <c r="G4" i="56"/>
  <c r="G5" i="56"/>
  <c r="G8" i="56"/>
  <c r="G9" i="56"/>
  <c r="G10" i="56"/>
  <c r="G11" i="56"/>
  <c r="G12" i="56"/>
  <c r="G17" i="56"/>
  <c r="G18" i="56"/>
  <c r="G20" i="56"/>
  <c r="F4" i="56"/>
  <c r="F5" i="56"/>
  <c r="F8" i="56"/>
  <c r="F9" i="56"/>
  <c r="F10" i="56"/>
  <c r="F11" i="56"/>
  <c r="F12" i="56"/>
  <c r="F17" i="56"/>
  <c r="F18" i="56"/>
  <c r="F20" i="56"/>
  <c r="C47" i="60"/>
  <c r="D47" i="60"/>
  <c r="E47" i="60"/>
  <c r="F47" i="60"/>
  <c r="G47" i="60"/>
  <c r="H47" i="60"/>
  <c r="C47" i="59"/>
  <c r="D47" i="59"/>
  <c r="E47" i="59"/>
  <c r="F47" i="59"/>
  <c r="G47" i="59"/>
  <c r="H47" i="59"/>
  <c r="C47" i="58"/>
  <c r="D47" i="58"/>
  <c r="E47" i="58"/>
  <c r="F47" i="58"/>
  <c r="G47" i="58"/>
  <c r="H47" i="58"/>
  <c r="C47" i="57"/>
  <c r="D47" i="57"/>
  <c r="E47" i="57"/>
  <c r="F47" i="57"/>
  <c r="G47" i="57"/>
  <c r="H47" i="57"/>
  <c r="C43" i="60"/>
  <c r="D43" i="60"/>
  <c r="E43" i="60"/>
  <c r="F43" i="60"/>
  <c r="G43" i="60"/>
  <c r="H43" i="60"/>
  <c r="C44" i="60"/>
  <c r="D44" i="60"/>
  <c r="E44" i="60"/>
  <c r="F44" i="60"/>
  <c r="G44" i="60"/>
  <c r="H44" i="60"/>
  <c r="C45" i="60"/>
  <c r="D45" i="60"/>
  <c r="E45" i="60"/>
  <c r="F45" i="60"/>
  <c r="G45" i="60"/>
  <c r="H45" i="60"/>
  <c r="C43" i="59"/>
  <c r="D43" i="59"/>
  <c r="E43" i="59"/>
  <c r="F43" i="59"/>
  <c r="G43" i="59"/>
  <c r="H43" i="59"/>
  <c r="C44" i="59"/>
  <c r="D44" i="59"/>
  <c r="E44" i="59"/>
  <c r="F44" i="59"/>
  <c r="G44" i="59"/>
  <c r="H44" i="59"/>
  <c r="C45" i="59"/>
  <c r="D45" i="59"/>
  <c r="E45" i="59"/>
  <c r="F45" i="59"/>
  <c r="G45" i="59"/>
  <c r="H45" i="59"/>
  <c r="C43" i="58"/>
  <c r="D43" i="58"/>
  <c r="E43" i="58"/>
  <c r="F43" i="58"/>
  <c r="G43" i="58"/>
  <c r="H43" i="58"/>
  <c r="C44" i="58"/>
  <c r="D44" i="58"/>
  <c r="E44" i="58"/>
  <c r="F44" i="58"/>
  <c r="G44" i="58"/>
  <c r="H44" i="58"/>
  <c r="C45" i="58"/>
  <c r="D45" i="58"/>
  <c r="E45" i="58"/>
  <c r="F45" i="58"/>
  <c r="G45" i="58"/>
  <c r="H45" i="58"/>
  <c r="C43" i="57"/>
  <c r="D43" i="57"/>
  <c r="E43" i="57"/>
  <c r="F43" i="57"/>
  <c r="G43" i="57"/>
  <c r="H43" i="57"/>
  <c r="C44" i="57"/>
  <c r="D44" i="57"/>
  <c r="E44" i="57"/>
  <c r="F44" i="57"/>
  <c r="G44" i="57"/>
  <c r="H44" i="57"/>
  <c r="C45" i="57"/>
  <c r="D45" i="57"/>
  <c r="E45" i="57"/>
  <c r="F45" i="57"/>
  <c r="G45" i="57"/>
  <c r="H45" i="57"/>
  <c r="C36" i="60"/>
  <c r="D36" i="60"/>
  <c r="E36" i="60"/>
  <c r="F36" i="60"/>
  <c r="G36" i="60"/>
  <c r="H36" i="60"/>
  <c r="C37" i="60"/>
  <c r="D37" i="60"/>
  <c r="E37" i="60"/>
  <c r="F37" i="60"/>
  <c r="G37" i="60"/>
  <c r="H37" i="60"/>
  <c r="C38" i="60"/>
  <c r="D38" i="60"/>
  <c r="E38" i="60"/>
  <c r="F38" i="60"/>
  <c r="G38" i="60"/>
  <c r="H38" i="60"/>
  <c r="C36" i="59"/>
  <c r="D36" i="59"/>
  <c r="E36" i="59"/>
  <c r="F36" i="59"/>
  <c r="G36" i="59"/>
  <c r="H36" i="59"/>
  <c r="C37" i="59"/>
  <c r="D37" i="59"/>
  <c r="E37" i="59"/>
  <c r="F37" i="59"/>
  <c r="G37" i="59"/>
  <c r="H37" i="59"/>
  <c r="C38" i="59"/>
  <c r="D38" i="59"/>
  <c r="E38" i="59"/>
  <c r="F38" i="59"/>
  <c r="G38" i="59"/>
  <c r="H38" i="59"/>
  <c r="C36" i="58"/>
  <c r="D36" i="58"/>
  <c r="E36" i="58"/>
  <c r="F36" i="58"/>
  <c r="G36" i="58"/>
  <c r="H36" i="58"/>
  <c r="C37" i="58"/>
  <c r="D37" i="58"/>
  <c r="E37" i="58"/>
  <c r="F37" i="58"/>
  <c r="G37" i="58"/>
  <c r="H37" i="58"/>
  <c r="C38" i="58"/>
  <c r="D38" i="58"/>
  <c r="E38" i="58"/>
  <c r="F38" i="58"/>
  <c r="G38" i="58"/>
  <c r="H38" i="58"/>
  <c r="C36" i="57"/>
  <c r="D36" i="57"/>
  <c r="E36" i="57"/>
  <c r="F36" i="57"/>
  <c r="G36" i="57"/>
  <c r="H36" i="57"/>
  <c r="C37" i="57"/>
  <c r="D37" i="57"/>
  <c r="E37" i="57"/>
  <c r="F37" i="57"/>
  <c r="G37" i="57"/>
  <c r="H37" i="57"/>
  <c r="C38" i="57"/>
  <c r="D38" i="57"/>
  <c r="E38" i="57"/>
  <c r="F38" i="57"/>
  <c r="G38" i="57"/>
  <c r="H38" i="57"/>
  <c r="E10" i="50"/>
  <c r="E9" i="50"/>
  <c r="E6" i="50"/>
  <c r="E4" i="50"/>
  <c r="C33" i="60"/>
  <c r="C33" i="59"/>
  <c r="C32" i="58" l="1"/>
  <c r="C32" i="57"/>
  <c r="C32" i="43"/>
  <c r="C6" i="60" l="1"/>
  <c r="C6" i="59"/>
  <c r="D4" i="53"/>
  <c r="F11" i="60" l="1"/>
  <c r="F14" i="60" s="1"/>
  <c r="H33" i="60"/>
  <c r="G33" i="60"/>
  <c r="F33" i="60"/>
  <c r="E33" i="60"/>
  <c r="D33" i="60"/>
  <c r="H31" i="60"/>
  <c r="H32" i="60" s="1"/>
  <c r="H34" i="60" s="1"/>
  <c r="H40" i="60" s="1"/>
  <c r="G31" i="60"/>
  <c r="G32" i="60" s="1"/>
  <c r="G34" i="60" s="1"/>
  <c r="G40" i="60" s="1"/>
  <c r="F31" i="60"/>
  <c r="F32" i="60" s="1"/>
  <c r="F34" i="60" s="1"/>
  <c r="F40" i="60" s="1"/>
  <c r="E31" i="60"/>
  <c r="E32" i="60" s="1"/>
  <c r="E34" i="60" s="1"/>
  <c r="E40" i="60" s="1"/>
  <c r="D31" i="60"/>
  <c r="D32" i="60" s="1"/>
  <c r="D34" i="60" s="1"/>
  <c r="D40" i="60" s="1"/>
  <c r="C31" i="60"/>
  <c r="F22" i="60"/>
  <c r="H20" i="60"/>
  <c r="E20" i="60"/>
  <c r="F19" i="60"/>
  <c r="F13" i="60"/>
  <c r="H11" i="60"/>
  <c r="E11" i="60"/>
  <c r="F10" i="60"/>
  <c r="F7" i="60"/>
  <c r="H6" i="60"/>
  <c r="H22" i="60" s="1"/>
  <c r="G6" i="60"/>
  <c r="G20" i="60" s="1"/>
  <c r="F6" i="60"/>
  <c r="F12" i="60" s="1"/>
  <c r="E6" i="60"/>
  <c r="E22" i="60" s="1"/>
  <c r="D6" i="60"/>
  <c r="D20" i="60" s="1"/>
  <c r="H5" i="60"/>
  <c r="G5" i="60"/>
  <c r="F5" i="60"/>
  <c r="E5" i="60"/>
  <c r="D5" i="60"/>
  <c r="C5" i="60"/>
  <c r="H4" i="60"/>
  <c r="G4" i="60"/>
  <c r="F4" i="60"/>
  <c r="E4" i="60"/>
  <c r="D4" i="60"/>
  <c r="C4" i="60"/>
  <c r="H3" i="60"/>
  <c r="G3" i="60"/>
  <c r="F3" i="60"/>
  <c r="E3" i="60"/>
  <c r="D3" i="60"/>
  <c r="C3" i="60"/>
  <c r="C2" i="60"/>
  <c r="H20" i="59"/>
  <c r="E20" i="59"/>
  <c r="H19" i="59"/>
  <c r="H33" i="59"/>
  <c r="G33" i="59"/>
  <c r="F33" i="59"/>
  <c r="E33" i="59"/>
  <c r="D33" i="59"/>
  <c r="H31" i="59"/>
  <c r="H32" i="59" s="1"/>
  <c r="H34" i="59" s="1"/>
  <c r="H40" i="59" s="1"/>
  <c r="G31" i="59"/>
  <c r="G32" i="59" s="1"/>
  <c r="G34" i="59" s="1"/>
  <c r="G40" i="59" s="1"/>
  <c r="F31" i="59"/>
  <c r="F32" i="59" s="1"/>
  <c r="F34" i="59" s="1"/>
  <c r="F40" i="59" s="1"/>
  <c r="E31" i="59"/>
  <c r="E32" i="59" s="1"/>
  <c r="E34" i="59" s="1"/>
  <c r="E40" i="59" s="1"/>
  <c r="D31" i="59"/>
  <c r="D32" i="59" s="1"/>
  <c r="D34" i="59" s="1"/>
  <c r="D40" i="59" s="1"/>
  <c r="C31" i="59"/>
  <c r="H22" i="59"/>
  <c r="E22" i="59"/>
  <c r="E19" i="59"/>
  <c r="H14" i="59"/>
  <c r="H13" i="59"/>
  <c r="F13" i="59"/>
  <c r="E13" i="59"/>
  <c r="H11" i="59"/>
  <c r="E11" i="59"/>
  <c r="H10" i="59"/>
  <c r="E10" i="59"/>
  <c r="E8" i="59"/>
  <c r="H7" i="59"/>
  <c r="E7" i="59"/>
  <c r="H6" i="59"/>
  <c r="H12" i="59" s="1"/>
  <c r="G6" i="59"/>
  <c r="F6" i="59"/>
  <c r="F19" i="59" s="1"/>
  <c r="E6" i="59"/>
  <c r="E12" i="59" s="1"/>
  <c r="D6" i="59"/>
  <c r="H5" i="59"/>
  <c r="G5" i="59"/>
  <c r="F5" i="59"/>
  <c r="E5" i="59"/>
  <c r="D5" i="59"/>
  <c r="C5" i="59"/>
  <c r="H4" i="59"/>
  <c r="G4" i="59"/>
  <c r="F4" i="59"/>
  <c r="E4" i="59"/>
  <c r="D4" i="59"/>
  <c r="C4" i="59"/>
  <c r="H3" i="59"/>
  <c r="G3" i="59"/>
  <c r="F3" i="59"/>
  <c r="E3" i="59"/>
  <c r="D3" i="59"/>
  <c r="C3" i="59"/>
  <c r="C2" i="59"/>
  <c r="K10" i="55"/>
  <c r="E14" i="59" l="1"/>
  <c r="C7" i="59"/>
  <c r="C7" i="60"/>
  <c r="C9" i="60" s="1"/>
  <c r="C32" i="60" s="1"/>
  <c r="D12" i="60"/>
  <c r="G12" i="60"/>
  <c r="D7" i="60"/>
  <c r="G7" i="60"/>
  <c r="F8" i="60"/>
  <c r="F9" i="60" s="1"/>
  <c r="F15" i="60" s="1"/>
  <c r="D10" i="60"/>
  <c r="G10" i="60"/>
  <c r="E12" i="60"/>
  <c r="H12" i="60"/>
  <c r="H14" i="60" s="1"/>
  <c r="D13" i="60"/>
  <c r="G13" i="60"/>
  <c r="D19" i="60"/>
  <c r="G19" i="60"/>
  <c r="F20" i="60"/>
  <c r="D22" i="60"/>
  <c r="G22" i="60"/>
  <c r="I6" i="60"/>
  <c r="E7" i="60"/>
  <c r="H7" i="60"/>
  <c r="E10" i="60"/>
  <c r="H10" i="60"/>
  <c r="D11" i="60"/>
  <c r="D14" i="60" s="1"/>
  <c r="G11" i="60"/>
  <c r="E13" i="60"/>
  <c r="H13" i="60"/>
  <c r="E19" i="60"/>
  <c r="H19" i="60"/>
  <c r="D22" i="59"/>
  <c r="D19" i="59"/>
  <c r="D13" i="59"/>
  <c r="D10" i="59"/>
  <c r="D7" i="59"/>
  <c r="I7" i="59" s="1"/>
  <c r="G22" i="59"/>
  <c r="G19" i="59"/>
  <c r="G13" i="59"/>
  <c r="G10" i="59"/>
  <c r="G7" i="59"/>
  <c r="C9" i="59"/>
  <c r="C32" i="59" s="1"/>
  <c r="G11" i="59"/>
  <c r="G14" i="59" s="1"/>
  <c r="D12" i="59"/>
  <c r="G20" i="59"/>
  <c r="E9" i="59"/>
  <c r="E15" i="59" s="1"/>
  <c r="F10" i="59"/>
  <c r="D11" i="59"/>
  <c r="F12" i="59"/>
  <c r="D20" i="59"/>
  <c r="F20" i="59"/>
  <c r="F11" i="59"/>
  <c r="F22" i="59"/>
  <c r="I6" i="59"/>
  <c r="F7" i="59"/>
  <c r="H8" i="59"/>
  <c r="H9" i="59" s="1"/>
  <c r="H15" i="59" s="1"/>
  <c r="G12" i="59"/>
  <c r="B28" i="56"/>
  <c r="C28" i="56"/>
  <c r="D28" i="56"/>
  <c r="E28" i="56"/>
  <c r="H28" i="56"/>
  <c r="E14" i="60" l="1"/>
  <c r="D14" i="59"/>
  <c r="F16" i="60"/>
  <c r="H9" i="60"/>
  <c r="H15" i="60" s="1"/>
  <c r="H8" i="60"/>
  <c r="I7" i="60"/>
  <c r="G8" i="60"/>
  <c r="G9" i="60"/>
  <c r="E8" i="60"/>
  <c r="E9" i="60" s="1"/>
  <c r="E15" i="60" s="1"/>
  <c r="D8" i="60"/>
  <c r="D9" i="60"/>
  <c r="D15" i="60" s="1"/>
  <c r="G14" i="60"/>
  <c r="I8" i="60"/>
  <c r="G6" i="56" s="1"/>
  <c r="H16" i="59"/>
  <c r="G8" i="59"/>
  <c r="G9" i="59"/>
  <c r="G15" i="59" s="1"/>
  <c r="D8" i="59"/>
  <c r="I8" i="59" s="1"/>
  <c r="F6" i="56" s="1"/>
  <c r="F8" i="59"/>
  <c r="F9" i="59"/>
  <c r="F15" i="59" s="1"/>
  <c r="F14" i="59"/>
  <c r="E16" i="59"/>
  <c r="C2" i="58"/>
  <c r="C2" i="57"/>
  <c r="C3" i="58"/>
  <c r="D3" i="58"/>
  <c r="E3" i="58"/>
  <c r="F3" i="58"/>
  <c r="G3" i="58"/>
  <c r="H3" i="58"/>
  <c r="C4" i="58"/>
  <c r="D4" i="58"/>
  <c r="E4" i="58"/>
  <c r="F4" i="58"/>
  <c r="G4" i="58"/>
  <c r="H4" i="58"/>
  <c r="C5" i="58"/>
  <c r="D5" i="58"/>
  <c r="E5" i="58"/>
  <c r="F5" i="58"/>
  <c r="G5" i="58"/>
  <c r="H5" i="58"/>
  <c r="C3" i="57"/>
  <c r="D3" i="57"/>
  <c r="E3" i="57"/>
  <c r="F3" i="57"/>
  <c r="G3" i="57"/>
  <c r="H3" i="57"/>
  <c r="C4" i="57"/>
  <c r="D4" i="57"/>
  <c r="E4" i="57"/>
  <c r="F4" i="57"/>
  <c r="G4" i="57"/>
  <c r="H4" i="57"/>
  <c r="C5" i="57"/>
  <c r="D5" i="57"/>
  <c r="E5" i="57"/>
  <c r="F5" i="57"/>
  <c r="G5" i="57"/>
  <c r="H5" i="57"/>
  <c r="C3" i="43"/>
  <c r="D3" i="43"/>
  <c r="E3" i="43"/>
  <c r="F3" i="43"/>
  <c r="G3" i="43"/>
  <c r="H3" i="43"/>
  <c r="C4" i="43"/>
  <c r="D4" i="43"/>
  <c r="E4" i="43"/>
  <c r="F4" i="43"/>
  <c r="G4" i="43"/>
  <c r="H4" i="43"/>
  <c r="C5" i="43"/>
  <c r="D5" i="43"/>
  <c r="E5" i="43"/>
  <c r="F5" i="43"/>
  <c r="G5" i="43"/>
  <c r="H5" i="43"/>
  <c r="E16" i="60" l="1"/>
  <c r="D16" i="60"/>
  <c r="H16" i="60"/>
  <c r="G15" i="60"/>
  <c r="I9" i="60"/>
  <c r="G7" i="56" s="1"/>
  <c r="F16" i="59"/>
  <c r="D9" i="59"/>
  <c r="G16" i="59"/>
  <c r="G30" i="56" l="1"/>
  <c r="G32" i="56" s="1"/>
  <c r="G33" i="56" s="1"/>
  <c r="G48" i="56"/>
  <c r="G52" i="56"/>
  <c r="G50" i="56"/>
  <c r="G16" i="60"/>
  <c r="D15" i="59"/>
  <c r="I9" i="59"/>
  <c r="F7" i="56" s="1"/>
  <c r="F25" i="53"/>
  <c r="G25" i="53"/>
  <c r="H25" i="53"/>
  <c r="I25" i="53"/>
  <c r="J25" i="53"/>
  <c r="K25" i="53"/>
  <c r="L25" i="53"/>
  <c r="M25" i="53"/>
  <c r="N25" i="53"/>
  <c r="E26" i="53"/>
  <c r="F26" i="53"/>
  <c r="G26" i="53"/>
  <c r="G27" i="53" s="1"/>
  <c r="H26" i="53"/>
  <c r="I26" i="53"/>
  <c r="J26" i="53"/>
  <c r="J27" i="53" s="1"/>
  <c r="K26" i="53"/>
  <c r="L26" i="53"/>
  <c r="M26" i="53"/>
  <c r="M27" i="53" s="1"/>
  <c r="N26" i="53"/>
  <c r="E27" i="53"/>
  <c r="F27" i="53"/>
  <c r="H27" i="53"/>
  <c r="I27" i="53"/>
  <c r="K27" i="53"/>
  <c r="L27" i="53"/>
  <c r="N27" i="53"/>
  <c r="G133" i="50"/>
  <c r="G134" i="50"/>
  <c r="G135" i="50"/>
  <c r="G136" i="50"/>
  <c r="G137" i="50"/>
  <c r="G138" i="50"/>
  <c r="G139" i="50"/>
  <c r="G140" i="50"/>
  <c r="G120" i="50"/>
  <c r="G121" i="50"/>
  <c r="G122" i="50"/>
  <c r="G123" i="50"/>
  <c r="G124" i="50"/>
  <c r="G125" i="50"/>
  <c r="G126" i="50"/>
  <c r="G127" i="50"/>
  <c r="G107" i="50"/>
  <c r="G108" i="50"/>
  <c r="G109" i="50"/>
  <c r="G110" i="50"/>
  <c r="G111" i="50"/>
  <c r="G112" i="50"/>
  <c r="G113" i="50"/>
  <c r="G114" i="50"/>
  <c r="G94" i="50"/>
  <c r="G95" i="50"/>
  <c r="G96" i="50"/>
  <c r="G97" i="50"/>
  <c r="G98" i="50"/>
  <c r="G99" i="50"/>
  <c r="G100" i="50"/>
  <c r="G101" i="50"/>
  <c r="G81" i="50"/>
  <c r="G82" i="50"/>
  <c r="G83" i="50"/>
  <c r="G84" i="50"/>
  <c r="G85" i="50"/>
  <c r="G86" i="50"/>
  <c r="G87" i="50"/>
  <c r="G88" i="50"/>
  <c r="E68" i="50"/>
  <c r="G68" i="50"/>
  <c r="G69" i="50"/>
  <c r="G70" i="50"/>
  <c r="G71" i="50"/>
  <c r="G72" i="50"/>
  <c r="G73" i="50"/>
  <c r="G74" i="50"/>
  <c r="G75" i="50"/>
  <c r="G55" i="50"/>
  <c r="G56" i="50"/>
  <c r="G57" i="50"/>
  <c r="G58" i="50"/>
  <c r="G59" i="50"/>
  <c r="G60" i="50"/>
  <c r="G61" i="50"/>
  <c r="G62" i="50"/>
  <c r="G42" i="50"/>
  <c r="G43" i="50"/>
  <c r="G44" i="50"/>
  <c r="G45" i="50"/>
  <c r="G46" i="50"/>
  <c r="G47" i="50"/>
  <c r="G48" i="50"/>
  <c r="G49" i="50"/>
  <c r="G29" i="50"/>
  <c r="G30" i="50"/>
  <c r="G31" i="50"/>
  <c r="G32" i="50"/>
  <c r="G33" i="50"/>
  <c r="G34" i="50"/>
  <c r="G35" i="50"/>
  <c r="G36" i="50"/>
  <c r="G16" i="50"/>
  <c r="G17" i="50"/>
  <c r="G18" i="50"/>
  <c r="G19" i="50"/>
  <c r="G20" i="50"/>
  <c r="G21" i="50"/>
  <c r="G22" i="50"/>
  <c r="G23" i="50"/>
  <c r="G9" i="50"/>
  <c r="G7" i="50"/>
  <c r="F7" i="50"/>
  <c r="F8" i="50"/>
  <c r="H9" i="50"/>
  <c r="H7" i="50"/>
  <c r="F48" i="56" l="1"/>
  <c r="F50" i="56"/>
  <c r="F30" i="56"/>
  <c r="F32" i="56" s="1"/>
  <c r="F33" i="56" s="1"/>
  <c r="F52" i="56"/>
  <c r="D16" i="59"/>
  <c r="H16" i="55"/>
  <c r="E140" i="50"/>
  <c r="E139" i="50"/>
  <c r="E138" i="50"/>
  <c r="F137" i="50"/>
  <c r="E137" i="50"/>
  <c r="E136" i="50"/>
  <c r="F136" i="50"/>
  <c r="E135" i="50"/>
  <c r="E134" i="50"/>
  <c r="E133" i="50"/>
  <c r="E127" i="50"/>
  <c r="E126" i="50"/>
  <c r="E125" i="50"/>
  <c r="F124" i="50"/>
  <c r="E124" i="50"/>
  <c r="E123" i="50"/>
  <c r="F123" i="50"/>
  <c r="E122" i="50"/>
  <c r="E121" i="50"/>
  <c r="E120" i="50"/>
  <c r="E114" i="50"/>
  <c r="E113" i="50"/>
  <c r="E112" i="50"/>
  <c r="F111" i="50"/>
  <c r="E111" i="50"/>
  <c r="E110" i="50"/>
  <c r="F110" i="50"/>
  <c r="E109" i="50"/>
  <c r="E108" i="50"/>
  <c r="E107" i="50"/>
  <c r="E101" i="50"/>
  <c r="E100" i="50"/>
  <c r="E99" i="50"/>
  <c r="F98" i="50"/>
  <c r="E98" i="50"/>
  <c r="E97" i="50"/>
  <c r="F97" i="50"/>
  <c r="E96" i="50"/>
  <c r="E95" i="50"/>
  <c r="E94" i="50"/>
  <c r="E88" i="50"/>
  <c r="E87" i="50"/>
  <c r="E86" i="50"/>
  <c r="F85" i="50"/>
  <c r="E85" i="50"/>
  <c r="E84" i="50"/>
  <c r="F84" i="50"/>
  <c r="E83" i="50"/>
  <c r="E82" i="50"/>
  <c r="E81" i="50"/>
  <c r="F72" i="50"/>
  <c r="E72" i="50"/>
  <c r="F71" i="50"/>
  <c r="E71" i="50"/>
  <c r="G67" i="50"/>
  <c r="E75" i="50" s="1"/>
  <c r="G65" i="50"/>
  <c r="F59" i="50"/>
  <c r="F58" i="50"/>
  <c r="G54" i="50"/>
  <c r="G52" i="50"/>
  <c r="F46" i="50"/>
  <c r="F45" i="50"/>
  <c r="G41" i="50"/>
  <c r="E49" i="50" s="1"/>
  <c r="G39" i="50"/>
  <c r="E35" i="50"/>
  <c r="E13" i="58" s="1"/>
  <c r="F33" i="50"/>
  <c r="E33" i="50"/>
  <c r="E32" i="50"/>
  <c r="F32" i="50"/>
  <c r="E29" i="50"/>
  <c r="G28" i="50"/>
  <c r="G26" i="50"/>
  <c r="F20" i="50"/>
  <c r="F19" i="50"/>
  <c r="G15" i="50"/>
  <c r="E21" i="50" s="1"/>
  <c r="D44" i="43" s="1"/>
  <c r="G13" i="50"/>
  <c r="E5" i="50"/>
  <c r="G3" i="50"/>
  <c r="G1" i="50"/>
  <c r="F33" i="58"/>
  <c r="D25" i="53"/>
  <c r="D27" i="53" s="1"/>
  <c r="D29" i="53" s="1"/>
  <c r="N24" i="53"/>
  <c r="M24" i="53"/>
  <c r="L24" i="53"/>
  <c r="K24" i="53"/>
  <c r="J24" i="53"/>
  <c r="I24" i="53"/>
  <c r="H24" i="53"/>
  <c r="G16" i="55" s="1"/>
  <c r="G17" i="55" s="1"/>
  <c r="G18" i="55" s="1"/>
  <c r="G24" i="53"/>
  <c r="F16" i="55" s="1"/>
  <c r="F24" i="53"/>
  <c r="E24" i="53"/>
  <c r="D16" i="55" s="1"/>
  <c r="D24" i="53"/>
  <c r="D26" i="53" s="1"/>
  <c r="D28" i="53" s="1"/>
  <c r="F20" i="55"/>
  <c r="E20" i="55"/>
  <c r="D20" i="55"/>
  <c r="C20" i="55"/>
  <c r="H17" i="55"/>
  <c r="H18" i="55" s="1"/>
  <c r="C16" i="55"/>
  <c r="C17" i="55" s="1"/>
  <c r="C18" i="55" s="1"/>
  <c r="H14" i="55"/>
  <c r="G14" i="55"/>
  <c r="F14" i="55"/>
  <c r="E14" i="55"/>
  <c r="D14" i="55"/>
  <c r="C14" i="55"/>
  <c r="I13" i="55"/>
  <c r="I12" i="55"/>
  <c r="I11" i="55"/>
  <c r="I10" i="55"/>
  <c r="I9" i="55"/>
  <c r="I8" i="55"/>
  <c r="K7" i="55"/>
  <c r="L7" i="55" s="1"/>
  <c r="G22" i="51"/>
  <c r="B27" i="51"/>
  <c r="D27" i="51" s="1"/>
  <c r="B26" i="51"/>
  <c r="D26" i="51" s="1"/>
  <c r="B7" i="51"/>
  <c r="B5" i="51"/>
  <c r="C33" i="58"/>
  <c r="F32" i="58"/>
  <c r="H31" i="58"/>
  <c r="H32" i="58" s="1"/>
  <c r="G31" i="58"/>
  <c r="G32" i="58" s="1"/>
  <c r="F31" i="58"/>
  <c r="E31" i="58"/>
  <c r="E32" i="58" s="1"/>
  <c r="D31" i="58"/>
  <c r="D32" i="58" s="1"/>
  <c r="C31" i="58"/>
  <c r="G7" i="58"/>
  <c r="E7" i="58"/>
  <c r="D7" i="58"/>
  <c r="H6" i="58"/>
  <c r="G6" i="58"/>
  <c r="F6" i="58"/>
  <c r="E6" i="58"/>
  <c r="D6" i="58"/>
  <c r="C6" i="58"/>
  <c r="F33" i="57"/>
  <c r="C33" i="57"/>
  <c r="C10" i="57" s="1"/>
  <c r="F32" i="57"/>
  <c r="H31" i="57"/>
  <c r="H32" i="57" s="1"/>
  <c r="G31" i="57"/>
  <c r="G32" i="57" s="1"/>
  <c r="F31" i="57"/>
  <c r="E31" i="57"/>
  <c r="E32" i="57" s="1"/>
  <c r="D31" i="57"/>
  <c r="D32" i="57" s="1"/>
  <c r="C31" i="57"/>
  <c r="H7" i="57"/>
  <c r="F7" i="57"/>
  <c r="E7" i="57"/>
  <c r="H6" i="57"/>
  <c r="G6" i="57"/>
  <c r="F6" i="57"/>
  <c r="E6" i="57"/>
  <c r="D6" i="57"/>
  <c r="C6" i="57"/>
  <c r="C7" i="57" s="1"/>
  <c r="E38" i="43"/>
  <c r="F33" i="43"/>
  <c r="H31" i="43"/>
  <c r="H32" i="43" s="1"/>
  <c r="G31" i="43"/>
  <c r="G32" i="43" s="1"/>
  <c r="F31" i="43"/>
  <c r="F32" i="43" s="1"/>
  <c r="F34" i="43" s="1"/>
  <c r="E31" i="43"/>
  <c r="E32" i="43" s="1"/>
  <c r="D31" i="43"/>
  <c r="D32" i="43" s="1"/>
  <c r="C31" i="43"/>
  <c r="F10" i="43"/>
  <c r="I8" i="43"/>
  <c r="F7" i="43"/>
  <c r="F9" i="43" s="1"/>
  <c r="H6" i="43"/>
  <c r="G6" i="43"/>
  <c r="F6" i="43"/>
  <c r="E6" i="43"/>
  <c r="D6" i="43"/>
  <c r="C6" i="43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G10" i="36" s="1"/>
  <c r="G17" i="36" s="1"/>
  <c r="G19" i="36" s="1"/>
  <c r="F11" i="36"/>
  <c r="E11" i="36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J17" i="36" l="1"/>
  <c r="J19" i="36" s="1"/>
  <c r="M7" i="36"/>
  <c r="E10" i="36"/>
  <c r="E17" i="36" s="1"/>
  <c r="E19" i="36" s="1"/>
  <c r="H10" i="36"/>
  <c r="K10" i="36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M14" i="36"/>
  <c r="C38" i="43"/>
  <c r="C13" i="59"/>
  <c r="I13" i="59" s="1"/>
  <c r="C13" i="60"/>
  <c r="I14" i="55"/>
  <c r="C22" i="55"/>
  <c r="C33" i="43"/>
  <c r="C34" i="43" s="1"/>
  <c r="B10" i="51"/>
  <c r="J26" i="51"/>
  <c r="C58" i="56"/>
  <c r="C57" i="56"/>
  <c r="F17" i="55"/>
  <c r="F18" i="55" s="1"/>
  <c r="F22" i="55"/>
  <c r="C10" i="43"/>
  <c r="G34" i="43"/>
  <c r="D33" i="43"/>
  <c r="D34" i="43" s="1"/>
  <c r="G33" i="43"/>
  <c r="E33" i="43"/>
  <c r="H33" i="43"/>
  <c r="H10" i="43" s="1"/>
  <c r="E25" i="53"/>
  <c r="C34" i="57"/>
  <c r="C10" i="58"/>
  <c r="C34" i="58"/>
  <c r="H8" i="57"/>
  <c r="H9" i="57" s="1"/>
  <c r="E8" i="57"/>
  <c r="E9" i="57" s="1"/>
  <c r="K8" i="55"/>
  <c r="C7" i="58"/>
  <c r="C7" i="43"/>
  <c r="C9" i="43" s="1"/>
  <c r="C13" i="43"/>
  <c r="C8" i="57"/>
  <c r="C9" i="57" s="1"/>
  <c r="E11" i="50"/>
  <c r="E7" i="50"/>
  <c r="C43" i="43"/>
  <c r="C13" i="57"/>
  <c r="E8" i="50"/>
  <c r="H45" i="43"/>
  <c r="H17" i="36"/>
  <c r="H19" i="36" s="1"/>
  <c r="K17" i="36"/>
  <c r="K19" i="36" s="1"/>
  <c r="M5" i="36"/>
  <c r="C10" i="36"/>
  <c r="E36" i="43"/>
  <c r="E11" i="43" s="1"/>
  <c r="C11" i="57"/>
  <c r="C13" i="58"/>
  <c r="E42" i="50"/>
  <c r="E48" i="50"/>
  <c r="F47" i="43"/>
  <c r="F22" i="43" s="1"/>
  <c r="E11" i="57"/>
  <c r="E45" i="50"/>
  <c r="E43" i="50"/>
  <c r="E46" i="50"/>
  <c r="E74" i="50"/>
  <c r="D22" i="55"/>
  <c r="D17" i="55"/>
  <c r="D18" i="55" s="1"/>
  <c r="E33" i="57"/>
  <c r="E34" i="57" s="1"/>
  <c r="E33" i="58"/>
  <c r="E10" i="58" s="1"/>
  <c r="H33" i="57"/>
  <c r="H10" i="57" s="1"/>
  <c r="H33" i="58"/>
  <c r="H10" i="58" s="1"/>
  <c r="H34" i="57"/>
  <c r="F34" i="58"/>
  <c r="E16" i="55"/>
  <c r="E17" i="55" s="1"/>
  <c r="E18" i="55" s="1"/>
  <c r="E34" i="43"/>
  <c r="H34" i="43"/>
  <c r="F34" i="57"/>
  <c r="H34" i="58"/>
  <c r="I6" i="43"/>
  <c r="D7" i="43"/>
  <c r="E13" i="43"/>
  <c r="E10" i="43"/>
  <c r="E7" i="43"/>
  <c r="E9" i="43" s="1"/>
  <c r="H20" i="43"/>
  <c r="H7" i="43"/>
  <c r="H9" i="43" s="1"/>
  <c r="G10" i="43"/>
  <c r="F8" i="57"/>
  <c r="F9" i="57" s="1"/>
  <c r="G7" i="43"/>
  <c r="G9" i="43" s="1"/>
  <c r="D10" i="43"/>
  <c r="D19" i="43"/>
  <c r="I6" i="57"/>
  <c r="D7" i="57"/>
  <c r="G7" i="57"/>
  <c r="F22" i="58"/>
  <c r="F10" i="58"/>
  <c r="F7" i="58"/>
  <c r="I6" i="58"/>
  <c r="E20" i="58"/>
  <c r="E56" i="50"/>
  <c r="E61" i="50"/>
  <c r="E59" i="50"/>
  <c r="E58" i="50"/>
  <c r="E55" i="50"/>
  <c r="E60" i="50"/>
  <c r="E62" i="50"/>
  <c r="E57" i="50"/>
  <c r="H22" i="58"/>
  <c r="H22" i="57"/>
  <c r="E45" i="43"/>
  <c r="E20" i="43" s="1"/>
  <c r="H47" i="43"/>
  <c r="H22" i="43" s="1"/>
  <c r="E20" i="57"/>
  <c r="H20" i="57"/>
  <c r="E10" i="57"/>
  <c r="E13" i="57"/>
  <c r="D19" i="58"/>
  <c r="D19" i="57"/>
  <c r="F22" i="57"/>
  <c r="F10" i="57"/>
  <c r="E17" i="50"/>
  <c r="E22" i="50"/>
  <c r="E20" i="50"/>
  <c r="E19" i="50"/>
  <c r="E16" i="50"/>
  <c r="E11" i="58"/>
  <c r="H20" i="58"/>
  <c r="H7" i="58"/>
  <c r="I17" i="55"/>
  <c r="I18" i="55" s="1"/>
  <c r="E18" i="50"/>
  <c r="E23" i="50"/>
  <c r="E30" i="50"/>
  <c r="E44" i="50"/>
  <c r="E47" i="50"/>
  <c r="E69" i="50"/>
  <c r="E31" i="50"/>
  <c r="E34" i="50"/>
  <c r="E36" i="50"/>
  <c r="E70" i="50"/>
  <c r="E73" i="50"/>
  <c r="C34" i="59" l="1"/>
  <c r="C10" i="59"/>
  <c r="I10" i="59" s="1"/>
  <c r="C10" i="60"/>
  <c r="I10" i="60" s="1"/>
  <c r="C34" i="60"/>
  <c r="C12" i="59"/>
  <c r="I12" i="59" s="1"/>
  <c r="C12" i="60"/>
  <c r="I12" i="60" s="1"/>
  <c r="C22" i="57"/>
  <c r="C22" i="59"/>
  <c r="C22" i="60"/>
  <c r="I13" i="60"/>
  <c r="C20" i="59"/>
  <c r="I20" i="59" s="1"/>
  <c r="C20" i="60"/>
  <c r="I20" i="60" s="1"/>
  <c r="C19" i="59"/>
  <c r="I19" i="59" s="1"/>
  <c r="C19" i="60"/>
  <c r="I19" i="60" s="1"/>
  <c r="C45" i="43"/>
  <c r="C20" i="43" s="1"/>
  <c r="E27" i="51"/>
  <c r="I21" i="43"/>
  <c r="C19" i="56" s="1"/>
  <c r="I18" i="43"/>
  <c r="G18" i="43" s="1"/>
  <c r="D28" i="51"/>
  <c r="E26" i="51"/>
  <c r="C56" i="56"/>
  <c r="G33" i="58"/>
  <c r="G33" i="57"/>
  <c r="E22" i="55"/>
  <c r="I16" i="55"/>
  <c r="D33" i="57"/>
  <c r="D33" i="58"/>
  <c r="L8" i="55"/>
  <c r="H8" i="58" s="1"/>
  <c r="H9" i="58" s="1"/>
  <c r="K9" i="55"/>
  <c r="C22" i="58"/>
  <c r="C47" i="43"/>
  <c r="C22" i="43" s="1"/>
  <c r="C20" i="57"/>
  <c r="C20" i="58"/>
  <c r="C11" i="58"/>
  <c r="C36" i="43"/>
  <c r="C11" i="43" s="1"/>
  <c r="C17" i="36"/>
  <c r="M10" i="36"/>
  <c r="F20" i="57"/>
  <c r="F45" i="43"/>
  <c r="F20" i="43" s="1"/>
  <c r="F20" i="58"/>
  <c r="C19" i="58"/>
  <c r="C44" i="43"/>
  <c r="C19" i="43" s="1"/>
  <c r="C19" i="57"/>
  <c r="H13" i="58"/>
  <c r="H38" i="43"/>
  <c r="H13" i="43" s="1"/>
  <c r="H13" i="57"/>
  <c r="F43" i="43"/>
  <c r="C37" i="43"/>
  <c r="F13" i="58"/>
  <c r="F13" i="57"/>
  <c r="F38" i="43"/>
  <c r="F13" i="43" s="1"/>
  <c r="H11" i="58"/>
  <c r="H11" i="57"/>
  <c r="H36" i="43"/>
  <c r="H11" i="43" s="1"/>
  <c r="F11" i="58"/>
  <c r="F36" i="43"/>
  <c r="F11" i="43" s="1"/>
  <c r="F11" i="57"/>
  <c r="E34" i="58"/>
  <c r="E19" i="58"/>
  <c r="E19" i="57"/>
  <c r="E44" i="43"/>
  <c r="E19" i="43" s="1"/>
  <c r="D22" i="58"/>
  <c r="D22" i="57"/>
  <c r="D47" i="43"/>
  <c r="D22" i="43" s="1"/>
  <c r="D20" i="58"/>
  <c r="D20" i="57"/>
  <c r="D45" i="43"/>
  <c r="D20" i="43" s="1"/>
  <c r="E4" i="56"/>
  <c r="C21" i="43"/>
  <c r="C4" i="56"/>
  <c r="E37" i="43"/>
  <c r="D12" i="58"/>
  <c r="D12" i="57"/>
  <c r="D37" i="43"/>
  <c r="D12" i="43" s="1"/>
  <c r="D13" i="58"/>
  <c r="D13" i="57"/>
  <c r="D38" i="43"/>
  <c r="D13" i="43" s="1"/>
  <c r="G19" i="58"/>
  <c r="G19" i="57"/>
  <c r="G44" i="43"/>
  <c r="G19" i="43" s="1"/>
  <c r="G20" i="58"/>
  <c r="G20" i="57"/>
  <c r="G45" i="43"/>
  <c r="G20" i="43" s="1"/>
  <c r="D4" i="56"/>
  <c r="H19" i="58"/>
  <c r="H19" i="57"/>
  <c r="H44" i="43"/>
  <c r="H19" i="43" s="1"/>
  <c r="F19" i="58"/>
  <c r="F44" i="43"/>
  <c r="F19" i="43" s="1"/>
  <c r="F19" i="57"/>
  <c r="G22" i="58"/>
  <c r="G22" i="57"/>
  <c r="G47" i="43"/>
  <c r="G22" i="43" s="1"/>
  <c r="G43" i="43"/>
  <c r="D8" i="57"/>
  <c r="D9" i="57" s="1"/>
  <c r="I7" i="57"/>
  <c r="D5" i="56" s="1"/>
  <c r="H37" i="43"/>
  <c r="F37" i="43"/>
  <c r="D36" i="43"/>
  <c r="E22" i="58"/>
  <c r="E22" i="57"/>
  <c r="E47" i="43"/>
  <c r="E22" i="43" s="1"/>
  <c r="H43" i="43"/>
  <c r="E43" i="43"/>
  <c r="I7" i="58"/>
  <c r="E5" i="56" s="1"/>
  <c r="D43" i="43"/>
  <c r="G12" i="58"/>
  <c r="G12" i="57"/>
  <c r="G37" i="43"/>
  <c r="G12" i="43" s="1"/>
  <c r="G36" i="43"/>
  <c r="G13" i="58"/>
  <c r="G13" i="57"/>
  <c r="G38" i="43"/>
  <c r="G13" i="43" s="1"/>
  <c r="G8" i="57"/>
  <c r="G9" i="57" s="1"/>
  <c r="I10" i="43"/>
  <c r="C8" i="56" s="1"/>
  <c r="I7" i="43"/>
  <c r="C5" i="56" s="1"/>
  <c r="D9" i="43"/>
  <c r="E21" i="43" l="1"/>
  <c r="E46" i="43" s="1"/>
  <c r="F21" i="43"/>
  <c r="G21" i="43"/>
  <c r="G46" i="43" s="1"/>
  <c r="H21" i="43"/>
  <c r="H46" i="43" s="1"/>
  <c r="D21" i="43"/>
  <c r="D46" i="43" s="1"/>
  <c r="D18" i="43"/>
  <c r="C61" i="56"/>
  <c r="C11" i="60"/>
  <c r="C40" i="60"/>
  <c r="I22" i="60"/>
  <c r="C40" i="59"/>
  <c r="C11" i="59"/>
  <c r="I22" i="59"/>
  <c r="G17" i="43"/>
  <c r="C18" i="43"/>
  <c r="C17" i="43" s="1"/>
  <c r="C23" i="43" s="1"/>
  <c r="E18" i="43"/>
  <c r="E17" i="43" s="1"/>
  <c r="H18" i="43"/>
  <c r="H17" i="43" s="1"/>
  <c r="F18" i="43"/>
  <c r="F17" i="43" s="1"/>
  <c r="F23" i="43" s="1"/>
  <c r="E28" i="51"/>
  <c r="F26" i="51"/>
  <c r="G26" i="51" s="1"/>
  <c r="I18" i="57"/>
  <c r="D61" i="56" s="1"/>
  <c r="F27" i="51"/>
  <c r="G27" i="51" s="1"/>
  <c r="H27" i="51" s="1"/>
  <c r="I21" i="57"/>
  <c r="D10" i="58"/>
  <c r="D34" i="58"/>
  <c r="D34" i="57"/>
  <c r="D40" i="57" s="1"/>
  <c r="D10" i="57"/>
  <c r="G34" i="57"/>
  <c r="G10" i="57"/>
  <c r="G10" i="58"/>
  <c r="G34" i="58"/>
  <c r="G40" i="58" s="1"/>
  <c r="G8" i="58"/>
  <c r="G9" i="58" s="1"/>
  <c r="E8" i="58"/>
  <c r="E9" i="58" s="1"/>
  <c r="D8" i="58"/>
  <c r="D9" i="58" s="1"/>
  <c r="F8" i="58"/>
  <c r="F9" i="58" s="1"/>
  <c r="C8" i="58"/>
  <c r="C9" i="58" s="1"/>
  <c r="L9" i="55"/>
  <c r="L10" i="55"/>
  <c r="D17" i="43"/>
  <c r="D23" i="43" s="1"/>
  <c r="I19" i="57"/>
  <c r="D17" i="56" s="1"/>
  <c r="D43" i="56" s="1"/>
  <c r="E22" i="36"/>
  <c r="E23" i="36"/>
  <c r="C18" i="36"/>
  <c r="D18" i="36" s="1"/>
  <c r="E18" i="36" s="1"/>
  <c r="F18" i="36" s="1"/>
  <c r="G18" i="36" s="1"/>
  <c r="H18" i="36" s="1"/>
  <c r="M17" i="36"/>
  <c r="C19" i="36"/>
  <c r="C12" i="58"/>
  <c r="C14" i="58" s="1"/>
  <c r="C15" i="58" s="1"/>
  <c r="C16" i="58" s="1"/>
  <c r="C40" i="58"/>
  <c r="C12" i="43"/>
  <c r="C14" i="43" s="1"/>
  <c r="C15" i="43" s="1"/>
  <c r="C16" i="43" s="1"/>
  <c r="C40" i="43"/>
  <c r="C12" i="57"/>
  <c r="C14" i="57" s="1"/>
  <c r="C15" i="57" s="1"/>
  <c r="C16" i="57" s="1"/>
  <c r="C40" i="57"/>
  <c r="I13" i="57"/>
  <c r="D11" i="56" s="1"/>
  <c r="D37" i="56" s="1"/>
  <c r="I19" i="58"/>
  <c r="E17" i="56" s="1"/>
  <c r="E43" i="56" s="1"/>
  <c r="I19" i="43"/>
  <c r="C17" i="56" s="1"/>
  <c r="C43" i="56" s="1"/>
  <c r="C31" i="56"/>
  <c r="F40" i="57"/>
  <c r="F12" i="57"/>
  <c r="F14" i="57" s="1"/>
  <c r="F15" i="57" s="1"/>
  <c r="H12" i="57"/>
  <c r="H14" i="57" s="1"/>
  <c r="H15" i="57" s="1"/>
  <c r="H40" i="57"/>
  <c r="I20" i="43"/>
  <c r="C18" i="56" s="1"/>
  <c r="I22" i="58"/>
  <c r="G11" i="57"/>
  <c r="G14" i="57" s="1"/>
  <c r="G40" i="57"/>
  <c r="D40" i="43"/>
  <c r="D11" i="43"/>
  <c r="F40" i="58"/>
  <c r="F12" i="58"/>
  <c r="F14" i="58" s="1"/>
  <c r="H40" i="58"/>
  <c r="H12" i="58"/>
  <c r="H14" i="58" s="1"/>
  <c r="H15" i="58" s="1"/>
  <c r="I13" i="58"/>
  <c r="E11" i="56" s="1"/>
  <c r="E40" i="57"/>
  <c r="E12" i="57"/>
  <c r="E14" i="57" s="1"/>
  <c r="E15" i="57" s="1"/>
  <c r="C46" i="43"/>
  <c r="I20" i="57"/>
  <c r="D18" i="56" s="1"/>
  <c r="I22" i="43"/>
  <c r="G11" i="43"/>
  <c r="G14" i="43" s="1"/>
  <c r="G15" i="43" s="1"/>
  <c r="G40" i="43"/>
  <c r="D11" i="58"/>
  <c r="D40" i="58"/>
  <c r="I9" i="57"/>
  <c r="D7" i="56" s="1"/>
  <c r="E12" i="43"/>
  <c r="E14" i="43" s="1"/>
  <c r="E15" i="43" s="1"/>
  <c r="E40" i="43"/>
  <c r="E48" i="43" s="1"/>
  <c r="I9" i="43"/>
  <c r="H5" i="56"/>
  <c r="C7" i="56"/>
  <c r="G11" i="58"/>
  <c r="G14" i="58" s="1"/>
  <c r="D11" i="57"/>
  <c r="F40" i="43"/>
  <c r="F12" i="43"/>
  <c r="F14" i="43" s="1"/>
  <c r="F15" i="43" s="1"/>
  <c r="H12" i="43"/>
  <c r="H14" i="43" s="1"/>
  <c r="H15" i="43" s="1"/>
  <c r="H40" i="43"/>
  <c r="H48" i="43" s="1"/>
  <c r="I8" i="57"/>
  <c r="D6" i="56" s="1"/>
  <c r="I13" i="43"/>
  <c r="C11" i="56" s="1"/>
  <c r="E12" i="58"/>
  <c r="E14" i="58" s="1"/>
  <c r="E15" i="58" s="1"/>
  <c r="E40" i="58"/>
  <c r="C45" i="56"/>
  <c r="H4" i="56"/>
  <c r="F46" i="43"/>
  <c r="I20" i="58"/>
  <c r="E18" i="56" s="1"/>
  <c r="I22" i="57"/>
  <c r="H26" i="51" l="1"/>
  <c r="H28" i="51" s="1"/>
  <c r="G28" i="51"/>
  <c r="G48" i="43"/>
  <c r="H23" i="43"/>
  <c r="H24" i="43" s="1"/>
  <c r="H25" i="43" s="1"/>
  <c r="G23" i="43"/>
  <c r="D48" i="43"/>
  <c r="I18" i="60"/>
  <c r="I18" i="59"/>
  <c r="I21" i="60"/>
  <c r="G19" i="56" s="1"/>
  <c r="I21" i="59"/>
  <c r="F19" i="56" s="1"/>
  <c r="C14" i="59"/>
  <c r="I11" i="59"/>
  <c r="I11" i="60"/>
  <c r="C14" i="60"/>
  <c r="F15" i="58"/>
  <c r="F16" i="58" s="1"/>
  <c r="I9" i="58"/>
  <c r="E7" i="56" s="1"/>
  <c r="E30" i="56" s="1"/>
  <c r="I8" i="58"/>
  <c r="E6" i="56" s="1"/>
  <c r="H6" i="56" s="1"/>
  <c r="D19" i="56"/>
  <c r="D51" i="56" s="1"/>
  <c r="H21" i="57"/>
  <c r="D21" i="57"/>
  <c r="D46" i="57" s="1"/>
  <c r="D48" i="57" s="1"/>
  <c r="F21" i="57"/>
  <c r="E21" i="57"/>
  <c r="G21" i="57"/>
  <c r="G46" i="57" s="1"/>
  <c r="G48" i="57" s="1"/>
  <c r="C21" i="57"/>
  <c r="E18" i="57"/>
  <c r="E17" i="57" s="1"/>
  <c r="G18" i="57"/>
  <c r="G17" i="57" s="1"/>
  <c r="G23" i="57" s="1"/>
  <c r="F18" i="57"/>
  <c r="F17" i="57" s="1"/>
  <c r="H18" i="57"/>
  <c r="H17" i="57" s="1"/>
  <c r="C18" i="57"/>
  <c r="C17" i="57" s="1"/>
  <c r="D18" i="57"/>
  <c r="D17" i="57" s="1"/>
  <c r="I21" i="58"/>
  <c r="I27" i="51"/>
  <c r="I18" i="58"/>
  <c r="E61" i="56" s="1"/>
  <c r="H61" i="56" s="1"/>
  <c r="F28" i="51"/>
  <c r="I26" i="51"/>
  <c r="C48" i="43"/>
  <c r="G15" i="57"/>
  <c r="G16" i="57" s="1"/>
  <c r="I10" i="57"/>
  <c r="D8" i="56" s="1"/>
  <c r="I10" i="58"/>
  <c r="E8" i="56" s="1"/>
  <c r="E31" i="56" s="1"/>
  <c r="G15" i="58"/>
  <c r="G16" i="58" s="1"/>
  <c r="E24" i="36"/>
  <c r="I18" i="36"/>
  <c r="J18" i="36" s="1"/>
  <c r="K18" i="36" s="1"/>
  <c r="L18" i="36" s="1"/>
  <c r="I22" i="36"/>
  <c r="I23" i="36"/>
  <c r="C20" i="36"/>
  <c r="D20" i="36" s="1"/>
  <c r="E20" i="36" s="1"/>
  <c r="F20" i="36" s="1"/>
  <c r="G20" i="36" s="1"/>
  <c r="H20" i="36" s="1"/>
  <c r="M19" i="36"/>
  <c r="C24" i="43"/>
  <c r="I17" i="43"/>
  <c r="C15" i="56" s="1"/>
  <c r="C42" i="56" s="1"/>
  <c r="H17" i="56"/>
  <c r="H43" i="56" s="1"/>
  <c r="H16" i="58"/>
  <c r="C50" i="56"/>
  <c r="C44" i="56"/>
  <c r="H18" i="56"/>
  <c r="D20" i="56"/>
  <c r="E16" i="58"/>
  <c r="F16" i="43"/>
  <c r="F24" i="43"/>
  <c r="F25" i="43" s="1"/>
  <c r="D14" i="57"/>
  <c r="I11" i="57"/>
  <c r="D9" i="56" s="1"/>
  <c r="I12" i="43"/>
  <c r="C10" i="56" s="1"/>
  <c r="G24" i="43"/>
  <c r="G25" i="43" s="1"/>
  <c r="G16" i="43"/>
  <c r="E20" i="56"/>
  <c r="F16" i="57"/>
  <c r="E44" i="56"/>
  <c r="I12" i="58"/>
  <c r="E10" i="56" s="1"/>
  <c r="E36" i="56" s="1"/>
  <c r="F48" i="43"/>
  <c r="D30" i="56"/>
  <c r="D14" i="58"/>
  <c r="I11" i="58"/>
  <c r="E9" i="56" s="1"/>
  <c r="C20" i="56"/>
  <c r="I12" i="57"/>
  <c r="D10" i="56" s="1"/>
  <c r="D36" i="56" s="1"/>
  <c r="E23" i="43"/>
  <c r="E24" i="43" s="1"/>
  <c r="E25" i="43" s="1"/>
  <c r="H11" i="56"/>
  <c r="C37" i="56"/>
  <c r="C48" i="56"/>
  <c r="H16" i="43"/>
  <c r="C51" i="56"/>
  <c r="C30" i="56"/>
  <c r="C32" i="56" s="1"/>
  <c r="C33" i="56" s="1"/>
  <c r="E16" i="43"/>
  <c r="D44" i="56"/>
  <c r="D50" i="56"/>
  <c r="E16" i="57"/>
  <c r="E37" i="56"/>
  <c r="D14" i="43"/>
  <c r="I11" i="43"/>
  <c r="C9" i="56" s="1"/>
  <c r="C12" i="56" s="1"/>
  <c r="D48" i="56"/>
  <c r="H16" i="57"/>
  <c r="F45" i="56" l="1"/>
  <c r="F51" i="56"/>
  <c r="G45" i="56"/>
  <c r="G51" i="56"/>
  <c r="G61" i="56"/>
  <c r="G16" i="56"/>
  <c r="F61" i="56"/>
  <c r="F16" i="56"/>
  <c r="I17" i="57"/>
  <c r="D15" i="56" s="1"/>
  <c r="D42" i="56" s="1"/>
  <c r="C21" i="60"/>
  <c r="D21" i="60"/>
  <c r="D46" i="60" s="1"/>
  <c r="D48" i="60" s="1"/>
  <c r="F21" i="60"/>
  <c r="E21" i="60"/>
  <c r="G21" i="60"/>
  <c r="H21" i="60"/>
  <c r="E18" i="59"/>
  <c r="E17" i="59" s="1"/>
  <c r="F18" i="59"/>
  <c r="F17" i="59" s="1"/>
  <c r="G18" i="59"/>
  <c r="G17" i="59" s="1"/>
  <c r="H18" i="59"/>
  <c r="H17" i="59" s="1"/>
  <c r="D18" i="59"/>
  <c r="D17" i="59" s="1"/>
  <c r="C18" i="59"/>
  <c r="C17" i="59" s="1"/>
  <c r="E21" i="59"/>
  <c r="G21" i="59"/>
  <c r="D21" i="59"/>
  <c r="C21" i="59"/>
  <c r="F21" i="59"/>
  <c r="H21" i="59"/>
  <c r="G18" i="60"/>
  <c r="G17" i="60" s="1"/>
  <c r="H18" i="60"/>
  <c r="H17" i="60" s="1"/>
  <c r="F18" i="60"/>
  <c r="F17" i="60" s="1"/>
  <c r="E18" i="60"/>
  <c r="E17" i="60" s="1"/>
  <c r="D18" i="60"/>
  <c r="D17" i="60" s="1"/>
  <c r="D23" i="60" s="1"/>
  <c r="D24" i="60" s="1"/>
  <c r="D25" i="60" s="1"/>
  <c r="D26" i="60" s="1"/>
  <c r="D27" i="60" s="1"/>
  <c r="C18" i="60"/>
  <c r="C17" i="60" s="1"/>
  <c r="C15" i="60"/>
  <c r="I14" i="60"/>
  <c r="C15" i="59"/>
  <c r="I14" i="59"/>
  <c r="C25" i="43"/>
  <c r="C26" i="43" s="1"/>
  <c r="C27" i="43" s="1"/>
  <c r="H7" i="56"/>
  <c r="H48" i="56" s="1"/>
  <c r="E48" i="56"/>
  <c r="E50" i="56"/>
  <c r="G24" i="57"/>
  <c r="G25" i="57" s="1"/>
  <c r="E19" i="56"/>
  <c r="C21" i="58"/>
  <c r="F21" i="58"/>
  <c r="D21" i="58"/>
  <c r="D46" i="58" s="1"/>
  <c r="D48" i="58" s="1"/>
  <c r="G21" i="58"/>
  <c r="H21" i="58"/>
  <c r="E21" i="58"/>
  <c r="E46" i="57"/>
  <c r="E48" i="57" s="1"/>
  <c r="E23" i="57"/>
  <c r="E24" i="57" s="1"/>
  <c r="H46" i="57"/>
  <c r="H48" i="57" s="1"/>
  <c r="H23" i="57"/>
  <c r="H24" i="57" s="1"/>
  <c r="H25" i="57" s="1"/>
  <c r="G18" i="58"/>
  <c r="G17" i="58" s="1"/>
  <c r="E18" i="58"/>
  <c r="E17" i="58" s="1"/>
  <c r="C18" i="58"/>
  <c r="C17" i="58" s="1"/>
  <c r="D18" i="58"/>
  <c r="D17" i="58" s="1"/>
  <c r="H18" i="58"/>
  <c r="H17" i="58" s="1"/>
  <c r="F18" i="58"/>
  <c r="F17" i="58" s="1"/>
  <c r="D23" i="57"/>
  <c r="C46" i="57"/>
  <c r="C48" i="57" s="1"/>
  <c r="C23" i="57"/>
  <c r="C24" i="57" s="1"/>
  <c r="F46" i="57"/>
  <c r="F48" i="57" s="1"/>
  <c r="F23" i="57"/>
  <c r="F24" i="57" s="1"/>
  <c r="H19" i="56"/>
  <c r="H45" i="56" s="1"/>
  <c r="D45" i="56"/>
  <c r="E32" i="56"/>
  <c r="E33" i="56" s="1"/>
  <c r="H8" i="56"/>
  <c r="H31" i="56" s="1"/>
  <c r="D31" i="56"/>
  <c r="D32" i="56" s="1"/>
  <c r="D33" i="56" s="1"/>
  <c r="I23" i="43"/>
  <c r="I24" i="36"/>
  <c r="I20" i="36"/>
  <c r="J20" i="36" s="1"/>
  <c r="K20" i="36" s="1"/>
  <c r="L20" i="36" s="1"/>
  <c r="H37" i="56"/>
  <c r="C46" i="56"/>
  <c r="H20" i="56"/>
  <c r="C52" i="56"/>
  <c r="C21" i="56"/>
  <c r="E46" i="56"/>
  <c r="E52" i="56"/>
  <c r="D35" i="56"/>
  <c r="D12" i="56"/>
  <c r="H50" i="56"/>
  <c r="H44" i="56"/>
  <c r="C35" i="56"/>
  <c r="H9" i="56"/>
  <c r="C49" i="56"/>
  <c r="H26" i="43"/>
  <c r="H27" i="43" s="1"/>
  <c r="I14" i="58"/>
  <c r="D15" i="58"/>
  <c r="G26" i="43"/>
  <c r="G27" i="43" s="1"/>
  <c r="H10" i="56"/>
  <c r="H36" i="56" s="1"/>
  <c r="C36" i="56"/>
  <c r="F26" i="43"/>
  <c r="F27" i="43" s="1"/>
  <c r="I14" i="43"/>
  <c r="D15" i="43"/>
  <c r="E26" i="43"/>
  <c r="E27" i="43" s="1"/>
  <c r="E12" i="56"/>
  <c r="E35" i="56"/>
  <c r="I14" i="57"/>
  <c r="D15" i="57"/>
  <c r="D52" i="56"/>
  <c r="D46" i="56"/>
  <c r="D49" i="56" l="1"/>
  <c r="D21" i="56"/>
  <c r="I23" i="57"/>
  <c r="F46" i="59"/>
  <c r="F48" i="59" s="1"/>
  <c r="F23" i="59"/>
  <c r="F24" i="59" s="1"/>
  <c r="F25" i="59" s="1"/>
  <c r="F26" i="59" s="1"/>
  <c r="F27" i="59" s="1"/>
  <c r="G46" i="59"/>
  <c r="G48" i="59" s="1"/>
  <c r="G23" i="59"/>
  <c r="G24" i="59" s="1"/>
  <c r="G25" i="59" s="1"/>
  <c r="G26" i="59" s="1"/>
  <c r="G27" i="59" s="1"/>
  <c r="H46" i="60"/>
  <c r="H48" i="60" s="1"/>
  <c r="H23" i="60"/>
  <c r="H24" i="60" s="1"/>
  <c r="H25" i="60" s="1"/>
  <c r="H26" i="60" s="1"/>
  <c r="H27" i="60" s="1"/>
  <c r="C46" i="59"/>
  <c r="C48" i="59" s="1"/>
  <c r="C23" i="59"/>
  <c r="E23" i="59"/>
  <c r="E24" i="59" s="1"/>
  <c r="E46" i="59"/>
  <c r="E48" i="59" s="1"/>
  <c r="G46" i="60"/>
  <c r="G48" i="60" s="1"/>
  <c r="G23" i="60"/>
  <c r="G24" i="60" s="1"/>
  <c r="G25" i="60" s="1"/>
  <c r="G26" i="60" s="1"/>
  <c r="G27" i="60" s="1"/>
  <c r="F23" i="60"/>
  <c r="F24" i="60" s="1"/>
  <c r="F25" i="60" s="1"/>
  <c r="F26" i="60" s="1"/>
  <c r="F27" i="60" s="1"/>
  <c r="F46" i="60"/>
  <c r="F48" i="60" s="1"/>
  <c r="H26" i="57"/>
  <c r="H27" i="57" s="1"/>
  <c r="I17" i="60"/>
  <c r="H23" i="59"/>
  <c r="H24" i="59" s="1"/>
  <c r="H25" i="59" s="1"/>
  <c r="H26" i="59" s="1"/>
  <c r="H27" i="59" s="1"/>
  <c r="H46" i="59"/>
  <c r="H48" i="59" s="1"/>
  <c r="D46" i="59"/>
  <c r="D48" i="59" s="1"/>
  <c r="D23" i="59"/>
  <c r="D24" i="59" s="1"/>
  <c r="D25" i="59" s="1"/>
  <c r="D26" i="59" s="1"/>
  <c r="D27" i="59" s="1"/>
  <c r="I17" i="59"/>
  <c r="E23" i="60"/>
  <c r="E24" i="60" s="1"/>
  <c r="E25" i="60" s="1"/>
  <c r="E26" i="60" s="1"/>
  <c r="E27" i="60" s="1"/>
  <c r="E46" i="60"/>
  <c r="E48" i="60" s="1"/>
  <c r="C46" i="60"/>
  <c r="C48" i="60" s="1"/>
  <c r="C23" i="60"/>
  <c r="C24" i="60" s="1"/>
  <c r="C25" i="60" s="1"/>
  <c r="C26" i="60" s="1"/>
  <c r="H30" i="56"/>
  <c r="C16" i="59"/>
  <c r="I15" i="59"/>
  <c r="F13" i="56" s="1"/>
  <c r="F39" i="56" s="1"/>
  <c r="C24" i="59"/>
  <c r="C25" i="59" s="1"/>
  <c r="C26" i="59" s="1"/>
  <c r="C16" i="60"/>
  <c r="I15" i="60"/>
  <c r="G13" i="56" s="1"/>
  <c r="G39" i="56" s="1"/>
  <c r="G26" i="57"/>
  <c r="G27" i="57" s="1"/>
  <c r="F25" i="57"/>
  <c r="F26" i="57" s="1"/>
  <c r="F27" i="57" s="1"/>
  <c r="E25" i="57"/>
  <c r="E26" i="57" s="1"/>
  <c r="E27" i="57" s="1"/>
  <c r="C25" i="57"/>
  <c r="C26" i="57" s="1"/>
  <c r="C27" i="57" s="1"/>
  <c r="E45" i="56"/>
  <c r="E51" i="56"/>
  <c r="I17" i="58"/>
  <c r="G46" i="58"/>
  <c r="G48" i="58" s="1"/>
  <c r="G23" i="58"/>
  <c r="G24" i="58" s="1"/>
  <c r="C46" i="58"/>
  <c r="C48" i="58" s="1"/>
  <c r="C23" i="58"/>
  <c r="C24" i="58" s="1"/>
  <c r="E46" i="58"/>
  <c r="E48" i="58" s="1"/>
  <c r="E23" i="58"/>
  <c r="E24" i="58" s="1"/>
  <c r="H51" i="56"/>
  <c r="D23" i="58"/>
  <c r="D24" i="58" s="1"/>
  <c r="H46" i="58"/>
  <c r="H48" i="58" s="1"/>
  <c r="H23" i="58"/>
  <c r="H24" i="58" s="1"/>
  <c r="F46" i="58"/>
  <c r="F48" i="58" s="1"/>
  <c r="F23" i="58"/>
  <c r="F24" i="58" s="1"/>
  <c r="H32" i="56"/>
  <c r="H33" i="56" s="1"/>
  <c r="D24" i="43"/>
  <c r="D25" i="43" s="1"/>
  <c r="I15" i="43"/>
  <c r="D16" i="43"/>
  <c r="H35" i="56"/>
  <c r="H12" i="56"/>
  <c r="D16" i="57"/>
  <c r="D24" i="57"/>
  <c r="I15" i="57"/>
  <c r="D16" i="58"/>
  <c r="I15" i="58"/>
  <c r="H46" i="56"/>
  <c r="H52" i="56"/>
  <c r="I23" i="60" l="1"/>
  <c r="G21" i="56" s="1"/>
  <c r="G40" i="56" s="1"/>
  <c r="G15" i="56"/>
  <c r="I23" i="59"/>
  <c r="F21" i="56" s="1"/>
  <c r="F40" i="56" s="1"/>
  <c r="F15" i="56"/>
  <c r="E25" i="59"/>
  <c r="E26" i="59" s="1"/>
  <c r="I16" i="60"/>
  <c r="G14" i="56" s="1"/>
  <c r="I16" i="59"/>
  <c r="F14" i="56" s="1"/>
  <c r="C27" i="60"/>
  <c r="I26" i="60"/>
  <c r="C27" i="59"/>
  <c r="D25" i="57"/>
  <c r="D26" i="57" s="1"/>
  <c r="G25" i="58"/>
  <c r="G26" i="58" s="1"/>
  <c r="G27" i="58" s="1"/>
  <c r="D25" i="58"/>
  <c r="D26" i="58" s="1"/>
  <c r="D27" i="58" s="1"/>
  <c r="H25" i="58"/>
  <c r="H26" i="58" s="1"/>
  <c r="H27" i="58" s="1"/>
  <c r="C25" i="58"/>
  <c r="C26" i="58" s="1"/>
  <c r="F25" i="58"/>
  <c r="F26" i="58" s="1"/>
  <c r="F27" i="58" s="1"/>
  <c r="E25" i="58"/>
  <c r="E26" i="58" s="1"/>
  <c r="E27" i="58" s="1"/>
  <c r="E15" i="56"/>
  <c r="I23" i="58"/>
  <c r="I16" i="57"/>
  <c r="I24" i="57"/>
  <c r="I25" i="57" s="1"/>
  <c r="D13" i="56"/>
  <c r="D26" i="43"/>
  <c r="I16" i="58"/>
  <c r="I24" i="58"/>
  <c r="I25" i="58" s="1"/>
  <c r="E13" i="56"/>
  <c r="I16" i="43"/>
  <c r="I24" i="43"/>
  <c r="C13" i="56"/>
  <c r="I24" i="59" l="1"/>
  <c r="I25" i="59" s="1"/>
  <c r="F23" i="56" s="1"/>
  <c r="G42" i="56"/>
  <c r="G49" i="56"/>
  <c r="F42" i="56"/>
  <c r="F49" i="56"/>
  <c r="I24" i="60"/>
  <c r="G22" i="56" s="1"/>
  <c r="G54" i="56" s="1"/>
  <c r="I27" i="60"/>
  <c r="G25" i="56" s="1"/>
  <c r="G24" i="56"/>
  <c r="F22" i="56"/>
  <c r="F54" i="56" s="1"/>
  <c r="E27" i="59"/>
  <c r="I26" i="59"/>
  <c r="I25" i="43"/>
  <c r="C23" i="56" s="1"/>
  <c r="C22" i="56"/>
  <c r="I26" i="57"/>
  <c r="D24" i="56" s="1"/>
  <c r="D27" i="57"/>
  <c r="C27" i="58"/>
  <c r="I26" i="58"/>
  <c r="E24" i="56" s="1"/>
  <c r="E42" i="56"/>
  <c r="H15" i="56"/>
  <c r="E49" i="56"/>
  <c r="E21" i="56"/>
  <c r="D27" i="43"/>
  <c r="I26" i="43"/>
  <c r="E39" i="56"/>
  <c r="E14" i="56"/>
  <c r="D22" i="56"/>
  <c r="D54" i="56" s="1"/>
  <c r="D23" i="56"/>
  <c r="C39" i="56"/>
  <c r="C40" i="56" s="1"/>
  <c r="C14" i="56"/>
  <c r="H13" i="56"/>
  <c r="E23" i="56"/>
  <c r="E22" i="56"/>
  <c r="E54" i="56" s="1"/>
  <c r="D14" i="56"/>
  <c r="D39" i="56"/>
  <c r="D40" i="56" s="1"/>
  <c r="I25" i="60" l="1"/>
  <c r="G23" i="56" s="1"/>
  <c r="G60" i="56"/>
  <c r="G59" i="56" s="1"/>
  <c r="G53" i="56"/>
  <c r="I27" i="59"/>
  <c r="F25" i="56" s="1"/>
  <c r="F24" i="56"/>
  <c r="I27" i="57"/>
  <c r="E40" i="56"/>
  <c r="I27" i="58"/>
  <c r="H23" i="56"/>
  <c r="H42" i="56"/>
  <c r="H21" i="56"/>
  <c r="H49" i="56"/>
  <c r="D53" i="56"/>
  <c r="D25" i="56"/>
  <c r="D60" i="56"/>
  <c r="D59" i="56" s="1"/>
  <c r="H39" i="56"/>
  <c r="H14" i="56"/>
  <c r="I27" i="43"/>
  <c r="C24" i="56"/>
  <c r="H22" i="56"/>
  <c r="H54" i="56" s="1"/>
  <c r="C54" i="56"/>
  <c r="E25" i="56"/>
  <c r="E60" i="56"/>
  <c r="E59" i="56" s="1"/>
  <c r="E53" i="56"/>
  <c r="F53" i="56" l="1"/>
  <c r="F60" i="56"/>
  <c r="F59" i="56" s="1"/>
  <c r="I23" i="56"/>
  <c r="H40" i="56"/>
  <c r="C60" i="56"/>
  <c r="C59" i="56" s="1"/>
  <c r="C53" i="56"/>
  <c r="H24" i="56"/>
  <c r="C25" i="56"/>
  <c r="H60" i="56" l="1"/>
  <c r="H59" i="56" s="1"/>
  <c r="H53" i="56"/>
  <c r="H25" i="56"/>
</calcChain>
</file>

<file path=xl/comments1.xml><?xml version="1.0" encoding="utf-8"?>
<comments xmlns="http://schemas.openxmlformats.org/spreadsheetml/2006/main">
  <authors>
    <author>作者</author>
  </authors>
  <commentList>
    <comment ref="O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<sst xmlns="http://schemas.openxmlformats.org/spreadsheetml/2006/main" count="1515" uniqueCount="301">
  <si>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</si>
  <si>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</si>
  <si>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</si>
  <si>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</si>
  <si>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</si>
  <si>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</si>
  <si>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</si>
  <si>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</si>
  <si>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</si>
  <si>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</si>
  <si>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</si>
  <si>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</si>
  <si>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</si>
  <si>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</si>
  <si>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</si>
  <si>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</si>
  <si>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</si>
  <si>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</si>
  <si>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</si>
  <si>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</si>
  <si>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</si>
  <si>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</si>
  <si>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</si>
  <si>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</si>
  <si>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</si>
  <si>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</si>
  <si>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</si>
  <si>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</si>
  <si>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</si>
  <si>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</si>
  <si>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</si>
  <si>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</si>
  <si>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</si>
  <si>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</si>
  <si>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</si>
  <si>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</si>
  <si>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</si>
  <si>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</si>
  <si>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</si>
  <si>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</si>
  <si>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</si>
  <si>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</si>
  <si>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</si>
  <si>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</si>
  <si>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</si>
  <si>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</si>
  <si>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</si>
  <si>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</si>
  <si>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</si>
  <si>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</si>
  <si>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</si>
  <si>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</si>
  <si>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</si>
  <si>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</si>
  <si>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</si>
  <si>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</si>
  <si>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</si>
  <si>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</si>
  <si>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</si>
  <si>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</si>
  <si>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</si>
  <si>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</si>
  <si>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</si>
  <si>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</si>
  <si>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</si>
  <si>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</si>
  <si>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</si>
  <si>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</si>
  <si>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</si>
  <si>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</si>
  <si>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</si>
  <si>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</si>
  <si>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</si>
  <si>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</si>
  <si>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</si>
  <si>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</si>
  <si>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</si>
  <si>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</si>
  <si>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</si>
  <si>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</si>
  <si>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</si>
  <si>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</si>
  <si>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</si>
  <si>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</si>
  <si>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</si>
  <si>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</si>
  <si>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</si>
  <si>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</si>
  <si>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</si>
  <si>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</si>
  <si>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</si>
  <si>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</si>
  <si>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</si>
  <si>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</si>
  <si>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</si>
  <si>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</si>
  <si>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</si>
  <si>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</si>
  <si>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</si>
  <si>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</si>
  <si>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</si>
  <si>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</si>
  <si>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</si>
  <si>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</si>
  <si>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</si>
  <si>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</si>
  <si>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</si>
  <si>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</si>
  <si>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</si>
  <si>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</si>
  <si>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</si>
  <si>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</si>
  <si>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</si>
  <si>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</si>
  <si>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</si>
  <si>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</si>
  <si>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</si>
  <si>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</si>
  <si>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</si>
  <si>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</si>
  <si>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</si>
  <si>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</si>
  <si>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</si>
  <si>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</si>
  <si>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</si>
  <si>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</si>
  <si>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</si>
  <si>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</si>
  <si>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</si>
  <si>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</si>
  <si>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</si>
  <si>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</si>
  <si>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</si>
  <si>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</si>
  <si>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</si>
  <si>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</si>
  <si>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</si>
  <si>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</si>
  <si>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</si>
  <si>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</si>
  <si>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</si>
  <si>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</si>
  <si>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</si>
  <si>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</si>
  <si>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</si>
  <si>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</si>
  <si>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</si>
  <si>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</si>
  <si>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</si>
  <si>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</si>
  <si>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</si>
  <si>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</si>
  <si>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</si>
  <si>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</si>
  <si>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 xml:space="preserve">2026年  </t>
  </si>
  <si>
    <t xml:space="preserve">2027年 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</si>
  <si>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</si>
  <si>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</si>
  <si>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</si>
  <si>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</si>
  <si>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</si>
  <si>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</si>
  <si>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</si>
  <si>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</si>
  <si>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</si>
  <si>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</si>
  <si>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</si>
  <si>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</si>
  <si>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</si>
  <si>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</si>
  <si>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</si>
  <si>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</si>
  <si>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</si>
  <si>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</si>
  <si>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</si>
  <si>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</si>
  <si>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</si>
  <si>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</si>
  <si>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</si>
  <si>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</si>
  <si>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</si>
  <si>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</si>
  <si>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</si>
  <si>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</si>
  <si>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</si>
  <si>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</si>
  <si>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</si>
  <si>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</si>
  <si>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</si>
  <si>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</si>
  <si>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</si>
  <si>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</si>
  <si>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</si>
  <si>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</si>
  <si>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</si>
  <si>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</si>
  <si>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</si>
  <si>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</si>
  <si>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</si>
  <si>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</si>
  <si>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</si>
  <si>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</si>
  <si>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</si>
  <si>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目标材料成本</t>
  </si>
  <si>
    <t>降本目标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</si>
  <si>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</si>
  <si>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</si>
  <si>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</si>
  <si>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</si>
  <si>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</si>
  <si>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</si>
  <si>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</si>
  <si>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</si>
  <si>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</si>
  <si>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</si>
  <si>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</si>
  <si>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</si>
  <si>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</si>
  <si>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</si>
  <si>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</si>
  <si>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</si>
  <si>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</si>
  <si>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</si>
  <si>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</si>
  <si>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</si>
  <si>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</si>
  <si>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</si>
  <si>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</si>
  <si>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</si>
  <si>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</si>
  <si>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</si>
  <si>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</si>
  <si>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</si>
  <si>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</si>
  <si>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</si>
  <si>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</si>
  <si>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</si>
  <si>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</si>
  <si>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</si>
  <si>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</si>
  <si>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</si>
  <si>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</si>
  <si>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</si>
  <si>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</si>
  <si>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</si>
  <si>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</si>
  <si>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</si>
  <si>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</si>
  <si>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</si>
  <si>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</si>
  <si>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</si>
  <si>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</si>
  <si>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</si>
  <si>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</si>
  <si>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</si>
  <si>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</si>
  <si>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</si>
  <si>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</si>
  <si>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</si>
  <si>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</si>
  <si>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</si>
  <si>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</si>
  <si>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</si>
  <si>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</si>
  <si>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</si>
  <si>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</si>
  <si>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座椅单件金额</t>
    <phoneticPr fontId="43" type="noConversion"/>
  </si>
  <si>
    <t>2024年座椅</t>
    <phoneticPr fontId="43" type="noConversion"/>
  </si>
  <si>
    <t>河北工厂座椅平均值</t>
    <phoneticPr fontId="43" type="noConversion"/>
  </si>
  <si>
    <t>变动费用参考河北工厂2024年实际暂估。</t>
    <phoneticPr fontId="43" type="noConversion"/>
  </si>
  <si>
    <t>财务费用按河北综合。</t>
    <phoneticPr fontId="43" type="noConversion"/>
  </si>
  <si>
    <t xml:space="preserve">项目研发费用预算表 </t>
    <phoneticPr fontId="43" type="noConversion"/>
  </si>
  <si>
    <t>山东济南</t>
    <phoneticPr fontId="43" type="noConversion"/>
  </si>
  <si>
    <t>工装</t>
    <phoneticPr fontId="43" type="noConversion"/>
  </si>
  <si>
    <t>单位：未税、元</t>
    <phoneticPr fontId="43" type="noConversion"/>
  </si>
  <si>
    <r>
      <rPr>
        <b/>
        <sz val="10"/>
        <rFont val="宋体"/>
        <family val="3"/>
        <charset val="134"/>
      </rPr>
      <t>项</t>
    </r>
    <r>
      <rPr>
        <b/>
        <sz val="10"/>
        <rFont val="CorpoS"/>
        <family val="1"/>
      </rPr>
      <t xml:space="preserve">  </t>
    </r>
    <r>
      <rPr>
        <b/>
        <sz val="10"/>
        <rFont val="宋体"/>
        <family val="3"/>
        <charset val="134"/>
      </rPr>
      <t>目</t>
    </r>
    <phoneticPr fontId="43" type="noConversion"/>
  </si>
  <si>
    <t>合 计</t>
    <phoneticPr fontId="43" type="noConversion"/>
  </si>
  <si>
    <t>直接材料</t>
    <phoneticPr fontId="43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</si>
  <si>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3" type="noConversion"/>
  </si>
  <si>
    <r>
      <t xml:space="preserve">    项目建设及投资估算表  </t>
    </r>
    <r>
      <rPr>
        <b/>
        <sz val="8"/>
        <color indexed="8"/>
        <rFont val="宋体"/>
        <family val="3"/>
        <charset val="134"/>
      </rPr>
      <t>单位：万元</t>
    </r>
    <phoneticPr fontId="43" type="noConversion"/>
  </si>
  <si>
    <t>项 目</t>
    <phoneticPr fontId="43" type="noConversion"/>
  </si>
  <si>
    <t>合 计</t>
    <phoneticPr fontId="43" type="noConversion"/>
  </si>
  <si>
    <t>变动费用小计</t>
    <phoneticPr fontId="43" type="noConversion"/>
  </si>
  <si>
    <t>所得税(税率15%）</t>
    <phoneticPr fontId="43" type="noConversion"/>
  </si>
  <si>
    <t>所得税(税率15%）</t>
    <phoneticPr fontId="43" type="noConversion"/>
  </si>
  <si>
    <t>所得税(税率15%）</t>
    <phoneticPr fontId="43" type="noConversion"/>
  </si>
  <si>
    <t>出口升级130G转盘项目可行性分析</t>
    <phoneticPr fontId="43" type="noConversion"/>
  </si>
  <si>
    <t>出口升级130G转盘项目</t>
    <phoneticPr fontId="43" type="noConversion"/>
  </si>
  <si>
    <t>ZY2504</t>
    <phoneticPr fontId="43" type="noConversion"/>
  </si>
  <si>
    <t>供应商年降：       年1%*3+2%*1</t>
    <phoneticPr fontId="43" type="noConversion"/>
  </si>
  <si>
    <t>1%*3+2%*1</t>
  </si>
  <si>
    <t xml:space="preserve">2028年  </t>
    <phoneticPr fontId="43" type="noConversion"/>
  </si>
  <si>
    <t xml:space="preserve">2029年  </t>
    <phoneticPr fontId="43" type="noConversion"/>
  </si>
  <si>
    <t>戴姆勒卡车集团DTAG</t>
    <phoneticPr fontId="43" type="noConversion"/>
  </si>
  <si>
    <t>130G转盘</t>
  </si>
  <si>
    <t>降价1%</t>
  </si>
  <si>
    <t>降价1%</t>
    <phoneticPr fontId="43" type="noConversion"/>
  </si>
  <si>
    <t>降价2%</t>
  </si>
  <si>
    <t>预计客户支付</t>
    <phoneticPr fontId="43" type="noConversion"/>
  </si>
  <si>
    <t>河北工厂平均值</t>
    <phoneticPr fontId="43" type="noConversion"/>
  </si>
  <si>
    <t>转盘新增零部件开模费用128.94万  试验费用因主机厂没有明确，预计76.06万  共计：205万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</si>
</sst>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333333"/>
      <name val="Arial"/>
      <family val="2"/>
    </font>
    <font>
      <sz val="12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3" fillId="0" borderId="0"/>
    <xf numFmtId="0" fontId="34" fillId="0" borderId="2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0" borderId="0"/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5" fillId="0" borderId="0"/>
  </cellStyleXfs>
  <cellXfs count="2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2" applyNumberFormat="1" applyFont="1" applyFill="1">
      <alignment vertical="center"/>
    </xf>
    <xf numFmtId="178" fontId="3" fillId="5" borderId="0" xfId="2" applyNumberFormat="1" applyFont="1" applyFill="1">
      <alignment vertical="center"/>
    </xf>
    <xf numFmtId="0" fontId="3" fillId="5" borderId="0" xfId="0" applyFont="1" applyFill="1">
      <alignment vertical="center"/>
    </xf>
    <xf numFmtId="43" fontId="3" fillId="5" borderId="0" xfId="0" applyNumberFormat="1" applyFont="1" applyFill="1">
      <alignment vertical="center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0" fontId="0" fillId="7" borderId="2" xfId="0" applyFill="1" applyBorder="1">
      <alignment vertical="center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3" fontId="23" fillId="0" borderId="0" xfId="1" applyFont="1" applyFill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3" fillId="0" borderId="2" xfId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10" fontId="23" fillId="0" borderId="2" xfId="2" applyNumberFormat="1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9" fontId="23" fillId="0" borderId="2" xfId="2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3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3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3" fillId="0" borderId="0" xfId="0" applyNumberFormat="1" applyFont="1" applyFill="1">
      <alignment vertical="center"/>
    </xf>
    <xf numFmtId="10" fontId="23" fillId="0" borderId="0" xfId="0" applyNumberFormat="1" applyFont="1" applyFill="1">
      <alignment vertical="center"/>
    </xf>
    <xf numFmtId="0" fontId="26" fillId="0" borderId="0" xfId="0" applyFont="1" applyFill="1">
      <alignment vertical="center"/>
    </xf>
    <xf numFmtId="180" fontId="23" fillId="0" borderId="0" xfId="0" applyNumberFormat="1" applyFont="1" applyFill="1">
      <alignment vertical="center"/>
    </xf>
    <xf numFmtId="10" fontId="23" fillId="0" borderId="2" xfId="2" applyNumberFormat="1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43" fontId="23" fillId="0" borderId="0" xfId="1" applyFont="1">
      <alignment vertical="center"/>
    </xf>
    <xf numFmtId="43" fontId="27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177" fontId="23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4" fillId="8" borderId="2" xfId="0" applyFont="1" applyFill="1" applyBorder="1">
      <alignment vertical="center"/>
    </xf>
    <xf numFmtId="177" fontId="22" fillId="8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3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3" fillId="0" borderId="2" xfId="1" applyNumberFormat="1" applyFont="1" applyFill="1" applyBorder="1">
      <alignment vertical="center"/>
    </xf>
    <xf numFmtId="0" fontId="28" fillId="8" borderId="2" xfId="0" applyFont="1" applyFill="1" applyBorder="1">
      <alignment vertical="center"/>
    </xf>
    <xf numFmtId="177" fontId="23" fillId="0" borderId="2" xfId="1" applyNumberFormat="1" applyFont="1" applyBorder="1" applyAlignment="1">
      <alignment horizontal="center" vertical="center"/>
    </xf>
    <xf numFmtId="10" fontId="23" fillId="0" borderId="2" xfId="2" applyNumberFormat="1" applyFont="1" applyBorder="1">
      <alignment vertical="center"/>
    </xf>
    <xf numFmtId="10" fontId="23" fillId="0" borderId="0" xfId="2" applyNumberFormat="1" applyFont="1" applyBorder="1">
      <alignment vertical="center"/>
    </xf>
    <xf numFmtId="43" fontId="23" fillId="0" borderId="0" xfId="1" applyFont="1" applyBorder="1">
      <alignment vertical="center"/>
    </xf>
    <xf numFmtId="0" fontId="24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3" fontId="23" fillId="0" borderId="2" xfId="1" applyFont="1" applyBorder="1">
      <alignment vertical="center"/>
    </xf>
    <xf numFmtId="177" fontId="23" fillId="0" borderId="2" xfId="1" applyNumberFormat="1" applyFont="1" applyBorder="1">
      <alignment vertical="center"/>
    </xf>
    <xf numFmtId="0" fontId="22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3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29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8" borderId="2" xfId="3" applyFont="1" applyFill="1" applyBorder="1" applyProtection="1"/>
    <xf numFmtId="177" fontId="18" fillId="8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9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8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3" fillId="0" borderId="2" xfId="0" applyFont="1" applyFill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left" vertical="center" wrapText="1" readingOrder="1"/>
    </xf>
    <xf numFmtId="0" fontId="32" fillId="0" borderId="2" xfId="0" applyFont="1" applyFill="1" applyBorder="1" applyAlignment="1">
      <alignment horizontal="center" vertical="center"/>
    </xf>
    <xf numFmtId="10" fontId="44" fillId="0" borderId="2" xfId="2" applyNumberFormat="1" applyFont="1" applyFill="1" applyBorder="1" applyAlignment="1">
      <alignment horizontal="center" vertical="center"/>
    </xf>
    <xf numFmtId="10" fontId="0" fillId="5" borderId="2" xfId="2" applyNumberFormat="1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44" fillId="5" borderId="2" xfId="2" applyNumberFormat="1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left" vertical="top" wrapText="1"/>
    </xf>
    <xf numFmtId="0" fontId="46" fillId="0" borderId="2" xfId="0" applyFont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vertical="center" wrapText="1"/>
    </xf>
    <xf numFmtId="43" fontId="18" fillId="3" borderId="2" xfId="1" applyFont="1" applyFill="1" applyBorder="1" applyAlignment="1" applyProtection="1">
      <alignment vertical="center" wrapText="1"/>
    </xf>
    <xf numFmtId="0" fontId="23" fillId="0" borderId="2" xfId="0" applyFont="1" applyFill="1" applyBorder="1" applyAlignment="1">
      <alignment horizontal="center" vertical="center"/>
    </xf>
    <xf numFmtId="31" fontId="0" fillId="0" borderId="0" xfId="0" applyNumberFormat="1">
      <alignment vertical="center"/>
    </xf>
    <xf numFmtId="0" fontId="32" fillId="0" borderId="0" xfId="0" applyFont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179" fontId="49" fillId="0" borderId="2" xfId="7" applyNumberFormat="1" applyFont="1" applyFill="1" applyBorder="1" applyAlignment="1">
      <alignment horizontal="center" vertical="center" wrapText="1"/>
    </xf>
    <xf numFmtId="43" fontId="49" fillId="0" borderId="2" xfId="1" applyFont="1" applyFill="1" applyBorder="1" applyAlignment="1">
      <alignment horizontal="center" vertical="center" wrapText="1"/>
    </xf>
    <xf numFmtId="0" fontId="49" fillId="0" borderId="2" xfId="3" applyNumberFormat="1" applyFont="1" applyFill="1" applyBorder="1" applyAlignment="1" applyProtection="1">
      <alignment horizontal="center" vertical="center"/>
    </xf>
    <xf numFmtId="179" fontId="49" fillId="0" borderId="2" xfId="7" applyNumberFormat="1" applyFont="1" applyFill="1" applyBorder="1" applyAlignment="1">
      <alignment horizontal="left" vertical="center"/>
    </xf>
    <xf numFmtId="43" fontId="49" fillId="4" borderId="2" xfId="1" applyFont="1" applyFill="1" applyBorder="1" applyAlignment="1">
      <alignment horizontal="center" vertical="center"/>
    </xf>
    <xf numFmtId="43" fontId="49" fillId="0" borderId="2" xfId="1" applyFont="1" applyFill="1" applyBorder="1" applyAlignment="1">
      <alignment horizontal="center" vertical="center"/>
    </xf>
    <xf numFmtId="179" fontId="49" fillId="0" borderId="3" xfId="7" applyNumberFormat="1" applyFont="1" applyFill="1" applyBorder="1" applyAlignment="1">
      <alignment horizontal="center" vertical="center"/>
    </xf>
    <xf numFmtId="179" fontId="49" fillId="0" borderId="3" xfId="7" applyNumberFormat="1" applyFont="1" applyFill="1" applyBorder="1" applyAlignment="1">
      <alignment horizontal="left" vertical="center" wrapText="1"/>
    </xf>
    <xf numFmtId="0" fontId="38" fillId="6" borderId="2" xfId="3" applyNumberFormat="1" applyFont="1" applyFill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9" fontId="3" fillId="0" borderId="0" xfId="0" applyNumberFormat="1" applyFont="1" applyFill="1">
      <alignment vertical="center"/>
    </xf>
    <xf numFmtId="176" fontId="3" fillId="2" borderId="0" xfId="0" applyNumberFormat="1" applyFont="1" applyFill="1">
      <alignment vertical="center"/>
    </xf>
    <xf numFmtId="0" fontId="50" fillId="2" borderId="0" xfId="0" applyFont="1" applyFill="1">
      <alignment vertical="center"/>
    </xf>
    <xf numFmtId="0" fontId="51" fillId="0" borderId="2" xfId="0" applyFont="1" applyFill="1" applyBorder="1" applyAlignment="1">
      <alignment horizontal="center" vertical="center" wrapText="1" readingOrder="1"/>
    </xf>
    <xf numFmtId="43" fontId="32" fillId="0" borderId="0" xfId="1" applyFont="1">
      <alignment vertical="center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43" fontId="23" fillId="0" borderId="3" xfId="1" applyFont="1" applyFill="1" applyBorder="1" applyAlignment="1">
      <alignment horizontal="center" vertical="center"/>
    </xf>
    <xf numFmtId="43" fontId="23" fillId="0" borderId="4" xfId="1" applyFont="1" applyFill="1" applyBorder="1" applyAlignment="1">
      <alignment horizontal="center" vertical="center"/>
    </xf>
    <xf numFmtId="43" fontId="23" fillId="0" borderId="5" xfId="1" applyFont="1" applyFill="1" applyBorder="1" applyAlignment="1">
      <alignment horizontal="center" vertical="center"/>
    </xf>
    <xf numFmtId="43" fontId="23" fillId="4" borderId="2" xfId="1" applyFont="1" applyFill="1" applyBorder="1" applyAlignment="1">
      <alignment horizontal="center" vertical="center"/>
    </xf>
    <xf numFmtId="0" fontId="17" fillId="6" borderId="1" xfId="3" applyNumberFormat="1" applyFont="1" applyFill="1" applyBorder="1" applyAlignment="1" applyProtection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4" sqref="C14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4" customFormat="1" ht="35.25" customHeight="1">
      <c r="A2" s="175" t="s">
        <v>0</v>
      </c>
      <c r="B2" s="175" t="s">
        <v>1</v>
      </c>
      <c r="C2" s="175" t="s">
        <v>2</v>
      </c>
      <c r="D2" s="176"/>
    </row>
    <row r="3" spans="1:4" s="174" customFormat="1" ht="33.75" customHeight="1">
      <c r="A3" s="177">
        <v>1</v>
      </c>
      <c r="B3" s="177" t="s">
        <v>3</v>
      </c>
      <c r="C3" s="178" t="s">
        <v>4</v>
      </c>
      <c r="D3" s="176"/>
    </row>
    <row r="4" spans="1:4" s="174" customFormat="1" ht="33.75" customHeight="1">
      <c r="A4" s="177">
        <v>2</v>
      </c>
      <c r="B4" s="177" t="s">
        <v>5</v>
      </c>
      <c r="C4" s="178" t="s">
        <v>6</v>
      </c>
    </row>
    <row r="5" spans="1:4" s="174" customFormat="1" ht="33.75" customHeight="1">
      <c r="A5" s="177">
        <v>3</v>
      </c>
      <c r="B5" s="213" t="s">
        <v>7</v>
      </c>
      <c r="C5" s="179" t="s">
        <v>8</v>
      </c>
    </row>
    <row r="6" spans="1:4" s="174" customFormat="1" ht="33.75" customHeight="1">
      <c r="A6" s="177">
        <v>4</v>
      </c>
      <c r="B6" s="214"/>
      <c r="C6" s="178" t="s">
        <v>9</v>
      </c>
    </row>
    <row r="7" spans="1:4" s="174" customFormat="1" ht="33.75" customHeight="1">
      <c r="A7" s="177">
        <v>5</v>
      </c>
      <c r="B7" s="180" t="s">
        <v>10</v>
      </c>
      <c r="C7" s="178" t="s">
        <v>269</v>
      </c>
    </row>
    <row r="8" spans="1:4" s="174" customFormat="1" ht="33.75" customHeight="1">
      <c r="A8" s="177">
        <v>6</v>
      </c>
      <c r="B8" s="213" t="s">
        <v>11</v>
      </c>
      <c r="C8" s="178" t="s">
        <v>12</v>
      </c>
    </row>
    <row r="9" spans="1:4" s="174" customFormat="1" ht="33.75" customHeight="1">
      <c r="A9" s="177">
        <v>7</v>
      </c>
      <c r="B9" s="214"/>
      <c r="C9" s="178" t="s">
        <v>13</v>
      </c>
    </row>
    <row r="10" spans="1:4" s="174" customFormat="1" ht="33.75" customHeight="1">
      <c r="A10" s="177">
        <v>8</v>
      </c>
      <c r="B10" s="214"/>
      <c r="C10" s="179" t="s">
        <v>270</v>
      </c>
    </row>
    <row r="11" spans="1:4" s="174" customFormat="1" ht="33.75" customHeight="1">
      <c r="A11" s="177">
        <v>9</v>
      </c>
      <c r="B11" s="214"/>
      <c r="C11" s="178" t="s">
        <v>14</v>
      </c>
    </row>
    <row r="12" spans="1:4" s="174" customFormat="1" ht="33.75" customHeight="1">
      <c r="A12" s="177">
        <v>10</v>
      </c>
      <c r="B12" s="180" t="s">
        <v>15</v>
      </c>
      <c r="C12" s="178" t="s">
        <v>16</v>
      </c>
    </row>
    <row r="13" spans="1:4" ht="33.75" customHeight="1"/>
    <row r="14" spans="1:4" ht="33.75" customHeight="1"/>
    <row r="15" spans="1:4" ht="33.75" customHeight="1">
      <c r="C15" s="181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85" zoomScaleNormal="85" workbookViewId="0">
      <selection activeCell="M7" sqref="M7:M10"/>
    </sheetView>
  </sheetViews>
  <sheetFormatPr defaultColWidth="9" defaultRowHeight="16.5"/>
  <cols>
    <col min="1" max="1" width="14" style="47" customWidth="1"/>
    <col min="2" max="2" width="14.125" style="47" customWidth="1"/>
    <col min="3" max="3" width="14.75" style="47" customWidth="1"/>
    <col min="4" max="4" width="11.125" style="47" customWidth="1"/>
    <col min="5" max="5" width="12.875" style="47" customWidth="1"/>
    <col min="6" max="6" width="11.125" style="47" customWidth="1"/>
    <col min="7" max="7" width="13.25" style="47" customWidth="1"/>
    <col min="8" max="8" width="12.125" style="47" customWidth="1"/>
    <col min="9" max="9" width="11.625" style="47" customWidth="1"/>
    <col min="10" max="10" width="10.25" style="47" customWidth="1"/>
    <col min="11" max="12" width="10.25" style="48" customWidth="1"/>
    <col min="13" max="16384" width="9" style="47"/>
  </cols>
  <sheetData>
    <row r="1" spans="1:13" ht="29.25" customHeight="1">
      <c r="A1" s="49" t="s">
        <v>193</v>
      </c>
      <c r="E1" s="50"/>
      <c r="F1" s="50"/>
      <c r="G1" s="50"/>
      <c r="H1" s="50"/>
      <c r="I1" s="50"/>
    </row>
    <row r="2" spans="1:13" ht="24" customHeight="1">
      <c r="A2" s="51" t="s">
        <v>194</v>
      </c>
      <c r="E2" s="50"/>
      <c r="F2" s="50"/>
      <c r="G2" s="50"/>
      <c r="H2" s="50"/>
      <c r="I2" s="50"/>
    </row>
    <row r="3" spans="1:13">
      <c r="C3" s="47" t="s">
        <v>195</v>
      </c>
      <c r="D3" s="47" t="s">
        <v>196</v>
      </c>
      <c r="E3" s="52">
        <v>0.01</v>
      </c>
      <c r="F3" s="210" t="s">
        <v>290</v>
      </c>
      <c r="G3" s="208">
        <v>0.02</v>
      </c>
    </row>
    <row r="5" spans="1:13" ht="45" customHeight="1">
      <c r="A5" s="243" t="s">
        <v>197</v>
      </c>
      <c r="B5" s="53" t="s">
        <v>146</v>
      </c>
      <c r="C5" s="187" t="s">
        <v>294</v>
      </c>
      <c r="D5" s="15"/>
      <c r="E5" s="15"/>
      <c r="F5" s="15"/>
      <c r="G5" s="15"/>
      <c r="H5" s="15"/>
      <c r="I5" s="244" t="s">
        <v>52</v>
      </c>
    </row>
    <row r="6" spans="1:13" ht="31.5" customHeight="1">
      <c r="A6" s="243"/>
      <c r="B6" s="53" t="s">
        <v>147</v>
      </c>
      <c r="C6" s="188"/>
      <c r="D6" s="17"/>
      <c r="E6" s="17"/>
      <c r="F6" s="17"/>
      <c r="G6" s="17"/>
      <c r="H6" s="17"/>
      <c r="I6" s="245"/>
      <c r="K6" s="48">
        <v>100</v>
      </c>
    </row>
    <row r="7" spans="1:13" ht="30" customHeight="1">
      <c r="A7" s="243"/>
      <c r="B7" s="17" t="s">
        <v>198</v>
      </c>
      <c r="C7" s="189"/>
      <c r="D7" s="54"/>
      <c r="E7" s="17"/>
      <c r="F7" s="17"/>
      <c r="G7" s="54"/>
      <c r="H7" s="54"/>
      <c r="I7" s="246"/>
      <c r="J7" s="47">
        <v>2026</v>
      </c>
      <c r="K7" s="48">
        <f>K6*(1-$E$3)</f>
        <v>99</v>
      </c>
      <c r="L7" s="48">
        <f>K7/$K$6</f>
        <v>0.99</v>
      </c>
      <c r="M7" s="47" t="s">
        <v>296</v>
      </c>
    </row>
    <row r="8" spans="1:13" ht="33">
      <c r="A8" s="243"/>
      <c r="B8" s="17" t="s">
        <v>199</v>
      </c>
      <c r="C8" s="188">
        <v>450</v>
      </c>
      <c r="D8" s="55"/>
      <c r="E8" s="55"/>
      <c r="F8" s="55"/>
      <c r="G8" s="55"/>
      <c r="H8" s="55"/>
      <c r="I8" s="67">
        <f t="shared" ref="I8:I13" si="0">SUM(C8:H8)</f>
        <v>450</v>
      </c>
      <c r="J8" s="47">
        <v>2027</v>
      </c>
      <c r="K8" s="48">
        <f>K7*(1-$E$3)</f>
        <v>98.01</v>
      </c>
      <c r="L8" s="48">
        <f>K8/$K$6</f>
        <v>0.98010000000000008</v>
      </c>
      <c r="M8" s="47" t="s">
        <v>296</v>
      </c>
    </row>
    <row r="9" spans="1:13" ht="17.25">
      <c r="A9" s="243" t="s">
        <v>200</v>
      </c>
      <c r="B9" s="56" t="s">
        <v>49</v>
      </c>
      <c r="C9" s="211">
        <v>50000</v>
      </c>
      <c r="D9" s="57"/>
      <c r="E9" s="57"/>
      <c r="F9" s="57"/>
      <c r="G9" s="57"/>
      <c r="H9" s="57"/>
      <c r="I9" s="67">
        <f t="shared" si="0"/>
        <v>50000</v>
      </c>
      <c r="J9" s="47">
        <v>2028</v>
      </c>
      <c r="K9" s="48">
        <f t="shared" ref="K9" si="1">K8*(1-$E$3)</f>
        <v>97.029899999999998</v>
      </c>
      <c r="L9" s="48">
        <f>K9/$K$6</f>
        <v>0.97029900000000002</v>
      </c>
      <c r="M9" s="47" t="s">
        <v>296</v>
      </c>
    </row>
    <row r="10" spans="1:13" ht="17.25">
      <c r="A10" s="243"/>
      <c r="B10" s="56" t="s">
        <v>50</v>
      </c>
      <c r="C10" s="211">
        <v>50000</v>
      </c>
      <c r="D10" s="57"/>
      <c r="E10" s="57"/>
      <c r="F10" s="57"/>
      <c r="G10" s="57"/>
      <c r="H10" s="57"/>
      <c r="I10" s="67">
        <f t="shared" si="0"/>
        <v>50000</v>
      </c>
      <c r="J10" s="47">
        <v>2029</v>
      </c>
      <c r="K10" s="209">
        <f>K9*(1-G3)</f>
        <v>95.089301999999989</v>
      </c>
      <c r="L10" s="48">
        <f t="shared" ref="L10" si="2">K10/$K$6</f>
        <v>0.95089301999999987</v>
      </c>
      <c r="M10" s="47" t="s">
        <v>297</v>
      </c>
    </row>
    <row r="11" spans="1:13" ht="17.25">
      <c r="A11" s="243"/>
      <c r="B11" s="56" t="s">
        <v>51</v>
      </c>
      <c r="C11" s="211">
        <v>50000</v>
      </c>
      <c r="D11" s="57"/>
      <c r="E11" s="57"/>
      <c r="F11" s="57"/>
      <c r="G11" s="57"/>
      <c r="H11" s="57"/>
      <c r="I11" s="67">
        <f t="shared" si="0"/>
        <v>50000</v>
      </c>
    </row>
    <row r="12" spans="1:13" ht="17.25">
      <c r="A12" s="243"/>
      <c r="B12" s="56" t="s">
        <v>189</v>
      </c>
      <c r="C12" s="211">
        <v>50000</v>
      </c>
      <c r="D12" s="57"/>
      <c r="E12" s="57"/>
      <c r="F12" s="57"/>
      <c r="G12" s="57"/>
      <c r="H12" s="57"/>
      <c r="I12" s="67">
        <f t="shared" si="0"/>
        <v>50000</v>
      </c>
    </row>
    <row r="13" spans="1:13" ht="18.75">
      <c r="A13" s="243"/>
      <c r="B13" s="56" t="s">
        <v>190</v>
      </c>
      <c r="C13" s="211">
        <v>50000</v>
      </c>
      <c r="D13" s="57"/>
      <c r="E13" s="57"/>
      <c r="F13" s="57"/>
      <c r="G13" s="57"/>
      <c r="H13" s="58"/>
      <c r="I13" s="67">
        <f t="shared" si="0"/>
        <v>50000</v>
      </c>
    </row>
    <row r="14" spans="1:13" ht="17.25">
      <c r="A14" s="242" t="s">
        <v>52</v>
      </c>
      <c r="B14" s="242"/>
      <c r="C14" s="59">
        <f t="shared" ref="C14:I14" si="3">SUM(C9:C13)</f>
        <v>250000</v>
      </c>
      <c r="D14" s="59">
        <f t="shared" si="3"/>
        <v>0</v>
      </c>
      <c r="E14" s="59">
        <f t="shared" si="3"/>
        <v>0</v>
      </c>
      <c r="F14" s="59">
        <f t="shared" si="3"/>
        <v>0</v>
      </c>
      <c r="G14" s="59">
        <f t="shared" si="3"/>
        <v>0</v>
      </c>
      <c r="H14" s="59">
        <f t="shared" si="3"/>
        <v>0</v>
      </c>
      <c r="I14" s="59">
        <f t="shared" si="3"/>
        <v>250000</v>
      </c>
    </row>
    <row r="15" spans="1:13" ht="18">
      <c r="A15" s="60"/>
      <c r="B15" s="60"/>
      <c r="C15" s="61"/>
    </row>
    <row r="16" spans="1:13">
      <c r="B16" s="47" t="s">
        <v>201</v>
      </c>
      <c r="C16" s="62">
        <f>材料成本!D24</f>
        <v>224.1</v>
      </c>
      <c r="D16" s="62">
        <f>材料成本!E24</f>
        <v>0</v>
      </c>
      <c r="E16" s="62">
        <f>材料成本!F24</f>
        <v>0</v>
      </c>
      <c r="F16" s="62">
        <f>材料成本!G24</f>
        <v>0</v>
      </c>
      <c r="G16" s="62">
        <f>材料成本!H24</f>
        <v>0</v>
      </c>
      <c r="H16" s="62">
        <f>材料成本!I23</f>
        <v>0</v>
      </c>
      <c r="I16" s="60">
        <f>SUM(C16:H16)</f>
        <v>224.1</v>
      </c>
    </row>
    <row r="17" spans="2:9">
      <c r="B17" s="47" t="s">
        <v>99</v>
      </c>
      <c r="C17" s="62">
        <f t="shared" ref="C17:H17" si="4">C8-C16</f>
        <v>225.9</v>
      </c>
      <c r="D17" s="62">
        <f t="shared" si="4"/>
        <v>0</v>
      </c>
      <c r="E17" s="62">
        <f t="shared" si="4"/>
        <v>0</v>
      </c>
      <c r="F17" s="62">
        <f t="shared" si="4"/>
        <v>0</v>
      </c>
      <c r="G17" s="62">
        <f t="shared" si="4"/>
        <v>0</v>
      </c>
      <c r="H17" s="62">
        <f t="shared" si="4"/>
        <v>0</v>
      </c>
      <c r="I17" s="60">
        <f>SUM(C17:H17)</f>
        <v>225.9</v>
      </c>
    </row>
    <row r="18" spans="2:9">
      <c r="B18" s="47" t="s">
        <v>202</v>
      </c>
      <c r="C18" s="63">
        <f t="shared" ref="C18:I18" si="5">C17/C8</f>
        <v>0.502</v>
      </c>
      <c r="D18" s="63" t="e">
        <f t="shared" si="5"/>
        <v>#DIV/0!</v>
      </c>
      <c r="E18" s="63" t="e">
        <f t="shared" si="5"/>
        <v>#DIV/0!</v>
      </c>
      <c r="F18" s="63" t="e">
        <f t="shared" si="5"/>
        <v>#DIV/0!</v>
      </c>
      <c r="G18" s="64" t="e">
        <f t="shared" si="5"/>
        <v>#DIV/0!</v>
      </c>
      <c r="H18" s="64" t="e">
        <f t="shared" si="5"/>
        <v>#DIV/0!</v>
      </c>
      <c r="I18" s="63">
        <f t="shared" si="5"/>
        <v>0.502</v>
      </c>
    </row>
    <row r="20" spans="2:9">
      <c r="B20" s="65" t="s">
        <v>203</v>
      </c>
      <c r="C20" s="66">
        <f>C8*0.7</f>
        <v>315</v>
      </c>
      <c r="D20" s="66">
        <f t="shared" ref="D20:F20" si="6">D8*0.7</f>
        <v>0</v>
      </c>
      <c r="E20" s="66">
        <f t="shared" si="6"/>
        <v>0</v>
      </c>
      <c r="F20" s="66">
        <f t="shared" si="6"/>
        <v>0</v>
      </c>
      <c r="G20" s="62"/>
    </row>
    <row r="21" spans="2:9">
      <c r="C21" s="62"/>
      <c r="D21" s="62"/>
      <c r="E21" s="62"/>
      <c r="F21" s="62"/>
      <c r="G21" s="62"/>
    </row>
    <row r="22" spans="2:9">
      <c r="B22" s="65" t="s">
        <v>204</v>
      </c>
      <c r="C22" s="66">
        <f t="shared" ref="C22:F22" si="7">C16-C20</f>
        <v>-90.9</v>
      </c>
      <c r="D22" s="66">
        <f t="shared" si="7"/>
        <v>0</v>
      </c>
      <c r="E22" s="66">
        <f t="shared" si="7"/>
        <v>0</v>
      </c>
      <c r="F22" s="66">
        <f t="shared" si="7"/>
        <v>0</v>
      </c>
      <c r="G22" s="62"/>
    </row>
    <row r="23" spans="2:9">
      <c r="C23" s="62"/>
      <c r="D23" s="62"/>
      <c r="E23" s="62"/>
      <c r="F23" s="62"/>
      <c r="G23" s="62"/>
    </row>
    <row r="24" spans="2:9">
      <c r="C24" s="62"/>
      <c r="D24" s="62"/>
      <c r="E24" s="62"/>
      <c r="F24" s="62"/>
      <c r="G24" s="62"/>
    </row>
  </sheetData>
  <mergeCells count="4">
    <mergeCell ref="A14:B14"/>
    <mergeCell ref="A5:A8"/>
    <mergeCell ref="A9:A13"/>
    <mergeCell ref="I5:I7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9"/>
  <sheetViews>
    <sheetView workbookViewId="0">
      <pane xSplit="3" ySplit="5" topLeftCell="D6" activePane="bottomRight" state="frozen"/>
      <selection pane="topRight"/>
      <selection pane="bottomLeft"/>
      <selection pane="bottomRight" activeCell="D26" sqref="D26"/>
    </sheetView>
  </sheetViews>
  <sheetFormatPr defaultColWidth="9" defaultRowHeight="16.5"/>
  <cols>
    <col min="1" max="1" width="4.375" style="27" customWidth="1"/>
    <col min="2" max="3" width="8.125" style="27" customWidth="1"/>
    <col min="4" max="8" width="12" style="28" customWidth="1"/>
    <col min="9" max="9" width="12.125" style="28" customWidth="1"/>
    <col min="10" max="15" width="12" style="28" customWidth="1"/>
    <col min="16" max="16" width="12.25" style="27" customWidth="1"/>
    <col min="17" max="17" width="13.25" style="27" customWidth="1"/>
    <col min="18" max="18" width="16" style="27" customWidth="1"/>
    <col min="19" max="16384" width="9" style="27"/>
  </cols>
  <sheetData>
    <row r="1" spans="1:18" s="26" customFormat="1" ht="28.5" customHeight="1">
      <c r="A1" s="253" t="s">
        <v>7</v>
      </c>
      <c r="B1" s="253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R1" s="46"/>
    </row>
    <row r="2" spans="1:18">
      <c r="A2" s="254" t="s">
        <v>205</v>
      </c>
      <c r="B2" s="254"/>
      <c r="C2" s="255"/>
      <c r="D2" s="256"/>
      <c r="E2" s="257" t="s">
        <v>289</v>
      </c>
      <c r="F2" s="258"/>
      <c r="G2" s="258"/>
      <c r="H2" s="258"/>
      <c r="I2" s="258"/>
      <c r="J2" s="258"/>
      <c r="K2" s="258"/>
      <c r="L2" s="258"/>
      <c r="M2" s="258"/>
      <c r="N2" s="258"/>
      <c r="O2" s="259"/>
    </row>
    <row r="3" spans="1:18" ht="30">
      <c r="A3" s="252" t="s">
        <v>19</v>
      </c>
      <c r="B3" s="252" t="s">
        <v>206</v>
      </c>
      <c r="C3" s="33" t="s">
        <v>207</v>
      </c>
      <c r="D3" s="260" t="s">
        <v>287</v>
      </c>
      <c r="E3" s="260"/>
      <c r="F3" s="32" t="s">
        <v>208</v>
      </c>
      <c r="G3" s="261" t="s">
        <v>288</v>
      </c>
      <c r="H3" s="262"/>
      <c r="I3" s="34"/>
      <c r="J3" s="34"/>
      <c r="K3" s="34"/>
      <c r="L3" s="34"/>
      <c r="M3" s="34"/>
      <c r="N3" s="34"/>
      <c r="O3" s="263" t="s">
        <v>157</v>
      </c>
    </row>
    <row r="4" spans="1:18" ht="30">
      <c r="A4" s="252"/>
      <c r="B4" s="252"/>
      <c r="C4" s="33" t="s">
        <v>146</v>
      </c>
      <c r="D4" s="35" t="str">
        <f>销量!C5</f>
        <v>130G转盘</v>
      </c>
      <c r="E4" s="35"/>
      <c r="F4" s="35"/>
      <c r="G4" s="35"/>
      <c r="H4" s="35"/>
      <c r="I4" s="35"/>
      <c r="J4" s="36"/>
      <c r="K4" s="36"/>
      <c r="L4" s="36"/>
      <c r="M4" s="36"/>
      <c r="N4" s="36"/>
      <c r="O4" s="264"/>
    </row>
    <row r="5" spans="1:18" ht="30">
      <c r="A5" s="252"/>
      <c r="B5" s="252"/>
      <c r="C5" s="33" t="s">
        <v>147</v>
      </c>
      <c r="D5" s="35"/>
      <c r="E5" s="35"/>
      <c r="F5" s="35"/>
      <c r="G5" s="35"/>
      <c r="H5" s="36"/>
      <c r="I5" s="36"/>
      <c r="J5" s="35"/>
      <c r="K5" s="35"/>
      <c r="L5" s="35"/>
      <c r="M5" s="35"/>
      <c r="N5" s="35"/>
      <c r="O5" s="265"/>
    </row>
    <row r="6" spans="1:18">
      <c r="A6" s="37">
        <v>1</v>
      </c>
      <c r="B6" s="247" t="s">
        <v>209</v>
      </c>
      <c r="C6" s="248"/>
      <c r="D6" s="38"/>
      <c r="E6" s="36"/>
      <c r="F6" s="36"/>
      <c r="G6" s="36"/>
      <c r="H6" s="36"/>
      <c r="I6" s="36"/>
      <c r="J6" s="36"/>
      <c r="K6" s="36"/>
      <c r="L6" s="36"/>
      <c r="M6" s="36"/>
      <c r="N6" s="36"/>
      <c r="O6" s="43"/>
    </row>
    <row r="7" spans="1:18">
      <c r="A7" s="37">
        <v>2</v>
      </c>
      <c r="B7" s="247" t="s">
        <v>210</v>
      </c>
      <c r="C7" s="248"/>
      <c r="D7" s="38"/>
      <c r="E7" s="36"/>
      <c r="F7" s="36"/>
      <c r="G7" s="36"/>
      <c r="H7" s="36"/>
      <c r="I7" s="36"/>
      <c r="J7" s="36"/>
      <c r="K7" s="36"/>
      <c r="L7" s="36"/>
      <c r="M7" s="36"/>
      <c r="N7" s="36"/>
      <c r="O7" s="43"/>
    </row>
    <row r="8" spans="1:18">
      <c r="A8" s="37">
        <v>3</v>
      </c>
      <c r="B8" s="247" t="s">
        <v>211</v>
      </c>
      <c r="C8" s="24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43"/>
    </row>
    <row r="9" spans="1:18">
      <c r="A9" s="37">
        <v>4</v>
      </c>
      <c r="B9" s="247" t="s">
        <v>212</v>
      </c>
      <c r="C9" s="248"/>
      <c r="D9" s="38"/>
      <c r="E9" s="36"/>
      <c r="F9" s="36"/>
      <c r="G9" s="36"/>
      <c r="H9" s="36"/>
      <c r="I9" s="36"/>
      <c r="J9" s="36"/>
      <c r="K9" s="36"/>
      <c r="L9" s="36"/>
      <c r="M9" s="36"/>
      <c r="N9" s="36"/>
      <c r="O9" s="43"/>
    </row>
    <row r="10" spans="1:18">
      <c r="A10" s="37">
        <v>5</v>
      </c>
      <c r="B10" s="247" t="s">
        <v>213</v>
      </c>
      <c r="C10" s="248"/>
      <c r="D10" s="38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43"/>
    </row>
    <row r="11" spans="1:18">
      <c r="A11" s="37">
        <v>6</v>
      </c>
      <c r="B11" s="247" t="s">
        <v>214</v>
      </c>
      <c r="C11" s="248"/>
      <c r="D11" s="38"/>
      <c r="E11" s="36"/>
      <c r="F11" s="36"/>
      <c r="G11" s="36"/>
      <c r="H11" s="36"/>
      <c r="I11" s="36"/>
      <c r="J11" s="36"/>
      <c r="K11" s="36"/>
      <c r="L11" s="35"/>
      <c r="M11" s="36"/>
      <c r="N11" s="36"/>
      <c r="O11" s="43"/>
    </row>
    <row r="12" spans="1:18">
      <c r="A12" s="37">
        <v>7</v>
      </c>
      <c r="B12" s="247" t="s">
        <v>215</v>
      </c>
      <c r="C12" s="248"/>
      <c r="D12" s="38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43"/>
    </row>
    <row r="13" spans="1:18">
      <c r="A13" s="37">
        <v>8</v>
      </c>
      <c r="B13" s="247" t="s">
        <v>216</v>
      </c>
      <c r="C13" s="248"/>
      <c r="D13" s="38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43"/>
    </row>
    <row r="14" spans="1:18">
      <c r="A14" s="37">
        <v>9</v>
      </c>
      <c r="B14" s="247" t="s">
        <v>217</v>
      </c>
      <c r="C14" s="248"/>
      <c r="D14" s="38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3"/>
    </row>
    <row r="15" spans="1:18">
      <c r="A15" s="37">
        <v>10</v>
      </c>
      <c r="B15" s="247" t="s">
        <v>218</v>
      </c>
      <c r="C15" s="248"/>
      <c r="D15" s="38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43"/>
    </row>
    <row r="16" spans="1:18">
      <c r="A16" s="37">
        <v>11</v>
      </c>
      <c r="B16" s="247" t="s">
        <v>219</v>
      </c>
      <c r="C16" s="248"/>
      <c r="D16" s="38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3"/>
    </row>
    <row r="17" spans="1:15">
      <c r="A17" s="37">
        <v>12</v>
      </c>
      <c r="B17" s="247" t="s">
        <v>220</v>
      </c>
      <c r="C17" s="248"/>
      <c r="D17" s="38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43"/>
    </row>
    <row r="18" spans="1:15">
      <c r="A18" s="37">
        <v>13</v>
      </c>
      <c r="B18" s="247" t="s">
        <v>221</v>
      </c>
      <c r="C18" s="248"/>
      <c r="D18" s="38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43"/>
    </row>
    <row r="19" spans="1:15">
      <c r="A19" s="37">
        <v>14</v>
      </c>
      <c r="B19" s="247" t="s">
        <v>222</v>
      </c>
      <c r="C19" s="248"/>
      <c r="D19" s="38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3"/>
    </row>
    <row r="20" spans="1:15">
      <c r="A20" s="37">
        <v>15</v>
      </c>
      <c r="B20" s="247" t="s">
        <v>223</v>
      </c>
      <c r="C20" s="248"/>
      <c r="D20" s="38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3"/>
    </row>
    <row r="21" spans="1:15">
      <c r="A21" s="37">
        <v>16</v>
      </c>
      <c r="B21" s="247" t="s">
        <v>224</v>
      </c>
      <c r="C21" s="248"/>
      <c r="D21" s="38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3"/>
    </row>
    <row r="22" spans="1:15">
      <c r="A22" s="37">
        <v>17</v>
      </c>
      <c r="B22" s="247" t="s">
        <v>37</v>
      </c>
      <c r="C22" s="248"/>
      <c r="D22" s="38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43"/>
    </row>
    <row r="23" spans="1:15">
      <c r="A23" s="37">
        <v>18</v>
      </c>
      <c r="B23" s="247" t="s">
        <v>225</v>
      </c>
      <c r="C23" s="248"/>
      <c r="D23" s="39">
        <v>224.1</v>
      </c>
      <c r="E23" s="39"/>
      <c r="F23" s="39"/>
      <c r="G23" s="39"/>
      <c r="H23" s="39"/>
      <c r="I23" s="39"/>
      <c r="J23" s="44"/>
      <c r="K23" s="44"/>
      <c r="L23" s="44"/>
      <c r="M23" s="44"/>
      <c r="N23" s="44"/>
      <c r="O23" s="45"/>
    </row>
    <row r="24" spans="1:15" ht="31.5" customHeight="1">
      <c r="A24" s="249" t="s">
        <v>226</v>
      </c>
      <c r="B24" s="250"/>
      <c r="C24" s="251"/>
      <c r="D24" s="40">
        <f>SUM(D6:D23)</f>
        <v>224.1</v>
      </c>
      <c r="E24" s="40">
        <f>SUM(E6:E23)</f>
        <v>0</v>
      </c>
      <c r="F24" s="40">
        <f>SUM(F6:F23)</f>
        <v>0</v>
      </c>
      <c r="G24" s="40">
        <f>SUM(G6:G23)</f>
        <v>0</v>
      </c>
      <c r="H24" s="40">
        <f t="shared" ref="H24:N24" si="0">SUM(H6:H23)</f>
        <v>0</v>
      </c>
      <c r="I24" s="40">
        <f t="shared" si="0"/>
        <v>0</v>
      </c>
      <c r="J24" s="40">
        <f t="shared" si="0"/>
        <v>0</v>
      </c>
      <c r="K24" s="40">
        <f t="shared" si="0"/>
        <v>0</v>
      </c>
      <c r="L24" s="40">
        <f t="shared" si="0"/>
        <v>0</v>
      </c>
      <c r="M24" s="40">
        <f t="shared" si="0"/>
        <v>0</v>
      </c>
      <c r="N24" s="40">
        <f t="shared" si="0"/>
        <v>0</v>
      </c>
      <c r="O24" s="45"/>
    </row>
    <row r="25" spans="1:15">
      <c r="C25" s="27" t="s">
        <v>49</v>
      </c>
      <c r="D25" s="41">
        <f t="shared" ref="D25:N25" si="1">D24</f>
        <v>224.1</v>
      </c>
      <c r="E25" s="41">
        <f t="shared" si="1"/>
        <v>0</v>
      </c>
      <c r="F25" s="41">
        <f t="shared" si="1"/>
        <v>0</v>
      </c>
      <c r="G25" s="41">
        <f t="shared" si="1"/>
        <v>0</v>
      </c>
      <c r="H25" s="41">
        <f t="shared" si="1"/>
        <v>0</v>
      </c>
      <c r="I25" s="41">
        <f t="shared" si="1"/>
        <v>0</v>
      </c>
      <c r="J25" s="41">
        <f t="shared" si="1"/>
        <v>0</v>
      </c>
      <c r="K25" s="41">
        <f t="shared" si="1"/>
        <v>0</v>
      </c>
      <c r="L25" s="41">
        <f t="shared" si="1"/>
        <v>0</v>
      </c>
      <c r="M25" s="41">
        <f t="shared" si="1"/>
        <v>0</v>
      </c>
      <c r="N25" s="41">
        <f t="shared" si="1"/>
        <v>0</v>
      </c>
    </row>
    <row r="26" spans="1:15">
      <c r="B26" s="27" t="s">
        <v>295</v>
      </c>
      <c r="C26" s="27" t="s">
        <v>50</v>
      </c>
      <c r="D26" s="42">
        <f>D24*0.99</f>
        <v>221.85899999999998</v>
      </c>
      <c r="E26" s="42">
        <f t="shared" ref="E26:N26" si="2">E24*0.97</f>
        <v>0</v>
      </c>
      <c r="F26" s="42">
        <f t="shared" si="2"/>
        <v>0</v>
      </c>
      <c r="G26" s="42">
        <f t="shared" si="2"/>
        <v>0</v>
      </c>
      <c r="H26" s="42">
        <f t="shared" si="2"/>
        <v>0</v>
      </c>
      <c r="I26" s="42">
        <f t="shared" si="2"/>
        <v>0</v>
      </c>
      <c r="J26" s="42">
        <f t="shared" si="2"/>
        <v>0</v>
      </c>
      <c r="K26" s="42">
        <f t="shared" si="2"/>
        <v>0</v>
      </c>
      <c r="L26" s="42">
        <f t="shared" si="2"/>
        <v>0</v>
      </c>
      <c r="M26" s="42">
        <f t="shared" si="2"/>
        <v>0</v>
      </c>
      <c r="N26" s="42">
        <f t="shared" si="2"/>
        <v>0</v>
      </c>
    </row>
    <row r="27" spans="1:15">
      <c r="B27" s="27" t="s">
        <v>295</v>
      </c>
      <c r="C27" s="27" t="s">
        <v>51</v>
      </c>
      <c r="D27" s="42">
        <f t="shared" ref="D27:D28" si="3">D25*0.99</f>
        <v>221.85899999999998</v>
      </c>
      <c r="E27" s="42">
        <f t="shared" ref="E27:N27" si="4">E26*0.97</f>
        <v>0</v>
      </c>
      <c r="F27" s="42">
        <f t="shared" si="4"/>
        <v>0</v>
      </c>
      <c r="G27" s="42">
        <f t="shared" si="4"/>
        <v>0</v>
      </c>
      <c r="H27" s="42">
        <f t="shared" si="4"/>
        <v>0</v>
      </c>
      <c r="I27" s="42">
        <f t="shared" si="4"/>
        <v>0</v>
      </c>
      <c r="J27" s="42">
        <f t="shared" si="4"/>
        <v>0</v>
      </c>
      <c r="K27" s="42">
        <f t="shared" si="4"/>
        <v>0</v>
      </c>
      <c r="L27" s="42">
        <f t="shared" si="4"/>
        <v>0</v>
      </c>
      <c r="M27" s="42">
        <f t="shared" si="4"/>
        <v>0</v>
      </c>
      <c r="N27" s="42">
        <f t="shared" si="4"/>
        <v>0</v>
      </c>
    </row>
    <row r="28" spans="1:15">
      <c r="B28" s="27" t="s">
        <v>295</v>
      </c>
      <c r="C28" s="27" t="s">
        <v>189</v>
      </c>
      <c r="D28" s="42">
        <f t="shared" si="3"/>
        <v>219.64040999999997</v>
      </c>
    </row>
    <row r="29" spans="1:15">
      <c r="B29" s="27" t="s">
        <v>297</v>
      </c>
      <c r="C29" s="27" t="s">
        <v>190</v>
      </c>
      <c r="D29" s="42">
        <f>D27*0.98</f>
        <v>217.42181999999997</v>
      </c>
    </row>
  </sheetData>
  <mergeCells count="27">
    <mergeCell ref="A1:B1"/>
    <mergeCell ref="A2:D2"/>
    <mergeCell ref="E2:O2"/>
    <mergeCell ref="D3:E3"/>
    <mergeCell ref="G3:H3"/>
    <mergeCell ref="O3:O5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5" sqref="D15"/>
    </sheetView>
  </sheetViews>
  <sheetFormatPr defaultColWidth="9" defaultRowHeight="13.5"/>
  <cols>
    <col min="1" max="1" width="9" style="18"/>
    <col min="2" max="2" width="29.625" style="18" customWidth="1"/>
    <col min="3" max="3" width="25.5" style="18" customWidth="1"/>
    <col min="4" max="4" width="22" style="18" customWidth="1"/>
    <col min="5" max="16384" width="9" style="18"/>
  </cols>
  <sheetData>
    <row r="1" spans="1:4" ht="27" customHeight="1">
      <c r="A1" s="19" t="s">
        <v>19</v>
      </c>
      <c r="B1" s="19" t="s">
        <v>227</v>
      </c>
      <c r="C1" s="19" t="s">
        <v>228</v>
      </c>
      <c r="D1" s="19" t="s">
        <v>229</v>
      </c>
    </row>
    <row r="2" spans="1:4" ht="19.5" customHeight="1">
      <c r="A2" s="19">
        <v>1</v>
      </c>
      <c r="B2" s="20" t="s">
        <v>230</v>
      </c>
      <c r="C2" s="21" t="s">
        <v>231</v>
      </c>
      <c r="D2" s="19"/>
    </row>
    <row r="3" spans="1:4" ht="36" customHeight="1">
      <c r="A3" s="19">
        <v>2</v>
      </c>
      <c r="B3" s="20" t="s">
        <v>232</v>
      </c>
      <c r="C3" s="22" t="s">
        <v>272</v>
      </c>
      <c r="D3" s="19" t="s">
        <v>233</v>
      </c>
    </row>
    <row r="4" spans="1:4" ht="19.5" customHeight="1">
      <c r="A4" s="19">
        <v>3</v>
      </c>
      <c r="B4" s="20" t="s">
        <v>234</v>
      </c>
      <c r="C4" s="21" t="s">
        <v>235</v>
      </c>
      <c r="D4" s="19"/>
    </row>
    <row r="5" spans="1:4" ht="42.75" customHeight="1">
      <c r="A5" s="19">
        <v>4</v>
      </c>
      <c r="B5" s="20" t="s">
        <v>236</v>
      </c>
      <c r="C5" s="21"/>
      <c r="D5" s="19"/>
    </row>
    <row r="6" spans="1:4" ht="39" customHeight="1">
      <c r="A6" s="19">
        <v>5</v>
      </c>
      <c r="B6" s="20" t="s">
        <v>237</v>
      </c>
      <c r="C6" s="21"/>
      <c r="D6" s="19"/>
    </row>
    <row r="7" spans="1:4" ht="27.75" customHeight="1">
      <c r="A7" s="19">
        <v>6</v>
      </c>
      <c r="B7" s="19" t="s">
        <v>238</v>
      </c>
      <c r="C7" s="22" t="s">
        <v>273</v>
      </c>
      <c r="D7" s="19"/>
    </row>
    <row r="8" spans="1:4" ht="36" customHeight="1">
      <c r="A8" s="19">
        <v>7</v>
      </c>
      <c r="B8" s="20" t="s">
        <v>239</v>
      </c>
      <c r="C8" s="23" t="s">
        <v>240</v>
      </c>
      <c r="D8" s="19"/>
    </row>
    <row r="9" spans="1:4" ht="34.5" customHeight="1">
      <c r="A9" s="19">
        <v>8</v>
      </c>
      <c r="B9" s="19" t="s">
        <v>241</v>
      </c>
      <c r="C9" s="24"/>
      <c r="D9" s="19"/>
    </row>
    <row r="10" spans="1:4" ht="34.5" customHeight="1">
      <c r="A10" s="19">
        <v>9</v>
      </c>
      <c r="B10" s="19" t="s">
        <v>242</v>
      </c>
      <c r="C10" s="23"/>
      <c r="D10" s="19"/>
    </row>
    <row r="11" spans="1:4" ht="34.5" customHeight="1">
      <c r="A11" s="19">
        <v>10</v>
      </c>
      <c r="B11" s="19" t="s">
        <v>243</v>
      </c>
      <c r="C11" s="23"/>
      <c r="D11" s="19" t="s">
        <v>244</v>
      </c>
    </row>
    <row r="12" spans="1:4" ht="34.5" customHeight="1">
      <c r="A12" s="19">
        <v>11</v>
      </c>
      <c r="B12" s="19" t="s">
        <v>245</v>
      </c>
      <c r="C12" s="23"/>
      <c r="D12" s="19"/>
    </row>
    <row r="13" spans="1:4" ht="24" customHeight="1">
      <c r="A13" s="19">
        <v>12</v>
      </c>
      <c r="B13" s="20" t="s">
        <v>246</v>
      </c>
      <c r="C13" s="23" t="s">
        <v>247</v>
      </c>
      <c r="D13" s="19"/>
    </row>
    <row r="14" spans="1:4" ht="24" customHeight="1">
      <c r="A14" s="19">
        <v>13</v>
      </c>
      <c r="B14" s="20" t="s">
        <v>248</v>
      </c>
      <c r="C14" s="23"/>
      <c r="D14" s="19"/>
    </row>
    <row r="15" spans="1:4" ht="24" customHeight="1">
      <c r="A15" s="19">
        <v>14</v>
      </c>
      <c r="B15" s="20" t="s">
        <v>249</v>
      </c>
      <c r="C15" s="23"/>
      <c r="D15" s="19"/>
    </row>
    <row r="16" spans="1:4" ht="24" customHeight="1">
      <c r="A16" s="19">
        <v>15</v>
      </c>
      <c r="B16" s="19" t="s">
        <v>37</v>
      </c>
      <c r="C16" s="19"/>
      <c r="D16" s="19"/>
    </row>
    <row r="17" spans="2:2" ht="16.5">
      <c r="B17" s="25" t="s">
        <v>250</v>
      </c>
    </row>
  </sheetData>
  <phoneticPr fontId="4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40"/>
  <sheetViews>
    <sheetView zoomScale="85" zoomScaleNormal="85" workbookViewId="0">
      <selection activeCell="E11" sqref="E11"/>
    </sheetView>
  </sheetViews>
  <sheetFormatPr defaultColWidth="9" defaultRowHeight="13.5"/>
  <cols>
    <col min="1" max="2" width="9" style="2"/>
    <col min="3" max="3" width="15.75" style="2" hidden="1" customWidth="1"/>
    <col min="4" max="5" width="15.75" style="2" customWidth="1"/>
    <col min="6" max="6" width="14.5" style="2" customWidth="1"/>
    <col min="7" max="7" width="16.5" style="3" customWidth="1"/>
    <col min="8" max="8" width="9" style="2" customWidth="1"/>
    <col min="9" max="16384" width="9" style="2"/>
  </cols>
  <sheetData>
    <row r="1" spans="1:8" s="1" customFormat="1" ht="34.5" customHeight="1">
      <c r="E1" s="4" t="s">
        <v>251</v>
      </c>
      <c r="G1" s="15">
        <f>材料成本!D5</f>
        <v>0</v>
      </c>
    </row>
    <row r="2" spans="1:8" ht="39" customHeight="1">
      <c r="A2" s="268" t="s">
        <v>252</v>
      </c>
      <c r="B2" s="268"/>
      <c r="C2" s="270" t="s">
        <v>268</v>
      </c>
      <c r="D2" s="272"/>
      <c r="E2" s="272"/>
      <c r="F2" s="271"/>
      <c r="G2" s="3" t="s">
        <v>254</v>
      </c>
    </row>
    <row r="3" spans="1:8" ht="34.5" customHeight="1">
      <c r="A3" s="268"/>
      <c r="B3" s="268"/>
      <c r="C3" s="182"/>
      <c r="D3" s="5" t="s">
        <v>256</v>
      </c>
      <c r="E3" s="182" t="s">
        <v>266</v>
      </c>
      <c r="F3" s="6" t="s">
        <v>258</v>
      </c>
      <c r="G3" s="16">
        <f>销量!C8</f>
        <v>450</v>
      </c>
      <c r="H3" s="182" t="s">
        <v>267</v>
      </c>
    </row>
    <row r="4" spans="1:8" ht="24" customHeight="1">
      <c r="A4" s="269" t="s">
        <v>260</v>
      </c>
      <c r="B4" s="269"/>
      <c r="C4" s="8"/>
      <c r="D4" s="9"/>
      <c r="E4" s="10">
        <f>G3*G4</f>
        <v>31.23</v>
      </c>
      <c r="F4" s="11">
        <v>4.48E-2</v>
      </c>
      <c r="G4" s="184">
        <v>6.9400000000000003E-2</v>
      </c>
      <c r="H4" s="14">
        <v>6.9400000000000003E-2</v>
      </c>
    </row>
    <row r="5" spans="1:8" ht="24" customHeight="1">
      <c r="A5" s="269" t="s">
        <v>261</v>
      </c>
      <c r="B5" s="7" t="s">
        <v>262</v>
      </c>
      <c r="C5" s="8"/>
      <c r="D5" s="9"/>
      <c r="E5" s="10">
        <f>$G$3*G5</f>
        <v>26.91</v>
      </c>
      <c r="F5" s="11">
        <v>4.0399999999999998E-2</v>
      </c>
      <c r="G5" s="185">
        <v>5.9799999999999999E-2</v>
      </c>
      <c r="H5" s="11">
        <v>5.9799999999999999E-2</v>
      </c>
    </row>
    <row r="6" spans="1:8" ht="24" customHeight="1">
      <c r="A6" s="269"/>
      <c r="B6" s="7" t="s">
        <v>263</v>
      </c>
      <c r="C6" s="8"/>
      <c r="D6" s="9"/>
      <c r="E6" s="10">
        <f>$G$3*G6</f>
        <v>29.745000000000001</v>
      </c>
      <c r="F6" s="11">
        <v>1.66E-2</v>
      </c>
      <c r="G6" s="184">
        <v>6.6100000000000006E-2</v>
      </c>
      <c r="H6" s="14">
        <v>6.6100000000000006E-2</v>
      </c>
    </row>
    <row r="7" spans="1:8" ht="24" customHeight="1">
      <c r="A7" s="270" t="s">
        <v>264</v>
      </c>
      <c r="B7" s="271"/>
      <c r="C7" s="12"/>
      <c r="D7" s="13"/>
      <c r="E7" s="10">
        <f t="shared" ref="E7:E11" si="0">$G$3*G7</f>
        <v>87.885000000000019</v>
      </c>
      <c r="F7" s="14">
        <f>SUM(F4:F6)</f>
        <v>0.1018</v>
      </c>
      <c r="G7" s="186">
        <f>SUM(G4:G6)</f>
        <v>0.19530000000000003</v>
      </c>
      <c r="H7" s="183">
        <f>SUM(H4:H6)</f>
        <v>0.19530000000000003</v>
      </c>
    </row>
    <row r="8" spans="1:8" ht="24" customHeight="1">
      <c r="A8" s="269" t="s">
        <v>82</v>
      </c>
      <c r="B8" s="269"/>
      <c r="C8" s="8"/>
      <c r="D8" s="9"/>
      <c r="E8" s="10">
        <f t="shared" si="0"/>
        <v>11.88</v>
      </c>
      <c r="F8" s="11">
        <f>1.97%+0.75%</f>
        <v>2.7199999999999998E-2</v>
      </c>
      <c r="G8" s="185">
        <v>2.64E-2</v>
      </c>
      <c r="H8" s="11">
        <v>2.64E-2</v>
      </c>
    </row>
    <row r="9" spans="1:8" ht="24" customHeight="1">
      <c r="A9" s="266" t="s">
        <v>265</v>
      </c>
      <c r="B9" s="7" t="s">
        <v>262</v>
      </c>
      <c r="C9" s="8"/>
      <c r="D9" s="9"/>
      <c r="E9" s="10">
        <f>$G$3*G9</f>
        <v>3.9150000000000014</v>
      </c>
      <c r="F9" s="11">
        <v>5.3E-3</v>
      </c>
      <c r="G9" s="185">
        <f>2.98%-2.11%</f>
        <v>8.7000000000000029E-3</v>
      </c>
      <c r="H9" s="11">
        <f>2.98%-2.11%</f>
        <v>8.7000000000000029E-3</v>
      </c>
    </row>
    <row r="10" spans="1:8" ht="24" customHeight="1">
      <c r="A10" s="267"/>
      <c r="B10" s="7" t="s">
        <v>263</v>
      </c>
      <c r="C10" s="8"/>
      <c r="D10" s="9"/>
      <c r="E10" s="10">
        <f>$G$3*G10</f>
        <v>33.119999999999997</v>
      </c>
      <c r="F10" s="11">
        <v>3.4099999999999998E-2</v>
      </c>
      <c r="G10" s="184">
        <v>7.3599999999999999E-2</v>
      </c>
      <c r="H10" s="14">
        <v>7.3599999999999999E-2</v>
      </c>
    </row>
    <row r="11" spans="1:8" ht="24" customHeight="1">
      <c r="A11" s="269" t="s">
        <v>85</v>
      </c>
      <c r="B11" s="269"/>
      <c r="C11" s="8"/>
      <c r="D11" s="9"/>
      <c r="E11" s="10">
        <f t="shared" si="0"/>
        <v>15.974999999999998</v>
      </c>
      <c r="F11" s="11">
        <v>1.0999999999999999E-2</v>
      </c>
      <c r="G11" s="185">
        <v>3.5499999999999997E-2</v>
      </c>
      <c r="H11" s="11">
        <v>3.5499999999999997E-2</v>
      </c>
    </row>
    <row r="13" spans="1:8" s="1" customFormat="1" ht="18.75" customHeight="1">
      <c r="F13" s="4"/>
      <c r="G13" s="17">
        <f>材料成本!E5</f>
        <v>0</v>
      </c>
    </row>
    <row r="14" spans="1:8" ht="39" customHeight="1">
      <c r="A14" s="268" t="s">
        <v>252</v>
      </c>
      <c r="B14" s="268"/>
      <c r="C14" s="270" t="s">
        <v>299</v>
      </c>
      <c r="D14" s="272"/>
      <c r="E14" s="272"/>
      <c r="F14" s="271"/>
      <c r="G14" s="3" t="s">
        <v>254</v>
      </c>
    </row>
    <row r="15" spans="1:8" ht="34.5" customHeight="1">
      <c r="A15" s="268"/>
      <c r="B15" s="268"/>
      <c r="C15" s="5"/>
      <c r="D15" s="5" t="s">
        <v>256</v>
      </c>
      <c r="E15" s="5" t="s">
        <v>257</v>
      </c>
      <c r="F15" s="6" t="s">
        <v>259</v>
      </c>
      <c r="G15" s="16">
        <f>销量!D8</f>
        <v>0</v>
      </c>
    </row>
    <row r="16" spans="1:8" ht="24" customHeight="1">
      <c r="A16" s="269" t="s">
        <v>260</v>
      </c>
      <c r="B16" s="269"/>
      <c r="C16" s="8"/>
      <c r="D16" s="9"/>
      <c r="E16" s="10">
        <f>G15*G16</f>
        <v>0</v>
      </c>
      <c r="F16" s="11">
        <v>4.48E-2</v>
      </c>
      <c r="G16" s="3">
        <f t="shared" ref="G16:G23" si="1">G4</f>
        <v>6.9400000000000003E-2</v>
      </c>
    </row>
    <row r="17" spans="1:7" ht="24" customHeight="1">
      <c r="A17" s="269" t="s">
        <v>261</v>
      </c>
      <c r="B17" s="7" t="s">
        <v>262</v>
      </c>
      <c r="C17" s="8"/>
      <c r="D17" s="9"/>
      <c r="E17" s="10">
        <f>$G$15*G17</f>
        <v>0</v>
      </c>
      <c r="F17" s="11">
        <v>4.0399999999999998E-2</v>
      </c>
      <c r="G17" s="3">
        <f t="shared" si="1"/>
        <v>5.9799999999999999E-2</v>
      </c>
    </row>
    <row r="18" spans="1:7" ht="24" customHeight="1">
      <c r="A18" s="269"/>
      <c r="B18" s="7" t="s">
        <v>263</v>
      </c>
      <c r="C18" s="8"/>
      <c r="D18" s="9"/>
      <c r="E18" s="10">
        <f t="shared" ref="E18:E23" si="2">$G$15*G18</f>
        <v>0</v>
      </c>
      <c r="F18" s="11">
        <v>1.66E-2</v>
      </c>
      <c r="G18" s="3">
        <f t="shared" si="1"/>
        <v>6.6100000000000006E-2</v>
      </c>
    </row>
    <row r="19" spans="1:7" ht="24" customHeight="1">
      <c r="A19" s="270" t="s">
        <v>264</v>
      </c>
      <c r="B19" s="271"/>
      <c r="C19" s="12"/>
      <c r="D19" s="13"/>
      <c r="E19" s="10">
        <f t="shared" si="2"/>
        <v>0</v>
      </c>
      <c r="F19" s="14">
        <f>SUM(F16:F18)</f>
        <v>0.1018</v>
      </c>
      <c r="G19" s="3">
        <f t="shared" si="1"/>
        <v>0.19530000000000003</v>
      </c>
    </row>
    <row r="20" spans="1:7" ht="24" customHeight="1">
      <c r="A20" s="269" t="s">
        <v>82</v>
      </c>
      <c r="B20" s="269"/>
      <c r="C20" s="8"/>
      <c r="D20" s="9"/>
      <c r="E20" s="10">
        <f t="shared" si="2"/>
        <v>0</v>
      </c>
      <c r="F20" s="11">
        <f>1.97%+0.75%</f>
        <v>2.7199999999999998E-2</v>
      </c>
      <c r="G20" s="3">
        <f t="shared" si="1"/>
        <v>2.64E-2</v>
      </c>
    </row>
    <row r="21" spans="1:7" ht="24" customHeight="1">
      <c r="A21" s="266" t="s">
        <v>265</v>
      </c>
      <c r="B21" s="7" t="s">
        <v>262</v>
      </c>
      <c r="C21" s="8"/>
      <c r="D21" s="9"/>
      <c r="E21" s="10">
        <f t="shared" si="2"/>
        <v>0</v>
      </c>
      <c r="F21" s="11">
        <v>5.3E-3</v>
      </c>
      <c r="G21" s="3">
        <f t="shared" si="1"/>
        <v>8.7000000000000029E-3</v>
      </c>
    </row>
    <row r="22" spans="1:7" ht="24" customHeight="1">
      <c r="A22" s="267"/>
      <c r="B22" s="7" t="s">
        <v>263</v>
      </c>
      <c r="C22" s="8"/>
      <c r="D22" s="9"/>
      <c r="E22" s="10">
        <f t="shared" si="2"/>
        <v>0</v>
      </c>
      <c r="F22" s="11">
        <v>3.4099999999999998E-2</v>
      </c>
      <c r="G22" s="3">
        <f t="shared" si="1"/>
        <v>7.3599999999999999E-2</v>
      </c>
    </row>
    <row r="23" spans="1:7" ht="24" customHeight="1">
      <c r="A23" s="269" t="s">
        <v>85</v>
      </c>
      <c r="B23" s="269"/>
      <c r="C23" s="8"/>
      <c r="D23" s="9"/>
      <c r="E23" s="10">
        <f t="shared" si="2"/>
        <v>0</v>
      </c>
      <c r="F23" s="11">
        <v>1.0999999999999999E-2</v>
      </c>
      <c r="G23" s="3">
        <f t="shared" si="1"/>
        <v>3.5499999999999997E-2</v>
      </c>
    </row>
    <row r="26" spans="1:7" s="1" customFormat="1" ht="18.75" customHeight="1">
      <c r="F26" s="4"/>
      <c r="G26" s="17">
        <f>材料成本!F5</f>
        <v>0</v>
      </c>
    </row>
    <row r="27" spans="1:7" ht="39" customHeight="1">
      <c r="A27" s="268" t="s">
        <v>252</v>
      </c>
      <c r="B27" s="268"/>
      <c r="C27" s="270" t="s">
        <v>253</v>
      </c>
      <c r="D27" s="272"/>
      <c r="E27" s="272"/>
      <c r="F27" s="271"/>
      <c r="G27" s="3" t="s">
        <v>254</v>
      </c>
    </row>
    <row r="28" spans="1:7" ht="34.5" customHeight="1">
      <c r="A28" s="268"/>
      <c r="B28" s="268"/>
      <c r="C28" s="5" t="s">
        <v>255</v>
      </c>
      <c r="D28" s="5" t="s">
        <v>256</v>
      </c>
      <c r="E28" s="5" t="s">
        <v>257</v>
      </c>
      <c r="F28" s="6" t="s">
        <v>259</v>
      </c>
      <c r="G28" s="16">
        <f>销量!E8</f>
        <v>0</v>
      </c>
    </row>
    <row r="29" spans="1:7" ht="24" customHeight="1">
      <c r="A29" s="269" t="s">
        <v>260</v>
      </c>
      <c r="B29" s="269"/>
      <c r="C29" s="8"/>
      <c r="D29" s="9"/>
      <c r="E29" s="10">
        <f>G28*G29</f>
        <v>0</v>
      </c>
      <c r="F29" s="11">
        <v>4.48E-2</v>
      </c>
      <c r="G29" s="3">
        <f t="shared" ref="G29:G36" si="3">G4</f>
        <v>6.9400000000000003E-2</v>
      </c>
    </row>
    <row r="30" spans="1:7" ht="24" customHeight="1">
      <c r="A30" s="269" t="s">
        <v>261</v>
      </c>
      <c r="B30" s="7" t="s">
        <v>262</v>
      </c>
      <c r="C30" s="8"/>
      <c r="D30" s="9"/>
      <c r="E30" s="10">
        <f>$G$28*G30</f>
        <v>0</v>
      </c>
      <c r="F30" s="11">
        <v>4.0399999999999998E-2</v>
      </c>
      <c r="G30" s="3">
        <f t="shared" si="3"/>
        <v>5.9799999999999999E-2</v>
      </c>
    </row>
    <row r="31" spans="1:7" ht="24" customHeight="1">
      <c r="A31" s="269"/>
      <c r="B31" s="7" t="s">
        <v>263</v>
      </c>
      <c r="C31" s="8"/>
      <c r="D31" s="9"/>
      <c r="E31" s="10">
        <f t="shared" ref="E31:E35" si="4">$G$28*G31</f>
        <v>0</v>
      </c>
      <c r="F31" s="11">
        <v>1.66E-2</v>
      </c>
      <c r="G31" s="3">
        <f t="shared" si="3"/>
        <v>6.6100000000000006E-2</v>
      </c>
    </row>
    <row r="32" spans="1:7" ht="24" customHeight="1">
      <c r="A32" s="270" t="s">
        <v>264</v>
      </c>
      <c r="B32" s="271"/>
      <c r="C32" s="12"/>
      <c r="D32" s="13"/>
      <c r="E32" s="10">
        <f t="shared" si="4"/>
        <v>0</v>
      </c>
      <c r="F32" s="14">
        <f>SUM(F29:F31)</f>
        <v>0.1018</v>
      </c>
      <c r="G32" s="3">
        <f t="shared" si="3"/>
        <v>0.19530000000000003</v>
      </c>
    </row>
    <row r="33" spans="1:7" ht="24" customHeight="1">
      <c r="A33" s="269" t="s">
        <v>82</v>
      </c>
      <c r="B33" s="269"/>
      <c r="C33" s="8"/>
      <c r="D33" s="9"/>
      <c r="E33" s="10">
        <f t="shared" si="4"/>
        <v>0</v>
      </c>
      <c r="F33" s="11">
        <f>1.97%+0.75%</f>
        <v>2.7199999999999998E-2</v>
      </c>
      <c r="G33" s="3">
        <f t="shared" si="3"/>
        <v>2.64E-2</v>
      </c>
    </row>
    <row r="34" spans="1:7" ht="24" customHeight="1">
      <c r="A34" s="266" t="s">
        <v>265</v>
      </c>
      <c r="B34" s="7" t="s">
        <v>262</v>
      </c>
      <c r="C34" s="8"/>
      <c r="D34" s="9"/>
      <c r="E34" s="10">
        <f t="shared" si="4"/>
        <v>0</v>
      </c>
      <c r="F34" s="11">
        <v>5.3E-3</v>
      </c>
      <c r="G34" s="3">
        <f t="shared" si="3"/>
        <v>8.7000000000000029E-3</v>
      </c>
    </row>
    <row r="35" spans="1:7" ht="24" customHeight="1">
      <c r="A35" s="267"/>
      <c r="B35" s="7" t="s">
        <v>263</v>
      </c>
      <c r="C35" s="8"/>
      <c r="D35" s="9"/>
      <c r="E35" s="10">
        <f t="shared" si="4"/>
        <v>0</v>
      </c>
      <c r="F35" s="11">
        <v>3.4099999999999998E-2</v>
      </c>
      <c r="G35" s="3">
        <f t="shared" si="3"/>
        <v>7.3599999999999999E-2</v>
      </c>
    </row>
    <row r="36" spans="1:7" ht="24" customHeight="1">
      <c r="A36" s="269" t="s">
        <v>85</v>
      </c>
      <c r="B36" s="269"/>
      <c r="C36" s="8"/>
      <c r="D36" s="9"/>
      <c r="E36" s="10">
        <f>$G$28*G36</f>
        <v>0</v>
      </c>
      <c r="F36" s="11">
        <v>1.0999999999999999E-2</v>
      </c>
      <c r="G36" s="3">
        <f t="shared" si="3"/>
        <v>3.5499999999999997E-2</v>
      </c>
    </row>
    <row r="39" spans="1:7" s="1" customFormat="1" ht="18.75" customHeight="1">
      <c r="F39" s="4"/>
      <c r="G39" s="17">
        <f>材料成本!G5</f>
        <v>0</v>
      </c>
    </row>
    <row r="40" spans="1:7" ht="39" customHeight="1">
      <c r="A40" s="268" t="s">
        <v>252</v>
      </c>
      <c r="B40" s="268"/>
      <c r="C40" s="270" t="s">
        <v>253</v>
      </c>
      <c r="D40" s="272"/>
      <c r="E40" s="272"/>
      <c r="F40" s="271"/>
      <c r="G40" s="3" t="s">
        <v>254</v>
      </c>
    </row>
    <row r="41" spans="1:7" ht="34.5" customHeight="1">
      <c r="A41" s="268"/>
      <c r="B41" s="268"/>
      <c r="C41" s="5" t="s">
        <v>255</v>
      </c>
      <c r="D41" s="5" t="s">
        <v>256</v>
      </c>
      <c r="E41" s="5" t="s">
        <v>257</v>
      </c>
      <c r="F41" s="6" t="s">
        <v>259</v>
      </c>
      <c r="G41" s="16">
        <f>销量!F8</f>
        <v>0</v>
      </c>
    </row>
    <row r="42" spans="1:7" ht="24" customHeight="1">
      <c r="A42" s="269" t="s">
        <v>260</v>
      </c>
      <c r="B42" s="269"/>
      <c r="C42" s="8"/>
      <c r="D42" s="9"/>
      <c r="E42" s="10">
        <f>G41*G42</f>
        <v>0</v>
      </c>
      <c r="F42" s="11">
        <v>4.48E-2</v>
      </c>
      <c r="G42" s="3">
        <f t="shared" ref="G42:G49" si="5">G4</f>
        <v>6.9400000000000003E-2</v>
      </c>
    </row>
    <row r="43" spans="1:7" ht="24" customHeight="1">
      <c r="A43" s="269" t="s">
        <v>261</v>
      </c>
      <c r="B43" s="7" t="s">
        <v>262</v>
      </c>
      <c r="C43" s="8"/>
      <c r="D43" s="9"/>
      <c r="E43" s="10">
        <f>$G$41*G43</f>
        <v>0</v>
      </c>
      <c r="F43" s="11">
        <v>4.0399999999999998E-2</v>
      </c>
      <c r="G43" s="3">
        <f t="shared" si="5"/>
        <v>5.9799999999999999E-2</v>
      </c>
    </row>
    <row r="44" spans="1:7" ht="24" customHeight="1">
      <c r="A44" s="269"/>
      <c r="B44" s="7" t="s">
        <v>263</v>
      </c>
      <c r="C44" s="8"/>
      <c r="D44" s="9"/>
      <c r="E44" s="10">
        <f>$G$41*G44</f>
        <v>0</v>
      </c>
      <c r="F44" s="11">
        <v>1.66E-2</v>
      </c>
      <c r="G44" s="3">
        <f t="shared" si="5"/>
        <v>6.6100000000000006E-2</v>
      </c>
    </row>
    <row r="45" spans="1:7" ht="24" customHeight="1">
      <c r="A45" s="270" t="s">
        <v>264</v>
      </c>
      <c r="B45" s="271"/>
      <c r="C45" s="12"/>
      <c r="D45" s="13"/>
      <c r="E45" s="10">
        <f>$G$28*G45</f>
        <v>0</v>
      </c>
      <c r="F45" s="14">
        <f>SUM(F42:F44)</f>
        <v>0.1018</v>
      </c>
      <c r="G45" s="3">
        <f t="shared" si="5"/>
        <v>0.19530000000000003</v>
      </c>
    </row>
    <row r="46" spans="1:7" ht="24" customHeight="1">
      <c r="A46" s="269" t="s">
        <v>82</v>
      </c>
      <c r="B46" s="269"/>
      <c r="C46" s="8"/>
      <c r="D46" s="9"/>
      <c r="E46" s="10">
        <f>$G$41*G46</f>
        <v>0</v>
      </c>
      <c r="F46" s="11">
        <f>1.97%+0.75%</f>
        <v>2.7199999999999998E-2</v>
      </c>
      <c r="G46" s="3">
        <f t="shared" si="5"/>
        <v>2.64E-2</v>
      </c>
    </row>
    <row r="47" spans="1:7" ht="24" customHeight="1">
      <c r="A47" s="266" t="s">
        <v>265</v>
      </c>
      <c r="B47" s="7" t="s">
        <v>262</v>
      </c>
      <c r="C47" s="8"/>
      <c r="D47" s="9"/>
      <c r="E47" s="10">
        <f>$G$41*G47</f>
        <v>0</v>
      </c>
      <c r="F47" s="11">
        <v>5.3E-3</v>
      </c>
      <c r="G47" s="3">
        <f t="shared" si="5"/>
        <v>8.7000000000000029E-3</v>
      </c>
    </row>
    <row r="48" spans="1:7" ht="24" customHeight="1">
      <c r="A48" s="267"/>
      <c r="B48" s="7" t="s">
        <v>263</v>
      </c>
      <c r="C48" s="8"/>
      <c r="D48" s="9"/>
      <c r="E48" s="10">
        <f>$G$41*G48</f>
        <v>0</v>
      </c>
      <c r="F48" s="11">
        <v>3.4099999999999998E-2</v>
      </c>
      <c r="G48" s="3">
        <f t="shared" si="5"/>
        <v>7.3599999999999999E-2</v>
      </c>
    </row>
    <row r="49" spans="1:7" ht="24" customHeight="1">
      <c r="A49" s="269" t="s">
        <v>85</v>
      </c>
      <c r="B49" s="269"/>
      <c r="C49" s="8"/>
      <c r="D49" s="9"/>
      <c r="E49" s="10">
        <f>$G$41*G49</f>
        <v>0</v>
      </c>
      <c r="F49" s="11">
        <v>1.0999999999999999E-2</v>
      </c>
      <c r="G49" s="3">
        <f t="shared" si="5"/>
        <v>3.5499999999999997E-2</v>
      </c>
    </row>
    <row r="52" spans="1:7" s="1" customFormat="1" ht="18.75" customHeight="1">
      <c r="F52" s="4"/>
      <c r="G52" s="17">
        <f>材料成本!H5</f>
        <v>0</v>
      </c>
    </row>
    <row r="53" spans="1:7" ht="39" customHeight="1">
      <c r="A53" s="268" t="s">
        <v>252</v>
      </c>
      <c r="B53" s="268"/>
      <c r="C53" s="270" t="s">
        <v>253</v>
      </c>
      <c r="D53" s="272"/>
      <c r="E53" s="272"/>
      <c r="F53" s="271"/>
      <c r="G53" s="3" t="s">
        <v>254</v>
      </c>
    </row>
    <row r="54" spans="1:7" ht="34.5" customHeight="1">
      <c r="A54" s="268"/>
      <c r="B54" s="268"/>
      <c r="C54" s="5" t="s">
        <v>255</v>
      </c>
      <c r="D54" s="5" t="s">
        <v>256</v>
      </c>
      <c r="E54" s="5" t="s">
        <v>257</v>
      </c>
      <c r="F54" s="6" t="s">
        <v>259</v>
      </c>
      <c r="G54" s="16">
        <f>销量!G8</f>
        <v>0</v>
      </c>
    </row>
    <row r="55" spans="1:7" ht="24" customHeight="1">
      <c r="A55" s="269" t="s">
        <v>260</v>
      </c>
      <c r="B55" s="269"/>
      <c r="C55" s="8"/>
      <c r="D55" s="9"/>
      <c r="E55" s="10">
        <f>G54*G55</f>
        <v>0</v>
      </c>
      <c r="F55" s="11">
        <v>4.48E-2</v>
      </c>
      <c r="G55" s="3">
        <f t="shared" ref="G55:G62" si="6">G4</f>
        <v>6.9400000000000003E-2</v>
      </c>
    </row>
    <row r="56" spans="1:7" ht="24" customHeight="1">
      <c r="A56" s="269" t="s">
        <v>261</v>
      </c>
      <c r="B56" s="7" t="s">
        <v>262</v>
      </c>
      <c r="C56" s="8"/>
      <c r="D56" s="9"/>
      <c r="E56" s="10">
        <f t="shared" ref="E56:E62" si="7">$G$54*G56</f>
        <v>0</v>
      </c>
      <c r="F56" s="11">
        <v>4.0399999999999998E-2</v>
      </c>
      <c r="G56" s="3">
        <f t="shared" si="6"/>
        <v>5.9799999999999999E-2</v>
      </c>
    </row>
    <row r="57" spans="1:7" ht="24" customHeight="1">
      <c r="A57" s="269"/>
      <c r="B57" s="7" t="s">
        <v>263</v>
      </c>
      <c r="C57" s="8"/>
      <c r="D57" s="9"/>
      <c r="E57" s="10">
        <f t="shared" si="7"/>
        <v>0</v>
      </c>
      <c r="F57" s="11">
        <v>1.66E-2</v>
      </c>
      <c r="G57" s="3">
        <f t="shared" si="6"/>
        <v>6.6100000000000006E-2</v>
      </c>
    </row>
    <row r="58" spans="1:7" ht="24" customHeight="1">
      <c r="A58" s="270" t="s">
        <v>264</v>
      </c>
      <c r="B58" s="271"/>
      <c r="C58" s="12"/>
      <c r="D58" s="13"/>
      <c r="E58" s="10">
        <f t="shared" si="7"/>
        <v>0</v>
      </c>
      <c r="F58" s="14">
        <f>SUM(F55:F57)</f>
        <v>0.1018</v>
      </c>
      <c r="G58" s="3">
        <f t="shared" si="6"/>
        <v>0.19530000000000003</v>
      </c>
    </row>
    <row r="59" spans="1:7" ht="24" customHeight="1">
      <c r="A59" s="269" t="s">
        <v>82</v>
      </c>
      <c r="B59" s="269"/>
      <c r="C59" s="8"/>
      <c r="D59" s="9"/>
      <c r="E59" s="10">
        <f t="shared" si="7"/>
        <v>0</v>
      </c>
      <c r="F59" s="11">
        <f>1.97%+0.75%</f>
        <v>2.7199999999999998E-2</v>
      </c>
      <c r="G59" s="3">
        <f t="shared" si="6"/>
        <v>2.64E-2</v>
      </c>
    </row>
    <row r="60" spans="1:7" ht="24" customHeight="1">
      <c r="A60" s="266" t="s">
        <v>265</v>
      </c>
      <c r="B60" s="7" t="s">
        <v>262</v>
      </c>
      <c r="C60" s="8"/>
      <c r="D60" s="9"/>
      <c r="E60" s="10">
        <f t="shared" si="7"/>
        <v>0</v>
      </c>
      <c r="F60" s="11">
        <v>5.3E-3</v>
      </c>
      <c r="G60" s="3">
        <f t="shared" si="6"/>
        <v>8.7000000000000029E-3</v>
      </c>
    </row>
    <row r="61" spans="1:7" ht="24" customHeight="1">
      <c r="A61" s="267"/>
      <c r="B61" s="7" t="s">
        <v>263</v>
      </c>
      <c r="C61" s="8"/>
      <c r="D61" s="9"/>
      <c r="E61" s="10">
        <f t="shared" si="7"/>
        <v>0</v>
      </c>
      <c r="F61" s="11">
        <v>3.4099999999999998E-2</v>
      </c>
      <c r="G61" s="3">
        <f t="shared" si="6"/>
        <v>7.3599999999999999E-2</v>
      </c>
    </row>
    <row r="62" spans="1:7" ht="24" customHeight="1">
      <c r="A62" s="269" t="s">
        <v>85</v>
      </c>
      <c r="B62" s="269"/>
      <c r="C62" s="8"/>
      <c r="D62" s="9"/>
      <c r="E62" s="10">
        <f t="shared" si="7"/>
        <v>0</v>
      </c>
      <c r="F62" s="11">
        <v>1.0999999999999999E-2</v>
      </c>
      <c r="G62" s="3">
        <f t="shared" si="6"/>
        <v>3.5499999999999997E-2</v>
      </c>
    </row>
    <row r="65" spans="1:7" s="1" customFormat="1" ht="18.75" customHeight="1">
      <c r="F65" s="4"/>
      <c r="G65" s="17">
        <f>材料成本!I5</f>
        <v>0</v>
      </c>
    </row>
    <row r="66" spans="1:7" ht="39" customHeight="1">
      <c r="A66" s="268" t="s">
        <v>252</v>
      </c>
      <c r="B66" s="268"/>
      <c r="C66" s="270" t="s">
        <v>253</v>
      </c>
      <c r="D66" s="272"/>
      <c r="E66" s="272"/>
      <c r="F66" s="271"/>
      <c r="G66" s="3" t="s">
        <v>254</v>
      </c>
    </row>
    <row r="67" spans="1:7" ht="34.5" customHeight="1">
      <c r="A67" s="268"/>
      <c r="B67" s="268"/>
      <c r="C67" s="5" t="s">
        <v>255</v>
      </c>
      <c r="D67" s="5" t="s">
        <v>256</v>
      </c>
      <c r="E67" s="5" t="s">
        <v>257</v>
      </c>
      <c r="F67" s="6" t="s">
        <v>259</v>
      </c>
      <c r="G67" s="16">
        <f>销量!H8</f>
        <v>0</v>
      </c>
    </row>
    <row r="68" spans="1:7" ht="24" customHeight="1">
      <c r="A68" s="269" t="s">
        <v>260</v>
      </c>
      <c r="B68" s="269"/>
      <c r="C68" s="8"/>
      <c r="D68" s="9"/>
      <c r="E68" s="10">
        <f>G67*G68</f>
        <v>0</v>
      </c>
      <c r="F68" s="11">
        <v>4.48E-2</v>
      </c>
      <c r="G68" s="3">
        <f t="shared" ref="G68:G75" si="8">G4</f>
        <v>6.9400000000000003E-2</v>
      </c>
    </row>
    <row r="69" spans="1:7" ht="24" customHeight="1">
      <c r="A69" s="269" t="s">
        <v>261</v>
      </c>
      <c r="B69" s="7" t="s">
        <v>262</v>
      </c>
      <c r="C69" s="8"/>
      <c r="D69" s="9"/>
      <c r="E69" s="10">
        <f>$G$67*G69</f>
        <v>0</v>
      </c>
      <c r="F69" s="11">
        <v>4.0399999999999998E-2</v>
      </c>
      <c r="G69" s="3">
        <f t="shared" si="8"/>
        <v>5.9799999999999999E-2</v>
      </c>
    </row>
    <row r="70" spans="1:7" ht="24" customHeight="1">
      <c r="A70" s="269"/>
      <c r="B70" s="7" t="s">
        <v>263</v>
      </c>
      <c r="C70" s="8"/>
      <c r="D70" s="9"/>
      <c r="E70" s="10">
        <f t="shared" ref="E70:E75" si="9">$G$67*G70</f>
        <v>0</v>
      </c>
      <c r="F70" s="11">
        <v>1.66E-2</v>
      </c>
      <c r="G70" s="3">
        <f t="shared" si="8"/>
        <v>6.6100000000000006E-2</v>
      </c>
    </row>
    <row r="71" spans="1:7" ht="24" customHeight="1">
      <c r="A71" s="270" t="s">
        <v>264</v>
      </c>
      <c r="B71" s="271"/>
      <c r="C71" s="12"/>
      <c r="D71" s="13"/>
      <c r="E71" s="10">
        <f>$G$67*G71</f>
        <v>0</v>
      </c>
      <c r="F71" s="14">
        <f>SUM(F68:F70)</f>
        <v>0.1018</v>
      </c>
      <c r="G71" s="3">
        <f t="shared" si="8"/>
        <v>0.19530000000000003</v>
      </c>
    </row>
    <row r="72" spans="1:7" ht="24" customHeight="1">
      <c r="A72" s="269" t="s">
        <v>82</v>
      </c>
      <c r="B72" s="269"/>
      <c r="C72" s="8"/>
      <c r="D72" s="9"/>
      <c r="E72" s="10">
        <f>$G$67*G72</f>
        <v>0</v>
      </c>
      <c r="F72" s="11">
        <f>1.97%+0.75%</f>
        <v>2.7199999999999998E-2</v>
      </c>
      <c r="G72" s="3">
        <f t="shared" si="8"/>
        <v>2.64E-2</v>
      </c>
    </row>
    <row r="73" spans="1:7" ht="24" customHeight="1">
      <c r="A73" s="266" t="s">
        <v>265</v>
      </c>
      <c r="B73" s="7" t="s">
        <v>262</v>
      </c>
      <c r="C73" s="8"/>
      <c r="D73" s="9"/>
      <c r="E73" s="10">
        <f t="shared" si="9"/>
        <v>0</v>
      </c>
      <c r="F73" s="11">
        <v>5.3E-3</v>
      </c>
      <c r="G73" s="3">
        <f t="shared" si="8"/>
        <v>8.7000000000000029E-3</v>
      </c>
    </row>
    <row r="74" spans="1:7" ht="24" customHeight="1">
      <c r="A74" s="267"/>
      <c r="B74" s="7" t="s">
        <v>263</v>
      </c>
      <c r="C74" s="8"/>
      <c r="D74" s="9"/>
      <c r="E74" s="10">
        <f t="shared" si="9"/>
        <v>0</v>
      </c>
      <c r="F74" s="11">
        <v>3.4099999999999998E-2</v>
      </c>
      <c r="G74" s="3">
        <f t="shared" si="8"/>
        <v>7.3599999999999999E-2</v>
      </c>
    </row>
    <row r="75" spans="1:7" ht="24" customHeight="1">
      <c r="A75" s="269" t="s">
        <v>85</v>
      </c>
      <c r="B75" s="269"/>
      <c r="C75" s="8"/>
      <c r="D75" s="9"/>
      <c r="E75" s="10">
        <f t="shared" si="9"/>
        <v>0</v>
      </c>
      <c r="F75" s="11">
        <v>1.0999999999999999E-2</v>
      </c>
      <c r="G75" s="3">
        <f t="shared" si="8"/>
        <v>3.5499999999999997E-2</v>
      </c>
    </row>
    <row r="78" spans="1:7" s="1" customFormat="1" ht="18.75" customHeight="1">
      <c r="F78" s="4"/>
      <c r="G78" s="17"/>
    </row>
    <row r="79" spans="1:7" ht="39" customHeight="1">
      <c r="A79" s="268" t="s">
        <v>252</v>
      </c>
      <c r="B79" s="268"/>
      <c r="C79" s="270" t="s">
        <v>253</v>
      </c>
      <c r="D79" s="272"/>
      <c r="E79" s="272"/>
      <c r="F79" s="271"/>
      <c r="G79" s="3" t="s">
        <v>254</v>
      </c>
    </row>
    <row r="80" spans="1:7" ht="34.5" customHeight="1">
      <c r="A80" s="268"/>
      <c r="B80" s="268"/>
      <c r="C80" s="5" t="s">
        <v>255</v>
      </c>
      <c r="D80" s="5" t="s">
        <v>256</v>
      </c>
      <c r="E80" s="5" t="s">
        <v>257</v>
      </c>
      <c r="F80" s="6" t="s">
        <v>259</v>
      </c>
      <c r="G80" s="16"/>
    </row>
    <row r="81" spans="1:7" ht="24" customHeight="1">
      <c r="A81" s="269" t="s">
        <v>260</v>
      </c>
      <c r="B81" s="269"/>
      <c r="C81" s="8"/>
      <c r="D81" s="9"/>
      <c r="E81" s="10">
        <f>G80*G81</f>
        <v>0</v>
      </c>
      <c r="F81" s="11">
        <v>4.48E-2</v>
      </c>
      <c r="G81" s="3">
        <f t="shared" ref="G81:G88" si="10">G4</f>
        <v>6.9400000000000003E-2</v>
      </c>
    </row>
    <row r="82" spans="1:7" ht="24" customHeight="1">
      <c r="A82" s="269" t="s">
        <v>261</v>
      </c>
      <c r="B82" s="7" t="s">
        <v>262</v>
      </c>
      <c r="C82" s="8"/>
      <c r="D82" s="9"/>
      <c r="E82" s="10">
        <f t="shared" ref="E82:E88" si="11">$G$80*G82</f>
        <v>0</v>
      </c>
      <c r="F82" s="11">
        <v>4.0399999999999998E-2</v>
      </c>
      <c r="G82" s="3">
        <f t="shared" si="10"/>
        <v>5.9799999999999999E-2</v>
      </c>
    </row>
    <row r="83" spans="1:7" ht="24" customHeight="1">
      <c r="A83" s="269"/>
      <c r="B83" s="7" t="s">
        <v>263</v>
      </c>
      <c r="C83" s="8"/>
      <c r="D83" s="9"/>
      <c r="E83" s="10">
        <f t="shared" si="11"/>
        <v>0</v>
      </c>
      <c r="F83" s="11">
        <v>1.66E-2</v>
      </c>
      <c r="G83" s="3">
        <f t="shared" si="10"/>
        <v>6.6100000000000006E-2</v>
      </c>
    </row>
    <row r="84" spans="1:7" ht="24" customHeight="1">
      <c r="A84" s="270" t="s">
        <v>264</v>
      </c>
      <c r="B84" s="271"/>
      <c r="C84" s="12"/>
      <c r="D84" s="13"/>
      <c r="E84" s="10">
        <f t="shared" si="11"/>
        <v>0</v>
      </c>
      <c r="F84" s="14">
        <f>SUM(F81:F83)</f>
        <v>0.1018</v>
      </c>
      <c r="G84" s="3">
        <f t="shared" si="10"/>
        <v>0.19530000000000003</v>
      </c>
    </row>
    <row r="85" spans="1:7" ht="24" customHeight="1">
      <c r="A85" s="269" t="s">
        <v>82</v>
      </c>
      <c r="B85" s="269"/>
      <c r="C85" s="8"/>
      <c r="D85" s="9"/>
      <c r="E85" s="10">
        <f t="shared" si="11"/>
        <v>0</v>
      </c>
      <c r="F85" s="11">
        <f>1.97%+0.75%</f>
        <v>2.7199999999999998E-2</v>
      </c>
      <c r="G85" s="3">
        <f t="shared" si="10"/>
        <v>2.64E-2</v>
      </c>
    </row>
    <row r="86" spans="1:7" ht="24" customHeight="1">
      <c r="A86" s="266" t="s">
        <v>265</v>
      </c>
      <c r="B86" s="7" t="s">
        <v>262</v>
      </c>
      <c r="C86" s="8"/>
      <c r="D86" s="9"/>
      <c r="E86" s="10">
        <f t="shared" si="11"/>
        <v>0</v>
      </c>
      <c r="F86" s="11">
        <v>5.3E-3</v>
      </c>
      <c r="G86" s="3">
        <f t="shared" si="10"/>
        <v>8.7000000000000029E-3</v>
      </c>
    </row>
    <row r="87" spans="1:7" ht="24" customHeight="1">
      <c r="A87" s="267"/>
      <c r="B87" s="7" t="s">
        <v>263</v>
      </c>
      <c r="C87" s="8"/>
      <c r="D87" s="9"/>
      <c r="E87" s="10">
        <f t="shared" si="11"/>
        <v>0</v>
      </c>
      <c r="F87" s="11">
        <v>3.4099999999999998E-2</v>
      </c>
      <c r="G87" s="3">
        <f t="shared" si="10"/>
        <v>7.3599999999999999E-2</v>
      </c>
    </row>
    <row r="88" spans="1:7" ht="24" customHeight="1">
      <c r="A88" s="269" t="s">
        <v>85</v>
      </c>
      <c r="B88" s="269"/>
      <c r="C88" s="8"/>
      <c r="D88" s="9"/>
      <c r="E88" s="10">
        <f t="shared" si="11"/>
        <v>0</v>
      </c>
      <c r="F88" s="11">
        <v>1.0999999999999999E-2</v>
      </c>
      <c r="G88" s="3">
        <f t="shared" si="10"/>
        <v>3.5499999999999997E-2</v>
      </c>
    </row>
    <row r="91" spans="1:7" s="1" customFormat="1" ht="18.75" customHeight="1">
      <c r="F91" s="4"/>
      <c r="G91" s="17"/>
    </row>
    <row r="92" spans="1:7" ht="39" customHeight="1">
      <c r="A92" s="268" t="s">
        <v>252</v>
      </c>
      <c r="B92" s="268"/>
      <c r="C92" s="270" t="s">
        <v>253</v>
      </c>
      <c r="D92" s="272"/>
      <c r="E92" s="272"/>
      <c r="F92" s="271"/>
      <c r="G92" s="3" t="s">
        <v>254</v>
      </c>
    </row>
    <row r="93" spans="1:7" ht="34.5" customHeight="1">
      <c r="A93" s="268"/>
      <c r="B93" s="268"/>
      <c r="C93" s="5" t="s">
        <v>255</v>
      </c>
      <c r="D93" s="5" t="s">
        <v>256</v>
      </c>
      <c r="E93" s="5" t="s">
        <v>257</v>
      </c>
      <c r="F93" s="6" t="s">
        <v>259</v>
      </c>
      <c r="G93" s="16"/>
    </row>
    <row r="94" spans="1:7" ht="24" customHeight="1">
      <c r="A94" s="269" t="s">
        <v>260</v>
      </c>
      <c r="B94" s="269"/>
      <c r="C94" s="8"/>
      <c r="D94" s="9"/>
      <c r="E94" s="10">
        <f>G93*G94</f>
        <v>0</v>
      </c>
      <c r="F94" s="11">
        <v>4.48E-2</v>
      </c>
      <c r="G94" s="3">
        <f t="shared" ref="G94:G101" si="12">G4</f>
        <v>6.9400000000000003E-2</v>
      </c>
    </row>
    <row r="95" spans="1:7" ht="24" customHeight="1">
      <c r="A95" s="269" t="s">
        <v>261</v>
      </c>
      <c r="B95" s="7" t="s">
        <v>262</v>
      </c>
      <c r="C95" s="8"/>
      <c r="D95" s="9"/>
      <c r="E95" s="10">
        <f>$G$93*G95</f>
        <v>0</v>
      </c>
      <c r="F95" s="11">
        <v>4.0399999999999998E-2</v>
      </c>
      <c r="G95" s="3">
        <f t="shared" si="12"/>
        <v>5.9799999999999999E-2</v>
      </c>
    </row>
    <row r="96" spans="1:7" ht="24" customHeight="1">
      <c r="A96" s="269"/>
      <c r="B96" s="7" t="s">
        <v>263</v>
      </c>
      <c r="C96" s="8"/>
      <c r="D96" s="9"/>
      <c r="E96" s="10">
        <f t="shared" ref="E96:E101" si="13">$G$93*G96</f>
        <v>0</v>
      </c>
      <c r="F96" s="11">
        <v>1.66E-2</v>
      </c>
      <c r="G96" s="3">
        <f t="shared" si="12"/>
        <v>6.6100000000000006E-2</v>
      </c>
    </row>
    <row r="97" spans="1:7" ht="24" customHeight="1">
      <c r="A97" s="270" t="s">
        <v>264</v>
      </c>
      <c r="B97" s="271"/>
      <c r="C97" s="12"/>
      <c r="D97" s="13"/>
      <c r="E97" s="10">
        <f t="shared" si="13"/>
        <v>0</v>
      </c>
      <c r="F97" s="14">
        <f>SUM(F94:F96)</f>
        <v>0.1018</v>
      </c>
      <c r="G97" s="3">
        <f t="shared" si="12"/>
        <v>0.19530000000000003</v>
      </c>
    </row>
    <row r="98" spans="1:7" ht="24" customHeight="1">
      <c r="A98" s="269" t="s">
        <v>82</v>
      </c>
      <c r="B98" s="269"/>
      <c r="C98" s="8"/>
      <c r="D98" s="9"/>
      <c r="E98" s="10">
        <f t="shared" si="13"/>
        <v>0</v>
      </c>
      <c r="F98" s="11">
        <f>1.97%+0.75%</f>
        <v>2.7199999999999998E-2</v>
      </c>
      <c r="G98" s="3">
        <f t="shared" si="12"/>
        <v>2.64E-2</v>
      </c>
    </row>
    <row r="99" spans="1:7" ht="24" customHeight="1">
      <c r="A99" s="266" t="s">
        <v>265</v>
      </c>
      <c r="B99" s="7" t="s">
        <v>262</v>
      </c>
      <c r="C99" s="8"/>
      <c r="D99" s="9"/>
      <c r="E99" s="10">
        <f t="shared" si="13"/>
        <v>0</v>
      </c>
      <c r="F99" s="11">
        <v>5.3E-3</v>
      </c>
      <c r="G99" s="3">
        <f t="shared" si="12"/>
        <v>8.7000000000000029E-3</v>
      </c>
    </row>
    <row r="100" spans="1:7" ht="24" customHeight="1">
      <c r="A100" s="267"/>
      <c r="B100" s="7" t="s">
        <v>263</v>
      </c>
      <c r="C100" s="8"/>
      <c r="D100" s="9"/>
      <c r="E100" s="10">
        <f t="shared" si="13"/>
        <v>0</v>
      </c>
      <c r="F100" s="11">
        <v>3.4099999999999998E-2</v>
      </c>
      <c r="G100" s="3">
        <f t="shared" si="12"/>
        <v>7.3599999999999999E-2</v>
      </c>
    </row>
    <row r="101" spans="1:7" ht="24" customHeight="1">
      <c r="A101" s="269" t="s">
        <v>85</v>
      </c>
      <c r="B101" s="269"/>
      <c r="C101" s="8"/>
      <c r="D101" s="9"/>
      <c r="E101" s="10">
        <f t="shared" si="13"/>
        <v>0</v>
      </c>
      <c r="F101" s="11">
        <v>1.0999999999999999E-2</v>
      </c>
      <c r="G101" s="3">
        <f t="shared" si="12"/>
        <v>3.5499999999999997E-2</v>
      </c>
    </row>
    <row r="104" spans="1:7" s="1" customFormat="1" ht="18.75" customHeight="1">
      <c r="F104" s="4"/>
      <c r="G104" s="17"/>
    </row>
    <row r="105" spans="1:7" ht="39" customHeight="1">
      <c r="A105" s="268" t="s">
        <v>252</v>
      </c>
      <c r="B105" s="268"/>
      <c r="C105" s="270" t="s">
        <v>253</v>
      </c>
      <c r="D105" s="272"/>
      <c r="E105" s="272"/>
      <c r="F105" s="271"/>
      <c r="G105" s="3" t="s">
        <v>254</v>
      </c>
    </row>
    <row r="106" spans="1:7" ht="34.5" customHeight="1">
      <c r="A106" s="268"/>
      <c r="B106" s="268"/>
      <c r="C106" s="5" t="s">
        <v>255</v>
      </c>
      <c r="D106" s="5" t="s">
        <v>256</v>
      </c>
      <c r="E106" s="5" t="s">
        <v>257</v>
      </c>
      <c r="F106" s="6" t="s">
        <v>259</v>
      </c>
      <c r="G106" s="16"/>
    </row>
    <row r="107" spans="1:7" ht="24" customHeight="1">
      <c r="A107" s="269" t="s">
        <v>260</v>
      </c>
      <c r="B107" s="269"/>
      <c r="C107" s="8"/>
      <c r="D107" s="9"/>
      <c r="E107" s="10">
        <f>G106*G107</f>
        <v>0</v>
      </c>
      <c r="F107" s="11">
        <v>4.48E-2</v>
      </c>
      <c r="G107" s="3">
        <f t="shared" ref="G107:G114" si="14">G4</f>
        <v>6.9400000000000003E-2</v>
      </c>
    </row>
    <row r="108" spans="1:7" ht="24" customHeight="1">
      <c r="A108" s="269" t="s">
        <v>261</v>
      </c>
      <c r="B108" s="7" t="s">
        <v>262</v>
      </c>
      <c r="C108" s="8"/>
      <c r="D108" s="9"/>
      <c r="E108" s="10">
        <f t="shared" ref="E108:E114" si="15">$G$106*G108</f>
        <v>0</v>
      </c>
      <c r="F108" s="11">
        <v>4.0399999999999998E-2</v>
      </c>
      <c r="G108" s="3">
        <f t="shared" si="14"/>
        <v>5.9799999999999999E-2</v>
      </c>
    </row>
    <row r="109" spans="1:7" ht="24" customHeight="1">
      <c r="A109" s="269"/>
      <c r="B109" s="7" t="s">
        <v>263</v>
      </c>
      <c r="C109" s="8"/>
      <c r="D109" s="9"/>
      <c r="E109" s="10">
        <f t="shared" si="15"/>
        <v>0</v>
      </c>
      <c r="F109" s="11">
        <v>1.66E-2</v>
      </c>
      <c r="G109" s="3">
        <f t="shared" si="14"/>
        <v>6.6100000000000006E-2</v>
      </c>
    </row>
    <row r="110" spans="1:7" ht="24" customHeight="1">
      <c r="A110" s="270" t="s">
        <v>264</v>
      </c>
      <c r="B110" s="271"/>
      <c r="C110" s="12"/>
      <c r="D110" s="13"/>
      <c r="E110" s="10">
        <f t="shared" si="15"/>
        <v>0</v>
      </c>
      <c r="F110" s="14">
        <f>SUM(F107:F109)</f>
        <v>0.1018</v>
      </c>
      <c r="G110" s="3">
        <f t="shared" si="14"/>
        <v>0.19530000000000003</v>
      </c>
    </row>
    <row r="111" spans="1:7" ht="24" customHeight="1">
      <c r="A111" s="269" t="s">
        <v>82</v>
      </c>
      <c r="B111" s="269"/>
      <c r="C111" s="8"/>
      <c r="D111" s="9"/>
      <c r="E111" s="10">
        <f t="shared" si="15"/>
        <v>0</v>
      </c>
      <c r="F111" s="11">
        <f>1.97%+0.75%</f>
        <v>2.7199999999999998E-2</v>
      </c>
      <c r="G111" s="3">
        <f t="shared" si="14"/>
        <v>2.64E-2</v>
      </c>
    </row>
    <row r="112" spans="1:7" ht="24" customHeight="1">
      <c r="A112" s="266" t="s">
        <v>265</v>
      </c>
      <c r="B112" s="7" t="s">
        <v>262</v>
      </c>
      <c r="C112" s="8"/>
      <c r="D112" s="9"/>
      <c r="E112" s="10">
        <f t="shared" si="15"/>
        <v>0</v>
      </c>
      <c r="F112" s="11">
        <v>5.3E-3</v>
      </c>
      <c r="G112" s="3">
        <f t="shared" si="14"/>
        <v>8.7000000000000029E-3</v>
      </c>
    </row>
    <row r="113" spans="1:7" ht="24" customHeight="1">
      <c r="A113" s="267"/>
      <c r="B113" s="7" t="s">
        <v>263</v>
      </c>
      <c r="C113" s="8"/>
      <c r="D113" s="9"/>
      <c r="E113" s="10">
        <f t="shared" si="15"/>
        <v>0</v>
      </c>
      <c r="F113" s="11">
        <v>3.4099999999999998E-2</v>
      </c>
      <c r="G113" s="3">
        <f t="shared" si="14"/>
        <v>7.3599999999999999E-2</v>
      </c>
    </row>
    <row r="114" spans="1:7" ht="24" customHeight="1">
      <c r="A114" s="269" t="s">
        <v>85</v>
      </c>
      <c r="B114" s="269"/>
      <c r="C114" s="8"/>
      <c r="D114" s="9"/>
      <c r="E114" s="10">
        <f t="shared" si="15"/>
        <v>0</v>
      </c>
      <c r="F114" s="11">
        <v>1.0999999999999999E-2</v>
      </c>
      <c r="G114" s="3">
        <f t="shared" si="14"/>
        <v>3.5499999999999997E-2</v>
      </c>
    </row>
    <row r="117" spans="1:7" s="1" customFormat="1" ht="18.75" customHeight="1">
      <c r="F117" s="4"/>
      <c r="G117" s="17"/>
    </row>
    <row r="118" spans="1:7" ht="39" customHeight="1">
      <c r="A118" s="268" t="s">
        <v>252</v>
      </c>
      <c r="B118" s="268"/>
      <c r="C118" s="270" t="s">
        <v>253</v>
      </c>
      <c r="D118" s="272"/>
      <c r="E118" s="272"/>
      <c r="F118" s="271"/>
      <c r="G118" s="3" t="s">
        <v>254</v>
      </c>
    </row>
    <row r="119" spans="1:7" ht="34.5" customHeight="1">
      <c r="A119" s="268"/>
      <c r="B119" s="268"/>
      <c r="C119" s="5" t="s">
        <v>255</v>
      </c>
      <c r="D119" s="5" t="s">
        <v>256</v>
      </c>
      <c r="E119" s="5" t="s">
        <v>257</v>
      </c>
      <c r="F119" s="6" t="s">
        <v>259</v>
      </c>
      <c r="G119" s="16"/>
    </row>
    <row r="120" spans="1:7" ht="24" customHeight="1">
      <c r="A120" s="269" t="s">
        <v>260</v>
      </c>
      <c r="B120" s="269"/>
      <c r="C120" s="8"/>
      <c r="D120" s="9"/>
      <c r="E120" s="10">
        <f>G119*G120</f>
        <v>0</v>
      </c>
      <c r="F120" s="11">
        <v>4.48E-2</v>
      </c>
      <c r="G120" s="3">
        <f t="shared" ref="G120:G127" si="16">G4</f>
        <v>6.9400000000000003E-2</v>
      </c>
    </row>
    <row r="121" spans="1:7" ht="24" customHeight="1">
      <c r="A121" s="269" t="s">
        <v>261</v>
      </c>
      <c r="B121" s="7" t="s">
        <v>262</v>
      </c>
      <c r="C121" s="8"/>
      <c r="D121" s="9"/>
      <c r="E121" s="10">
        <f>$G$119*G121</f>
        <v>0</v>
      </c>
      <c r="F121" s="11">
        <v>4.0399999999999998E-2</v>
      </c>
      <c r="G121" s="3">
        <f t="shared" si="16"/>
        <v>5.9799999999999999E-2</v>
      </c>
    </row>
    <row r="122" spans="1:7" ht="24" customHeight="1">
      <c r="A122" s="269"/>
      <c r="B122" s="7" t="s">
        <v>263</v>
      </c>
      <c r="C122" s="8"/>
      <c r="D122" s="9"/>
      <c r="E122" s="10">
        <f t="shared" ref="E122:E127" si="17">$G$119*G122</f>
        <v>0</v>
      </c>
      <c r="F122" s="11">
        <v>1.66E-2</v>
      </c>
      <c r="G122" s="3">
        <f t="shared" si="16"/>
        <v>6.6100000000000006E-2</v>
      </c>
    </row>
    <row r="123" spans="1:7" ht="24" customHeight="1">
      <c r="A123" s="270" t="s">
        <v>264</v>
      </c>
      <c r="B123" s="271"/>
      <c r="C123" s="12"/>
      <c r="D123" s="13"/>
      <c r="E123" s="10">
        <f t="shared" si="17"/>
        <v>0</v>
      </c>
      <c r="F123" s="14">
        <f>SUM(F120:F122)</f>
        <v>0.1018</v>
      </c>
      <c r="G123" s="3">
        <f t="shared" si="16"/>
        <v>0.19530000000000003</v>
      </c>
    </row>
    <row r="124" spans="1:7" ht="24" customHeight="1">
      <c r="A124" s="269" t="s">
        <v>82</v>
      </c>
      <c r="B124" s="269"/>
      <c r="C124" s="8"/>
      <c r="D124" s="9"/>
      <c r="E124" s="10">
        <f t="shared" si="17"/>
        <v>0</v>
      </c>
      <c r="F124" s="11">
        <f>1.97%+0.75%</f>
        <v>2.7199999999999998E-2</v>
      </c>
      <c r="G124" s="3">
        <f t="shared" si="16"/>
        <v>2.64E-2</v>
      </c>
    </row>
    <row r="125" spans="1:7" ht="24" customHeight="1">
      <c r="A125" s="266" t="s">
        <v>265</v>
      </c>
      <c r="B125" s="7" t="s">
        <v>262</v>
      </c>
      <c r="C125" s="8"/>
      <c r="D125" s="9"/>
      <c r="E125" s="10">
        <f t="shared" si="17"/>
        <v>0</v>
      </c>
      <c r="F125" s="11">
        <v>5.3E-3</v>
      </c>
      <c r="G125" s="3">
        <f t="shared" si="16"/>
        <v>8.7000000000000029E-3</v>
      </c>
    </row>
    <row r="126" spans="1:7" ht="24" customHeight="1">
      <c r="A126" s="267"/>
      <c r="B126" s="7" t="s">
        <v>263</v>
      </c>
      <c r="C126" s="8"/>
      <c r="D126" s="9"/>
      <c r="E126" s="10">
        <f t="shared" si="17"/>
        <v>0</v>
      </c>
      <c r="F126" s="11">
        <v>3.4099999999999998E-2</v>
      </c>
      <c r="G126" s="3">
        <f t="shared" si="16"/>
        <v>7.3599999999999999E-2</v>
      </c>
    </row>
    <row r="127" spans="1:7" ht="24" customHeight="1">
      <c r="A127" s="269" t="s">
        <v>85</v>
      </c>
      <c r="B127" s="269"/>
      <c r="C127" s="8"/>
      <c r="D127" s="9"/>
      <c r="E127" s="10">
        <f t="shared" si="17"/>
        <v>0</v>
      </c>
      <c r="F127" s="11">
        <v>1.0999999999999999E-2</v>
      </c>
      <c r="G127" s="3">
        <f t="shared" si="16"/>
        <v>3.5499999999999997E-2</v>
      </c>
    </row>
    <row r="130" spans="1:7" s="1" customFormat="1" ht="18.75" customHeight="1">
      <c r="F130" s="4"/>
      <c r="G130" s="17"/>
    </row>
    <row r="131" spans="1:7" ht="39" customHeight="1">
      <c r="A131" s="268" t="s">
        <v>252</v>
      </c>
      <c r="B131" s="268"/>
      <c r="C131" s="270" t="s">
        <v>253</v>
      </c>
      <c r="D131" s="272"/>
      <c r="E131" s="272"/>
      <c r="F131" s="271"/>
      <c r="G131" s="3" t="s">
        <v>254</v>
      </c>
    </row>
    <row r="132" spans="1:7" ht="34.5" customHeight="1">
      <c r="A132" s="268"/>
      <c r="B132" s="268"/>
      <c r="C132" s="5" t="s">
        <v>255</v>
      </c>
      <c r="D132" s="5" t="s">
        <v>256</v>
      </c>
      <c r="E132" s="5" t="s">
        <v>257</v>
      </c>
      <c r="F132" s="6" t="s">
        <v>259</v>
      </c>
      <c r="G132" s="16"/>
    </row>
    <row r="133" spans="1:7" ht="24" customHeight="1">
      <c r="A133" s="269" t="s">
        <v>260</v>
      </c>
      <c r="B133" s="269"/>
      <c r="C133" s="8"/>
      <c r="D133" s="9"/>
      <c r="E133" s="10">
        <f>G132*G133</f>
        <v>0</v>
      </c>
      <c r="F133" s="11">
        <v>4.48E-2</v>
      </c>
      <c r="G133" s="3">
        <f t="shared" ref="G133:G140" si="18">G4</f>
        <v>6.9400000000000003E-2</v>
      </c>
    </row>
    <row r="134" spans="1:7" ht="24" customHeight="1">
      <c r="A134" s="269" t="s">
        <v>261</v>
      </c>
      <c r="B134" s="7" t="s">
        <v>262</v>
      </c>
      <c r="C134" s="8"/>
      <c r="D134" s="9"/>
      <c r="E134" s="10">
        <f>$G$132*G134</f>
        <v>0</v>
      </c>
      <c r="F134" s="11">
        <v>4.0399999999999998E-2</v>
      </c>
      <c r="G134" s="3">
        <f t="shared" si="18"/>
        <v>5.9799999999999999E-2</v>
      </c>
    </row>
    <row r="135" spans="1:7" ht="24" customHeight="1">
      <c r="A135" s="269"/>
      <c r="B135" s="7" t="s">
        <v>263</v>
      </c>
      <c r="C135" s="8"/>
      <c r="D135" s="9"/>
      <c r="E135" s="10">
        <f t="shared" ref="E135:E140" si="19">$G$132*G135</f>
        <v>0</v>
      </c>
      <c r="F135" s="11">
        <v>1.66E-2</v>
      </c>
      <c r="G135" s="3">
        <f t="shared" si="18"/>
        <v>6.6100000000000006E-2</v>
      </c>
    </row>
    <row r="136" spans="1:7" ht="24" customHeight="1">
      <c r="A136" s="270" t="s">
        <v>264</v>
      </c>
      <c r="B136" s="271"/>
      <c r="C136" s="12"/>
      <c r="D136" s="13"/>
      <c r="E136" s="10">
        <f t="shared" si="19"/>
        <v>0</v>
      </c>
      <c r="F136" s="14">
        <f>SUM(F133:F135)</f>
        <v>0.1018</v>
      </c>
      <c r="G136" s="3">
        <f t="shared" si="18"/>
        <v>0.19530000000000003</v>
      </c>
    </row>
    <row r="137" spans="1:7" ht="24" customHeight="1">
      <c r="A137" s="269" t="s">
        <v>82</v>
      </c>
      <c r="B137" s="269"/>
      <c r="C137" s="8"/>
      <c r="D137" s="9"/>
      <c r="E137" s="10">
        <f t="shared" si="19"/>
        <v>0</v>
      </c>
      <c r="F137" s="11">
        <f>1.97%+0.75%</f>
        <v>2.7199999999999998E-2</v>
      </c>
      <c r="G137" s="3">
        <f t="shared" si="18"/>
        <v>2.64E-2</v>
      </c>
    </row>
    <row r="138" spans="1:7" ht="24" customHeight="1">
      <c r="A138" s="266" t="s">
        <v>265</v>
      </c>
      <c r="B138" s="7" t="s">
        <v>262</v>
      </c>
      <c r="C138" s="8"/>
      <c r="D138" s="9"/>
      <c r="E138" s="10">
        <f t="shared" si="19"/>
        <v>0</v>
      </c>
      <c r="F138" s="11">
        <v>5.3E-3</v>
      </c>
      <c r="G138" s="3">
        <f t="shared" si="18"/>
        <v>8.7000000000000029E-3</v>
      </c>
    </row>
    <row r="139" spans="1:7" ht="24" customHeight="1">
      <c r="A139" s="267"/>
      <c r="B139" s="7" t="s">
        <v>263</v>
      </c>
      <c r="C139" s="8"/>
      <c r="D139" s="9"/>
      <c r="E139" s="10">
        <f t="shared" si="19"/>
        <v>0</v>
      </c>
      <c r="F139" s="11">
        <v>3.4099999999999998E-2</v>
      </c>
      <c r="G139" s="3">
        <f t="shared" si="18"/>
        <v>7.3599999999999999E-2</v>
      </c>
    </row>
    <row r="140" spans="1:7" ht="24" customHeight="1">
      <c r="A140" s="269" t="s">
        <v>85</v>
      </c>
      <c r="B140" s="269"/>
      <c r="C140" s="8"/>
      <c r="D140" s="9"/>
      <c r="E140" s="10">
        <f t="shared" si="19"/>
        <v>0</v>
      </c>
      <c r="F140" s="11">
        <v>1.0999999999999999E-2</v>
      </c>
      <c r="G140" s="3">
        <f t="shared" si="18"/>
        <v>3.5499999999999997E-2</v>
      </c>
    </row>
  </sheetData>
  <mergeCells count="88">
    <mergeCell ref="A11:B11"/>
    <mergeCell ref="C14:F14"/>
    <mergeCell ref="A16:B16"/>
    <mergeCell ref="A19:B19"/>
    <mergeCell ref="C2:F2"/>
    <mergeCell ref="A4:B4"/>
    <mergeCell ref="A7:B7"/>
    <mergeCell ref="A8:B8"/>
    <mergeCell ref="C40:F40"/>
    <mergeCell ref="A20:B20"/>
    <mergeCell ref="A23:B23"/>
    <mergeCell ref="C27:F27"/>
    <mergeCell ref="A29:B29"/>
    <mergeCell ref="A42:B42"/>
    <mergeCell ref="A45:B45"/>
    <mergeCell ref="A46:B46"/>
    <mergeCell ref="A49:B49"/>
    <mergeCell ref="A32:B32"/>
    <mergeCell ref="A33:B33"/>
    <mergeCell ref="A36:B36"/>
    <mergeCell ref="C53:F53"/>
    <mergeCell ref="A55:B55"/>
    <mergeCell ref="A58:B58"/>
    <mergeCell ref="A59:B59"/>
    <mergeCell ref="A62:B62"/>
    <mergeCell ref="A75:B75"/>
    <mergeCell ref="C79:F79"/>
    <mergeCell ref="A81:B81"/>
    <mergeCell ref="A84:B84"/>
    <mergeCell ref="C66:F66"/>
    <mergeCell ref="A68:B68"/>
    <mergeCell ref="A71:B71"/>
    <mergeCell ref="A72:B72"/>
    <mergeCell ref="C105:F105"/>
    <mergeCell ref="A99:A100"/>
    <mergeCell ref="A85:B85"/>
    <mergeCell ref="A88:B88"/>
    <mergeCell ref="C92:F92"/>
    <mergeCell ref="A94:B94"/>
    <mergeCell ref="A108:A109"/>
    <mergeCell ref="A112:A113"/>
    <mergeCell ref="A97:B97"/>
    <mergeCell ref="A98:B98"/>
    <mergeCell ref="A101:B101"/>
    <mergeCell ref="C118:F118"/>
    <mergeCell ref="A120:B120"/>
    <mergeCell ref="A123:B123"/>
    <mergeCell ref="A124:B124"/>
    <mergeCell ref="A127:B127"/>
    <mergeCell ref="A121:A122"/>
    <mergeCell ref="A125:A126"/>
    <mergeCell ref="C131:F131"/>
    <mergeCell ref="A133:B133"/>
    <mergeCell ref="A136:B136"/>
    <mergeCell ref="A137:B137"/>
    <mergeCell ref="A134:A135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07:B107"/>
    <mergeCell ref="A110:B110"/>
    <mergeCell ref="A111:B111"/>
    <mergeCell ref="A114:B114"/>
  </mergeCells>
  <phoneticPr fontId="4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9" customWidth="1"/>
    <col min="2" max="2" width="28.5" style="139" customWidth="1"/>
    <col min="3" max="4" width="9.125" style="139"/>
    <col min="5" max="5" width="13.875" style="139" customWidth="1"/>
    <col min="6" max="12" width="16.125" style="139" customWidth="1"/>
    <col min="13" max="13" width="10.625" style="139" customWidth="1"/>
    <col min="14" max="254" width="9.125" style="139"/>
    <col min="255" max="255" width="8" style="139" customWidth="1"/>
    <col min="256" max="256" width="28.5" style="139" customWidth="1"/>
    <col min="257" max="268" width="9.125" style="139"/>
    <col min="269" max="269" width="10.625" style="139" customWidth="1"/>
    <col min="270" max="510" width="9.125" style="139"/>
    <col min="511" max="511" width="8" style="139" customWidth="1"/>
    <col min="512" max="512" width="28.5" style="139" customWidth="1"/>
    <col min="513" max="524" width="9.125" style="139"/>
    <col min="525" max="525" width="10.625" style="139" customWidth="1"/>
    <col min="526" max="766" width="9.125" style="139"/>
    <col min="767" max="767" width="8" style="139" customWidth="1"/>
    <col min="768" max="768" width="28.5" style="139" customWidth="1"/>
    <col min="769" max="780" width="9.125" style="139"/>
    <col min="781" max="781" width="10.625" style="139" customWidth="1"/>
    <col min="782" max="1022" width="9.125" style="139"/>
    <col min="1023" max="1023" width="8" style="139" customWidth="1"/>
    <col min="1024" max="1024" width="28.5" style="139" customWidth="1"/>
    <col min="1025" max="1036" width="9.125" style="139"/>
    <col min="1037" max="1037" width="10.625" style="139" customWidth="1"/>
    <col min="1038" max="1278" width="9.125" style="139"/>
    <col min="1279" max="1279" width="8" style="139" customWidth="1"/>
    <col min="1280" max="1280" width="28.5" style="139" customWidth="1"/>
    <col min="1281" max="1292" width="9.125" style="139"/>
    <col min="1293" max="1293" width="10.625" style="139" customWidth="1"/>
    <col min="1294" max="1534" width="9.125" style="139"/>
    <col min="1535" max="1535" width="8" style="139" customWidth="1"/>
    <col min="1536" max="1536" width="28.5" style="139" customWidth="1"/>
    <col min="1537" max="1548" width="9.125" style="139"/>
    <col min="1549" max="1549" width="10.625" style="139" customWidth="1"/>
    <col min="1550" max="1790" width="9.125" style="139"/>
    <col min="1791" max="1791" width="8" style="139" customWidth="1"/>
    <col min="1792" max="1792" width="28.5" style="139" customWidth="1"/>
    <col min="1793" max="1804" width="9.125" style="139"/>
    <col min="1805" max="1805" width="10.625" style="139" customWidth="1"/>
    <col min="1806" max="2046" width="9.125" style="139"/>
    <col min="2047" max="2047" width="8" style="139" customWidth="1"/>
    <col min="2048" max="2048" width="28.5" style="139" customWidth="1"/>
    <col min="2049" max="2060" width="9.125" style="139"/>
    <col min="2061" max="2061" width="10.625" style="139" customWidth="1"/>
    <col min="2062" max="2302" width="9.125" style="139"/>
    <col min="2303" max="2303" width="8" style="139" customWidth="1"/>
    <col min="2304" max="2304" width="28.5" style="139" customWidth="1"/>
    <col min="2305" max="2316" width="9.125" style="139"/>
    <col min="2317" max="2317" width="10.625" style="139" customWidth="1"/>
    <col min="2318" max="2558" width="9.125" style="139"/>
    <col min="2559" max="2559" width="8" style="139" customWidth="1"/>
    <col min="2560" max="2560" width="28.5" style="139" customWidth="1"/>
    <col min="2561" max="2572" width="9.125" style="139"/>
    <col min="2573" max="2573" width="10.625" style="139" customWidth="1"/>
    <col min="2574" max="2814" width="9.125" style="139"/>
    <col min="2815" max="2815" width="8" style="139" customWidth="1"/>
    <col min="2816" max="2816" width="28.5" style="139" customWidth="1"/>
    <col min="2817" max="2828" width="9.125" style="139"/>
    <col min="2829" max="2829" width="10.625" style="139" customWidth="1"/>
    <col min="2830" max="3070" width="9.125" style="139"/>
    <col min="3071" max="3071" width="8" style="139" customWidth="1"/>
    <col min="3072" max="3072" width="28.5" style="139" customWidth="1"/>
    <col min="3073" max="3084" width="9.125" style="139"/>
    <col min="3085" max="3085" width="10.625" style="139" customWidth="1"/>
    <col min="3086" max="3326" width="9.125" style="139"/>
    <col min="3327" max="3327" width="8" style="139" customWidth="1"/>
    <col min="3328" max="3328" width="28.5" style="139" customWidth="1"/>
    <col min="3329" max="3340" width="9.125" style="139"/>
    <col min="3341" max="3341" width="10.625" style="139" customWidth="1"/>
    <col min="3342" max="3582" width="9.125" style="139"/>
    <col min="3583" max="3583" width="8" style="139" customWidth="1"/>
    <col min="3584" max="3584" width="28.5" style="139" customWidth="1"/>
    <col min="3585" max="3596" width="9.125" style="139"/>
    <col min="3597" max="3597" width="10.625" style="139" customWidth="1"/>
    <col min="3598" max="3838" width="9.125" style="139"/>
    <col min="3839" max="3839" width="8" style="139" customWidth="1"/>
    <col min="3840" max="3840" width="28.5" style="139" customWidth="1"/>
    <col min="3841" max="3852" width="9.125" style="139"/>
    <col min="3853" max="3853" width="10.625" style="139" customWidth="1"/>
    <col min="3854" max="4094" width="9.125" style="139"/>
    <col min="4095" max="4095" width="8" style="139" customWidth="1"/>
    <col min="4096" max="4096" width="28.5" style="139" customWidth="1"/>
    <col min="4097" max="4108" width="9.125" style="139"/>
    <col min="4109" max="4109" width="10.625" style="139" customWidth="1"/>
    <col min="4110" max="4350" width="9.125" style="139"/>
    <col min="4351" max="4351" width="8" style="139" customWidth="1"/>
    <col min="4352" max="4352" width="28.5" style="139" customWidth="1"/>
    <col min="4353" max="4364" width="9.125" style="139"/>
    <col min="4365" max="4365" width="10.625" style="139" customWidth="1"/>
    <col min="4366" max="4606" width="9.125" style="139"/>
    <col min="4607" max="4607" width="8" style="139" customWidth="1"/>
    <col min="4608" max="4608" width="28.5" style="139" customWidth="1"/>
    <col min="4609" max="4620" width="9.125" style="139"/>
    <col min="4621" max="4621" width="10.625" style="139" customWidth="1"/>
    <col min="4622" max="4862" width="9.125" style="139"/>
    <col min="4863" max="4863" width="8" style="139" customWidth="1"/>
    <col min="4864" max="4864" width="28.5" style="139" customWidth="1"/>
    <col min="4865" max="4876" width="9.125" style="139"/>
    <col min="4877" max="4877" width="10.625" style="139" customWidth="1"/>
    <col min="4878" max="5118" width="9.125" style="139"/>
    <col min="5119" max="5119" width="8" style="139" customWidth="1"/>
    <col min="5120" max="5120" width="28.5" style="139" customWidth="1"/>
    <col min="5121" max="5132" width="9.125" style="139"/>
    <col min="5133" max="5133" width="10.625" style="139" customWidth="1"/>
    <col min="5134" max="5374" width="9.125" style="139"/>
    <col min="5375" max="5375" width="8" style="139" customWidth="1"/>
    <col min="5376" max="5376" width="28.5" style="139" customWidth="1"/>
    <col min="5377" max="5388" width="9.125" style="139"/>
    <col min="5389" max="5389" width="10.625" style="139" customWidth="1"/>
    <col min="5390" max="5630" width="9.125" style="139"/>
    <col min="5631" max="5631" width="8" style="139" customWidth="1"/>
    <col min="5632" max="5632" width="28.5" style="139" customWidth="1"/>
    <col min="5633" max="5644" width="9.125" style="139"/>
    <col min="5645" max="5645" width="10.625" style="139" customWidth="1"/>
    <col min="5646" max="5886" width="9.125" style="139"/>
    <col min="5887" max="5887" width="8" style="139" customWidth="1"/>
    <col min="5888" max="5888" width="28.5" style="139" customWidth="1"/>
    <col min="5889" max="5900" width="9.125" style="139"/>
    <col min="5901" max="5901" width="10.625" style="139" customWidth="1"/>
    <col min="5902" max="6142" width="9.125" style="139"/>
    <col min="6143" max="6143" width="8" style="139" customWidth="1"/>
    <col min="6144" max="6144" width="28.5" style="139" customWidth="1"/>
    <col min="6145" max="6156" width="9.125" style="139"/>
    <col min="6157" max="6157" width="10.625" style="139" customWidth="1"/>
    <col min="6158" max="6398" width="9.125" style="139"/>
    <col min="6399" max="6399" width="8" style="139" customWidth="1"/>
    <col min="6400" max="6400" width="28.5" style="139" customWidth="1"/>
    <col min="6401" max="6412" width="9.125" style="139"/>
    <col min="6413" max="6413" width="10.625" style="139" customWidth="1"/>
    <col min="6414" max="6654" width="9.125" style="139"/>
    <col min="6655" max="6655" width="8" style="139" customWidth="1"/>
    <col min="6656" max="6656" width="28.5" style="139" customWidth="1"/>
    <col min="6657" max="6668" width="9.125" style="139"/>
    <col min="6669" max="6669" width="10.625" style="139" customWidth="1"/>
    <col min="6670" max="6910" width="9.125" style="139"/>
    <col min="6911" max="6911" width="8" style="139" customWidth="1"/>
    <col min="6912" max="6912" width="28.5" style="139" customWidth="1"/>
    <col min="6913" max="6924" width="9.125" style="139"/>
    <col min="6925" max="6925" width="10.625" style="139" customWidth="1"/>
    <col min="6926" max="7166" width="9.125" style="139"/>
    <col min="7167" max="7167" width="8" style="139" customWidth="1"/>
    <col min="7168" max="7168" width="28.5" style="139" customWidth="1"/>
    <col min="7169" max="7180" width="9.125" style="139"/>
    <col min="7181" max="7181" width="10.625" style="139" customWidth="1"/>
    <col min="7182" max="7422" width="9.125" style="139"/>
    <col min="7423" max="7423" width="8" style="139" customWidth="1"/>
    <col min="7424" max="7424" width="28.5" style="139" customWidth="1"/>
    <col min="7425" max="7436" width="9.125" style="139"/>
    <col min="7437" max="7437" width="10.625" style="139" customWidth="1"/>
    <col min="7438" max="7678" width="9.125" style="139"/>
    <col min="7679" max="7679" width="8" style="139" customWidth="1"/>
    <col min="7680" max="7680" width="28.5" style="139" customWidth="1"/>
    <col min="7681" max="7692" width="9.125" style="139"/>
    <col min="7693" max="7693" width="10.625" style="139" customWidth="1"/>
    <col min="7694" max="7934" width="9.125" style="139"/>
    <col min="7935" max="7935" width="8" style="139" customWidth="1"/>
    <col min="7936" max="7936" width="28.5" style="139" customWidth="1"/>
    <col min="7937" max="7948" width="9.125" style="139"/>
    <col min="7949" max="7949" width="10.625" style="139" customWidth="1"/>
    <col min="7950" max="8190" width="9.125" style="139"/>
    <col min="8191" max="8191" width="8" style="139" customWidth="1"/>
    <col min="8192" max="8192" width="28.5" style="139" customWidth="1"/>
    <col min="8193" max="8204" width="9.125" style="139"/>
    <col min="8205" max="8205" width="10.625" style="139" customWidth="1"/>
    <col min="8206" max="8446" width="9.125" style="139"/>
    <col min="8447" max="8447" width="8" style="139" customWidth="1"/>
    <col min="8448" max="8448" width="28.5" style="139" customWidth="1"/>
    <col min="8449" max="8460" width="9.125" style="139"/>
    <col min="8461" max="8461" width="10.625" style="139" customWidth="1"/>
    <col min="8462" max="8702" width="9.125" style="139"/>
    <col min="8703" max="8703" width="8" style="139" customWidth="1"/>
    <col min="8704" max="8704" width="28.5" style="139" customWidth="1"/>
    <col min="8705" max="8716" width="9.125" style="139"/>
    <col min="8717" max="8717" width="10.625" style="139" customWidth="1"/>
    <col min="8718" max="8958" width="9.125" style="139"/>
    <col min="8959" max="8959" width="8" style="139" customWidth="1"/>
    <col min="8960" max="8960" width="28.5" style="139" customWidth="1"/>
    <col min="8961" max="8972" width="9.125" style="139"/>
    <col min="8973" max="8973" width="10.625" style="139" customWidth="1"/>
    <col min="8974" max="9214" width="9.125" style="139"/>
    <col min="9215" max="9215" width="8" style="139" customWidth="1"/>
    <col min="9216" max="9216" width="28.5" style="139" customWidth="1"/>
    <col min="9217" max="9228" width="9.125" style="139"/>
    <col min="9229" max="9229" width="10.625" style="139" customWidth="1"/>
    <col min="9230" max="9470" width="9.125" style="139"/>
    <col min="9471" max="9471" width="8" style="139" customWidth="1"/>
    <col min="9472" max="9472" width="28.5" style="139" customWidth="1"/>
    <col min="9473" max="9484" width="9.125" style="139"/>
    <col min="9485" max="9485" width="10.625" style="139" customWidth="1"/>
    <col min="9486" max="9726" width="9.125" style="139"/>
    <col min="9727" max="9727" width="8" style="139" customWidth="1"/>
    <col min="9728" max="9728" width="28.5" style="139" customWidth="1"/>
    <col min="9729" max="9740" width="9.125" style="139"/>
    <col min="9741" max="9741" width="10.625" style="139" customWidth="1"/>
    <col min="9742" max="9982" width="9.125" style="139"/>
    <col min="9983" max="9983" width="8" style="139" customWidth="1"/>
    <col min="9984" max="9984" width="28.5" style="139" customWidth="1"/>
    <col min="9985" max="9996" width="9.125" style="139"/>
    <col min="9997" max="9997" width="10.625" style="139" customWidth="1"/>
    <col min="9998" max="10238" width="9.125" style="139"/>
    <col min="10239" max="10239" width="8" style="139" customWidth="1"/>
    <col min="10240" max="10240" width="28.5" style="139" customWidth="1"/>
    <col min="10241" max="10252" width="9.125" style="139"/>
    <col min="10253" max="10253" width="10.625" style="139" customWidth="1"/>
    <col min="10254" max="10494" width="9.125" style="139"/>
    <col min="10495" max="10495" width="8" style="139" customWidth="1"/>
    <col min="10496" max="10496" width="28.5" style="139" customWidth="1"/>
    <col min="10497" max="10508" width="9.125" style="139"/>
    <col min="10509" max="10509" width="10.625" style="139" customWidth="1"/>
    <col min="10510" max="10750" width="9.125" style="139"/>
    <col min="10751" max="10751" width="8" style="139" customWidth="1"/>
    <col min="10752" max="10752" width="28.5" style="139" customWidth="1"/>
    <col min="10753" max="10764" width="9.125" style="139"/>
    <col min="10765" max="10765" width="10.625" style="139" customWidth="1"/>
    <col min="10766" max="11006" width="9.125" style="139"/>
    <col min="11007" max="11007" width="8" style="139" customWidth="1"/>
    <col min="11008" max="11008" width="28.5" style="139" customWidth="1"/>
    <col min="11009" max="11020" width="9.125" style="139"/>
    <col min="11021" max="11021" width="10.625" style="139" customWidth="1"/>
    <col min="11022" max="11262" width="9.125" style="139"/>
    <col min="11263" max="11263" width="8" style="139" customWidth="1"/>
    <col min="11264" max="11264" width="28.5" style="139" customWidth="1"/>
    <col min="11265" max="11276" width="9.125" style="139"/>
    <col min="11277" max="11277" width="10.625" style="139" customWidth="1"/>
    <col min="11278" max="11518" width="9.125" style="139"/>
    <col min="11519" max="11519" width="8" style="139" customWidth="1"/>
    <col min="11520" max="11520" width="28.5" style="139" customWidth="1"/>
    <col min="11521" max="11532" width="9.125" style="139"/>
    <col min="11533" max="11533" width="10.625" style="139" customWidth="1"/>
    <col min="11534" max="11774" width="9.125" style="139"/>
    <col min="11775" max="11775" width="8" style="139" customWidth="1"/>
    <col min="11776" max="11776" width="28.5" style="139" customWidth="1"/>
    <col min="11777" max="11788" width="9.125" style="139"/>
    <col min="11789" max="11789" width="10.625" style="139" customWidth="1"/>
    <col min="11790" max="12030" width="9.125" style="139"/>
    <col min="12031" max="12031" width="8" style="139" customWidth="1"/>
    <col min="12032" max="12032" width="28.5" style="139" customWidth="1"/>
    <col min="12033" max="12044" width="9.125" style="139"/>
    <col min="12045" max="12045" width="10.625" style="139" customWidth="1"/>
    <col min="12046" max="12286" width="9.125" style="139"/>
    <col min="12287" max="12287" width="8" style="139" customWidth="1"/>
    <col min="12288" max="12288" width="28.5" style="139" customWidth="1"/>
    <col min="12289" max="12300" width="9.125" style="139"/>
    <col min="12301" max="12301" width="10.625" style="139" customWidth="1"/>
    <col min="12302" max="12542" width="9.125" style="139"/>
    <col min="12543" max="12543" width="8" style="139" customWidth="1"/>
    <col min="12544" max="12544" width="28.5" style="139" customWidth="1"/>
    <col min="12545" max="12556" width="9.125" style="139"/>
    <col min="12557" max="12557" width="10.625" style="139" customWidth="1"/>
    <col min="12558" max="12798" width="9.125" style="139"/>
    <col min="12799" max="12799" width="8" style="139" customWidth="1"/>
    <col min="12800" max="12800" width="28.5" style="139" customWidth="1"/>
    <col min="12801" max="12812" width="9.125" style="139"/>
    <col min="12813" max="12813" width="10.625" style="139" customWidth="1"/>
    <col min="12814" max="13054" width="9.125" style="139"/>
    <col min="13055" max="13055" width="8" style="139" customWidth="1"/>
    <col min="13056" max="13056" width="28.5" style="139" customWidth="1"/>
    <col min="13057" max="13068" width="9.125" style="139"/>
    <col min="13069" max="13069" width="10.625" style="139" customWidth="1"/>
    <col min="13070" max="13310" width="9.125" style="139"/>
    <col min="13311" max="13311" width="8" style="139" customWidth="1"/>
    <col min="13312" max="13312" width="28.5" style="139" customWidth="1"/>
    <col min="13313" max="13324" width="9.125" style="139"/>
    <col min="13325" max="13325" width="10.625" style="139" customWidth="1"/>
    <col min="13326" max="13566" width="9.125" style="139"/>
    <col min="13567" max="13567" width="8" style="139" customWidth="1"/>
    <col min="13568" max="13568" width="28.5" style="139" customWidth="1"/>
    <col min="13569" max="13580" width="9.125" style="139"/>
    <col min="13581" max="13581" width="10.625" style="139" customWidth="1"/>
    <col min="13582" max="13822" width="9.125" style="139"/>
    <col min="13823" max="13823" width="8" style="139" customWidth="1"/>
    <col min="13824" max="13824" width="28.5" style="139" customWidth="1"/>
    <col min="13825" max="13836" width="9.125" style="139"/>
    <col min="13837" max="13837" width="10.625" style="139" customWidth="1"/>
    <col min="13838" max="14078" width="9.125" style="139"/>
    <col min="14079" max="14079" width="8" style="139" customWidth="1"/>
    <col min="14080" max="14080" width="28.5" style="139" customWidth="1"/>
    <col min="14081" max="14092" width="9.125" style="139"/>
    <col min="14093" max="14093" width="10.625" style="139" customWidth="1"/>
    <col min="14094" max="14334" width="9.125" style="139"/>
    <col min="14335" max="14335" width="8" style="139" customWidth="1"/>
    <col min="14336" max="14336" width="28.5" style="139" customWidth="1"/>
    <col min="14337" max="14348" width="9.125" style="139"/>
    <col min="14349" max="14349" width="10.625" style="139" customWidth="1"/>
    <col min="14350" max="14590" width="9.125" style="139"/>
    <col min="14591" max="14591" width="8" style="139" customWidth="1"/>
    <col min="14592" max="14592" width="28.5" style="139" customWidth="1"/>
    <col min="14593" max="14604" width="9.125" style="139"/>
    <col min="14605" max="14605" width="10.625" style="139" customWidth="1"/>
    <col min="14606" max="14846" width="9.125" style="139"/>
    <col min="14847" max="14847" width="8" style="139" customWidth="1"/>
    <col min="14848" max="14848" width="28.5" style="139" customWidth="1"/>
    <col min="14849" max="14860" width="9.125" style="139"/>
    <col min="14861" max="14861" width="10.625" style="139" customWidth="1"/>
    <col min="14862" max="15102" width="9.125" style="139"/>
    <col min="15103" max="15103" width="8" style="139" customWidth="1"/>
    <col min="15104" max="15104" width="28.5" style="139" customWidth="1"/>
    <col min="15105" max="15116" width="9.125" style="139"/>
    <col min="15117" max="15117" width="10.625" style="139" customWidth="1"/>
    <col min="15118" max="15358" width="9.125" style="139"/>
    <col min="15359" max="15359" width="8" style="139" customWidth="1"/>
    <col min="15360" max="15360" width="28.5" style="139" customWidth="1"/>
    <col min="15361" max="15372" width="9.125" style="139"/>
    <col min="15373" max="15373" width="10.625" style="139" customWidth="1"/>
    <col min="15374" max="15614" width="9.125" style="139"/>
    <col min="15615" max="15615" width="8" style="139" customWidth="1"/>
    <col min="15616" max="15616" width="28.5" style="139" customWidth="1"/>
    <col min="15617" max="15628" width="9.125" style="139"/>
    <col min="15629" max="15629" width="10.625" style="139" customWidth="1"/>
    <col min="15630" max="15870" width="9.125" style="139"/>
    <col min="15871" max="15871" width="8" style="139" customWidth="1"/>
    <col min="15872" max="15872" width="28.5" style="139" customWidth="1"/>
    <col min="15873" max="15884" width="9.125" style="139"/>
    <col min="15885" max="15885" width="10.625" style="139" customWidth="1"/>
    <col min="15886" max="16126" width="9.125" style="139"/>
    <col min="16127" max="16127" width="8" style="139" customWidth="1"/>
    <col min="16128" max="16128" width="28.5" style="139" customWidth="1"/>
    <col min="16129" max="16140" width="9.125" style="139"/>
    <col min="16141" max="16141" width="10.625" style="139" customWidth="1"/>
    <col min="16142" max="16384" width="9.125" style="139"/>
  </cols>
  <sheetData>
    <row r="1" spans="1:13" ht="18.75">
      <c r="A1" s="140" t="s">
        <v>17</v>
      </c>
      <c r="B1" s="141"/>
      <c r="C1" s="142"/>
      <c r="D1" s="142"/>
      <c r="E1" s="141"/>
      <c r="F1" s="142"/>
      <c r="G1" s="142"/>
      <c r="H1" s="141"/>
      <c r="I1" s="142"/>
      <c r="J1" s="142"/>
      <c r="K1" s="142"/>
      <c r="L1" s="142"/>
      <c r="M1" s="142"/>
    </row>
    <row r="2" spans="1:13" ht="12">
      <c r="A2" s="139" t="s">
        <v>18</v>
      </c>
      <c r="B2" s="143"/>
    </row>
    <row r="3" spans="1:13" ht="16.899999999999999" customHeight="1">
      <c r="A3" s="144" t="s">
        <v>19</v>
      </c>
      <c r="B3" s="144" t="s">
        <v>20</v>
      </c>
      <c r="C3" s="215" t="s">
        <v>21</v>
      </c>
      <c r="D3" s="215"/>
      <c r="E3" s="215"/>
      <c r="F3" s="146"/>
      <c r="G3" s="147"/>
      <c r="H3" s="148"/>
      <c r="I3" s="148"/>
      <c r="J3" s="148" t="s">
        <v>22</v>
      </c>
      <c r="K3" s="148"/>
      <c r="L3" s="148"/>
      <c r="M3" s="169"/>
    </row>
    <row r="4" spans="1:13" ht="16.149999999999999" customHeight="1">
      <c r="A4" s="149"/>
      <c r="B4" s="149" t="s">
        <v>23</v>
      </c>
      <c r="C4" s="145">
        <v>2017</v>
      </c>
      <c r="D4" s="145">
        <f t="shared" ref="D4:L4" si="0">C4+1</f>
        <v>2018</v>
      </c>
      <c r="E4" s="145">
        <f t="shared" si="0"/>
        <v>2019</v>
      </c>
      <c r="F4" s="145">
        <f t="shared" si="0"/>
        <v>2020</v>
      </c>
      <c r="G4" s="145">
        <f t="shared" si="0"/>
        <v>2021</v>
      </c>
      <c r="H4" s="150">
        <f t="shared" si="0"/>
        <v>2022</v>
      </c>
      <c r="I4" s="150">
        <f t="shared" si="0"/>
        <v>2023</v>
      </c>
      <c r="J4" s="150">
        <f t="shared" si="0"/>
        <v>2024</v>
      </c>
      <c r="K4" s="150">
        <f t="shared" si="0"/>
        <v>2025</v>
      </c>
      <c r="L4" s="150">
        <f t="shared" si="0"/>
        <v>2026</v>
      </c>
      <c r="M4" s="170" t="s">
        <v>24</v>
      </c>
    </row>
    <row r="5" spans="1:13" ht="15.6" customHeight="1">
      <c r="A5" s="151">
        <v>1</v>
      </c>
      <c r="B5" s="152" t="s">
        <v>25</v>
      </c>
      <c r="C5" s="153">
        <f>SUM(C6:C9)</f>
        <v>0</v>
      </c>
      <c r="D5" s="153">
        <f t="shared" ref="D5:L5" si="1">SUM(D6:D9)</f>
        <v>0</v>
      </c>
      <c r="E5" s="153" t="e">
        <f t="shared" si="1"/>
        <v>#REF!</v>
      </c>
      <c r="F5" s="153" t="e">
        <f t="shared" si="1"/>
        <v>#REF!</v>
      </c>
      <c r="G5" s="153" t="e">
        <f t="shared" si="1"/>
        <v>#REF!</v>
      </c>
      <c r="H5" s="153" t="e">
        <f t="shared" si="1"/>
        <v>#REF!</v>
      </c>
      <c r="I5" s="153" t="e">
        <f t="shared" si="1"/>
        <v>#REF!</v>
      </c>
      <c r="J5" s="153" t="e">
        <f t="shared" si="1"/>
        <v>#REF!</v>
      </c>
      <c r="K5" s="153" t="e">
        <f t="shared" si="1"/>
        <v>#REF!</v>
      </c>
      <c r="L5" s="153" t="e">
        <f t="shared" si="1"/>
        <v>#REF!</v>
      </c>
      <c r="M5" s="157" t="e">
        <f t="shared" ref="M5:M17" si="2">SUM(C5:L5)</f>
        <v>#REF!</v>
      </c>
    </row>
    <row r="6" spans="1:13" ht="15.6" customHeight="1">
      <c r="A6" s="151">
        <v>1.1000000000000001</v>
      </c>
      <c r="B6" s="154" t="s">
        <v>26</v>
      </c>
      <c r="C6" s="155"/>
      <c r="D6" s="155"/>
      <c r="E6" s="155" t="e">
        <f>#REF!</f>
        <v>#REF!</v>
      </c>
      <c r="F6" s="155" t="e">
        <f>#REF!</f>
        <v>#REF!</v>
      </c>
      <c r="G6" s="155" t="e">
        <f>#REF!</f>
        <v>#REF!</v>
      </c>
      <c r="H6" s="155" t="e">
        <f>#REF!</f>
        <v>#REF!</v>
      </c>
      <c r="I6" s="155" t="e">
        <f>#REF!</f>
        <v>#REF!</v>
      </c>
      <c r="J6" s="155" t="e">
        <f>#REF!</f>
        <v>#REF!</v>
      </c>
      <c r="K6" s="155" t="e">
        <f>#REF!</f>
        <v>#REF!</v>
      </c>
      <c r="L6" s="155" t="e">
        <f>#REF!</f>
        <v>#REF!</v>
      </c>
      <c r="M6" s="157" t="e">
        <f t="shared" si="2"/>
        <v>#REF!</v>
      </c>
    </row>
    <row r="7" spans="1:13" ht="15.6" customHeight="1">
      <c r="A7" s="151">
        <v>1.2</v>
      </c>
      <c r="B7" s="154" t="s">
        <v>27</v>
      </c>
      <c r="C7" s="155"/>
      <c r="D7" s="155"/>
      <c r="E7" s="155">
        <f>[1]折、摊!G18</f>
        <v>0</v>
      </c>
      <c r="F7" s="155">
        <f>[1]折、摊!H18</f>
        <v>0</v>
      </c>
      <c r="G7" s="155">
        <f>[1]折、摊!I18</f>
        <v>0</v>
      </c>
      <c r="H7" s="155">
        <f>[1]折、摊!J18</f>
        <v>0</v>
      </c>
      <c r="I7" s="155">
        <f>[1]折、摊!K18</f>
        <v>0</v>
      </c>
      <c r="J7" s="155">
        <f>[1]折、摊!L18</f>
        <v>0</v>
      </c>
      <c r="K7" s="155">
        <f>[1]折、摊!M18</f>
        <v>0</v>
      </c>
      <c r="L7" s="155">
        <f>[1]折、摊!N18</f>
        <v>0</v>
      </c>
      <c r="M7" s="157">
        <f t="shared" si="2"/>
        <v>0</v>
      </c>
    </row>
    <row r="8" spans="1:13" ht="15.6" customHeight="1">
      <c r="A8" s="151">
        <v>1.3</v>
      </c>
      <c r="B8" s="154" t="s">
        <v>28</v>
      </c>
      <c r="C8" s="155" t="s">
        <v>29</v>
      </c>
      <c r="D8" s="155" t="s">
        <v>29</v>
      </c>
      <c r="E8" s="155" t="s">
        <v>29</v>
      </c>
      <c r="F8" s="155" t="s">
        <v>29</v>
      </c>
      <c r="G8" s="155" t="s">
        <v>29</v>
      </c>
      <c r="H8" s="155" t="s">
        <v>29</v>
      </c>
      <c r="I8" s="155" t="s">
        <v>29</v>
      </c>
      <c r="J8" s="155" t="s">
        <v>29</v>
      </c>
      <c r="K8" s="155" t="s">
        <v>29</v>
      </c>
      <c r="L8" s="155"/>
      <c r="M8" s="157">
        <f t="shared" si="2"/>
        <v>0</v>
      </c>
    </row>
    <row r="9" spans="1:13" s="138" customFormat="1" ht="15.6" customHeight="1">
      <c r="A9" s="156">
        <v>1.4</v>
      </c>
      <c r="B9" s="157" t="s">
        <v>30</v>
      </c>
      <c r="C9" s="155" t="s">
        <v>29</v>
      </c>
      <c r="D9" s="155" t="s">
        <v>29</v>
      </c>
      <c r="E9" s="155" t="s">
        <v>29</v>
      </c>
      <c r="F9" s="155" t="s">
        <v>29</v>
      </c>
      <c r="G9" s="155" t="s">
        <v>29</v>
      </c>
      <c r="H9" s="155" t="s">
        <v>29</v>
      </c>
      <c r="I9" s="155" t="s">
        <v>29</v>
      </c>
      <c r="J9" s="155" t="s">
        <v>29</v>
      </c>
      <c r="K9" s="155" t="s">
        <v>29</v>
      </c>
      <c r="L9" s="155" t="s">
        <v>29</v>
      </c>
      <c r="M9" s="157">
        <f t="shared" si="2"/>
        <v>0</v>
      </c>
    </row>
    <row r="10" spans="1:13" ht="15.6" customHeight="1">
      <c r="A10" s="156">
        <v>2</v>
      </c>
      <c r="B10" s="152" t="s">
        <v>31</v>
      </c>
      <c r="C10" s="153">
        <f t="shared" ref="C10:L10" si="3">SUM(C11:C16)</f>
        <v>0</v>
      </c>
      <c r="D10" s="153">
        <f t="shared" si="3"/>
        <v>0</v>
      </c>
      <c r="E10" s="153">
        <f t="shared" si="3"/>
        <v>0</v>
      </c>
      <c r="F10" s="153">
        <f t="shared" si="3"/>
        <v>0</v>
      </c>
      <c r="G10" s="153">
        <f t="shared" si="3"/>
        <v>0</v>
      </c>
      <c r="H10" s="153">
        <f t="shared" si="3"/>
        <v>0</v>
      </c>
      <c r="I10" s="153">
        <f t="shared" si="3"/>
        <v>0</v>
      </c>
      <c r="J10" s="153">
        <f t="shared" si="3"/>
        <v>0</v>
      </c>
      <c r="K10" s="153">
        <f t="shared" si="3"/>
        <v>0</v>
      </c>
      <c r="L10" s="153">
        <f t="shared" si="3"/>
        <v>0</v>
      </c>
      <c r="M10" s="157">
        <f t="shared" si="2"/>
        <v>0</v>
      </c>
    </row>
    <row r="11" spans="1:13" ht="15" customHeight="1">
      <c r="A11" s="151">
        <v>2.1</v>
      </c>
      <c r="B11" s="151" t="s">
        <v>32</v>
      </c>
      <c r="C11" s="155">
        <f>([1]计划!C6-[1]计划!C7)</f>
        <v>0</v>
      </c>
      <c r="D11" s="155">
        <f>([1]计划!D6-[1]计划!D7)</f>
        <v>0</v>
      </c>
      <c r="E11" s="155">
        <f>([1]计划!E6-[1]计划!E7)</f>
        <v>0</v>
      </c>
      <c r="F11" s="155">
        <f>([1]计划!F6-[1]计划!F7)</f>
        <v>0</v>
      </c>
      <c r="G11" s="155">
        <f>([1]计划!G6-[1]计划!G7)</f>
        <v>0</v>
      </c>
      <c r="H11" s="155">
        <f>([1]计划!H6-[1]计划!H7)</f>
        <v>0</v>
      </c>
      <c r="I11" s="155">
        <f>([1]计划!I6-[1]计划!I7)</f>
        <v>0</v>
      </c>
      <c r="J11" s="155">
        <f>([1]计划!J6-[1]计划!J7)</f>
        <v>0</v>
      </c>
      <c r="K11" s="155">
        <f>([1]计划!K6-[1]计划!K7)</f>
        <v>0</v>
      </c>
      <c r="L11" s="155">
        <f>([1]计划!L6-[1]计划!L7)</f>
        <v>0</v>
      </c>
      <c r="M11" s="157">
        <f t="shared" si="2"/>
        <v>0</v>
      </c>
    </row>
    <row r="12" spans="1:13" s="138" customFormat="1" ht="15" customHeight="1">
      <c r="A12" s="151">
        <v>2.2000000000000002</v>
      </c>
      <c r="B12" s="157" t="s">
        <v>33</v>
      </c>
      <c r="C12" s="155">
        <f>[1]计划!C8</f>
        <v>0</v>
      </c>
      <c r="D12" s="155">
        <f>[1]计划!D8</f>
        <v>0</v>
      </c>
      <c r="E12" s="155">
        <f>[1]计划!E8</f>
        <v>0</v>
      </c>
      <c r="F12" s="155">
        <f>[1]计划!F8</f>
        <v>0</v>
      </c>
      <c r="G12" s="155">
        <f>[1]计划!G8</f>
        <v>0</v>
      </c>
      <c r="H12" s="155">
        <f>[1]计划!H8</f>
        <v>0</v>
      </c>
      <c r="I12" s="155">
        <f>[1]计划!I8</f>
        <v>0</v>
      </c>
      <c r="J12" s="155">
        <f>[1]计划!J8</f>
        <v>0</v>
      </c>
      <c r="K12" s="155">
        <f>[1]计划!K8</f>
        <v>0</v>
      </c>
      <c r="L12" s="155">
        <f>[1]计划!L8</f>
        <v>0</v>
      </c>
      <c r="M12" s="157">
        <f t="shared" si="2"/>
        <v>0</v>
      </c>
    </row>
    <row r="13" spans="1:13" ht="15" customHeight="1">
      <c r="A13" s="151">
        <v>2.2999999999999998</v>
      </c>
      <c r="B13" s="154" t="s">
        <v>34</v>
      </c>
      <c r="C13" s="155">
        <f>[1]总成本!C22</f>
        <v>0</v>
      </c>
      <c r="D13" s="155">
        <f>[1]总成本!D22</f>
        <v>0</v>
      </c>
      <c r="E13" s="155">
        <f>[1]总成本!E22</f>
        <v>0</v>
      </c>
      <c r="F13" s="155">
        <f>[1]总成本!F22</f>
        <v>0</v>
      </c>
      <c r="G13" s="155">
        <f>[1]总成本!G22</f>
        <v>0</v>
      </c>
      <c r="H13" s="155">
        <f>[1]总成本!H22</f>
        <v>0</v>
      </c>
      <c r="I13" s="155">
        <f>[1]总成本!I22</f>
        <v>0</v>
      </c>
      <c r="J13" s="155">
        <f>[1]总成本!J22</f>
        <v>0</v>
      </c>
      <c r="K13" s="155">
        <f>[1]总成本!K22</f>
        <v>0</v>
      </c>
      <c r="L13" s="155">
        <f>[1]总成本!L22</f>
        <v>0</v>
      </c>
      <c r="M13" s="157">
        <f t="shared" si="2"/>
        <v>0</v>
      </c>
    </row>
    <row r="14" spans="1:13" ht="15" customHeight="1">
      <c r="A14" s="151">
        <v>2.4</v>
      </c>
      <c r="B14" s="154" t="s">
        <v>35</v>
      </c>
      <c r="C14" s="155">
        <f>[1]价格!D15</f>
        <v>0</v>
      </c>
      <c r="D14" s="155">
        <f>[1]价格!E15</f>
        <v>0</v>
      </c>
      <c r="E14" s="155">
        <f>[1]价格!F15</f>
        <v>0</v>
      </c>
      <c r="F14" s="155">
        <f>[1]价格!G15</f>
        <v>0</v>
      </c>
      <c r="G14" s="155">
        <f>[1]价格!H15</f>
        <v>0</v>
      </c>
      <c r="H14" s="155">
        <f>[1]价格!I15</f>
        <v>0</v>
      </c>
      <c r="I14" s="155">
        <f>[1]价格!J15</f>
        <v>0</v>
      </c>
      <c r="J14" s="155">
        <f>[1]价格!K15</f>
        <v>0</v>
      </c>
      <c r="K14" s="155">
        <f>[1]价格!L15</f>
        <v>0</v>
      </c>
      <c r="L14" s="155">
        <f>[1]价格!M15</f>
        <v>0</v>
      </c>
      <c r="M14" s="157">
        <f t="shared" si="2"/>
        <v>0</v>
      </c>
    </row>
    <row r="15" spans="1:13" ht="15" customHeight="1">
      <c r="A15" s="151">
        <v>2.5</v>
      </c>
      <c r="B15" s="154" t="s">
        <v>36</v>
      </c>
      <c r="C15" s="155">
        <f>[1]利润!C13</f>
        <v>0</v>
      </c>
      <c r="D15" s="155">
        <f>[1]利润!D13</f>
        <v>0</v>
      </c>
      <c r="E15" s="155">
        <f>[1]利润!E13</f>
        <v>0</v>
      </c>
      <c r="F15" s="155">
        <f>[1]利润!F13</f>
        <v>0</v>
      </c>
      <c r="G15" s="155">
        <f>[1]利润!G13</f>
        <v>0</v>
      </c>
      <c r="H15" s="155">
        <f>[1]利润!H13</f>
        <v>0</v>
      </c>
      <c r="I15" s="155">
        <f>[1]利润!I13</f>
        <v>0</v>
      </c>
      <c r="J15" s="155">
        <f>[1]利润!J13</f>
        <v>0</v>
      </c>
      <c r="K15" s="155">
        <f>[1]利润!K13</f>
        <v>0</v>
      </c>
      <c r="L15" s="155">
        <f>[1]利润!L13</f>
        <v>0</v>
      </c>
      <c r="M15" s="157">
        <f t="shared" si="2"/>
        <v>0</v>
      </c>
    </row>
    <row r="16" spans="1:13" ht="15" customHeight="1">
      <c r="A16" s="151">
        <v>2.6</v>
      </c>
      <c r="B16" s="154" t="s">
        <v>37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7">
        <f t="shared" si="2"/>
        <v>0</v>
      </c>
    </row>
    <row r="17" spans="1:18" ht="12">
      <c r="A17" s="151">
        <v>3</v>
      </c>
      <c r="B17" s="152" t="s">
        <v>38</v>
      </c>
      <c r="C17" s="153">
        <f t="shared" ref="C17:L17" si="4">C5-C10</f>
        <v>0</v>
      </c>
      <c r="D17" s="153">
        <f t="shared" si="4"/>
        <v>0</v>
      </c>
      <c r="E17" s="153" t="e">
        <f t="shared" si="4"/>
        <v>#REF!</v>
      </c>
      <c r="F17" s="153" t="e">
        <f t="shared" si="4"/>
        <v>#REF!</v>
      </c>
      <c r="G17" s="153" t="e">
        <f t="shared" si="4"/>
        <v>#REF!</v>
      </c>
      <c r="H17" s="153" t="e">
        <f t="shared" si="4"/>
        <v>#REF!</v>
      </c>
      <c r="I17" s="153" t="e">
        <f t="shared" si="4"/>
        <v>#REF!</v>
      </c>
      <c r="J17" s="153" t="e">
        <f t="shared" si="4"/>
        <v>#REF!</v>
      </c>
      <c r="K17" s="153" t="e">
        <f t="shared" si="4"/>
        <v>#REF!</v>
      </c>
      <c r="L17" s="153" t="e">
        <f t="shared" si="4"/>
        <v>#REF!</v>
      </c>
      <c r="M17" s="157" t="e">
        <f t="shared" si="2"/>
        <v>#REF!</v>
      </c>
    </row>
    <row r="18" spans="1:18" ht="12">
      <c r="A18" s="158">
        <v>4</v>
      </c>
      <c r="B18" s="154" t="s">
        <v>39</v>
      </c>
      <c r="C18" s="155">
        <f>C17</f>
        <v>0</v>
      </c>
      <c r="D18" s="155">
        <f t="shared" ref="D18:L18" si="5">C18+D17</f>
        <v>0</v>
      </c>
      <c r="E18" s="155" t="e">
        <f t="shared" si="5"/>
        <v>#REF!</v>
      </c>
      <c r="F18" s="155" t="e">
        <f t="shared" si="5"/>
        <v>#REF!</v>
      </c>
      <c r="G18" s="155" t="e">
        <f t="shared" si="5"/>
        <v>#REF!</v>
      </c>
      <c r="H18" s="155" t="e">
        <f t="shared" si="5"/>
        <v>#REF!</v>
      </c>
      <c r="I18" s="155" t="e">
        <f t="shared" si="5"/>
        <v>#REF!</v>
      </c>
      <c r="J18" s="155" t="e">
        <f t="shared" si="5"/>
        <v>#REF!</v>
      </c>
      <c r="K18" s="155" t="e">
        <f t="shared" si="5"/>
        <v>#REF!</v>
      </c>
      <c r="L18" s="155" t="e">
        <f t="shared" si="5"/>
        <v>#REF!</v>
      </c>
      <c r="M18" s="154" t="s">
        <v>29</v>
      </c>
    </row>
    <row r="19" spans="1:18" s="138" customFormat="1" ht="12">
      <c r="A19" s="158">
        <v>5</v>
      </c>
      <c r="B19" s="154" t="s">
        <v>40</v>
      </c>
      <c r="C19" s="155">
        <f t="shared" ref="C19:L19" si="6">C17+C15</f>
        <v>0</v>
      </c>
      <c r="D19" s="155">
        <f t="shared" si="6"/>
        <v>0</v>
      </c>
      <c r="E19" s="155" t="e">
        <f t="shared" si="6"/>
        <v>#REF!</v>
      </c>
      <c r="F19" s="155" t="e">
        <f t="shared" si="6"/>
        <v>#REF!</v>
      </c>
      <c r="G19" s="155" t="e">
        <f t="shared" si="6"/>
        <v>#REF!</v>
      </c>
      <c r="H19" s="155" t="e">
        <f t="shared" si="6"/>
        <v>#REF!</v>
      </c>
      <c r="I19" s="155" t="e">
        <f t="shared" si="6"/>
        <v>#REF!</v>
      </c>
      <c r="J19" s="155" t="e">
        <f t="shared" si="6"/>
        <v>#REF!</v>
      </c>
      <c r="K19" s="155" t="e">
        <f t="shared" si="6"/>
        <v>#REF!</v>
      </c>
      <c r="L19" s="155" t="e">
        <f t="shared" si="6"/>
        <v>#REF!</v>
      </c>
      <c r="M19" s="157" t="e">
        <f>SUM(C19:L19)</f>
        <v>#REF!</v>
      </c>
    </row>
    <row r="20" spans="1:18" s="138" customFormat="1" ht="12">
      <c r="A20" s="151">
        <v>6</v>
      </c>
      <c r="B20" s="154" t="s">
        <v>41</v>
      </c>
      <c r="C20" s="155">
        <f>C19</f>
        <v>0</v>
      </c>
      <c r="D20" s="155">
        <f t="shared" ref="D20:L20" si="7">C20+D19</f>
        <v>0</v>
      </c>
      <c r="E20" s="155" t="e">
        <f t="shared" si="7"/>
        <v>#REF!</v>
      </c>
      <c r="F20" s="155" t="e">
        <f t="shared" si="7"/>
        <v>#REF!</v>
      </c>
      <c r="G20" s="155" t="e">
        <f t="shared" si="7"/>
        <v>#REF!</v>
      </c>
      <c r="H20" s="155" t="e">
        <f t="shared" si="7"/>
        <v>#REF!</v>
      </c>
      <c r="I20" s="155" t="e">
        <f t="shared" si="7"/>
        <v>#REF!</v>
      </c>
      <c r="J20" s="155" t="e">
        <f t="shared" si="7"/>
        <v>#REF!</v>
      </c>
      <c r="K20" s="155" t="e">
        <f t="shared" si="7"/>
        <v>#REF!</v>
      </c>
      <c r="L20" s="155" t="e">
        <f t="shared" si="7"/>
        <v>#REF!</v>
      </c>
      <c r="M20" s="154" t="s">
        <v>29</v>
      </c>
    </row>
    <row r="21" spans="1:18" ht="12">
      <c r="A21" s="159"/>
      <c r="B21" s="160" t="s">
        <v>42</v>
      </c>
      <c r="C21" s="160"/>
      <c r="D21" s="160"/>
      <c r="E21" s="160" t="s">
        <v>43</v>
      </c>
      <c r="F21" s="160"/>
      <c r="G21" s="160"/>
      <c r="H21" s="160"/>
      <c r="I21" s="160" t="s">
        <v>44</v>
      </c>
      <c r="J21" s="160"/>
      <c r="K21" s="160"/>
      <c r="L21" s="160"/>
      <c r="M21" s="171"/>
    </row>
    <row r="22" spans="1:18" ht="12">
      <c r="A22" s="161"/>
      <c r="B22" s="162" t="s">
        <v>45</v>
      </c>
      <c r="C22" s="162"/>
      <c r="D22" s="163" t="s">
        <v>46</v>
      </c>
      <c r="E22" s="164" t="e">
        <f>IRR(C17:L17,0.15)</f>
        <v>#VALUE!</v>
      </c>
      <c r="F22" s="162"/>
      <c r="G22" s="162"/>
      <c r="H22" s="162"/>
      <c r="I22" s="164" t="e">
        <f>IRR(C19:L19,0.15)</f>
        <v>#VALUE!</v>
      </c>
      <c r="J22" s="162"/>
      <c r="K22" s="162"/>
      <c r="L22" s="162"/>
      <c r="M22" s="172"/>
    </row>
    <row r="23" spans="1:18" ht="12">
      <c r="A23" s="161"/>
      <c r="B23" s="162" t="s">
        <v>47</v>
      </c>
      <c r="C23" s="162"/>
      <c r="D23" s="162"/>
      <c r="E23" s="165" t="e">
        <f>NPV(0.12,C17:L17)</f>
        <v>#REF!</v>
      </c>
      <c r="F23" s="162"/>
      <c r="G23" s="162"/>
      <c r="H23" s="162"/>
      <c r="I23" s="165" t="e">
        <f>NPV(0.12,C19:L19)</f>
        <v>#REF!</v>
      </c>
      <c r="J23" s="162"/>
      <c r="K23" s="162"/>
      <c r="L23" s="162"/>
      <c r="M23" s="172"/>
      <c r="R23" s="139">
        <f>30.9-29.82</f>
        <v>1.08</v>
      </c>
    </row>
    <row r="24" spans="1:18" ht="12">
      <c r="A24" s="166"/>
      <c r="B24" s="167" t="s">
        <v>48</v>
      </c>
      <c r="C24" s="167"/>
      <c r="D24" s="167"/>
      <c r="E24" s="168" t="e">
        <f>6-H18/I17</f>
        <v>#REF!</v>
      </c>
      <c r="F24" s="167"/>
      <c r="G24" s="167"/>
      <c r="H24" s="167"/>
      <c r="I24" s="168" t="e">
        <f>6-H20/I19</f>
        <v>#REF!</v>
      </c>
      <c r="J24" s="167"/>
      <c r="K24" s="167"/>
      <c r="L24" s="167"/>
      <c r="M24" s="173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C25" sqref="C25"/>
    </sheetView>
  </sheetViews>
  <sheetFormatPr defaultColWidth="9" defaultRowHeight="16.5"/>
  <cols>
    <col min="1" max="1" width="5.125" style="113" customWidth="1"/>
    <col min="2" max="2" width="29.625" style="113" customWidth="1"/>
    <col min="3" max="7" width="13.5" style="114" customWidth="1"/>
    <col min="8" max="8" width="14.25" style="114" customWidth="1"/>
    <col min="9" max="34" width="9" style="113"/>
    <col min="35" max="35" width="4.375" style="113" customWidth="1"/>
    <col min="36" max="36" width="13.875" style="113" customWidth="1"/>
    <col min="37" max="16384" width="9" style="113"/>
  </cols>
  <sheetData>
    <row r="1" spans="1:37" ht="42" customHeight="1">
      <c r="A1" s="218" t="s">
        <v>286</v>
      </c>
      <c r="B1" s="218"/>
      <c r="C1" s="218"/>
      <c r="D1" s="218"/>
      <c r="E1" s="218"/>
      <c r="F1" s="218"/>
      <c r="G1" s="218"/>
      <c r="H1" s="218"/>
    </row>
    <row r="2" spans="1:37" ht="20.25" customHeight="1">
      <c r="B2" s="207"/>
      <c r="C2" s="207"/>
      <c r="D2" s="207"/>
      <c r="E2" s="219" t="s">
        <v>274</v>
      </c>
      <c r="F2" s="219"/>
      <c r="G2" s="219"/>
      <c r="H2" s="219"/>
    </row>
    <row r="3" spans="1:37" ht="24.75" customHeight="1">
      <c r="A3" s="216" t="s">
        <v>19</v>
      </c>
      <c r="B3" s="115" t="s">
        <v>275</v>
      </c>
      <c r="C3" s="115" t="s">
        <v>49</v>
      </c>
      <c r="D3" s="115" t="s">
        <v>50</v>
      </c>
      <c r="E3" s="115" t="s">
        <v>51</v>
      </c>
      <c r="F3" s="115" t="s">
        <v>189</v>
      </c>
      <c r="G3" s="115" t="s">
        <v>190</v>
      </c>
      <c r="H3" s="116" t="s">
        <v>276</v>
      </c>
      <c r="AK3" s="113" t="s">
        <v>53</v>
      </c>
    </row>
    <row r="4" spans="1:37" s="87" customFormat="1" ht="15.75" customHeight="1">
      <c r="A4" s="217"/>
      <c r="B4" s="91" t="s">
        <v>3</v>
      </c>
      <c r="C4" s="117">
        <f>'2025年'!I6</f>
        <v>50000</v>
      </c>
      <c r="D4" s="117">
        <f>'2026年'!I6</f>
        <v>50000</v>
      </c>
      <c r="E4" s="117">
        <f>'2027年'!I6</f>
        <v>50000</v>
      </c>
      <c r="F4" s="117">
        <f>'2028'!I6</f>
        <v>50000</v>
      </c>
      <c r="G4" s="117">
        <f>'2029'!I6</f>
        <v>50000</v>
      </c>
      <c r="H4" s="117">
        <f t="shared" ref="H4:H8" si="0">SUM(C4:E4)</f>
        <v>150000</v>
      </c>
      <c r="AI4" s="90" t="s">
        <v>19</v>
      </c>
      <c r="AJ4" s="91" t="s">
        <v>3</v>
      </c>
      <c r="AK4" s="87" t="s">
        <v>54</v>
      </c>
    </row>
    <row r="5" spans="1:37" s="87" customFormat="1" ht="15.75" customHeight="1">
      <c r="A5" s="89">
        <v>1</v>
      </c>
      <c r="B5" s="91" t="s">
        <v>55</v>
      </c>
      <c r="C5" s="117">
        <f>'2025年'!I7</f>
        <v>22500000</v>
      </c>
      <c r="D5" s="117">
        <f>'2026年'!I7</f>
        <v>22500000</v>
      </c>
      <c r="E5" s="117">
        <f>'2027年'!I7</f>
        <v>22500000</v>
      </c>
      <c r="F5" s="117">
        <f>'2028'!I7</f>
        <v>22500000</v>
      </c>
      <c r="G5" s="117">
        <f>'2029'!I7</f>
        <v>22500000</v>
      </c>
      <c r="H5" s="117">
        <f t="shared" si="0"/>
        <v>67500000</v>
      </c>
      <c r="AI5" s="90" t="s">
        <v>56</v>
      </c>
      <c r="AJ5" s="91" t="s">
        <v>55</v>
      </c>
      <c r="AK5" s="87" t="s">
        <v>54</v>
      </c>
    </row>
    <row r="6" spans="1:37" s="87" customFormat="1" ht="15.75" customHeight="1">
      <c r="A6" s="89">
        <v>2</v>
      </c>
      <c r="B6" s="89" t="s">
        <v>57</v>
      </c>
      <c r="C6" s="117">
        <f>'2025年'!I8</f>
        <v>0</v>
      </c>
      <c r="D6" s="117">
        <f>'2026年'!I8</f>
        <v>225000.0000000002</v>
      </c>
      <c r="E6" s="117">
        <f>'2027年'!I8</f>
        <v>447749.99999999814</v>
      </c>
      <c r="F6" s="117">
        <f>'2028'!I8</f>
        <v>668272.49999999953</v>
      </c>
      <c r="G6" s="117">
        <f>'2029'!I8</f>
        <v>1104907.0500000031</v>
      </c>
      <c r="H6" s="117">
        <f t="shared" si="0"/>
        <v>672749.99999999837</v>
      </c>
      <c r="AI6" s="90" t="s">
        <v>58</v>
      </c>
      <c r="AJ6" s="89" t="s">
        <v>59</v>
      </c>
      <c r="AK6" s="87" t="s">
        <v>54</v>
      </c>
    </row>
    <row r="7" spans="1:37" s="87" customFormat="1" ht="15.75" customHeight="1">
      <c r="A7" s="89">
        <v>3</v>
      </c>
      <c r="B7" s="91" t="s">
        <v>60</v>
      </c>
      <c r="C7" s="118">
        <f>C5-C6</f>
        <v>22500000</v>
      </c>
      <c r="D7" s="118">
        <f>'2026年'!I9</f>
        <v>22275000</v>
      </c>
      <c r="E7" s="117">
        <f>'2027年'!I9</f>
        <v>22052250</v>
      </c>
      <c r="F7" s="117">
        <f>'2028'!I9</f>
        <v>21831727.5</v>
      </c>
      <c r="G7" s="117">
        <f>'2029'!I9</f>
        <v>21395092.949999996</v>
      </c>
      <c r="H7" s="117">
        <f t="shared" si="0"/>
        <v>66827250</v>
      </c>
      <c r="AI7" s="90" t="s">
        <v>61</v>
      </c>
      <c r="AJ7" s="91" t="s">
        <v>60</v>
      </c>
      <c r="AK7" s="87" t="s">
        <v>62</v>
      </c>
    </row>
    <row r="8" spans="1:37" s="87" customFormat="1" ht="15.75" customHeight="1">
      <c r="A8" s="89">
        <v>4</v>
      </c>
      <c r="B8" s="94" t="s">
        <v>277</v>
      </c>
      <c r="C8" s="117">
        <f>'2025年'!I10</f>
        <v>11205000</v>
      </c>
      <c r="D8" s="118">
        <f>'2026年'!I10</f>
        <v>11092949.999999998</v>
      </c>
      <c r="E8" s="117">
        <f>'2027年'!I10</f>
        <v>11092949.999999998</v>
      </c>
      <c r="F8" s="117">
        <f>'2028'!I10</f>
        <v>10982020.499999998</v>
      </c>
      <c r="G8" s="117">
        <f>'2029'!I10</f>
        <v>10871090.999999998</v>
      </c>
      <c r="H8" s="117">
        <f t="shared" si="0"/>
        <v>33390900</v>
      </c>
      <c r="AI8" s="90" t="s">
        <v>63</v>
      </c>
      <c r="AJ8" s="90" t="s">
        <v>64</v>
      </c>
      <c r="AK8" s="87" t="s">
        <v>65</v>
      </c>
    </row>
    <row r="9" spans="1:37" s="87" customFormat="1" ht="15.75" customHeight="1">
      <c r="A9" s="89">
        <v>5</v>
      </c>
      <c r="B9" s="90" t="s">
        <v>66</v>
      </c>
      <c r="C9" s="117">
        <f>'2025年'!I11</f>
        <v>1561500</v>
      </c>
      <c r="D9" s="118">
        <f>'2026年'!I11</f>
        <v>1561500</v>
      </c>
      <c r="E9" s="117">
        <f>'2027年'!I11</f>
        <v>1561500</v>
      </c>
      <c r="F9" s="117">
        <f>'2028'!I11</f>
        <v>1561500</v>
      </c>
      <c r="G9" s="117">
        <f>'2029'!I11</f>
        <v>1561500</v>
      </c>
      <c r="H9" s="117">
        <f t="shared" ref="H9:H20" si="1">SUM(C9:E9)</f>
        <v>4684500</v>
      </c>
      <c r="AI9" s="90" t="s">
        <v>67</v>
      </c>
      <c r="AJ9" s="90" t="s">
        <v>66</v>
      </c>
    </row>
    <row r="10" spans="1:37" s="87" customFormat="1" ht="15.75" customHeight="1">
      <c r="A10" s="89">
        <v>6</v>
      </c>
      <c r="B10" s="90" t="s">
        <v>68</v>
      </c>
      <c r="C10" s="117">
        <f>'2025年'!I12</f>
        <v>1487250</v>
      </c>
      <c r="D10" s="118">
        <f>'2026年'!I12</f>
        <v>1487250</v>
      </c>
      <c r="E10" s="117">
        <f>'2027年'!I12</f>
        <v>1487250</v>
      </c>
      <c r="F10" s="117">
        <f>'2028'!I12</f>
        <v>1487250</v>
      </c>
      <c r="G10" s="117">
        <f>'2029'!I12</f>
        <v>1487250</v>
      </c>
      <c r="H10" s="117">
        <f t="shared" si="1"/>
        <v>4461750</v>
      </c>
      <c r="AI10" s="90" t="s">
        <v>69</v>
      </c>
      <c r="AJ10" s="90" t="s">
        <v>68</v>
      </c>
    </row>
    <row r="11" spans="1:37" s="87" customFormat="1" ht="15.75" customHeight="1">
      <c r="A11" s="89">
        <v>7</v>
      </c>
      <c r="B11" s="90" t="s">
        <v>70</v>
      </c>
      <c r="C11" s="117">
        <f>'2025年'!I13</f>
        <v>1655999.9999999998</v>
      </c>
      <c r="D11" s="118">
        <f>'2026年'!I13</f>
        <v>1655999.9999999998</v>
      </c>
      <c r="E11" s="117">
        <f>'2027年'!I13</f>
        <v>1655999.9999999998</v>
      </c>
      <c r="F11" s="117">
        <f>'2028'!I13</f>
        <v>1655999.9999999998</v>
      </c>
      <c r="G11" s="117">
        <f>'2029'!I13</f>
        <v>1655999.9999999998</v>
      </c>
      <c r="H11" s="117">
        <f t="shared" si="1"/>
        <v>4967999.9999999991</v>
      </c>
      <c r="AI11" s="90" t="s">
        <v>71</v>
      </c>
      <c r="AJ11" s="90" t="s">
        <v>70</v>
      </c>
      <c r="AK11" s="87" t="s">
        <v>54</v>
      </c>
    </row>
    <row r="12" spans="1:37" s="87" customFormat="1" ht="15.75" customHeight="1">
      <c r="A12" s="89">
        <v>8</v>
      </c>
      <c r="B12" s="119" t="s">
        <v>282</v>
      </c>
      <c r="C12" s="120">
        <f>SUM(C9:C11)</f>
        <v>4704750</v>
      </c>
      <c r="D12" s="120">
        <f>SUM(D9:D11)</f>
        <v>4704750</v>
      </c>
      <c r="E12" s="120">
        <f>SUM(E9:E11)</f>
        <v>4704750</v>
      </c>
      <c r="F12" s="120">
        <f>'2028'!I14</f>
        <v>4704750</v>
      </c>
      <c r="G12" s="120">
        <f>'2029'!I14</f>
        <v>4704750</v>
      </c>
      <c r="H12" s="120">
        <f>SUM(H9:H11)</f>
        <v>14114250</v>
      </c>
      <c r="AI12" s="90" t="s">
        <v>73</v>
      </c>
      <c r="AJ12" s="94" t="s">
        <v>72</v>
      </c>
    </row>
    <row r="13" spans="1:37" s="87" customFormat="1" ht="15.75" customHeight="1">
      <c r="A13" s="89">
        <v>9</v>
      </c>
      <c r="B13" s="121" t="s">
        <v>74</v>
      </c>
      <c r="C13" s="117">
        <f>'2025年'!I15</f>
        <v>6590250</v>
      </c>
      <c r="D13" s="118">
        <f>'2026年'!I15</f>
        <v>6477300.0000000019</v>
      </c>
      <c r="E13" s="117">
        <f>'2027年'!I15</f>
        <v>6254550.0000000019</v>
      </c>
      <c r="F13" s="117">
        <f>'2028'!I15</f>
        <v>6144957.0000000019</v>
      </c>
      <c r="G13" s="117">
        <f>'2029'!I15</f>
        <v>5819251.9499999974</v>
      </c>
      <c r="H13" s="117">
        <f>SUM(C13:E13)</f>
        <v>19322100.000000004</v>
      </c>
      <c r="J13" s="113"/>
      <c r="K13" s="113"/>
      <c r="L13" s="113"/>
      <c r="M13" s="113"/>
      <c r="N13" s="113"/>
      <c r="O13" s="113"/>
      <c r="AI13" s="90" t="s">
        <v>75</v>
      </c>
      <c r="AJ13" s="94" t="s">
        <v>74</v>
      </c>
    </row>
    <row r="14" spans="1:37" ht="15.75" customHeight="1">
      <c r="A14" s="89">
        <v>10</v>
      </c>
      <c r="B14" s="122" t="s">
        <v>76</v>
      </c>
      <c r="C14" s="123">
        <f t="shared" ref="C14:H14" si="2">+C13/C7</f>
        <v>0.29289999999999999</v>
      </c>
      <c r="D14" s="123">
        <f t="shared" si="2"/>
        <v>0.29078787878787887</v>
      </c>
      <c r="E14" s="123">
        <f t="shared" si="2"/>
        <v>0.28362411998775644</v>
      </c>
      <c r="F14" s="123">
        <f>'2028'!I16</f>
        <v>0.28146911415965603</v>
      </c>
      <c r="G14" s="123">
        <f>'2029'!I16</f>
        <v>0.27199002890987667</v>
      </c>
      <c r="H14" s="123">
        <f t="shared" si="2"/>
        <v>0.28913504595804862</v>
      </c>
      <c r="AI14" s="122" t="s">
        <v>77</v>
      </c>
      <c r="AJ14" s="122" t="s">
        <v>76</v>
      </c>
    </row>
    <row r="15" spans="1:37" ht="15.75" customHeight="1">
      <c r="A15" s="89">
        <v>11</v>
      </c>
      <c r="B15" s="122" t="s">
        <v>78</v>
      </c>
      <c r="C15" s="117">
        <f>'2025年'!I17</f>
        <v>1345500</v>
      </c>
      <c r="D15" s="118">
        <f>'2026年'!I17</f>
        <v>1345500</v>
      </c>
      <c r="E15" s="117">
        <f>'2027年'!I17</f>
        <v>1345500</v>
      </c>
      <c r="F15" s="117">
        <f>'2028'!I17</f>
        <v>1345500</v>
      </c>
      <c r="G15" s="117">
        <f>'2029'!I17</f>
        <v>1345500</v>
      </c>
      <c r="H15" s="117">
        <f>SUM(C15:E15)</f>
        <v>4036500</v>
      </c>
      <c r="AI15" s="122" t="s">
        <v>79</v>
      </c>
      <c r="AJ15" s="122" t="s">
        <v>78</v>
      </c>
    </row>
    <row r="16" spans="1:37" ht="15.75" hidden="1" customHeight="1">
      <c r="A16" s="89"/>
      <c r="B16" s="122"/>
      <c r="C16" s="117"/>
      <c r="D16" s="117"/>
      <c r="E16" s="117"/>
      <c r="F16" s="117">
        <f>'2028'!I18</f>
        <v>0</v>
      </c>
      <c r="G16" s="117">
        <f>'2029'!I18</f>
        <v>0</v>
      </c>
      <c r="H16" s="117">
        <f>SUM(C16:E16)</f>
        <v>0</v>
      </c>
      <c r="AI16" s="122"/>
      <c r="AJ16" s="122"/>
    </row>
    <row r="17" spans="1:37" ht="15.75" customHeight="1">
      <c r="A17" s="89">
        <v>12</v>
      </c>
      <c r="B17" s="122" t="s">
        <v>80</v>
      </c>
      <c r="C17" s="124">
        <f>'2025年'!I19</f>
        <v>195750.00000000006</v>
      </c>
      <c r="D17" s="124">
        <f>'2026年'!I19</f>
        <v>195750.00000000006</v>
      </c>
      <c r="E17" s="117">
        <f>'2027年'!I19</f>
        <v>195750.00000000006</v>
      </c>
      <c r="F17" s="117">
        <f>'2028'!I19</f>
        <v>195750.00000000006</v>
      </c>
      <c r="G17" s="117">
        <f>'2029'!I19</f>
        <v>195750.00000000006</v>
      </c>
      <c r="H17" s="117">
        <f t="shared" si="1"/>
        <v>587250.00000000023</v>
      </c>
      <c r="P17" s="106"/>
      <c r="AI17" s="122" t="s">
        <v>81</v>
      </c>
      <c r="AJ17" s="122" t="s">
        <v>80</v>
      </c>
      <c r="AK17" s="113" t="s">
        <v>54</v>
      </c>
    </row>
    <row r="18" spans="1:37" ht="15.75" customHeight="1">
      <c r="A18" s="89">
        <v>13</v>
      </c>
      <c r="B18" s="122" t="s">
        <v>82</v>
      </c>
      <c r="C18" s="124">
        <f>'2025年'!I20</f>
        <v>594000</v>
      </c>
      <c r="D18" s="124">
        <f>'2026年'!I20</f>
        <v>594000</v>
      </c>
      <c r="E18" s="117">
        <f>'2027年'!I20</f>
        <v>594000</v>
      </c>
      <c r="F18" s="117">
        <f>'2028'!I20</f>
        <v>594000</v>
      </c>
      <c r="G18" s="117">
        <f>'2029'!I20</f>
        <v>594000</v>
      </c>
      <c r="H18" s="117">
        <f t="shared" si="1"/>
        <v>1782000</v>
      </c>
      <c r="AI18" s="122" t="s">
        <v>83</v>
      </c>
      <c r="AJ18" s="122" t="s">
        <v>82</v>
      </c>
    </row>
    <row r="19" spans="1:37" s="86" customFormat="1" ht="15.75" customHeight="1">
      <c r="A19" s="89">
        <v>14</v>
      </c>
      <c r="B19" s="99" t="s">
        <v>84</v>
      </c>
      <c r="C19" s="125">
        <f>'2025年'!I21</f>
        <v>0</v>
      </c>
      <c r="D19" s="125">
        <f>'2026年'!I21</f>
        <v>0</v>
      </c>
      <c r="E19" s="125">
        <f>'2027年'!I21</f>
        <v>0</v>
      </c>
      <c r="F19" s="125">
        <f>'2028'!I21</f>
        <v>0</v>
      </c>
      <c r="G19" s="125">
        <f>'2029'!I21</f>
        <v>0</v>
      </c>
      <c r="H19" s="117">
        <f t="shared" si="1"/>
        <v>0</v>
      </c>
      <c r="AI19" s="99"/>
      <c r="AJ19" s="99"/>
    </row>
    <row r="20" spans="1:37" s="87" customFormat="1" ht="15.75" customHeight="1">
      <c r="A20" s="89">
        <v>15</v>
      </c>
      <c r="B20" s="90" t="s">
        <v>85</v>
      </c>
      <c r="C20" s="124">
        <f>'2025年'!I22</f>
        <v>798749.99999999988</v>
      </c>
      <c r="D20" s="124">
        <f>'2026年'!I22</f>
        <v>798749.99999999988</v>
      </c>
      <c r="E20" s="117">
        <f>'2027年'!I22</f>
        <v>798749.99999999988</v>
      </c>
      <c r="F20" s="117">
        <f>'2028'!I22</f>
        <v>798749.99999999988</v>
      </c>
      <c r="G20" s="117">
        <f>'2029'!I22</f>
        <v>798749.99999999988</v>
      </c>
      <c r="H20" s="117">
        <f t="shared" si="1"/>
        <v>2396249.9999999995</v>
      </c>
      <c r="AI20" s="90" t="s">
        <v>86</v>
      </c>
      <c r="AJ20" s="90" t="s">
        <v>85</v>
      </c>
    </row>
    <row r="21" spans="1:37" s="111" customFormat="1" ht="15.75" customHeight="1">
      <c r="A21" s="89">
        <v>16</v>
      </c>
      <c r="B21" s="126" t="s">
        <v>87</v>
      </c>
      <c r="C21" s="120">
        <f t="shared" ref="C21:H21" si="3">+C20+C19+C18+C17+C15</f>
        <v>2934000</v>
      </c>
      <c r="D21" s="120">
        <f>+D20+D19+D18+D17+D15</f>
        <v>2934000</v>
      </c>
      <c r="E21" s="120">
        <f t="shared" si="3"/>
        <v>2934000</v>
      </c>
      <c r="F21" s="120">
        <f>'2028'!I23</f>
        <v>2934000</v>
      </c>
      <c r="G21" s="120">
        <f>'2029'!I23</f>
        <v>2934000</v>
      </c>
      <c r="H21" s="120">
        <f t="shared" si="3"/>
        <v>8802000</v>
      </c>
      <c r="AI21" s="135" t="s">
        <v>88</v>
      </c>
      <c r="AJ21" s="136" t="s">
        <v>87</v>
      </c>
    </row>
    <row r="22" spans="1:37" ht="15.75" customHeight="1">
      <c r="A22" s="89">
        <v>17</v>
      </c>
      <c r="B22" s="122" t="s">
        <v>89</v>
      </c>
      <c r="C22" s="127">
        <f>'2025年'!I24</f>
        <v>3656250</v>
      </c>
      <c r="D22" s="127">
        <f>'2026年'!I24</f>
        <v>3543300.0000000019</v>
      </c>
      <c r="E22" s="117">
        <f>'2027年'!I24</f>
        <v>3320550.0000000019</v>
      </c>
      <c r="F22" s="117">
        <f>'2028'!I24</f>
        <v>3210957.0000000019</v>
      </c>
      <c r="G22" s="117">
        <f>'2029'!I24</f>
        <v>2885251.9499999974</v>
      </c>
      <c r="H22" s="117">
        <f>SUM(C22:E22)</f>
        <v>10520100.000000004</v>
      </c>
      <c r="AI22" s="122" t="s">
        <v>90</v>
      </c>
      <c r="AJ22" s="122" t="s">
        <v>89</v>
      </c>
    </row>
    <row r="23" spans="1:37" ht="15.75" customHeight="1">
      <c r="A23" s="89">
        <v>18</v>
      </c>
      <c r="B23" s="122" t="s">
        <v>36</v>
      </c>
      <c r="C23" s="127">
        <f>'2025年'!I25</f>
        <v>548437.5</v>
      </c>
      <c r="D23" s="127">
        <f>'2026年'!I25</f>
        <v>531495.00000000023</v>
      </c>
      <c r="E23" s="117">
        <f>'2027年'!I25</f>
        <v>498082.50000000023</v>
      </c>
      <c r="F23" s="117">
        <f>'2028'!I25</f>
        <v>481643.55000000028</v>
      </c>
      <c r="G23" s="117">
        <f>'2029'!I25</f>
        <v>432787.79249999957</v>
      </c>
      <c r="H23" s="117">
        <f>SUM(C23:E23)</f>
        <v>1578015.0000000005</v>
      </c>
      <c r="I23" s="113">
        <f>H23/H22</f>
        <v>0.15</v>
      </c>
      <c r="AI23" s="122" t="s">
        <v>91</v>
      </c>
      <c r="AJ23" s="122" t="s">
        <v>36</v>
      </c>
    </row>
    <row r="24" spans="1:37" ht="15.75" customHeight="1">
      <c r="A24" s="89">
        <v>19</v>
      </c>
      <c r="B24" s="122" t="s">
        <v>92</v>
      </c>
      <c r="C24" s="127">
        <f>'2025年'!I26</f>
        <v>3107812.5</v>
      </c>
      <c r="D24" s="127">
        <f>'2026年'!I26</f>
        <v>3011805.0000000019</v>
      </c>
      <c r="E24" s="117">
        <f>'2027年'!I26</f>
        <v>2822467.5000000019</v>
      </c>
      <c r="F24" s="117">
        <f>'2028'!I26</f>
        <v>2729313.4500000016</v>
      </c>
      <c r="G24" s="117">
        <f>'2029'!I26</f>
        <v>2452464.1574999979</v>
      </c>
      <c r="H24" s="117">
        <f>SUM(C24:E24)</f>
        <v>8942085.0000000037</v>
      </c>
      <c r="AI24" s="122" t="s">
        <v>93</v>
      </c>
      <c r="AJ24" s="122" t="s">
        <v>92</v>
      </c>
    </row>
    <row r="25" spans="1:37" ht="15.75" customHeight="1">
      <c r="A25" s="89">
        <v>20</v>
      </c>
      <c r="B25" s="122" t="s">
        <v>94</v>
      </c>
      <c r="C25" s="128">
        <f t="shared" ref="C25:H25" si="4">C24/C5</f>
        <v>0.138125</v>
      </c>
      <c r="D25" s="128">
        <f t="shared" si="4"/>
        <v>0.13385800000000009</v>
      </c>
      <c r="E25" s="128">
        <f t="shared" si="4"/>
        <v>0.12544300000000008</v>
      </c>
      <c r="F25" s="128">
        <f>'2028'!I27</f>
        <v>0.12130282000000008</v>
      </c>
      <c r="G25" s="128">
        <f>'2029'!I27</f>
        <v>0.10899840699999991</v>
      </c>
      <c r="H25" s="128">
        <f t="shared" si="4"/>
        <v>0.13247533333333339</v>
      </c>
      <c r="AI25" s="137" t="s">
        <v>95</v>
      </c>
      <c r="AJ25" s="137" t="s">
        <v>96</v>
      </c>
    </row>
    <row r="26" spans="1:37" s="112" customFormat="1" ht="15.75" customHeight="1">
      <c r="C26" s="129"/>
      <c r="D26" s="129"/>
      <c r="E26" s="129"/>
      <c r="F26" s="129"/>
      <c r="G26" s="129"/>
      <c r="H26" s="129"/>
    </row>
    <row r="27" spans="1:37" s="112" customFormat="1" ht="15.75" customHeight="1">
      <c r="A27" s="112" t="s">
        <v>97</v>
      </c>
      <c r="C27" s="130"/>
      <c r="D27" s="130"/>
      <c r="E27" s="130"/>
      <c r="F27" s="130"/>
      <c r="G27" s="130"/>
      <c r="H27" s="130"/>
      <c r="AI27" s="112" t="s">
        <v>97</v>
      </c>
    </row>
    <row r="28" spans="1:37" ht="21" customHeight="1">
      <c r="A28" s="206" t="s">
        <v>19</v>
      </c>
      <c r="B28" s="115" t="str">
        <f t="shared" ref="B28:H28" si="5">B3</f>
        <v>项  目</v>
      </c>
      <c r="C28" s="115" t="str">
        <f t="shared" si="5"/>
        <v>2025年</v>
      </c>
      <c r="D28" s="115" t="str">
        <f t="shared" si="5"/>
        <v>2026年</v>
      </c>
      <c r="E28" s="115" t="str">
        <f t="shared" si="5"/>
        <v>2027年</v>
      </c>
      <c r="F28" s="115" t="str">
        <f t="shared" ref="F28:G28" si="6">F3</f>
        <v>2028年</v>
      </c>
      <c r="G28" s="115" t="str">
        <f t="shared" si="6"/>
        <v>2029年</v>
      </c>
      <c r="H28" s="116" t="str">
        <f t="shared" si="5"/>
        <v>合 计</v>
      </c>
      <c r="AK28" s="113" t="s">
        <v>53</v>
      </c>
    </row>
    <row r="29" spans="1:37" s="87" customFormat="1" ht="15.75" customHeight="1">
      <c r="A29" s="90" t="s">
        <v>98</v>
      </c>
      <c r="B29" s="94" t="s">
        <v>99</v>
      </c>
      <c r="C29" s="98"/>
      <c r="D29" s="98"/>
      <c r="E29" s="98"/>
      <c r="F29" s="98"/>
      <c r="G29" s="98"/>
      <c r="H29" s="98"/>
      <c r="AI29" s="90" t="s">
        <v>100</v>
      </c>
      <c r="AJ29" s="94" t="s">
        <v>99</v>
      </c>
    </row>
    <row r="30" spans="1:37" s="87" customFormat="1" ht="15.75" customHeight="1">
      <c r="A30" s="90" t="s">
        <v>56</v>
      </c>
      <c r="B30" s="90" t="s">
        <v>101</v>
      </c>
      <c r="C30" s="93">
        <f t="shared" ref="C30:H30" si="7">+C7/C4</f>
        <v>450</v>
      </c>
      <c r="D30" s="93">
        <f t="shared" si="7"/>
        <v>445.5</v>
      </c>
      <c r="E30" s="93">
        <f t="shared" si="7"/>
        <v>441.04500000000002</v>
      </c>
      <c r="F30" s="93">
        <f t="shared" ref="F30:G30" si="8">+F7/F4</f>
        <v>436.63454999999999</v>
      </c>
      <c r="G30" s="93">
        <f t="shared" si="8"/>
        <v>427.90185899999989</v>
      </c>
      <c r="H30" s="93">
        <f t="shared" si="7"/>
        <v>445.51499999999999</v>
      </c>
      <c r="AI30" s="90" t="s">
        <v>56</v>
      </c>
      <c r="AJ30" s="90" t="s">
        <v>101</v>
      </c>
    </row>
    <row r="31" spans="1:37" s="87" customFormat="1" ht="15.75" customHeight="1">
      <c r="A31" s="90" t="s">
        <v>58</v>
      </c>
      <c r="B31" s="90" t="s">
        <v>102</v>
      </c>
      <c r="C31" s="93">
        <f t="shared" ref="C31:H31" si="9">+C8/C4</f>
        <v>224.1</v>
      </c>
      <c r="D31" s="93">
        <f t="shared" si="9"/>
        <v>221.85899999999995</v>
      </c>
      <c r="E31" s="93">
        <f t="shared" si="9"/>
        <v>221.85899999999995</v>
      </c>
      <c r="F31" s="93">
        <f t="shared" ref="F31:G31" si="10">+F8/F4</f>
        <v>219.64040999999997</v>
      </c>
      <c r="G31" s="93">
        <f t="shared" si="10"/>
        <v>217.42181999999997</v>
      </c>
      <c r="H31" s="93">
        <f t="shared" si="9"/>
        <v>222.60599999999999</v>
      </c>
      <c r="AI31" s="90" t="s">
        <v>58</v>
      </c>
      <c r="AJ31" s="90" t="s">
        <v>102</v>
      </c>
    </row>
    <row r="32" spans="1:37" s="87" customFormat="1" ht="15.75" customHeight="1">
      <c r="A32" s="90" t="s">
        <v>103</v>
      </c>
      <c r="B32" s="90" t="s">
        <v>104</v>
      </c>
      <c r="C32" s="98">
        <f t="shared" ref="C32:H32" si="11">C30-C31</f>
        <v>225.9</v>
      </c>
      <c r="D32" s="98">
        <f t="shared" si="11"/>
        <v>223.64100000000005</v>
      </c>
      <c r="E32" s="98">
        <f t="shared" si="11"/>
        <v>219.18600000000006</v>
      </c>
      <c r="F32" s="98">
        <f t="shared" ref="F32:G32" si="12">F30-F31</f>
        <v>216.99414000000002</v>
      </c>
      <c r="G32" s="98">
        <f t="shared" si="12"/>
        <v>210.48003899999992</v>
      </c>
      <c r="H32" s="98">
        <f t="shared" si="11"/>
        <v>222.90899999999999</v>
      </c>
      <c r="AI32" s="90" t="s">
        <v>103</v>
      </c>
      <c r="AJ32" s="90" t="s">
        <v>104</v>
      </c>
    </row>
    <row r="33" spans="1:36" s="87" customFormat="1" ht="15.75" customHeight="1">
      <c r="A33" s="90">
        <v>3.1</v>
      </c>
      <c r="B33" s="90" t="s">
        <v>105</v>
      </c>
      <c r="C33" s="95">
        <f t="shared" ref="C33:H33" si="13">C32/C30</f>
        <v>0.502</v>
      </c>
      <c r="D33" s="95">
        <f t="shared" si="13"/>
        <v>0.50200000000000011</v>
      </c>
      <c r="E33" s="95">
        <f t="shared" si="13"/>
        <v>0.49696969696969712</v>
      </c>
      <c r="F33" s="95">
        <f t="shared" ref="F33:G33" si="14">F32/F30</f>
        <v>0.49696969696969701</v>
      </c>
      <c r="G33" s="95">
        <f t="shared" si="14"/>
        <v>0.49188858279767367</v>
      </c>
      <c r="H33" s="95">
        <f t="shared" si="13"/>
        <v>0.50034005589037411</v>
      </c>
      <c r="AI33" s="90"/>
      <c r="AJ33" s="90"/>
    </row>
    <row r="34" spans="1:36" s="87" customFormat="1" ht="15.75" customHeight="1">
      <c r="A34" s="90" t="s">
        <v>100</v>
      </c>
      <c r="B34" s="94" t="s">
        <v>10</v>
      </c>
      <c r="C34" s="98"/>
      <c r="D34" s="98"/>
      <c r="E34" s="98"/>
      <c r="F34" s="98"/>
      <c r="G34" s="98"/>
      <c r="H34" s="98"/>
      <c r="AI34" s="90" t="s">
        <v>106</v>
      </c>
      <c r="AJ34" s="94" t="s">
        <v>10</v>
      </c>
    </row>
    <row r="35" spans="1:36" s="87" customFormat="1" ht="15.75" customHeight="1">
      <c r="A35" s="90" t="s">
        <v>56</v>
      </c>
      <c r="B35" s="99" t="s">
        <v>107</v>
      </c>
      <c r="C35" s="93">
        <f t="shared" ref="C35:H35" si="15">+C9/C4</f>
        <v>31.23</v>
      </c>
      <c r="D35" s="93">
        <f t="shared" si="15"/>
        <v>31.23</v>
      </c>
      <c r="E35" s="93">
        <f t="shared" si="15"/>
        <v>31.23</v>
      </c>
      <c r="F35" s="93">
        <f t="shared" ref="F35:G35" si="16">+F9/F4</f>
        <v>31.23</v>
      </c>
      <c r="G35" s="93">
        <f t="shared" si="16"/>
        <v>31.23</v>
      </c>
      <c r="H35" s="93">
        <f t="shared" si="15"/>
        <v>31.23</v>
      </c>
      <c r="AI35" s="90" t="s">
        <v>103</v>
      </c>
      <c r="AJ35" s="90" t="s">
        <v>107</v>
      </c>
    </row>
    <row r="36" spans="1:36" s="87" customFormat="1" ht="15.75" customHeight="1">
      <c r="A36" s="90" t="s">
        <v>58</v>
      </c>
      <c r="B36" s="99" t="s">
        <v>108</v>
      </c>
      <c r="C36" s="93">
        <f t="shared" ref="C36:H36" si="17">+C10/C4</f>
        <v>29.745000000000001</v>
      </c>
      <c r="D36" s="93">
        <f t="shared" si="17"/>
        <v>29.745000000000001</v>
      </c>
      <c r="E36" s="93">
        <f t="shared" si="17"/>
        <v>29.745000000000001</v>
      </c>
      <c r="F36" s="93">
        <f t="shared" ref="F36:G36" si="18">+F10/F4</f>
        <v>29.745000000000001</v>
      </c>
      <c r="G36" s="93">
        <f t="shared" si="18"/>
        <v>29.745000000000001</v>
      </c>
      <c r="H36" s="93">
        <f t="shared" si="17"/>
        <v>29.745000000000001</v>
      </c>
      <c r="AI36" s="90" t="s">
        <v>61</v>
      </c>
      <c r="AJ36" s="90" t="s">
        <v>108</v>
      </c>
    </row>
    <row r="37" spans="1:36" s="87" customFormat="1" ht="15.75" customHeight="1">
      <c r="A37" s="90" t="s">
        <v>103</v>
      </c>
      <c r="B37" s="99" t="s">
        <v>109</v>
      </c>
      <c r="C37" s="93">
        <f t="shared" ref="C37:H37" si="19">+C11/C4</f>
        <v>33.119999999999997</v>
      </c>
      <c r="D37" s="93">
        <f t="shared" si="19"/>
        <v>33.119999999999997</v>
      </c>
      <c r="E37" s="93">
        <f t="shared" si="19"/>
        <v>33.119999999999997</v>
      </c>
      <c r="F37" s="93">
        <f t="shared" ref="F37:G37" si="20">+F11/F4</f>
        <v>33.119999999999997</v>
      </c>
      <c r="G37" s="93">
        <f t="shared" si="20"/>
        <v>33.119999999999997</v>
      </c>
      <c r="H37" s="93">
        <f t="shared" si="19"/>
        <v>33.11999999999999</v>
      </c>
      <c r="AI37" s="90" t="s">
        <v>67</v>
      </c>
      <c r="AJ37" s="90" t="s">
        <v>109</v>
      </c>
    </row>
    <row r="38" spans="1:36" s="87" customFormat="1" ht="15.75" customHeight="1">
      <c r="A38" s="90" t="s">
        <v>110</v>
      </c>
      <c r="B38" s="121" t="s">
        <v>111</v>
      </c>
      <c r="C38" s="93"/>
      <c r="D38" s="93"/>
      <c r="E38" s="93"/>
      <c r="F38" s="93"/>
      <c r="G38" s="93"/>
      <c r="H38" s="93"/>
      <c r="AI38" s="90" t="s">
        <v>110</v>
      </c>
      <c r="AJ38" s="94" t="s">
        <v>111</v>
      </c>
    </row>
    <row r="39" spans="1:36" s="87" customFormat="1">
      <c r="A39" s="90" t="s">
        <v>56</v>
      </c>
      <c r="B39" s="99" t="s">
        <v>112</v>
      </c>
      <c r="C39" s="93">
        <f t="shared" ref="C39:H39" si="21">+C13/C4</f>
        <v>131.80500000000001</v>
      </c>
      <c r="D39" s="93">
        <f t="shared" si="21"/>
        <v>129.54600000000005</v>
      </c>
      <c r="E39" s="93">
        <f t="shared" si="21"/>
        <v>125.09100000000004</v>
      </c>
      <c r="F39" s="93">
        <f t="shared" ref="F39:G39" si="22">+F13/F4</f>
        <v>122.89914000000003</v>
      </c>
      <c r="G39" s="93">
        <f t="shared" si="22"/>
        <v>116.38503899999995</v>
      </c>
      <c r="H39" s="93">
        <f t="shared" si="21"/>
        <v>128.81400000000002</v>
      </c>
      <c r="AI39" s="90" t="s">
        <v>56</v>
      </c>
      <c r="AJ39" s="90" t="s">
        <v>113</v>
      </c>
    </row>
    <row r="40" spans="1:36" s="87" customFormat="1" ht="15.75" customHeight="1">
      <c r="A40" s="90" t="s">
        <v>58</v>
      </c>
      <c r="B40" s="99" t="s">
        <v>114</v>
      </c>
      <c r="C40" s="117">
        <f>+C21/C39</f>
        <v>22260.157050187776</v>
      </c>
      <c r="D40" s="117">
        <f t="shared" ref="D40:H40" si="23">+D21/D39</f>
        <v>22648.325691260237</v>
      </c>
      <c r="E40" s="117">
        <f t="shared" si="23"/>
        <v>23454.924814734866</v>
      </c>
      <c r="F40" s="117">
        <f t="shared" ref="F40:G40" si="24">+F21/F39</f>
        <v>23873.234588948297</v>
      </c>
      <c r="G40" s="117">
        <f t="shared" si="24"/>
        <v>25209.425757893172</v>
      </c>
      <c r="H40" s="117">
        <f t="shared" si="23"/>
        <v>68331.082025245691</v>
      </c>
      <c r="AI40" s="90" t="s">
        <v>58</v>
      </c>
      <c r="AJ40" s="90" t="s">
        <v>114</v>
      </c>
    </row>
    <row r="41" spans="1:36" s="87" customFormat="1" ht="15.75" customHeight="1">
      <c r="A41" s="90" t="s">
        <v>115</v>
      </c>
      <c r="B41" s="94" t="s">
        <v>116</v>
      </c>
      <c r="C41" s="98"/>
      <c r="D41" s="98"/>
      <c r="E41" s="98"/>
      <c r="F41" s="98"/>
      <c r="G41" s="98"/>
      <c r="H41" s="98"/>
      <c r="AI41" s="90" t="s">
        <v>115</v>
      </c>
      <c r="AJ41" s="94" t="s">
        <v>116</v>
      </c>
    </row>
    <row r="42" spans="1:36" s="87" customFormat="1" ht="15.75" customHeight="1">
      <c r="A42" s="90" t="s">
        <v>56</v>
      </c>
      <c r="B42" s="90" t="s">
        <v>117</v>
      </c>
      <c r="C42" s="98">
        <f t="shared" ref="C42:H42" si="25">+C15/C4</f>
        <v>26.91</v>
      </c>
      <c r="D42" s="98">
        <f t="shared" si="25"/>
        <v>26.91</v>
      </c>
      <c r="E42" s="98">
        <f t="shared" si="25"/>
        <v>26.91</v>
      </c>
      <c r="F42" s="98">
        <f t="shared" ref="F42:G42" si="26">+F15/F4</f>
        <v>26.91</v>
      </c>
      <c r="G42" s="98">
        <f t="shared" si="26"/>
        <v>26.91</v>
      </c>
      <c r="H42" s="98">
        <f t="shared" si="25"/>
        <v>26.91</v>
      </c>
      <c r="AI42" s="90" t="s">
        <v>56</v>
      </c>
      <c r="AJ42" s="90" t="s">
        <v>117</v>
      </c>
    </row>
    <row r="43" spans="1:36" s="87" customFormat="1" ht="15.75" customHeight="1">
      <c r="A43" s="90" t="s">
        <v>58</v>
      </c>
      <c r="B43" s="90" t="s">
        <v>118</v>
      </c>
      <c r="C43" s="98">
        <f t="shared" ref="C43:H43" si="27">+C17/C4</f>
        <v>3.9150000000000014</v>
      </c>
      <c r="D43" s="98">
        <f t="shared" si="27"/>
        <v>3.9150000000000014</v>
      </c>
      <c r="E43" s="98">
        <f t="shared" si="27"/>
        <v>3.9150000000000014</v>
      </c>
      <c r="F43" s="98">
        <f t="shared" ref="F43:G43" si="28">+F17/F4</f>
        <v>3.9150000000000014</v>
      </c>
      <c r="G43" s="98">
        <f t="shared" si="28"/>
        <v>3.9150000000000014</v>
      </c>
      <c r="H43" s="98">
        <f t="shared" si="27"/>
        <v>3.9150000000000014</v>
      </c>
      <c r="AI43" s="90" t="s">
        <v>58</v>
      </c>
      <c r="AJ43" s="90" t="s">
        <v>118</v>
      </c>
    </row>
    <row r="44" spans="1:36" s="87" customFormat="1" ht="15.75" customHeight="1">
      <c r="A44" s="90" t="s">
        <v>103</v>
      </c>
      <c r="B44" s="90" t="s">
        <v>119</v>
      </c>
      <c r="C44" s="98">
        <f>+C18/C4</f>
        <v>11.88</v>
      </c>
      <c r="D44" s="98">
        <f t="shared" ref="D44:H44" si="29">+D18/D4</f>
        <v>11.88</v>
      </c>
      <c r="E44" s="98">
        <f t="shared" si="29"/>
        <v>11.88</v>
      </c>
      <c r="F44" s="98">
        <f t="shared" ref="F44:G44" si="30">+F18/F4</f>
        <v>11.88</v>
      </c>
      <c r="G44" s="98">
        <f t="shared" si="30"/>
        <v>11.88</v>
      </c>
      <c r="H44" s="98">
        <f t="shared" si="29"/>
        <v>11.88</v>
      </c>
      <c r="AI44" s="90" t="s">
        <v>103</v>
      </c>
      <c r="AJ44" s="90" t="s">
        <v>119</v>
      </c>
    </row>
    <row r="45" spans="1:36" s="87" customFormat="1" ht="15.75" customHeight="1">
      <c r="A45" s="90" t="s">
        <v>61</v>
      </c>
      <c r="B45" s="90" t="s">
        <v>120</v>
      </c>
      <c r="C45" s="98">
        <f t="shared" ref="C45:H45" si="31">C19/C4</f>
        <v>0</v>
      </c>
      <c r="D45" s="98">
        <f t="shared" si="31"/>
        <v>0</v>
      </c>
      <c r="E45" s="98">
        <f t="shared" si="31"/>
        <v>0</v>
      </c>
      <c r="F45" s="98">
        <f t="shared" ref="F45:G45" si="32">F19/F4</f>
        <v>0</v>
      </c>
      <c r="G45" s="98">
        <f t="shared" si="32"/>
        <v>0</v>
      </c>
      <c r="H45" s="98">
        <f t="shared" si="31"/>
        <v>0</v>
      </c>
      <c r="AI45" s="90" t="s">
        <v>61</v>
      </c>
      <c r="AJ45" s="90" t="s">
        <v>121</v>
      </c>
    </row>
    <row r="46" spans="1:36" s="87" customFormat="1" ht="15.75" customHeight="1">
      <c r="A46" s="90" t="s">
        <v>63</v>
      </c>
      <c r="B46" s="90" t="s">
        <v>122</v>
      </c>
      <c r="C46" s="98">
        <f>C20/C4</f>
        <v>15.974999999999998</v>
      </c>
      <c r="D46" s="98">
        <f>D20/D4</f>
        <v>15.974999999999998</v>
      </c>
      <c r="E46" s="98">
        <f t="shared" ref="E46:H46" si="33">E20/E4</f>
        <v>15.974999999999998</v>
      </c>
      <c r="F46" s="98">
        <f t="shared" ref="F46:G46" si="34">F20/F4</f>
        <v>15.974999999999998</v>
      </c>
      <c r="G46" s="98">
        <f t="shared" si="34"/>
        <v>15.974999999999998</v>
      </c>
      <c r="H46" s="98">
        <f t="shared" si="33"/>
        <v>15.974999999999996</v>
      </c>
      <c r="AI46" s="90" t="s">
        <v>63</v>
      </c>
      <c r="AJ46" s="90" t="s">
        <v>122</v>
      </c>
    </row>
    <row r="47" spans="1:36" s="87" customFormat="1" ht="15.75" customHeight="1">
      <c r="A47" s="90" t="s">
        <v>123</v>
      </c>
      <c r="B47" s="94" t="s">
        <v>124</v>
      </c>
      <c r="C47" s="98"/>
      <c r="D47" s="98"/>
      <c r="E47" s="98"/>
      <c r="F47" s="98"/>
      <c r="G47" s="98"/>
      <c r="H47" s="98"/>
      <c r="AI47" s="90" t="s">
        <v>123</v>
      </c>
      <c r="AJ47" s="94" t="s">
        <v>124</v>
      </c>
    </row>
    <row r="48" spans="1:36" s="87" customFormat="1" ht="15.75" customHeight="1">
      <c r="A48" s="90" t="s">
        <v>56</v>
      </c>
      <c r="B48" s="90" t="s">
        <v>125</v>
      </c>
      <c r="C48" s="110">
        <f t="shared" ref="C48:H48" si="35">+(C11+C17)/C7</f>
        <v>8.2299999999999984E-2</v>
      </c>
      <c r="D48" s="110">
        <f t="shared" si="35"/>
        <v>8.3131313131313125E-2</v>
      </c>
      <c r="E48" s="110">
        <f t="shared" si="35"/>
        <v>8.3971023364962746E-2</v>
      </c>
      <c r="F48" s="110">
        <f t="shared" ref="F48:G48" si="36">+(F11+F17)/F7</f>
        <v>8.4819215520164387E-2</v>
      </c>
      <c r="G48" s="110">
        <f t="shared" si="36"/>
        <v>8.6550219918535107E-2</v>
      </c>
      <c r="H48" s="110">
        <f t="shared" si="35"/>
        <v>8.3128514191441349E-2</v>
      </c>
      <c r="AI48" s="90" t="s">
        <v>56</v>
      </c>
      <c r="AJ48" s="90" t="s">
        <v>125</v>
      </c>
    </row>
    <row r="49" spans="1:36" s="87" customFormat="1" ht="15.75" customHeight="1">
      <c r="A49" s="90" t="s">
        <v>58</v>
      </c>
      <c r="B49" s="90" t="s">
        <v>126</v>
      </c>
      <c r="C49" s="110">
        <f t="shared" ref="C49:H49" si="37">+(C9+C10+C15)/C7</f>
        <v>0.1953</v>
      </c>
      <c r="D49" s="110">
        <f t="shared" si="37"/>
        <v>0.19727272727272727</v>
      </c>
      <c r="E49" s="110">
        <f t="shared" si="37"/>
        <v>0.1992653810835629</v>
      </c>
      <c r="F49" s="110">
        <f t="shared" ref="F49:G49" si="38">+(F9+F10+F15)/F7</f>
        <v>0.20127816271066959</v>
      </c>
      <c r="G49" s="110">
        <f t="shared" si="38"/>
        <v>0.20538588031700983</v>
      </c>
      <c r="H49" s="110">
        <f t="shared" si="37"/>
        <v>0.19726608531699269</v>
      </c>
      <c r="AI49" s="90" t="s">
        <v>58</v>
      </c>
      <c r="AJ49" s="90" t="s">
        <v>126</v>
      </c>
    </row>
    <row r="50" spans="1:36" s="87" customFormat="1" ht="15.75" customHeight="1">
      <c r="A50" s="90" t="s">
        <v>103</v>
      </c>
      <c r="B50" s="90" t="s">
        <v>127</v>
      </c>
      <c r="C50" s="110">
        <f t="shared" ref="C50:H50" si="39">+C18/C7</f>
        <v>2.64E-2</v>
      </c>
      <c r="D50" s="110">
        <f t="shared" si="39"/>
        <v>2.6666666666666668E-2</v>
      </c>
      <c r="E50" s="110">
        <f t="shared" si="39"/>
        <v>2.6936026936026935E-2</v>
      </c>
      <c r="F50" s="110">
        <f t="shared" ref="F50:G50" si="40">+F18/F7</f>
        <v>2.7208108016188823E-2</v>
      </c>
      <c r="G50" s="110">
        <f t="shared" si="40"/>
        <v>2.7763375526723297E-2</v>
      </c>
      <c r="H50" s="110">
        <f t="shared" si="39"/>
        <v>2.6665768829332345E-2</v>
      </c>
      <c r="AI50" s="90" t="s">
        <v>103</v>
      </c>
      <c r="AJ50" s="90" t="s">
        <v>127</v>
      </c>
    </row>
    <row r="51" spans="1:36" s="87" customFormat="1" ht="15.75" customHeight="1">
      <c r="A51" s="90" t="s">
        <v>61</v>
      </c>
      <c r="B51" s="90" t="s">
        <v>128</v>
      </c>
      <c r="C51" s="110">
        <f t="shared" ref="C51:H51" si="41">+C19/C7</f>
        <v>0</v>
      </c>
      <c r="D51" s="110">
        <f t="shared" si="41"/>
        <v>0</v>
      </c>
      <c r="E51" s="110">
        <f t="shared" si="41"/>
        <v>0</v>
      </c>
      <c r="F51" s="110">
        <f t="shared" ref="F51:G51" si="42">+F19/F7</f>
        <v>0</v>
      </c>
      <c r="G51" s="110">
        <f t="shared" si="42"/>
        <v>0</v>
      </c>
      <c r="H51" s="110">
        <f t="shared" si="41"/>
        <v>0</v>
      </c>
      <c r="AI51" s="90" t="s">
        <v>61</v>
      </c>
      <c r="AJ51" s="90" t="s">
        <v>128</v>
      </c>
    </row>
    <row r="52" spans="1:36" s="87" customFormat="1" ht="15.75" customHeight="1">
      <c r="A52" s="90" t="s">
        <v>63</v>
      </c>
      <c r="B52" s="90" t="s">
        <v>129</v>
      </c>
      <c r="C52" s="110">
        <f t="shared" ref="C52:H52" si="43">+C20/C7</f>
        <v>3.5499999999999997E-2</v>
      </c>
      <c r="D52" s="110">
        <f t="shared" si="43"/>
        <v>3.5858585858585854E-2</v>
      </c>
      <c r="E52" s="110">
        <f t="shared" si="43"/>
        <v>3.6220793796551368E-2</v>
      </c>
      <c r="F52" s="110">
        <f t="shared" ref="F52:G52" si="44">+F20/F7</f>
        <v>3.6586660400556935E-2</v>
      </c>
      <c r="G52" s="110">
        <f t="shared" si="44"/>
        <v>3.7333326939343818E-2</v>
      </c>
      <c r="H52" s="110">
        <f t="shared" si="43"/>
        <v>3.585737853944311E-2</v>
      </c>
      <c r="AI52" s="90" t="s">
        <v>63</v>
      </c>
      <c r="AJ52" s="90" t="s">
        <v>129</v>
      </c>
    </row>
    <row r="53" spans="1:36" s="87" customFormat="1" ht="15.75" customHeight="1">
      <c r="A53" s="90" t="s">
        <v>67</v>
      </c>
      <c r="B53" s="90" t="s">
        <v>130</v>
      </c>
      <c r="C53" s="110">
        <f t="shared" ref="C53:H53" si="45">+C24/C7</f>
        <v>0.138125</v>
      </c>
      <c r="D53" s="110">
        <f t="shared" si="45"/>
        <v>0.13521010101010109</v>
      </c>
      <c r="E53" s="110">
        <f t="shared" si="45"/>
        <v>0.12799000102030414</v>
      </c>
      <c r="F53" s="110">
        <f t="shared" ref="F53:G53" si="46">+F24/F7</f>
        <v>0.1250159177737997</v>
      </c>
      <c r="G53" s="110">
        <f t="shared" si="46"/>
        <v>0.11462741308165236</v>
      </c>
      <c r="H53" s="110">
        <f t="shared" si="45"/>
        <v>0.13380896266118991</v>
      </c>
      <c r="AI53" s="90" t="s">
        <v>67</v>
      </c>
      <c r="AJ53" s="90" t="s">
        <v>131</v>
      </c>
    </row>
    <row r="54" spans="1:36" s="87" customFormat="1" ht="15.75" customHeight="1">
      <c r="A54" s="90" t="s">
        <v>132</v>
      </c>
      <c r="B54" s="94" t="s">
        <v>133</v>
      </c>
      <c r="C54" s="98">
        <f>+C22/C4</f>
        <v>73.125</v>
      </c>
      <c r="D54" s="98">
        <f t="shared" ref="D54:H54" si="47">+D22/D4</f>
        <v>70.866000000000042</v>
      </c>
      <c r="E54" s="98">
        <f t="shared" si="47"/>
        <v>66.411000000000044</v>
      </c>
      <c r="F54" s="98">
        <f t="shared" ref="F54:G54" si="48">+F22/F4</f>
        <v>64.219140000000039</v>
      </c>
      <c r="G54" s="98">
        <f t="shared" si="48"/>
        <v>57.70503899999995</v>
      </c>
      <c r="H54" s="98">
        <f t="shared" si="47"/>
        <v>70.134000000000029</v>
      </c>
      <c r="AI54" s="90" t="s">
        <v>132</v>
      </c>
      <c r="AJ54" s="94" t="s">
        <v>133</v>
      </c>
    </row>
    <row r="55" spans="1:36" s="87" customFormat="1" ht="15.75" customHeight="1">
      <c r="A55" s="90" t="s">
        <v>134</v>
      </c>
      <c r="B55" s="131" t="s">
        <v>135</v>
      </c>
      <c r="C55" s="98"/>
      <c r="D55" s="98"/>
      <c r="E55" s="98"/>
      <c r="F55" s="98"/>
      <c r="G55" s="98"/>
      <c r="H55" s="98"/>
      <c r="AI55" s="90"/>
      <c r="AJ55" s="94"/>
    </row>
    <row r="56" spans="1:36" s="87" customFormat="1" ht="15.75" customHeight="1">
      <c r="A56" s="90" t="s">
        <v>56</v>
      </c>
      <c r="B56" s="90" t="s">
        <v>136</v>
      </c>
      <c r="C56" s="98">
        <f>C57+C58</f>
        <v>0</v>
      </c>
      <c r="D56" s="98"/>
      <c r="E56" s="98"/>
      <c r="F56" s="98"/>
      <c r="G56" s="98"/>
      <c r="H56" s="98"/>
    </row>
    <row r="57" spans="1:36" s="87" customFormat="1" ht="15.75" customHeight="1">
      <c r="A57" s="90">
        <v>1.1000000000000001</v>
      </c>
      <c r="B57" s="132" t="s">
        <v>137</v>
      </c>
      <c r="C57" s="98">
        <f>项目投资!B27</f>
        <v>0</v>
      </c>
      <c r="D57" s="98"/>
      <c r="E57" s="98"/>
      <c r="F57" s="98"/>
      <c r="G57" s="98"/>
      <c r="H57" s="98"/>
    </row>
    <row r="58" spans="1:36" s="87" customFormat="1" ht="15.75" customHeight="1">
      <c r="A58" s="90">
        <v>1.2</v>
      </c>
      <c r="B58" s="90" t="s">
        <v>138</v>
      </c>
      <c r="C58" s="98">
        <f>项目投资!B26</f>
        <v>0</v>
      </c>
      <c r="D58" s="98"/>
      <c r="E58" s="98"/>
      <c r="F58" s="98"/>
      <c r="G58" s="98"/>
      <c r="H58" s="98"/>
    </row>
    <row r="59" spans="1:36" ht="15.75" customHeight="1">
      <c r="A59" s="122" t="s">
        <v>58</v>
      </c>
      <c r="B59" s="122" t="s">
        <v>139</v>
      </c>
      <c r="C59" s="133">
        <f>C60+C61</f>
        <v>3107812.5</v>
      </c>
      <c r="D59" s="133">
        <f t="shared" ref="D59:H59" si="49">D60+D61</f>
        <v>3011805.0000000019</v>
      </c>
      <c r="E59" s="133">
        <f t="shared" si="49"/>
        <v>2822467.5000000019</v>
      </c>
      <c r="F59" s="133">
        <f t="shared" ref="F59:G59" si="50">F60+F61</f>
        <v>2729313.4500000016</v>
      </c>
      <c r="G59" s="133">
        <f t="shared" si="50"/>
        <v>2452464.1574999979</v>
      </c>
      <c r="H59" s="133">
        <f t="shared" si="49"/>
        <v>8942085.0000000037</v>
      </c>
    </row>
    <row r="60" spans="1:36" ht="15.75" customHeight="1">
      <c r="A60" s="122" t="s">
        <v>103</v>
      </c>
      <c r="B60" s="122" t="s">
        <v>140</v>
      </c>
      <c r="C60" s="133">
        <f t="shared" ref="C60:H60" si="51">C24</f>
        <v>3107812.5</v>
      </c>
      <c r="D60" s="133">
        <f t="shared" si="51"/>
        <v>3011805.0000000019</v>
      </c>
      <c r="E60" s="133">
        <f t="shared" si="51"/>
        <v>2822467.5000000019</v>
      </c>
      <c r="F60" s="133">
        <f t="shared" ref="F60:G60" si="52">F24</f>
        <v>2729313.4500000016</v>
      </c>
      <c r="G60" s="133">
        <f t="shared" si="52"/>
        <v>2452464.1574999979</v>
      </c>
      <c r="H60" s="133">
        <f t="shared" si="51"/>
        <v>8942085.0000000037</v>
      </c>
    </row>
    <row r="61" spans="1:36" ht="15.75" customHeight="1">
      <c r="A61" s="122" t="s">
        <v>61</v>
      </c>
      <c r="B61" s="122" t="s">
        <v>141</v>
      </c>
      <c r="C61" s="133">
        <f>'2025年'!I18</f>
        <v>0</v>
      </c>
      <c r="D61" s="133">
        <f>'2026年'!I18</f>
        <v>0</v>
      </c>
      <c r="E61" s="133">
        <f>'2027年'!I18</f>
        <v>0</v>
      </c>
      <c r="F61" s="133">
        <f>'2028'!I18</f>
        <v>0</v>
      </c>
      <c r="G61" s="133">
        <f>'2029'!I18</f>
        <v>0</v>
      </c>
      <c r="H61" s="133">
        <f>SUM(C61:E61)</f>
        <v>0</v>
      </c>
    </row>
    <row r="62" spans="1:36" ht="15.75" customHeight="1">
      <c r="A62" s="122" t="s">
        <v>63</v>
      </c>
      <c r="B62" s="122" t="s">
        <v>142</v>
      </c>
      <c r="C62" s="134"/>
      <c r="D62" s="134"/>
      <c r="E62" s="134"/>
      <c r="F62" s="134"/>
      <c r="G62" s="134"/>
      <c r="H62" s="133"/>
    </row>
    <row r="64" spans="1:36">
      <c r="B64"/>
    </row>
  </sheetData>
  <mergeCells count="3">
    <mergeCell ref="A3:A4"/>
    <mergeCell ref="A1:H1"/>
    <mergeCell ref="E2:H2"/>
  </mergeCells>
  <phoneticPr fontId="4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87" customWidth="1"/>
    <col min="2" max="2" width="17.5" style="87" customWidth="1"/>
    <col min="3" max="4" width="14.375" style="88" customWidth="1"/>
    <col min="5" max="5" width="15.5" style="88" customWidth="1"/>
    <col min="6" max="6" width="15.25" style="88" customWidth="1"/>
    <col min="7" max="8" width="12.62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20" t="s">
        <v>143</v>
      </c>
      <c r="B1" s="220"/>
      <c r="C1" s="224" t="s">
        <v>144</v>
      </c>
      <c r="D1" s="225"/>
      <c r="E1" s="225"/>
      <c r="F1" s="225"/>
      <c r="G1" s="225"/>
      <c r="H1" s="225"/>
      <c r="I1" s="226"/>
    </row>
    <row r="2" spans="1:38">
      <c r="A2" s="220" t="s">
        <v>145</v>
      </c>
      <c r="B2" s="220"/>
      <c r="C2" s="227" t="s">
        <v>293</v>
      </c>
      <c r="D2" s="227"/>
      <c r="E2" s="227"/>
      <c r="F2" s="227"/>
      <c r="G2" s="227"/>
      <c r="H2" s="227"/>
      <c r="I2" s="227"/>
    </row>
    <row r="3" spans="1:38">
      <c r="A3" s="220" t="s">
        <v>146</v>
      </c>
      <c r="B3" s="220"/>
      <c r="C3" s="15" t="str">
        <f>销量!C5</f>
        <v>130G转盘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21" t="s">
        <v>52</v>
      </c>
    </row>
    <row r="4" spans="1:38">
      <c r="A4" s="220" t="s">
        <v>147</v>
      </c>
      <c r="B4" s="220"/>
      <c r="C4" s="15">
        <f>销量!C6</f>
        <v>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22"/>
    </row>
    <row r="5" spans="1:38">
      <c r="A5" s="220" t="s">
        <v>148</v>
      </c>
      <c r="B5" s="220"/>
      <c r="C5" s="54">
        <f>销量!C7</f>
        <v>0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23"/>
      <c r="AL5" s="87" t="s">
        <v>53</v>
      </c>
    </row>
    <row r="6" spans="1:38" ht="17.25">
      <c r="A6" s="90" t="s">
        <v>19</v>
      </c>
      <c r="B6" s="91" t="s">
        <v>149</v>
      </c>
      <c r="C6" s="92">
        <f>销量!C9</f>
        <v>50000</v>
      </c>
      <c r="D6" s="92">
        <f>销量!D9</f>
        <v>0</v>
      </c>
      <c r="E6" s="92">
        <f>销量!E9</f>
        <v>0</v>
      </c>
      <c r="F6" s="92">
        <f>销量!F9</f>
        <v>0</v>
      </c>
      <c r="G6" s="92">
        <f>销量!G9</f>
        <v>0</v>
      </c>
      <c r="H6" s="92">
        <f>销量!H9</f>
        <v>0</v>
      </c>
      <c r="I6" s="93">
        <f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22500000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22500000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/>
      <c r="D8" s="93"/>
      <c r="E8" s="93"/>
      <c r="F8" s="93"/>
      <c r="G8" s="93"/>
      <c r="H8" s="93"/>
      <c r="I8" s="93">
        <f t="shared" si="0"/>
        <v>0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>+C7-C8</f>
        <v>22500000</v>
      </c>
      <c r="D9" s="93">
        <f t="shared" ref="D9:H9" si="1">+D7-D8</f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22500000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11205000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>G6*G33</f>
        <v>0</v>
      </c>
      <c r="H10" s="93">
        <f t="shared" si="2"/>
        <v>0</v>
      </c>
      <c r="I10" s="93">
        <f t="shared" si="0"/>
        <v>11205000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>+C6*C36</f>
        <v>1561500</v>
      </c>
      <c r="D11" s="93">
        <f t="shared" ref="D11:H11" si="3">+D6*D36</f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1561500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1487250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1487250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1655999.9999999998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1655999.9999999998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4704750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4704750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6590250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>+G9-G10-G14</f>
        <v>0</v>
      </c>
      <c r="H15" s="93">
        <f t="shared" si="7"/>
        <v>0</v>
      </c>
      <c r="I15" s="93">
        <f t="shared" si="0"/>
        <v>6590250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0.29289999999999999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0.29289999999999999</v>
      </c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G17" si="9">C6*C43+C18</f>
        <v>1345500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>H6*H43+H18</f>
        <v>0</v>
      </c>
      <c r="I17" s="93">
        <f>+SUM(C17:H17)</f>
        <v>1345500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150</v>
      </c>
      <c r="C18" s="97">
        <f t="shared" ref="C18:H18" si="10">$I$18/$I$6*C6</f>
        <v>0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项目投资!D26</f>
        <v>0</v>
      </c>
      <c r="J18" s="108" t="s">
        <v>151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195750.00000000006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195750.00000000006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594000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594000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项目投资!D27</f>
        <v>0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798749.99999999988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798749.99999999988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H23" si="15">+C22+C21+C20+C19+C17</f>
        <v>2934000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>+I22+I21+I20+I19+I17</f>
        <v>2934000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>+C15-C23</f>
        <v>3656250</v>
      </c>
      <c r="D24" s="98">
        <f t="shared" ref="D24:F24" si="16">+D15-D23</f>
        <v>0</v>
      </c>
      <c r="E24" s="98">
        <f t="shared" si="16"/>
        <v>0</v>
      </c>
      <c r="F24" s="98">
        <f t="shared" si="16"/>
        <v>0</v>
      </c>
      <c r="G24" s="98">
        <f>+G15-G23</f>
        <v>0</v>
      </c>
      <c r="H24" s="98">
        <f>+H15-H23</f>
        <v>0</v>
      </c>
      <c r="I24" s="98">
        <f>+I15-I23</f>
        <v>3656250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283</v>
      </c>
      <c r="C25" s="98">
        <f>IF(C24&lt;0,0,C24*0.15)</f>
        <v>548437.5</v>
      </c>
      <c r="D25" s="98">
        <f t="shared" ref="D25:H25" si="17">IF(D24&lt;0,0,D24*0.15)</f>
        <v>0</v>
      </c>
      <c r="E25" s="98">
        <f t="shared" si="17"/>
        <v>0</v>
      </c>
      <c r="F25" s="98">
        <f t="shared" si="17"/>
        <v>0</v>
      </c>
      <c r="G25" s="98">
        <f t="shared" si="17"/>
        <v>0</v>
      </c>
      <c r="H25" s="98">
        <f t="shared" si="17"/>
        <v>0</v>
      </c>
      <c r="I25" s="98">
        <f>IF(I24&lt;0,0,I24*0.15)</f>
        <v>548437.5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8">C24-C25</f>
        <v>3107812.5</v>
      </c>
      <c r="D26" s="98">
        <f t="shared" si="18"/>
        <v>0</v>
      </c>
      <c r="E26" s="98">
        <f t="shared" si="18"/>
        <v>0</v>
      </c>
      <c r="F26" s="98">
        <f t="shared" si="18"/>
        <v>0</v>
      </c>
      <c r="G26" s="98">
        <f t="shared" si="18"/>
        <v>0</v>
      </c>
      <c r="H26" s="98">
        <f t="shared" si="18"/>
        <v>0</v>
      </c>
      <c r="I26" s="93">
        <f>+SUM(C26:H26)</f>
        <v>3107812.5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>C26/C7</f>
        <v>0.138125</v>
      </c>
      <c r="D27" s="100" t="e">
        <f>D26/D7</f>
        <v>#DIV/0!</v>
      </c>
      <c r="E27" s="100" t="e">
        <f t="shared" ref="E27:I27" si="19">E26/E7</f>
        <v>#DIV/0!</v>
      </c>
      <c r="F27" s="100" t="e">
        <f t="shared" si="19"/>
        <v>#DIV/0!</v>
      </c>
      <c r="G27" s="100" t="e">
        <f t="shared" si="19"/>
        <v>#DIV/0!</v>
      </c>
      <c r="H27" s="100" t="e">
        <f t="shared" si="19"/>
        <v>#DIV/0!</v>
      </c>
      <c r="I27" s="100">
        <f t="shared" si="19"/>
        <v>0.138125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450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153</v>
      </c>
      <c r="C32" s="93">
        <f>C9/C6</f>
        <v>450</v>
      </c>
      <c r="D32" s="93">
        <f t="shared" ref="D32:H32" si="20">D31*1</f>
        <v>0</v>
      </c>
      <c r="E32" s="93">
        <f t="shared" si="20"/>
        <v>0</v>
      </c>
      <c r="F32" s="93">
        <f t="shared" si="20"/>
        <v>0</v>
      </c>
      <c r="G32" s="93">
        <f t="shared" si="20"/>
        <v>0</v>
      </c>
      <c r="H32" s="93">
        <f t="shared" si="20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材料成本!D24</f>
        <v>224.1</v>
      </c>
      <c r="D33" s="93">
        <f>材料成本!E24</f>
        <v>0</v>
      </c>
      <c r="E33" s="93">
        <f>材料成本!F24</f>
        <v>0</v>
      </c>
      <c r="F33" s="93">
        <f>材料成本!G24</f>
        <v>0</v>
      </c>
      <c r="G33" s="93">
        <f>材料成本!H24</f>
        <v>0</v>
      </c>
      <c r="H33" s="93">
        <f>材料成本!I24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>C32-C33</f>
        <v>225.9</v>
      </c>
      <c r="D34" s="102">
        <f t="shared" ref="D34:H34" si="21">D32-D33</f>
        <v>0</v>
      </c>
      <c r="E34" s="102">
        <f t="shared" si="21"/>
        <v>0</v>
      </c>
      <c r="F34" s="102">
        <f t="shared" si="21"/>
        <v>0</v>
      </c>
      <c r="G34" s="102">
        <f t="shared" si="21"/>
        <v>0</v>
      </c>
      <c r="H34" s="102">
        <f t="shared" si="21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31.23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29.745000000000001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33.119999999999997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>C34-C36-C37-C38</f>
        <v>131.80500000000001</v>
      </c>
      <c r="D40" s="98">
        <f t="shared" ref="D40:H40" si="22">D34-D36-D37-D38</f>
        <v>0</v>
      </c>
      <c r="E40" s="98">
        <f t="shared" si="22"/>
        <v>0</v>
      </c>
      <c r="F40" s="98">
        <f t="shared" si="22"/>
        <v>0</v>
      </c>
      <c r="G40" s="98">
        <f t="shared" si="22"/>
        <v>0</v>
      </c>
      <c r="H40" s="98">
        <f t="shared" si="22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26.91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3.9150000000000014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11.88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3">C21/C6</f>
        <v>0</v>
      </c>
      <c r="D46" s="103" t="e">
        <f t="shared" si="23"/>
        <v>#DIV/0!</v>
      </c>
      <c r="E46" s="103" t="e">
        <f t="shared" si="23"/>
        <v>#DIV/0!</v>
      </c>
      <c r="F46" s="103" t="e">
        <f t="shared" si="23"/>
        <v>#DIV/0!</v>
      </c>
      <c r="G46" s="103" t="e">
        <f t="shared" si="23"/>
        <v>#DIV/0!</v>
      </c>
      <c r="H46" s="103" t="e">
        <f t="shared" si="23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15.974999999999998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>C40-C43-C44-C45-C47-C46</f>
        <v>73.125000000000014</v>
      </c>
      <c r="D48" s="98" t="e">
        <f t="shared" ref="D48:H48" si="24">D40-D43-D44-D45-D47-D46</f>
        <v>#DIV/0!</v>
      </c>
      <c r="E48" s="98" t="e">
        <f>E40-E43-E44-E45-E47-E46</f>
        <v>#DIV/0!</v>
      </c>
      <c r="F48" s="98" t="e">
        <f>F40-F43-F44-F45-F47-F46</f>
        <v>#DIV/0!</v>
      </c>
      <c r="G48" s="98" t="e">
        <f t="shared" si="24"/>
        <v>#DIV/0!</v>
      </c>
      <c r="H48" s="98" t="e">
        <f t="shared" si="24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  <ignoredErrors>
    <ignoredError sqref="I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20" t="s">
        <v>143</v>
      </c>
      <c r="B1" s="220"/>
      <c r="C1" s="224" t="s">
        <v>154</v>
      </c>
      <c r="D1" s="225"/>
      <c r="E1" s="225"/>
      <c r="F1" s="225"/>
      <c r="G1" s="225"/>
      <c r="H1" s="225"/>
      <c r="I1" s="226"/>
    </row>
    <row r="2" spans="1:38">
      <c r="A2" s="220" t="s">
        <v>145</v>
      </c>
      <c r="B2" s="220"/>
      <c r="C2" s="227" t="str">
        <f>'2025年'!C2:I2</f>
        <v>戴姆勒卡车集团DTAG</v>
      </c>
      <c r="D2" s="227"/>
      <c r="E2" s="227"/>
      <c r="F2" s="227"/>
      <c r="G2" s="227"/>
      <c r="H2" s="227"/>
      <c r="I2" s="227"/>
    </row>
    <row r="3" spans="1:38">
      <c r="A3" s="220" t="s">
        <v>146</v>
      </c>
      <c r="B3" s="220"/>
      <c r="C3" s="15" t="str">
        <f>销量!C5</f>
        <v>130G转盘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21" t="s">
        <v>52</v>
      </c>
    </row>
    <row r="4" spans="1:38">
      <c r="A4" s="220" t="s">
        <v>147</v>
      </c>
      <c r="B4" s="220"/>
      <c r="C4" s="15">
        <f>销量!C6</f>
        <v>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22"/>
    </row>
    <row r="5" spans="1:38">
      <c r="A5" s="220" t="s">
        <v>148</v>
      </c>
      <c r="B5" s="220"/>
      <c r="C5" s="54">
        <f>销量!C7</f>
        <v>0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23"/>
      <c r="AL5" s="87" t="s">
        <v>53</v>
      </c>
    </row>
    <row r="6" spans="1:38" ht="17.25">
      <c r="A6" s="90" t="s">
        <v>19</v>
      </c>
      <c r="B6" s="91" t="s">
        <v>149</v>
      </c>
      <c r="C6" s="92">
        <f>销量!C10</f>
        <v>50000</v>
      </c>
      <c r="D6" s="92">
        <f>销量!D10</f>
        <v>0</v>
      </c>
      <c r="E6" s="92">
        <f>销量!E10</f>
        <v>0</v>
      </c>
      <c r="F6" s="92">
        <f>销量!F10</f>
        <v>0</v>
      </c>
      <c r="G6" s="92">
        <f>销量!G10</f>
        <v>0</v>
      </c>
      <c r="H6" s="92">
        <f>销量!H10</f>
        <v>0</v>
      </c>
      <c r="I6" s="93">
        <f t="shared" ref="I6:I15" si="0"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22500000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si="0"/>
        <v>22500000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>
        <f>C7*(1-销量!$L$7)</f>
        <v>225000.0000000002</v>
      </c>
      <c r="D8" s="93">
        <f>D7*(1-销量!$L$7)</f>
        <v>0</v>
      </c>
      <c r="E8" s="93">
        <f>E7*(1-销量!$L$7)</f>
        <v>0</v>
      </c>
      <c r="F8" s="93">
        <f>F7*(1-销量!$L$7)</f>
        <v>0</v>
      </c>
      <c r="G8" s="93">
        <f>G7*(1-销量!$L$7)</f>
        <v>0</v>
      </c>
      <c r="H8" s="93">
        <f>H7*(1-销量!$L$7)</f>
        <v>0</v>
      </c>
      <c r="I8" s="93">
        <f t="shared" si="0"/>
        <v>225000.0000000002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 t="shared" ref="C9:H9" si="1">+C7-C8</f>
        <v>22275000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22275000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11092949.999999998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11092949.999999998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 t="shared" ref="C11:H11" si="3">+C6*C36</f>
        <v>1561500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1561500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1487250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1487250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1655999.9999999998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1655999.9999999998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4704750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4704750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6477300.0000000019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6477300.0000000019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0.29078787878787887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0.29078787878787887</v>
      </c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G17" si="9">C6*C43+C18</f>
        <v>1345500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>H6*H43+H18</f>
        <v>0</v>
      </c>
      <c r="I17" s="93">
        <f>+SUM(C17:H17)</f>
        <v>1345500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150</v>
      </c>
      <c r="C18" s="97">
        <f t="shared" ref="C18:H18" si="10">$I$18/$I$6*C6</f>
        <v>0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项目投资!E26</f>
        <v>0</v>
      </c>
      <c r="J18" s="108" t="s">
        <v>151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195750.00000000006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195750.00000000006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594000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594000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项目投资!E27</f>
        <v>0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798749.99999999988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798749.99999999988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H23" si="15">+C22+C21+C20+C19+C17</f>
        <v>2934000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>+I22+I21+I20+I19+I17</f>
        <v>2934000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 t="shared" ref="C24:H24" si="16">+C15-C23</f>
        <v>3543300.0000000019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>+I15-I23</f>
        <v>3543300.0000000019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284</v>
      </c>
      <c r="C25" s="98">
        <f t="shared" ref="C25:F25" si="17">IF(C24&lt;0,0,C24*0.15)</f>
        <v>531495.00000000023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531495.00000000023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9">C24-C25</f>
        <v>3011805.0000000019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3011805.0000000019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 t="shared" ref="C27:I27" si="20">C26/C7</f>
        <v>0.13385800000000009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0.13385800000000009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450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153</v>
      </c>
      <c r="C32" s="93">
        <f>C9/C6</f>
        <v>445.5</v>
      </c>
      <c r="D32" s="93">
        <f t="shared" ref="D32:H32" si="21">D31*1</f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材料成本!D26</f>
        <v>221.85899999999998</v>
      </c>
      <c r="D33" s="93">
        <f>材料成本!E26</f>
        <v>0</v>
      </c>
      <c r="E33" s="93">
        <f>材料成本!F26</f>
        <v>0</v>
      </c>
      <c r="F33" s="93">
        <f>材料成本!G26</f>
        <v>0</v>
      </c>
      <c r="G33" s="93">
        <f>材料成本!H26</f>
        <v>0</v>
      </c>
      <c r="H33" s="93">
        <f>材料成本!I26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>C32-C33</f>
        <v>223.64100000000002</v>
      </c>
      <c r="D34" s="102">
        <f t="shared" ref="D34:H34" si="22">D32-D33</f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'2025年'!C36</f>
        <v>31.23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97">
        <f>'2025年'!H36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'2025年'!C37</f>
        <v>29.745000000000001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97">
        <f>'2025年'!H37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'2025年'!C38</f>
        <v>33.119999999999997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97">
        <f>'2025年'!H38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 t="shared" ref="C40:H40" si="23">C34-C36-C37-C38</f>
        <v>129.54600000000002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'2025年'!C43</f>
        <v>26.91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7">
        <f>'2025年'!H43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'2025年'!C44</f>
        <v>3.9150000000000014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7">
        <f>'2025年'!H44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'2025年'!C45</f>
        <v>11.88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7">
        <f>'2025年'!H45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4">C21/C6</f>
        <v>0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'2025年'!C47</f>
        <v>15.974999999999998</v>
      </c>
      <c r="D47" s="103">
        <f>'2025年'!D47</f>
        <v>0</v>
      </c>
      <c r="E47" s="103">
        <f>'2025年'!E47</f>
        <v>0</v>
      </c>
      <c r="F47" s="103">
        <f>'2025年'!F47</f>
        <v>0</v>
      </c>
      <c r="G47" s="103">
        <f>'2025年'!G47</f>
        <v>0</v>
      </c>
      <c r="H47" s="103">
        <f>'2025年'!H47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70.866000000000028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20" t="s">
        <v>143</v>
      </c>
      <c r="B1" s="220"/>
      <c r="C1" s="224" t="s">
        <v>155</v>
      </c>
      <c r="D1" s="225"/>
      <c r="E1" s="225"/>
      <c r="F1" s="225"/>
      <c r="G1" s="225"/>
      <c r="H1" s="225"/>
      <c r="I1" s="226"/>
    </row>
    <row r="2" spans="1:38">
      <c r="A2" s="220" t="s">
        <v>145</v>
      </c>
      <c r="B2" s="220"/>
      <c r="C2" s="227" t="str">
        <f>'2025年'!C2:I2</f>
        <v>戴姆勒卡车集团DTAG</v>
      </c>
      <c r="D2" s="227"/>
      <c r="E2" s="227"/>
      <c r="F2" s="227"/>
      <c r="G2" s="227"/>
      <c r="H2" s="227"/>
      <c r="I2" s="227"/>
    </row>
    <row r="3" spans="1:38">
      <c r="A3" s="220" t="s">
        <v>146</v>
      </c>
      <c r="B3" s="220"/>
      <c r="C3" s="15" t="str">
        <f>销量!C5</f>
        <v>130G转盘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21" t="s">
        <v>52</v>
      </c>
    </row>
    <row r="4" spans="1:38">
      <c r="A4" s="220" t="s">
        <v>147</v>
      </c>
      <c r="B4" s="220"/>
      <c r="C4" s="15">
        <f>销量!C6</f>
        <v>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22"/>
    </row>
    <row r="5" spans="1:38">
      <c r="A5" s="220" t="s">
        <v>148</v>
      </c>
      <c r="B5" s="220"/>
      <c r="C5" s="54">
        <f>销量!C7</f>
        <v>0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23"/>
      <c r="AL5" s="87" t="s">
        <v>53</v>
      </c>
    </row>
    <row r="6" spans="1:38" ht="17.25">
      <c r="A6" s="90" t="s">
        <v>19</v>
      </c>
      <c r="B6" s="91" t="s">
        <v>149</v>
      </c>
      <c r="C6" s="92">
        <f>销量!C11</f>
        <v>50000</v>
      </c>
      <c r="D6" s="92">
        <f>销量!D11</f>
        <v>0</v>
      </c>
      <c r="E6" s="92">
        <f>销量!E11</f>
        <v>0</v>
      </c>
      <c r="F6" s="92">
        <f>销量!F11</f>
        <v>0</v>
      </c>
      <c r="G6" s="92">
        <f>销量!G11</f>
        <v>0</v>
      </c>
      <c r="H6" s="92">
        <f>销量!H11</f>
        <v>0</v>
      </c>
      <c r="I6" s="93">
        <f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22500000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22500000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>
        <f>C7*(1-销量!$L$8)</f>
        <v>447749.99999999814</v>
      </c>
      <c r="D8" s="93">
        <f>D7*(1-销量!$L$8)</f>
        <v>0</v>
      </c>
      <c r="E8" s="93">
        <f>E7*(1-销量!$L$8)</f>
        <v>0</v>
      </c>
      <c r="F8" s="93">
        <f>F7*(1-销量!$L$8)</f>
        <v>0</v>
      </c>
      <c r="G8" s="93">
        <f>G7*(1-销量!$L$8)</f>
        <v>0</v>
      </c>
      <c r="H8" s="93">
        <f>H7*(1-销量!$L$8)</f>
        <v>0</v>
      </c>
      <c r="I8" s="93">
        <f t="shared" si="0"/>
        <v>447749.99999999814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 t="shared" ref="C9:H9" si="1">+C7-C8</f>
        <v>22052250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22052250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11092949.999999998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11092949.999999998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 t="shared" ref="C11:H11" si="3">+C6*C36</f>
        <v>1561500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1561500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1487250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1487250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1655999.9999999998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1655999.9999999998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4704750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4704750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6254550.0000000019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6254550.0000000019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0.28362411998775644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0.28362411998775644</v>
      </c>
      <c r="J16" s="107"/>
      <c r="K16" s="107"/>
      <c r="L16" s="107"/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H17" si="9">C6*C43+C18</f>
        <v>1345500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 t="shared" si="9"/>
        <v>0</v>
      </c>
      <c r="I17" s="93">
        <f>+SUM(C17:H17)</f>
        <v>1345500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150</v>
      </c>
      <c r="C18" s="97">
        <f t="shared" ref="C18:H18" si="10">$I$18/$I$6*C6</f>
        <v>0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项目投资!F26</f>
        <v>0</v>
      </c>
      <c r="J18" s="108" t="s">
        <v>151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195750.00000000006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195750.00000000006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594000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594000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项目投资!F27</f>
        <v>0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798749.99999999988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798749.99999999988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I23" si="15">+C22+C21+C20+C19+C17</f>
        <v>2934000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 t="shared" si="15"/>
        <v>2934000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 t="shared" ref="C24:I24" si="16">+C15-C23</f>
        <v>3320550.0000000019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 t="shared" si="16"/>
        <v>3320550.0000000019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285</v>
      </c>
      <c r="C25" s="98">
        <f t="shared" ref="C25:F25" si="17">IF(C24&lt;0,0,C24*0.15)</f>
        <v>498082.50000000023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498082.50000000023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9">C24-C25</f>
        <v>2822467.5000000019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2822467.5000000019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 t="shared" ref="C27:I27" si="20">C26/C7</f>
        <v>0.12544300000000008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0.12544300000000008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450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153</v>
      </c>
      <c r="C32" s="93">
        <f>C9/C6</f>
        <v>441.04500000000002</v>
      </c>
      <c r="D32" s="93">
        <f t="shared" ref="D32:H32" si="21">D31*1</f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材料成本!D27</f>
        <v>221.85899999999998</v>
      </c>
      <c r="D33" s="93">
        <f>材料成本!E27</f>
        <v>0</v>
      </c>
      <c r="E33" s="93">
        <f>材料成本!F27</f>
        <v>0</v>
      </c>
      <c r="F33" s="93">
        <f>材料成本!G27</f>
        <v>0</v>
      </c>
      <c r="G33" s="93">
        <f>材料成本!H27</f>
        <v>0</v>
      </c>
      <c r="H33" s="93">
        <f>材料成本!I27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 t="shared" ref="C34:H34" si="22">C32-C33</f>
        <v>219.18600000000004</v>
      </c>
      <c r="D34" s="102">
        <f t="shared" si="22"/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'2025年'!C36</f>
        <v>31.23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97">
        <f>'2025年'!H36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'2025年'!C37</f>
        <v>29.745000000000001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97">
        <f>'2025年'!H37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'2025年'!C38</f>
        <v>33.119999999999997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97">
        <f>'2025年'!H38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 t="shared" ref="C40:H40" si="23">C34-C36-C37-C38</f>
        <v>125.09100000000004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'2025年'!C43</f>
        <v>26.91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7">
        <f>'2025年'!H43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'2025年'!C44</f>
        <v>3.9150000000000014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7">
        <f>'2025年'!H44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'2025年'!C45</f>
        <v>11.88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7">
        <f>'2025年'!H45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4">C21/C6</f>
        <v>0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'2025年'!C47</f>
        <v>15.974999999999998</v>
      </c>
      <c r="D47" s="103">
        <f>'2025年'!D47</f>
        <v>0</v>
      </c>
      <c r="E47" s="103">
        <f>'2025年'!E47</f>
        <v>0</v>
      </c>
      <c r="F47" s="103">
        <f>'2025年'!F47</f>
        <v>0</v>
      </c>
      <c r="G47" s="103">
        <f>'2025年'!G47</f>
        <v>0</v>
      </c>
      <c r="H47" s="103">
        <f>'2025年'!H47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66.411000000000044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20" t="s">
        <v>143</v>
      </c>
      <c r="B1" s="220"/>
      <c r="C1" s="224" t="s">
        <v>291</v>
      </c>
      <c r="D1" s="225"/>
      <c r="E1" s="225"/>
      <c r="F1" s="225"/>
      <c r="G1" s="225"/>
      <c r="H1" s="225"/>
      <c r="I1" s="226"/>
    </row>
    <row r="2" spans="1:38">
      <c r="A2" s="220" t="s">
        <v>145</v>
      </c>
      <c r="B2" s="220"/>
      <c r="C2" s="227" t="str">
        <f>'2025年'!C2:I2</f>
        <v>戴姆勒卡车集团DTAG</v>
      </c>
      <c r="D2" s="227"/>
      <c r="E2" s="227"/>
      <c r="F2" s="227"/>
      <c r="G2" s="227"/>
      <c r="H2" s="227"/>
      <c r="I2" s="227"/>
    </row>
    <row r="3" spans="1:38">
      <c r="A3" s="220" t="s">
        <v>146</v>
      </c>
      <c r="B3" s="220"/>
      <c r="C3" s="15" t="str">
        <f>销量!C5</f>
        <v>130G转盘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21" t="s">
        <v>52</v>
      </c>
    </row>
    <row r="4" spans="1:38">
      <c r="A4" s="220" t="s">
        <v>147</v>
      </c>
      <c r="B4" s="220"/>
      <c r="C4" s="15">
        <f>销量!C6</f>
        <v>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22"/>
    </row>
    <row r="5" spans="1:38">
      <c r="A5" s="220" t="s">
        <v>148</v>
      </c>
      <c r="B5" s="220"/>
      <c r="C5" s="54">
        <f>销量!C7</f>
        <v>0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23"/>
      <c r="AL5" s="87" t="s">
        <v>53</v>
      </c>
    </row>
    <row r="6" spans="1:38" ht="17.25">
      <c r="A6" s="90" t="s">
        <v>19</v>
      </c>
      <c r="B6" s="91" t="s">
        <v>149</v>
      </c>
      <c r="C6" s="92">
        <f>销量!C12</f>
        <v>50000</v>
      </c>
      <c r="D6" s="92">
        <f>销量!D11</f>
        <v>0</v>
      </c>
      <c r="E6" s="92">
        <f>销量!E11</f>
        <v>0</v>
      </c>
      <c r="F6" s="92">
        <f>销量!F11</f>
        <v>0</v>
      </c>
      <c r="G6" s="92">
        <f>销量!G11</f>
        <v>0</v>
      </c>
      <c r="H6" s="92">
        <f>销量!H11</f>
        <v>0</v>
      </c>
      <c r="I6" s="93">
        <f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193">
        <v>1</v>
      </c>
      <c r="B7" s="91" t="s">
        <v>55</v>
      </c>
      <c r="C7" s="93">
        <f>C6*销量!C8</f>
        <v>22500000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22500000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193">
        <v>2</v>
      </c>
      <c r="B8" s="193" t="s">
        <v>57</v>
      </c>
      <c r="C8" s="93">
        <f>C7*(1-销量!$L$9)</f>
        <v>668272.49999999953</v>
      </c>
      <c r="D8" s="93">
        <f>D7*(1-销量!$L$8)</f>
        <v>0</v>
      </c>
      <c r="E8" s="93">
        <f>E7*(1-销量!$L$8)</f>
        <v>0</v>
      </c>
      <c r="F8" s="93">
        <f>F7*(1-销量!$L$8)</f>
        <v>0</v>
      </c>
      <c r="G8" s="93">
        <f>G7*(1-销量!$L$8)</f>
        <v>0</v>
      </c>
      <c r="H8" s="93">
        <f>H7*(1-销量!$L$8)</f>
        <v>0</v>
      </c>
      <c r="I8" s="93">
        <f t="shared" si="0"/>
        <v>668272.49999999953</v>
      </c>
      <c r="J8" s="106"/>
      <c r="T8" s="193" t="s">
        <v>59</v>
      </c>
      <c r="AJ8" s="90" t="s">
        <v>58</v>
      </c>
      <c r="AK8" s="193" t="s">
        <v>59</v>
      </c>
      <c r="AL8" s="87" t="s">
        <v>54</v>
      </c>
    </row>
    <row r="9" spans="1:38">
      <c r="A9" s="193">
        <v>3</v>
      </c>
      <c r="B9" s="91" t="s">
        <v>60</v>
      </c>
      <c r="C9" s="93">
        <f t="shared" ref="C9:H9" si="1">+C7-C8</f>
        <v>21831727.5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21831727.5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193">
        <v>4</v>
      </c>
      <c r="B10" s="90" t="s">
        <v>64</v>
      </c>
      <c r="C10" s="93">
        <f t="shared" ref="C10:H10" si="2">C6*C33</f>
        <v>10982020.499999998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10982020.499999998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193">
        <v>5</v>
      </c>
      <c r="B11" s="90" t="s">
        <v>66</v>
      </c>
      <c r="C11" s="93">
        <f t="shared" ref="C11:H11" si="3">+C6*C36</f>
        <v>1561500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1561500</v>
      </c>
      <c r="T11" s="90" t="s">
        <v>66</v>
      </c>
      <c r="AJ11" s="90" t="s">
        <v>67</v>
      </c>
      <c r="AK11" s="90" t="s">
        <v>66</v>
      </c>
    </row>
    <row r="12" spans="1:38">
      <c r="A12" s="193">
        <v>6</v>
      </c>
      <c r="B12" s="90" t="s">
        <v>68</v>
      </c>
      <c r="C12" s="93">
        <f t="shared" ref="C12:H12" si="4">+C6*C37</f>
        <v>1487250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1487250</v>
      </c>
      <c r="T12" s="90" t="s">
        <v>68</v>
      </c>
      <c r="AJ12" s="90" t="s">
        <v>69</v>
      </c>
      <c r="AK12" s="90" t="s">
        <v>68</v>
      </c>
    </row>
    <row r="13" spans="1:38">
      <c r="A13" s="193">
        <v>7</v>
      </c>
      <c r="B13" s="90" t="s">
        <v>70</v>
      </c>
      <c r="C13" s="93">
        <f t="shared" ref="C13:H13" si="5">+C6*C38</f>
        <v>1655999.9999999998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1655999.9999999998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193">
        <v>8</v>
      </c>
      <c r="B14" s="94" t="s">
        <v>72</v>
      </c>
      <c r="C14" s="93">
        <f t="shared" ref="C14:H14" si="6">SUM(C11:C13)</f>
        <v>4704750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4704750</v>
      </c>
      <c r="T14" s="94" t="s">
        <v>72</v>
      </c>
      <c r="AJ14" s="90" t="s">
        <v>73</v>
      </c>
      <c r="AK14" s="94" t="s">
        <v>72</v>
      </c>
    </row>
    <row r="15" spans="1:38">
      <c r="A15" s="193">
        <v>9</v>
      </c>
      <c r="B15" s="94" t="s">
        <v>74</v>
      </c>
      <c r="C15" s="93">
        <f t="shared" ref="C15:H15" si="7">+C9-C10-C14</f>
        <v>6144957.0000000019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6144957.0000000019</v>
      </c>
      <c r="T15" s="94" t="s">
        <v>74</v>
      </c>
      <c r="AJ15" s="90" t="s">
        <v>75</v>
      </c>
      <c r="AK15" s="94" t="s">
        <v>74</v>
      </c>
    </row>
    <row r="16" spans="1:38">
      <c r="A16" s="193">
        <v>10</v>
      </c>
      <c r="B16" s="90" t="s">
        <v>76</v>
      </c>
      <c r="C16" s="95">
        <f t="shared" ref="C16:I16" si="8">+C15/C9</f>
        <v>0.28146911415965603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0.28146911415965603</v>
      </c>
      <c r="J16" s="107"/>
      <c r="K16" s="107"/>
      <c r="L16" s="107"/>
      <c r="T16" s="90" t="s">
        <v>76</v>
      </c>
      <c r="AJ16" s="90" t="s">
        <v>77</v>
      </c>
      <c r="AK16" s="90" t="s">
        <v>76</v>
      </c>
    </row>
    <row r="17" spans="1:38">
      <c r="A17" s="193">
        <v>11</v>
      </c>
      <c r="B17" s="90" t="s">
        <v>78</v>
      </c>
      <c r="C17" s="93">
        <f t="shared" ref="C17:H17" si="9">C6*C43+C18</f>
        <v>1345500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 t="shared" si="9"/>
        <v>0</v>
      </c>
      <c r="I17" s="93">
        <f>+SUM(C17:H17)</f>
        <v>1345500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193">
        <v>12</v>
      </c>
      <c r="B18" s="96" t="s">
        <v>150</v>
      </c>
      <c r="C18" s="97">
        <f t="shared" ref="C18:H18" si="10">$I$18/$I$6*C6</f>
        <v>0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项目投资!F26</f>
        <v>0</v>
      </c>
      <c r="J18" s="108" t="s">
        <v>151</v>
      </c>
      <c r="K18" s="108"/>
      <c r="L18" s="108"/>
    </row>
    <row r="19" spans="1:38">
      <c r="A19" s="193">
        <v>13</v>
      </c>
      <c r="B19" s="90" t="s">
        <v>80</v>
      </c>
      <c r="C19" s="93">
        <f t="shared" ref="C19:H19" si="11">C6*C44</f>
        <v>195750.00000000006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195750.00000000006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193">
        <v>14</v>
      </c>
      <c r="B20" s="90" t="s">
        <v>82</v>
      </c>
      <c r="C20" s="93">
        <f t="shared" ref="C20:H20" si="12">C6*C45</f>
        <v>594000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594000</v>
      </c>
      <c r="T20" s="90" t="s">
        <v>82</v>
      </c>
      <c r="AJ20" s="90" t="s">
        <v>83</v>
      </c>
      <c r="AK20" s="90" t="s">
        <v>82</v>
      </c>
    </row>
    <row r="21" spans="1:38">
      <c r="A21" s="193">
        <v>15</v>
      </c>
      <c r="B21" s="90" t="s">
        <v>84</v>
      </c>
      <c r="C21" s="98">
        <f t="shared" ref="C21:H21" si="13">$I$21/$I$6*C6</f>
        <v>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项目投资!F27</f>
        <v>0</v>
      </c>
      <c r="T21" s="90" t="s">
        <v>84</v>
      </c>
      <c r="AJ21" s="90"/>
      <c r="AK21" s="90"/>
    </row>
    <row r="22" spans="1:38">
      <c r="A22" s="193">
        <v>16</v>
      </c>
      <c r="B22" s="90" t="s">
        <v>85</v>
      </c>
      <c r="C22" s="93">
        <f t="shared" ref="C22:H22" si="14">C6*C47</f>
        <v>798749.99999999988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798749.99999999988</v>
      </c>
      <c r="T22" s="90" t="s">
        <v>85</v>
      </c>
      <c r="AJ22" s="90" t="s">
        <v>86</v>
      </c>
      <c r="AK22" s="90" t="s">
        <v>85</v>
      </c>
    </row>
    <row r="23" spans="1:38">
      <c r="A23" s="193">
        <v>17</v>
      </c>
      <c r="B23" s="94" t="s">
        <v>87</v>
      </c>
      <c r="C23" s="98">
        <f t="shared" ref="C23:I23" si="15">+C22+C21+C20+C19+C17</f>
        <v>2934000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 t="shared" si="15"/>
        <v>2934000</v>
      </c>
      <c r="T23" s="94" t="s">
        <v>87</v>
      </c>
      <c r="AJ23" s="90" t="s">
        <v>88</v>
      </c>
      <c r="AK23" s="94" t="s">
        <v>87</v>
      </c>
    </row>
    <row r="24" spans="1:38">
      <c r="A24" s="193">
        <v>18</v>
      </c>
      <c r="B24" s="99" t="s">
        <v>89</v>
      </c>
      <c r="C24" s="98">
        <f t="shared" ref="C24:I24" si="16">+C15-C23</f>
        <v>3210957.0000000019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 t="shared" si="16"/>
        <v>3210957.0000000019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193">
        <v>19</v>
      </c>
      <c r="B25" s="90" t="s">
        <v>285</v>
      </c>
      <c r="C25" s="98">
        <f t="shared" ref="C25:F25" si="17">IF(C24&lt;0,0,C24*0.15)</f>
        <v>481643.55000000028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481643.55000000028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193">
        <v>20</v>
      </c>
      <c r="B26" s="90" t="s">
        <v>92</v>
      </c>
      <c r="C26" s="98">
        <f t="shared" ref="C26:H26" si="19">C24-C25</f>
        <v>2729313.4500000016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2729313.4500000016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193">
        <v>21</v>
      </c>
      <c r="B27" s="90" t="s">
        <v>96</v>
      </c>
      <c r="C27" s="100">
        <f t="shared" ref="C27:I27" si="20">C26/C7</f>
        <v>0.12130282000000008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0.12130282000000008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193">
        <v>1</v>
      </c>
      <c r="B31" s="96" t="s">
        <v>101</v>
      </c>
      <c r="C31" s="101">
        <f>销量!C8</f>
        <v>450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193">
        <v>2</v>
      </c>
      <c r="B32" s="90" t="s">
        <v>153</v>
      </c>
      <c r="C32" s="93">
        <f>C9/C6</f>
        <v>436.63454999999999</v>
      </c>
      <c r="D32" s="93">
        <f t="shared" ref="D32:H32" si="21">D31*1</f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193">
        <v>3</v>
      </c>
      <c r="B33" s="96" t="s">
        <v>102</v>
      </c>
      <c r="C33" s="93">
        <f>材料成本!D28</f>
        <v>219.64040999999997</v>
      </c>
      <c r="D33" s="93">
        <f>材料成本!E27</f>
        <v>0</v>
      </c>
      <c r="E33" s="93">
        <f>材料成本!F27</f>
        <v>0</v>
      </c>
      <c r="F33" s="93">
        <f>材料成本!G27</f>
        <v>0</v>
      </c>
      <c r="G33" s="93">
        <f>材料成本!H27</f>
        <v>0</v>
      </c>
      <c r="H33" s="93">
        <f>材料成本!I27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193">
        <v>4</v>
      </c>
      <c r="B34" s="90" t="s">
        <v>104</v>
      </c>
      <c r="C34" s="102">
        <f t="shared" ref="C34:H34" si="22">C32-C33</f>
        <v>216.99414000000002</v>
      </c>
      <c r="D34" s="102">
        <f t="shared" si="22"/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193">
        <v>1</v>
      </c>
      <c r="B36" s="90" t="s">
        <v>107</v>
      </c>
      <c r="C36" s="97">
        <f>'2025年'!C36</f>
        <v>31.23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97">
        <f>'2025年'!H36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193">
        <v>2</v>
      </c>
      <c r="B37" s="90" t="s">
        <v>108</v>
      </c>
      <c r="C37" s="97">
        <f>'2025年'!C37</f>
        <v>29.745000000000001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97">
        <f>'2025年'!H37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193">
        <v>3</v>
      </c>
      <c r="B38" s="90" t="s">
        <v>109</v>
      </c>
      <c r="C38" s="97">
        <f>'2025年'!C38</f>
        <v>33.119999999999997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97">
        <f>'2025年'!H38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193">
        <v>1</v>
      </c>
      <c r="B40" s="90" t="s">
        <v>113</v>
      </c>
      <c r="C40" s="98">
        <f t="shared" ref="C40:H40" si="23">C34-C36-C37-C38</f>
        <v>122.89914000000002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193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193">
        <v>1</v>
      </c>
      <c r="B43" s="99" t="s">
        <v>117</v>
      </c>
      <c r="C43" s="97">
        <f>'2025年'!C43</f>
        <v>26.91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7">
        <f>'2025年'!H43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193">
        <v>2</v>
      </c>
      <c r="B44" s="99" t="s">
        <v>118</v>
      </c>
      <c r="C44" s="97">
        <f>'2025年'!C44</f>
        <v>3.9150000000000014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7">
        <f>'2025年'!H44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193">
        <v>3</v>
      </c>
      <c r="B45" s="99" t="s">
        <v>119</v>
      </c>
      <c r="C45" s="97">
        <f>'2025年'!C45</f>
        <v>11.88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7">
        <f>'2025年'!H45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193">
        <v>4</v>
      </c>
      <c r="B46" s="99" t="s">
        <v>120</v>
      </c>
      <c r="C46" s="103">
        <f t="shared" ref="C46:H46" si="24">C21/C6</f>
        <v>0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193">
        <v>5</v>
      </c>
      <c r="B47" s="99" t="s">
        <v>122</v>
      </c>
      <c r="C47" s="103">
        <f>'2025年'!C47</f>
        <v>15.974999999999998</v>
      </c>
      <c r="D47" s="103">
        <f>'2025年'!D47</f>
        <v>0</v>
      </c>
      <c r="E47" s="103">
        <f>'2025年'!E47</f>
        <v>0</v>
      </c>
      <c r="F47" s="103">
        <f>'2025年'!F47</f>
        <v>0</v>
      </c>
      <c r="G47" s="103">
        <f>'2025年'!G47</f>
        <v>0</v>
      </c>
      <c r="H47" s="103">
        <f>'2025年'!H47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64.219140000000024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F21" sqref="F21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20" t="s">
        <v>143</v>
      </c>
      <c r="B1" s="220"/>
      <c r="C1" s="224" t="s">
        <v>292</v>
      </c>
      <c r="D1" s="225"/>
      <c r="E1" s="225"/>
      <c r="F1" s="225"/>
      <c r="G1" s="225"/>
      <c r="H1" s="225"/>
      <c r="I1" s="226"/>
    </row>
    <row r="2" spans="1:38">
      <c r="A2" s="220" t="s">
        <v>145</v>
      </c>
      <c r="B2" s="220"/>
      <c r="C2" s="227" t="str">
        <f>'2025年'!C2:I2</f>
        <v>戴姆勒卡车集团DTAG</v>
      </c>
      <c r="D2" s="227"/>
      <c r="E2" s="227"/>
      <c r="F2" s="227"/>
      <c r="G2" s="227"/>
      <c r="H2" s="227"/>
      <c r="I2" s="227"/>
    </row>
    <row r="3" spans="1:38">
      <c r="A3" s="220" t="s">
        <v>146</v>
      </c>
      <c r="B3" s="220"/>
      <c r="C3" s="15" t="str">
        <f>销量!C5</f>
        <v>130G转盘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21" t="s">
        <v>52</v>
      </c>
    </row>
    <row r="4" spans="1:38">
      <c r="A4" s="220" t="s">
        <v>147</v>
      </c>
      <c r="B4" s="220"/>
      <c r="C4" s="15">
        <f>销量!C6</f>
        <v>0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22"/>
    </row>
    <row r="5" spans="1:38">
      <c r="A5" s="220" t="s">
        <v>148</v>
      </c>
      <c r="B5" s="220"/>
      <c r="C5" s="54">
        <f>销量!C7</f>
        <v>0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23"/>
      <c r="AL5" s="87" t="s">
        <v>53</v>
      </c>
    </row>
    <row r="6" spans="1:38" ht="17.25">
      <c r="A6" s="90" t="s">
        <v>19</v>
      </c>
      <c r="B6" s="91" t="s">
        <v>149</v>
      </c>
      <c r="C6" s="92">
        <f>销量!C13</f>
        <v>50000</v>
      </c>
      <c r="D6" s="92">
        <f>销量!D11</f>
        <v>0</v>
      </c>
      <c r="E6" s="92">
        <f>销量!E11</f>
        <v>0</v>
      </c>
      <c r="F6" s="92">
        <f>销量!F11</f>
        <v>0</v>
      </c>
      <c r="G6" s="92">
        <f>销量!G11</f>
        <v>0</v>
      </c>
      <c r="H6" s="92">
        <f>销量!H11</f>
        <v>0</v>
      </c>
      <c r="I6" s="93">
        <f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193">
        <v>1</v>
      </c>
      <c r="B7" s="91" t="s">
        <v>55</v>
      </c>
      <c r="C7" s="93">
        <f>C6*销量!C8</f>
        <v>22500000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22500000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193">
        <v>2</v>
      </c>
      <c r="B8" s="193" t="s">
        <v>57</v>
      </c>
      <c r="C8" s="93">
        <f>C7*(1-销量!$L$10)</f>
        <v>1104907.0500000031</v>
      </c>
      <c r="D8" s="93">
        <f>D7*(1-销量!$L$8)</f>
        <v>0</v>
      </c>
      <c r="E8" s="93">
        <f>E7*(1-销量!$L$8)</f>
        <v>0</v>
      </c>
      <c r="F8" s="93">
        <f>F7*(1-销量!$L$8)</f>
        <v>0</v>
      </c>
      <c r="G8" s="93">
        <f>G7*(1-销量!$L$8)</f>
        <v>0</v>
      </c>
      <c r="H8" s="93">
        <f>H7*(1-销量!$L$8)</f>
        <v>0</v>
      </c>
      <c r="I8" s="93">
        <f t="shared" si="0"/>
        <v>1104907.0500000031</v>
      </c>
      <c r="J8" s="106"/>
      <c r="T8" s="193" t="s">
        <v>59</v>
      </c>
      <c r="AJ8" s="90" t="s">
        <v>58</v>
      </c>
      <c r="AK8" s="193" t="s">
        <v>59</v>
      </c>
      <c r="AL8" s="87" t="s">
        <v>54</v>
      </c>
    </row>
    <row r="9" spans="1:38">
      <c r="A9" s="193">
        <v>3</v>
      </c>
      <c r="B9" s="91" t="s">
        <v>60</v>
      </c>
      <c r="C9" s="93">
        <f t="shared" ref="C9:H9" si="1">+C7-C8</f>
        <v>21395092.949999996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21395092.949999996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193">
        <v>4</v>
      </c>
      <c r="B10" s="90" t="s">
        <v>64</v>
      </c>
      <c r="C10" s="93">
        <f t="shared" ref="C10:H10" si="2">C6*C33</f>
        <v>10871090.999999998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10871090.999999998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193">
        <v>5</v>
      </c>
      <c r="B11" s="90" t="s">
        <v>66</v>
      </c>
      <c r="C11" s="93">
        <f t="shared" ref="C11:H11" si="3">+C6*C36</f>
        <v>1561500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1561500</v>
      </c>
      <c r="T11" s="90" t="s">
        <v>66</v>
      </c>
      <c r="AJ11" s="90" t="s">
        <v>67</v>
      </c>
      <c r="AK11" s="90" t="s">
        <v>66</v>
      </c>
    </row>
    <row r="12" spans="1:38">
      <c r="A12" s="193">
        <v>6</v>
      </c>
      <c r="B12" s="90" t="s">
        <v>68</v>
      </c>
      <c r="C12" s="93">
        <f t="shared" ref="C12:H12" si="4">+C6*C37</f>
        <v>1487250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1487250</v>
      </c>
      <c r="T12" s="90" t="s">
        <v>68</v>
      </c>
      <c r="AJ12" s="90" t="s">
        <v>69</v>
      </c>
      <c r="AK12" s="90" t="s">
        <v>68</v>
      </c>
    </row>
    <row r="13" spans="1:38">
      <c r="A13" s="193">
        <v>7</v>
      </c>
      <c r="B13" s="90" t="s">
        <v>70</v>
      </c>
      <c r="C13" s="93">
        <f t="shared" ref="C13:H13" si="5">+C6*C38</f>
        <v>1655999.9999999998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1655999.9999999998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193">
        <v>8</v>
      </c>
      <c r="B14" s="94" t="s">
        <v>72</v>
      </c>
      <c r="C14" s="93">
        <f t="shared" ref="C14:H14" si="6">SUM(C11:C13)</f>
        <v>4704750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4704750</v>
      </c>
      <c r="T14" s="94" t="s">
        <v>72</v>
      </c>
      <c r="AJ14" s="90" t="s">
        <v>73</v>
      </c>
      <c r="AK14" s="94" t="s">
        <v>72</v>
      </c>
    </row>
    <row r="15" spans="1:38">
      <c r="A15" s="193">
        <v>9</v>
      </c>
      <c r="B15" s="94" t="s">
        <v>74</v>
      </c>
      <c r="C15" s="93">
        <f t="shared" ref="C15:H15" si="7">+C9-C10-C14</f>
        <v>5819251.9499999974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5819251.9499999974</v>
      </c>
      <c r="T15" s="94" t="s">
        <v>74</v>
      </c>
      <c r="AJ15" s="90" t="s">
        <v>75</v>
      </c>
      <c r="AK15" s="94" t="s">
        <v>74</v>
      </c>
    </row>
    <row r="16" spans="1:38">
      <c r="A16" s="193">
        <v>10</v>
      </c>
      <c r="B16" s="90" t="s">
        <v>76</v>
      </c>
      <c r="C16" s="95">
        <f t="shared" ref="C16:I16" si="8">+C15/C9</f>
        <v>0.27199002890987667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0.27199002890987667</v>
      </c>
      <c r="J16" s="107"/>
      <c r="K16" s="107"/>
      <c r="L16" s="107"/>
      <c r="T16" s="90" t="s">
        <v>76</v>
      </c>
      <c r="AJ16" s="90" t="s">
        <v>77</v>
      </c>
      <c r="AK16" s="90" t="s">
        <v>76</v>
      </c>
    </row>
    <row r="17" spans="1:38">
      <c r="A17" s="193">
        <v>11</v>
      </c>
      <c r="B17" s="90" t="s">
        <v>78</v>
      </c>
      <c r="C17" s="93">
        <f t="shared" ref="C17:H17" si="9">C6*C43+C18</f>
        <v>1345500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 t="shared" si="9"/>
        <v>0</v>
      </c>
      <c r="I17" s="93">
        <f>+SUM(C17:H17)</f>
        <v>1345500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193">
        <v>12</v>
      </c>
      <c r="B18" s="96" t="s">
        <v>150</v>
      </c>
      <c r="C18" s="97">
        <f t="shared" ref="C18:H18" si="10">$I$18/$I$6*C6</f>
        <v>0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项目投资!F26</f>
        <v>0</v>
      </c>
      <c r="J18" s="108" t="s">
        <v>151</v>
      </c>
      <c r="K18" s="108"/>
      <c r="L18" s="108"/>
    </row>
    <row r="19" spans="1:38">
      <c r="A19" s="193">
        <v>13</v>
      </c>
      <c r="B19" s="90" t="s">
        <v>80</v>
      </c>
      <c r="C19" s="93">
        <f t="shared" ref="C19:H19" si="11">C6*C44</f>
        <v>195750.00000000006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195750.00000000006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193">
        <v>14</v>
      </c>
      <c r="B20" s="90" t="s">
        <v>82</v>
      </c>
      <c r="C20" s="93">
        <f t="shared" ref="C20:H20" si="12">C6*C45</f>
        <v>594000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594000</v>
      </c>
      <c r="T20" s="90" t="s">
        <v>82</v>
      </c>
      <c r="AJ20" s="90" t="s">
        <v>83</v>
      </c>
      <c r="AK20" s="90" t="s">
        <v>82</v>
      </c>
    </row>
    <row r="21" spans="1:38">
      <c r="A21" s="193">
        <v>15</v>
      </c>
      <c r="B21" s="90" t="s">
        <v>84</v>
      </c>
      <c r="C21" s="98">
        <f t="shared" ref="C21:H21" si="13">$I$21/$I$6*C6</f>
        <v>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项目投资!F27</f>
        <v>0</v>
      </c>
      <c r="T21" s="90" t="s">
        <v>84</v>
      </c>
      <c r="AJ21" s="90"/>
      <c r="AK21" s="90"/>
    </row>
    <row r="22" spans="1:38">
      <c r="A22" s="193">
        <v>16</v>
      </c>
      <c r="B22" s="90" t="s">
        <v>85</v>
      </c>
      <c r="C22" s="93">
        <f t="shared" ref="C22:H22" si="14">C6*C47</f>
        <v>798749.99999999988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798749.99999999988</v>
      </c>
      <c r="T22" s="90" t="s">
        <v>85</v>
      </c>
      <c r="AJ22" s="90" t="s">
        <v>86</v>
      </c>
      <c r="AK22" s="90" t="s">
        <v>85</v>
      </c>
    </row>
    <row r="23" spans="1:38">
      <c r="A23" s="193">
        <v>17</v>
      </c>
      <c r="B23" s="94" t="s">
        <v>87</v>
      </c>
      <c r="C23" s="98">
        <f t="shared" ref="C23:I23" si="15">+C22+C21+C20+C19+C17</f>
        <v>2934000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 t="shared" si="15"/>
        <v>2934000</v>
      </c>
      <c r="T23" s="94" t="s">
        <v>87</v>
      </c>
      <c r="AJ23" s="90" t="s">
        <v>88</v>
      </c>
      <c r="AK23" s="94" t="s">
        <v>87</v>
      </c>
    </row>
    <row r="24" spans="1:38">
      <c r="A24" s="193">
        <v>18</v>
      </c>
      <c r="B24" s="99" t="s">
        <v>89</v>
      </c>
      <c r="C24" s="98">
        <f t="shared" ref="C24:I24" si="16">+C15-C23</f>
        <v>2885251.9499999974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 t="shared" si="16"/>
        <v>2885251.9499999974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193">
        <v>19</v>
      </c>
      <c r="B25" s="90" t="s">
        <v>285</v>
      </c>
      <c r="C25" s="98">
        <f t="shared" ref="C25:F25" si="17">IF(C24&lt;0,0,C24*0.15)</f>
        <v>432787.79249999957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432787.79249999957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193">
        <v>20</v>
      </c>
      <c r="B26" s="90" t="s">
        <v>92</v>
      </c>
      <c r="C26" s="98">
        <f t="shared" ref="C26:H26" si="19">C24-C25</f>
        <v>2452464.1574999979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2452464.1574999979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193">
        <v>21</v>
      </c>
      <c r="B27" s="90" t="s">
        <v>96</v>
      </c>
      <c r="C27" s="100">
        <f t="shared" ref="C27:I27" si="20">C26/C7</f>
        <v>0.10899840699999991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0.10899840699999991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193">
        <v>1</v>
      </c>
      <c r="B31" s="96" t="s">
        <v>101</v>
      </c>
      <c r="C31" s="101">
        <f>销量!C8</f>
        <v>450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193">
        <v>2</v>
      </c>
      <c r="B32" s="90" t="s">
        <v>153</v>
      </c>
      <c r="C32" s="93">
        <f>C9/C6</f>
        <v>427.90185899999989</v>
      </c>
      <c r="D32" s="93">
        <f t="shared" ref="D32:H32" si="21">D31*1</f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193">
        <v>3</v>
      </c>
      <c r="B33" s="96" t="s">
        <v>102</v>
      </c>
      <c r="C33" s="93">
        <f>材料成本!D29</f>
        <v>217.42181999999997</v>
      </c>
      <c r="D33" s="93">
        <f>材料成本!E27</f>
        <v>0</v>
      </c>
      <c r="E33" s="93">
        <f>材料成本!F27</f>
        <v>0</v>
      </c>
      <c r="F33" s="93">
        <f>材料成本!G27</f>
        <v>0</v>
      </c>
      <c r="G33" s="93">
        <f>材料成本!H27</f>
        <v>0</v>
      </c>
      <c r="H33" s="93">
        <f>材料成本!I27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193">
        <v>4</v>
      </c>
      <c r="B34" s="90" t="s">
        <v>104</v>
      </c>
      <c r="C34" s="102">
        <f t="shared" ref="C34:H34" si="22">C32-C33</f>
        <v>210.48003899999992</v>
      </c>
      <c r="D34" s="102">
        <f t="shared" si="22"/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193">
        <v>1</v>
      </c>
      <c r="B36" s="90" t="s">
        <v>107</v>
      </c>
      <c r="C36" s="97">
        <f>'2025年'!C36</f>
        <v>31.23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97">
        <f>'2025年'!H36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193">
        <v>2</v>
      </c>
      <c r="B37" s="90" t="s">
        <v>108</v>
      </c>
      <c r="C37" s="97">
        <f>'2025年'!C37</f>
        <v>29.745000000000001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97">
        <f>'2025年'!H37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193">
        <v>3</v>
      </c>
      <c r="B38" s="90" t="s">
        <v>109</v>
      </c>
      <c r="C38" s="97">
        <f>'2025年'!C38</f>
        <v>33.119999999999997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97">
        <f>'2025年'!H38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193">
        <v>1</v>
      </c>
      <c r="B40" s="90" t="s">
        <v>113</v>
      </c>
      <c r="C40" s="98">
        <f t="shared" ref="C40:H40" si="23">C34-C36-C37-C38</f>
        <v>116.38503899999992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193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193">
        <v>1</v>
      </c>
      <c r="B43" s="99" t="s">
        <v>117</v>
      </c>
      <c r="C43" s="97">
        <f>'2025年'!C43</f>
        <v>26.91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7">
        <f>'2025年'!H43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193">
        <v>2</v>
      </c>
      <c r="B44" s="99" t="s">
        <v>118</v>
      </c>
      <c r="C44" s="97">
        <f>'2025年'!C44</f>
        <v>3.9150000000000014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7">
        <f>'2025年'!H44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193">
        <v>3</v>
      </c>
      <c r="B45" s="99" t="s">
        <v>119</v>
      </c>
      <c r="C45" s="97">
        <f>'2025年'!C45</f>
        <v>11.88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7">
        <f>'2025年'!H45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193">
        <v>4</v>
      </c>
      <c r="B46" s="99" t="s">
        <v>120</v>
      </c>
      <c r="C46" s="103">
        <f t="shared" ref="C46:H46" si="24">C21/C6</f>
        <v>0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193">
        <v>5</v>
      </c>
      <c r="B47" s="99" t="s">
        <v>122</v>
      </c>
      <c r="C47" s="103">
        <f>'2025年'!C47</f>
        <v>15.974999999999998</v>
      </c>
      <c r="D47" s="103">
        <f>'2025年'!D47</f>
        <v>0</v>
      </c>
      <c r="E47" s="103">
        <f>'2025年'!E47</f>
        <v>0</v>
      </c>
      <c r="F47" s="103">
        <f>'2025年'!F47</f>
        <v>0</v>
      </c>
      <c r="G47" s="103">
        <f>'2025年'!G47</f>
        <v>0</v>
      </c>
      <c r="H47" s="103">
        <f>'2025年'!H47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57.705038999999928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9" activePane="bottomRight" state="frozen"/>
      <selection pane="topRight"/>
      <selection pane="bottomLeft"/>
      <selection pane="bottomRight" activeCell="B23" sqref="B23"/>
    </sheetView>
  </sheetViews>
  <sheetFormatPr defaultColWidth="9" defaultRowHeight="13.5"/>
  <cols>
    <col min="1" max="1" width="19.5" customWidth="1"/>
    <col min="2" max="2" width="14.5" style="68" customWidth="1"/>
    <col min="3" max="3" width="10.375" customWidth="1"/>
    <col min="4" max="6" width="13.75" customWidth="1"/>
    <col min="7" max="7" width="14.125" customWidth="1"/>
    <col min="8" max="8" width="18.375" customWidth="1"/>
    <col min="9" max="9" width="14.875" customWidth="1"/>
    <col min="10" max="10" width="12" customWidth="1"/>
  </cols>
  <sheetData>
    <row r="1" spans="1:8" ht="30" customHeight="1">
      <c r="A1" s="228" t="s">
        <v>279</v>
      </c>
      <c r="B1" s="228"/>
      <c r="C1" s="228"/>
      <c r="E1" s="229" t="s">
        <v>271</v>
      </c>
      <c r="F1" s="230"/>
      <c r="G1" s="230"/>
      <c r="H1" s="231"/>
    </row>
    <row r="2" spans="1:8" ht="23.45" customHeight="1">
      <c r="A2" s="197" t="s">
        <v>1</v>
      </c>
      <c r="B2" s="198" t="s">
        <v>156</v>
      </c>
      <c r="C2" s="199" t="s">
        <v>157</v>
      </c>
      <c r="E2" s="69" t="s">
        <v>158</v>
      </c>
      <c r="F2" s="69" t="s">
        <v>1</v>
      </c>
      <c r="G2" s="196" t="s">
        <v>159</v>
      </c>
      <c r="H2" s="69" t="s">
        <v>157</v>
      </c>
    </row>
    <row r="3" spans="1:8" ht="15.75" customHeight="1">
      <c r="A3" s="200" t="s">
        <v>160</v>
      </c>
      <c r="B3" s="201"/>
      <c r="C3" s="71"/>
      <c r="E3" s="236" t="s">
        <v>161</v>
      </c>
      <c r="F3" s="72" t="s">
        <v>162</v>
      </c>
      <c r="G3" s="73">
        <v>0</v>
      </c>
      <c r="H3" s="72"/>
    </row>
    <row r="4" spans="1:8" ht="15.75" customHeight="1">
      <c r="A4" s="200" t="s">
        <v>163</v>
      </c>
      <c r="B4" s="201"/>
      <c r="C4" s="74"/>
      <c r="E4" s="237"/>
      <c r="F4" s="72" t="s">
        <v>164</v>
      </c>
      <c r="G4" s="73"/>
      <c r="H4" s="72"/>
    </row>
    <row r="5" spans="1:8" ht="15.75" customHeight="1">
      <c r="A5" s="200" t="s">
        <v>165</v>
      </c>
      <c r="B5" s="202">
        <f>SUM(G3:G4)</f>
        <v>0</v>
      </c>
      <c r="C5" s="71"/>
      <c r="E5" s="238" t="s">
        <v>166</v>
      </c>
      <c r="F5" s="75" t="s">
        <v>167</v>
      </c>
      <c r="G5" s="73"/>
      <c r="H5" s="75"/>
    </row>
    <row r="6" spans="1:8" ht="15.75" customHeight="1">
      <c r="A6" s="200" t="s">
        <v>168</v>
      </c>
      <c r="B6" s="201"/>
      <c r="C6" s="71"/>
      <c r="E6" s="239"/>
      <c r="F6" s="75" t="s">
        <v>169</v>
      </c>
      <c r="G6" s="73">
        <v>128.94</v>
      </c>
      <c r="H6" s="72"/>
    </row>
    <row r="7" spans="1:8" ht="15.75" customHeight="1">
      <c r="A7" s="203" t="s">
        <v>170</v>
      </c>
      <c r="B7" s="202">
        <f>SUM(B3:B6)</f>
        <v>0</v>
      </c>
      <c r="C7" s="71"/>
      <c r="E7" s="239"/>
      <c r="F7" s="75" t="s">
        <v>171</v>
      </c>
      <c r="G7" s="191"/>
      <c r="H7" s="190"/>
    </row>
    <row r="8" spans="1:8" ht="15.75" customHeight="1">
      <c r="A8" s="204" t="s">
        <v>172</v>
      </c>
      <c r="B8" s="202"/>
      <c r="C8" s="76"/>
      <c r="E8" s="239"/>
      <c r="F8" s="75" t="s">
        <v>173</v>
      </c>
      <c r="G8" s="191"/>
      <c r="H8" s="190"/>
    </row>
    <row r="9" spans="1:8" ht="15.75" customHeight="1">
      <c r="A9" s="200" t="s">
        <v>174</v>
      </c>
      <c r="B9" s="202"/>
      <c r="C9" s="71"/>
      <c r="E9" s="239"/>
      <c r="F9" s="72" t="s">
        <v>175</v>
      </c>
      <c r="G9" s="191"/>
      <c r="H9" s="190"/>
    </row>
    <row r="10" spans="1:8" ht="15.75" customHeight="1">
      <c r="A10" s="205" t="s">
        <v>52</v>
      </c>
      <c r="B10" s="202">
        <f>B7+B8+B9</f>
        <v>0</v>
      </c>
      <c r="C10" s="71"/>
      <c r="E10" s="239"/>
      <c r="F10" s="72" t="s">
        <v>176</v>
      </c>
      <c r="G10" s="192"/>
      <c r="H10" s="190"/>
    </row>
    <row r="11" spans="1:8" ht="15.75" customHeight="1">
      <c r="B11" s="212" t="s">
        <v>298</v>
      </c>
      <c r="E11" s="239"/>
      <c r="F11" s="72" t="s">
        <v>177</v>
      </c>
      <c r="G11" s="192"/>
      <c r="H11" s="190"/>
    </row>
    <row r="12" spans="1:8" ht="15.75" customHeight="1">
      <c r="E12" s="240"/>
      <c r="F12" s="72" t="s">
        <v>178</v>
      </c>
      <c r="G12" s="191"/>
      <c r="H12" s="190"/>
    </row>
    <row r="13" spans="1:8" ht="15.75" customHeight="1">
      <c r="E13" s="236" t="s">
        <v>84</v>
      </c>
      <c r="F13" s="72" t="s">
        <v>179</v>
      </c>
      <c r="G13" s="191"/>
      <c r="H13" s="190"/>
    </row>
    <row r="14" spans="1:8" ht="15.75" customHeight="1">
      <c r="E14" s="237"/>
      <c r="F14" s="72" t="s">
        <v>180</v>
      </c>
      <c r="G14" s="191"/>
      <c r="H14" s="190"/>
    </row>
    <row r="15" spans="1:8" ht="15.75" customHeight="1">
      <c r="E15" s="237"/>
      <c r="F15" s="72" t="s">
        <v>181</v>
      </c>
      <c r="G15" s="191"/>
      <c r="H15" s="190"/>
    </row>
    <row r="16" spans="1:8" ht="15.75" customHeight="1">
      <c r="E16" s="237"/>
      <c r="F16" s="72" t="s">
        <v>182</v>
      </c>
      <c r="G16" s="191"/>
      <c r="H16" s="190"/>
    </row>
    <row r="17" spans="1:10" ht="15.75" customHeight="1">
      <c r="E17" s="237"/>
      <c r="F17" s="72" t="s">
        <v>183</v>
      </c>
      <c r="G17" s="191"/>
      <c r="H17" s="190"/>
    </row>
    <row r="18" spans="1:10" ht="15.75" customHeight="1">
      <c r="E18" s="237"/>
      <c r="F18" s="72" t="s">
        <v>184</v>
      </c>
      <c r="G18" s="191"/>
      <c r="H18" s="190"/>
    </row>
    <row r="19" spans="1:10" ht="57.75" customHeight="1">
      <c r="E19" s="237"/>
      <c r="F19" s="72" t="s">
        <v>185</v>
      </c>
      <c r="G19" s="191">
        <v>76.06</v>
      </c>
      <c r="H19" s="190" t="s">
        <v>300</v>
      </c>
    </row>
    <row r="20" spans="1:10" ht="15.75" customHeight="1">
      <c r="E20" s="237"/>
      <c r="F20" s="72" t="s">
        <v>186</v>
      </c>
      <c r="G20" s="73"/>
      <c r="H20" s="72"/>
    </row>
    <row r="21" spans="1:10" ht="15.75" customHeight="1">
      <c r="E21" s="241"/>
      <c r="F21" s="72" t="s">
        <v>37</v>
      </c>
      <c r="G21" s="73"/>
      <c r="H21" s="72"/>
      <c r="I21" s="195" t="s">
        <v>278</v>
      </c>
    </row>
    <row r="22" spans="1:10" ht="15.75" customHeight="1">
      <c r="E22" s="69" t="s">
        <v>52</v>
      </c>
      <c r="F22" s="72"/>
      <c r="G22" s="70">
        <f>SUM(G3:G21)</f>
        <v>205</v>
      </c>
      <c r="H22" s="72"/>
      <c r="I22" s="194">
        <v>45870</v>
      </c>
    </row>
    <row r="23" spans="1:10" ht="30.75" customHeight="1">
      <c r="E23" s="232" t="s">
        <v>187</v>
      </c>
      <c r="F23" s="232"/>
      <c r="G23" s="232"/>
      <c r="H23" s="232"/>
    </row>
    <row r="25" spans="1:10" ht="22.5" customHeight="1">
      <c r="A25" s="77" t="s">
        <v>280</v>
      </c>
      <c r="B25" s="77" t="s">
        <v>156</v>
      </c>
      <c r="C25" s="77" t="s">
        <v>188</v>
      </c>
      <c r="D25" s="78" t="s">
        <v>49</v>
      </c>
      <c r="E25" s="78" t="s">
        <v>50</v>
      </c>
      <c r="F25" s="78" t="s">
        <v>51</v>
      </c>
      <c r="G25" s="78" t="s">
        <v>189</v>
      </c>
      <c r="H25" s="78" t="s">
        <v>190</v>
      </c>
      <c r="I25" s="78" t="s">
        <v>281</v>
      </c>
      <c r="J25" s="83" t="s">
        <v>191</v>
      </c>
    </row>
    <row r="26" spans="1:10" ht="16.5">
      <c r="A26" s="79" t="s">
        <v>150</v>
      </c>
      <c r="B26" s="80">
        <f>(B5+B8)*10000</f>
        <v>0</v>
      </c>
      <c r="C26" s="81">
        <v>0.05</v>
      </c>
      <c r="D26" s="82">
        <f>B26*(1-C26)/5</f>
        <v>0</v>
      </c>
      <c r="E26" s="82">
        <f t="shared" ref="E26:F27" si="0">D26</f>
        <v>0</v>
      </c>
      <c r="F26" s="82">
        <f t="shared" si="0"/>
        <v>0</v>
      </c>
      <c r="G26" s="82">
        <f t="shared" ref="G26:G27" si="1">F26</f>
        <v>0</v>
      </c>
      <c r="H26" s="82">
        <f t="shared" ref="H26:H27" si="2">G26</f>
        <v>0</v>
      </c>
      <c r="I26" s="82">
        <f>SUM(D26:H26)</f>
        <v>0</v>
      </c>
      <c r="J26" s="82">
        <f>B26*0.05</f>
        <v>0</v>
      </c>
    </row>
    <row r="27" spans="1:10" ht="16.5">
      <c r="A27" s="79" t="s">
        <v>192</v>
      </c>
      <c r="B27" s="80">
        <f>B9*10000</f>
        <v>0</v>
      </c>
      <c r="C27" s="82"/>
      <c r="D27" s="82">
        <f>B27/5</f>
        <v>0</v>
      </c>
      <c r="E27" s="82">
        <f t="shared" si="0"/>
        <v>0</v>
      </c>
      <c r="F27" s="82">
        <f t="shared" si="0"/>
        <v>0</v>
      </c>
      <c r="G27" s="82">
        <f t="shared" si="1"/>
        <v>0</v>
      </c>
      <c r="H27" s="82">
        <f t="shared" si="2"/>
        <v>0</v>
      </c>
      <c r="I27" s="82">
        <f>SUM(D27:H27)</f>
        <v>0</v>
      </c>
      <c r="J27" s="82"/>
    </row>
    <row r="28" spans="1:10" ht="16.5">
      <c r="A28" s="233" t="s">
        <v>141</v>
      </c>
      <c r="B28" s="234"/>
      <c r="C28" s="235"/>
      <c r="D28" s="82">
        <f>SUM(D26:D27)</f>
        <v>0</v>
      </c>
      <c r="E28" s="82">
        <f t="shared" ref="E28:H28" si="3">SUM(E26:E27)</f>
        <v>0</v>
      </c>
      <c r="F28" s="82">
        <f t="shared" si="3"/>
        <v>0</v>
      </c>
      <c r="G28" s="82">
        <f t="shared" si="3"/>
        <v>0</v>
      </c>
      <c r="H28" s="82">
        <f t="shared" si="3"/>
        <v>0</v>
      </c>
      <c r="I28" s="84"/>
      <c r="J28" s="8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6</vt:i4>
      </vt:variant>
    </vt:vector>
  </HeadingPairs>
  <TitlesOfParts>
    <vt:vector size="19" baseType="lpstr">
      <vt:lpstr>假设条件</vt:lpstr>
      <vt:lpstr>现金</vt:lpstr>
      <vt:lpstr>损益表</vt:lpstr>
      <vt:lpstr>2025年</vt:lpstr>
      <vt:lpstr>2026年</vt:lpstr>
      <vt:lpstr>2027年</vt:lpstr>
      <vt:lpstr>2028</vt:lpstr>
      <vt:lpstr>2029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'2028'!Print_Area</vt:lpstr>
      <vt:lpstr>'2029'!Print_Area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2025-03-24T03:23:49Z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