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J6G新能源项目\"/>
    </mc:Choice>
  </mc:AlternateContent>
  <bookViews>
    <workbookView xWindow="0" yWindow="0" windowWidth="20745" windowHeight="10200" tabRatio="862" activeTab="2"/>
  </bookViews>
  <sheets>
    <sheet name="假设条件" sheetId="34" r:id="rId1"/>
    <sheet name="现金" sheetId="36" state="hidden" r:id="rId2"/>
    <sheet name="损益表" sheetId="56" r:id="rId3"/>
    <sheet name="2025年" sheetId="61" r:id="rId4"/>
    <sheet name="2026年" sheetId="43" r:id="rId5"/>
    <sheet name="2027年" sheetId="57" r:id="rId6"/>
    <sheet name="2028年" sheetId="58" r:id="rId7"/>
    <sheet name="2029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4">'2026年'!$A$1:$H$48</definedName>
    <definedName name="_xlnm.Print_Area" localSheetId="5">'2027年'!$A$1:$H$48</definedName>
    <definedName name="_xlnm.Print_Area" localSheetId="6">'2028年'!$A$1:$H$48</definedName>
    <definedName name="_xlnm.Print_Area" localSheetId="8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51" l="1"/>
  <c r="L16" i="51"/>
  <c r="L17" i="51"/>
  <c r="L18" i="51"/>
  <c r="L19" i="51"/>
  <c r="L14" i="51"/>
  <c r="E31" i="59" l="1"/>
  <c r="F31" i="59"/>
  <c r="G31" i="59"/>
  <c r="E7" i="59"/>
  <c r="G7" i="59"/>
  <c r="E8" i="59"/>
  <c r="G8" i="59"/>
  <c r="E9" i="59"/>
  <c r="G9" i="59"/>
  <c r="G32" i="59" s="1"/>
  <c r="E31" i="58"/>
  <c r="F31" i="58"/>
  <c r="G31" i="58"/>
  <c r="E31" i="57"/>
  <c r="F31" i="57"/>
  <c r="G31" i="57"/>
  <c r="E32" i="59"/>
  <c r="D31" i="43"/>
  <c r="E31" i="43"/>
  <c r="F31" i="43"/>
  <c r="G31" i="43"/>
  <c r="H8" i="61"/>
  <c r="I52" i="50"/>
  <c r="I39" i="50"/>
  <c r="I26" i="50"/>
  <c r="E31" i="61"/>
  <c r="F31" i="61"/>
  <c r="G31" i="61"/>
  <c r="E3" i="59"/>
  <c r="F5" i="59"/>
  <c r="E6" i="59"/>
  <c r="F6" i="59"/>
  <c r="F7" i="59" s="1"/>
  <c r="G6" i="59"/>
  <c r="E3" i="58"/>
  <c r="F3" i="58"/>
  <c r="G4" i="58"/>
  <c r="E6" i="58"/>
  <c r="E7" i="58" s="1"/>
  <c r="F6" i="58"/>
  <c r="F7" i="58" s="1"/>
  <c r="G6" i="58"/>
  <c r="G7" i="58" s="1"/>
  <c r="E3" i="57"/>
  <c r="G5" i="57"/>
  <c r="E6" i="57"/>
  <c r="E7" i="57" s="1"/>
  <c r="F6" i="57"/>
  <c r="F7" i="57" s="1"/>
  <c r="G6" i="57"/>
  <c r="G7" i="57" s="1"/>
  <c r="E3" i="43"/>
  <c r="F5" i="43"/>
  <c r="E6" i="43"/>
  <c r="E7" i="43" s="1"/>
  <c r="F6" i="43"/>
  <c r="F7" i="43" s="1"/>
  <c r="G6" i="43"/>
  <c r="G7" i="43" s="1"/>
  <c r="G8" i="43" s="1"/>
  <c r="G9" i="43" s="1"/>
  <c r="G32" i="43" s="1"/>
  <c r="F4" i="53"/>
  <c r="G4" i="53"/>
  <c r="H4" i="53"/>
  <c r="F5" i="53"/>
  <c r="G5" i="53"/>
  <c r="H5" i="53"/>
  <c r="E9" i="61"/>
  <c r="E32" i="61" s="1"/>
  <c r="F9" i="61"/>
  <c r="F32" i="61" s="1"/>
  <c r="D3" i="61"/>
  <c r="E3" i="61"/>
  <c r="F3" i="61"/>
  <c r="F3" i="57" s="1"/>
  <c r="G3" i="61"/>
  <c r="G3" i="58" s="1"/>
  <c r="D4" i="61"/>
  <c r="E4" i="61"/>
  <c r="E4" i="59" s="1"/>
  <c r="F4" i="61"/>
  <c r="F4" i="59" s="1"/>
  <c r="G4" i="61"/>
  <c r="G4" i="57" s="1"/>
  <c r="D5" i="61"/>
  <c r="E5" i="61"/>
  <c r="E5" i="59" s="1"/>
  <c r="F5" i="61"/>
  <c r="F5" i="58" s="1"/>
  <c r="G5" i="61"/>
  <c r="G5" i="59" s="1"/>
  <c r="D6" i="61"/>
  <c r="E6" i="61"/>
  <c r="E7" i="61" s="1"/>
  <c r="F6" i="61"/>
  <c r="F7" i="61" s="1"/>
  <c r="G6" i="61"/>
  <c r="G7" i="61" s="1"/>
  <c r="G9" i="61" s="1"/>
  <c r="G32" i="61" s="1"/>
  <c r="F8" i="57" l="1"/>
  <c r="F9" i="57" s="1"/>
  <c r="F32" i="57" s="1"/>
  <c r="F9" i="43"/>
  <c r="F32" i="43" s="1"/>
  <c r="F8" i="43"/>
  <c r="G8" i="58"/>
  <c r="G9" i="58"/>
  <c r="G32" i="58" s="1"/>
  <c r="G8" i="57"/>
  <c r="G9" i="57" s="1"/>
  <c r="G32" i="57" s="1"/>
  <c r="F9" i="58"/>
  <c r="F32" i="58" s="1"/>
  <c r="F8" i="58"/>
  <c r="F8" i="59"/>
  <c r="F9" i="59"/>
  <c r="F32" i="59" s="1"/>
  <c r="G3" i="43"/>
  <c r="G4" i="43"/>
  <c r="F3" i="43"/>
  <c r="F5" i="57"/>
  <c r="G3" i="57"/>
  <c r="G5" i="58"/>
  <c r="F4" i="58"/>
  <c r="G4" i="59"/>
  <c r="F3" i="59"/>
  <c r="F4" i="57"/>
  <c r="G3" i="59"/>
  <c r="G5" i="43"/>
  <c r="F4" i="43"/>
  <c r="E8" i="58"/>
  <c r="E9" i="58"/>
  <c r="E32" i="58" s="1"/>
  <c r="E8" i="43"/>
  <c r="E9" i="43" s="1"/>
  <c r="E32" i="43" s="1"/>
  <c r="E8" i="57"/>
  <c r="E9" i="57"/>
  <c r="E32" i="57" s="1"/>
  <c r="E5" i="43"/>
  <c r="E4" i="43"/>
  <c r="E5" i="57"/>
  <c r="E4" i="57"/>
  <c r="E5" i="58"/>
  <c r="E4" i="58"/>
  <c r="D28" i="56"/>
  <c r="E28" i="56"/>
  <c r="F28" i="56"/>
  <c r="G28" i="56"/>
  <c r="C28" i="56"/>
  <c r="D4" i="53"/>
  <c r="E4" i="53"/>
  <c r="D5" i="53"/>
  <c r="E5" i="53"/>
  <c r="C2" i="59"/>
  <c r="C2" i="58"/>
  <c r="C2" i="57"/>
  <c r="C2" i="43"/>
  <c r="C3" i="61"/>
  <c r="D3" i="59"/>
  <c r="C4" i="61"/>
  <c r="C5" i="61"/>
  <c r="D5" i="59"/>
  <c r="C3" i="57" l="1"/>
  <c r="C3" i="59"/>
  <c r="C3" i="43"/>
  <c r="C3" i="58"/>
  <c r="D3" i="58"/>
  <c r="D3" i="57"/>
  <c r="D3" i="43"/>
  <c r="D4" i="43"/>
  <c r="D4" i="57"/>
  <c r="D4" i="58"/>
  <c r="D4" i="59"/>
  <c r="D5" i="57"/>
  <c r="D5" i="58"/>
  <c r="D5" i="43"/>
  <c r="C5" i="43"/>
  <c r="C5" i="59"/>
  <c r="C5" i="58"/>
  <c r="C5" i="57"/>
  <c r="C4" i="43"/>
  <c r="C4" i="57"/>
  <c r="C4" i="58"/>
  <c r="C4" i="59"/>
  <c r="C53" i="50"/>
  <c r="C40" i="50"/>
  <c r="C27" i="50"/>
  <c r="C14" i="50"/>
  <c r="H55" i="50"/>
  <c r="H56" i="50"/>
  <c r="H57" i="50"/>
  <c r="H59" i="50"/>
  <c r="H60" i="50"/>
  <c r="H61" i="50"/>
  <c r="H62" i="50"/>
  <c r="H42" i="50"/>
  <c r="H43" i="50"/>
  <c r="H44" i="50"/>
  <c r="H46" i="50"/>
  <c r="H47" i="50"/>
  <c r="H48" i="50"/>
  <c r="H49" i="50"/>
  <c r="H29" i="50"/>
  <c r="H30" i="50"/>
  <c r="H31" i="50"/>
  <c r="H33" i="50"/>
  <c r="H34" i="50"/>
  <c r="H35" i="50"/>
  <c r="H36" i="50"/>
  <c r="H16" i="50"/>
  <c r="H17" i="50"/>
  <c r="H18" i="50"/>
  <c r="H20" i="50"/>
  <c r="H21" i="50"/>
  <c r="H22" i="50"/>
  <c r="H23" i="50"/>
  <c r="I54" i="50"/>
  <c r="I41" i="50"/>
  <c r="I28" i="50"/>
  <c r="I15" i="50"/>
  <c r="I13" i="50"/>
  <c r="H7" i="50"/>
  <c r="H58" i="50" s="1"/>
  <c r="I3" i="50"/>
  <c r="E4" i="50" s="1"/>
  <c r="I1" i="50"/>
  <c r="H24" i="53"/>
  <c r="G24" i="53"/>
  <c r="F24" i="53"/>
  <c r="E24" i="53"/>
  <c r="E25" i="53" s="1"/>
  <c r="D24" i="53"/>
  <c r="D25" i="53" s="1"/>
  <c r="F18" i="55"/>
  <c r="F19" i="55" s="1"/>
  <c r="F20" i="55" s="1"/>
  <c r="G16" i="55"/>
  <c r="F16" i="55"/>
  <c r="E16" i="55"/>
  <c r="D16" i="55"/>
  <c r="C16" i="55"/>
  <c r="H15" i="55"/>
  <c r="H14" i="55"/>
  <c r="H13" i="55"/>
  <c r="H12" i="55"/>
  <c r="H11" i="55"/>
  <c r="H10" i="55"/>
  <c r="H9" i="55"/>
  <c r="H8" i="55"/>
  <c r="K7" i="55"/>
  <c r="J7" i="55"/>
  <c r="J8" i="55" s="1"/>
  <c r="G22" i="51"/>
  <c r="B9" i="51"/>
  <c r="B27" i="51" s="1"/>
  <c r="D27" i="51" s="1"/>
  <c r="H21" i="61" s="1"/>
  <c r="B8" i="51"/>
  <c r="B26" i="51" s="1"/>
  <c r="D26" i="51" s="1"/>
  <c r="H18" i="61" s="1"/>
  <c r="B7" i="51"/>
  <c r="B5" i="51"/>
  <c r="D31" i="59"/>
  <c r="C31" i="59"/>
  <c r="D6" i="59"/>
  <c r="C6" i="59"/>
  <c r="H6" i="59" s="1"/>
  <c r="D31" i="58"/>
  <c r="C31" i="58"/>
  <c r="D6" i="58"/>
  <c r="C6" i="58"/>
  <c r="D31" i="57"/>
  <c r="C31" i="57"/>
  <c r="D6" i="57"/>
  <c r="C6" i="57"/>
  <c r="H6" i="57" s="1"/>
  <c r="C31" i="43"/>
  <c r="D6" i="43"/>
  <c r="C6" i="43"/>
  <c r="H6" i="43" s="1"/>
  <c r="D31" i="61"/>
  <c r="C31" i="61"/>
  <c r="C6" i="61"/>
  <c r="H61" i="56"/>
  <c r="D61" i="56"/>
  <c r="H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M15" i="36" s="1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M12" i="36" s="1"/>
  <c r="L11" i="36"/>
  <c r="K11" i="36"/>
  <c r="J11" i="36"/>
  <c r="J10" i="36" s="1"/>
  <c r="I11" i="36"/>
  <c r="H11" i="36"/>
  <c r="G11" i="36"/>
  <c r="G10" i="36" s="1"/>
  <c r="F11" i="36"/>
  <c r="E11" i="36"/>
  <c r="D11" i="36"/>
  <c r="D10" i="36" s="1"/>
  <c r="D17" i="36" s="1"/>
  <c r="D19" i="36" s="1"/>
  <c r="C11" i="36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C18" i="55" l="1"/>
  <c r="C19" i="55" s="1"/>
  <c r="H6" i="61"/>
  <c r="C4" i="56" s="1"/>
  <c r="H6" i="58"/>
  <c r="D33" i="43"/>
  <c r="E26" i="53"/>
  <c r="E27" i="53" s="1"/>
  <c r="E28" i="53" s="1"/>
  <c r="G18" i="55"/>
  <c r="G19" i="55" s="1"/>
  <c r="G20" i="55" s="1"/>
  <c r="G33" i="61"/>
  <c r="H25" i="53"/>
  <c r="E33" i="61"/>
  <c r="F25" i="53"/>
  <c r="C33" i="43"/>
  <c r="D26" i="53"/>
  <c r="D27" i="53" s="1"/>
  <c r="D28" i="53" s="1"/>
  <c r="G25" i="53"/>
  <c r="F33" i="61"/>
  <c r="E57" i="50"/>
  <c r="G37" i="61" s="1"/>
  <c r="E60" i="50"/>
  <c r="G44" i="61" s="1"/>
  <c r="E55" i="50"/>
  <c r="G36" i="61" s="1"/>
  <c r="E59" i="50"/>
  <c r="G45" i="61" s="1"/>
  <c r="E56" i="50"/>
  <c r="G43" i="61" s="1"/>
  <c r="E61" i="50"/>
  <c r="G38" i="61" s="1"/>
  <c r="E58" i="50"/>
  <c r="E62" i="50"/>
  <c r="G47" i="61" s="1"/>
  <c r="E30" i="50"/>
  <c r="E43" i="61" s="1"/>
  <c r="E31" i="50"/>
  <c r="E37" i="61" s="1"/>
  <c r="E34" i="50"/>
  <c r="E44" i="61" s="1"/>
  <c r="E29" i="50"/>
  <c r="E36" i="61" s="1"/>
  <c r="E35" i="50"/>
  <c r="E38" i="61" s="1"/>
  <c r="E33" i="50"/>
  <c r="E45" i="61" s="1"/>
  <c r="E36" i="50"/>
  <c r="E47" i="61" s="1"/>
  <c r="E48" i="50"/>
  <c r="F38" i="61" s="1"/>
  <c r="E43" i="50"/>
  <c r="F43" i="61" s="1"/>
  <c r="E47" i="50"/>
  <c r="F44" i="61" s="1"/>
  <c r="E44" i="50"/>
  <c r="F37" i="61" s="1"/>
  <c r="E49" i="50"/>
  <c r="F47" i="61" s="1"/>
  <c r="E42" i="50"/>
  <c r="F36" i="61" s="1"/>
  <c r="E46" i="50"/>
  <c r="F45" i="61" s="1"/>
  <c r="D33" i="61"/>
  <c r="D10" i="61" s="1"/>
  <c r="J9" i="55"/>
  <c r="K8" i="55"/>
  <c r="E6" i="50"/>
  <c r="E5" i="50"/>
  <c r="J17" i="36"/>
  <c r="J19" i="36" s="1"/>
  <c r="E10" i="36"/>
  <c r="H10" i="36"/>
  <c r="H17" i="36" s="1"/>
  <c r="H19" i="36" s="1"/>
  <c r="M11" i="36"/>
  <c r="F10" i="36"/>
  <c r="F17" i="36" s="1"/>
  <c r="F19" i="36" s="1"/>
  <c r="I10" i="36"/>
  <c r="I17" i="36" s="1"/>
  <c r="I19" i="36" s="1"/>
  <c r="L10" i="36"/>
  <c r="L17" i="36" s="1"/>
  <c r="L19" i="36" s="1"/>
  <c r="M13" i="36"/>
  <c r="E20" i="50"/>
  <c r="D45" i="61" s="1"/>
  <c r="H45" i="50"/>
  <c r="E45" i="50" s="1"/>
  <c r="H32" i="50"/>
  <c r="E32" i="50" s="1"/>
  <c r="H19" i="50"/>
  <c r="E19" i="50" s="1"/>
  <c r="E22" i="50"/>
  <c r="D38" i="61" s="1"/>
  <c r="D18" i="55"/>
  <c r="D19" i="55" s="1"/>
  <c r="D20" i="55" s="1"/>
  <c r="F4" i="56"/>
  <c r="H16" i="55"/>
  <c r="C33" i="57"/>
  <c r="C33" i="61"/>
  <c r="M14" i="36"/>
  <c r="G17" i="36"/>
  <c r="G19" i="36" s="1"/>
  <c r="M7" i="36"/>
  <c r="K10" i="36"/>
  <c r="E17" i="36"/>
  <c r="E19" i="36" s="1"/>
  <c r="K17" i="36"/>
  <c r="K19" i="36" s="1"/>
  <c r="M5" i="36"/>
  <c r="C10" i="36"/>
  <c r="D33" i="57"/>
  <c r="D10" i="57" s="1"/>
  <c r="C33" i="59"/>
  <c r="C33" i="58"/>
  <c r="C10" i="58" s="1"/>
  <c r="E18" i="55"/>
  <c r="E19" i="55" s="1"/>
  <c r="E20" i="55" s="1"/>
  <c r="E11" i="50"/>
  <c r="E8" i="50"/>
  <c r="C45" i="61" s="1"/>
  <c r="G4" i="56"/>
  <c r="C37" i="61"/>
  <c r="C20" i="55"/>
  <c r="E10" i="50"/>
  <c r="C38" i="61" s="1"/>
  <c r="E7" i="50"/>
  <c r="E16" i="50"/>
  <c r="E21" i="50"/>
  <c r="E17" i="50"/>
  <c r="E18" i="50"/>
  <c r="E9" i="50"/>
  <c r="E23" i="50"/>
  <c r="D37" i="61"/>
  <c r="C58" i="56"/>
  <c r="L26" i="51"/>
  <c r="C57" i="56"/>
  <c r="B10" i="51"/>
  <c r="C7" i="61"/>
  <c r="D7" i="61"/>
  <c r="D9" i="61" s="1"/>
  <c r="D32" i="61" s="1"/>
  <c r="D34" i="61" s="1"/>
  <c r="C10" i="61"/>
  <c r="D7" i="59"/>
  <c r="C7" i="59"/>
  <c r="H7" i="59" s="1"/>
  <c r="C7" i="58"/>
  <c r="D7" i="58"/>
  <c r="E4" i="56"/>
  <c r="C7" i="57"/>
  <c r="D7" i="57"/>
  <c r="D4" i="56"/>
  <c r="D7" i="43"/>
  <c r="D10" i="43"/>
  <c r="C7" i="43"/>
  <c r="H7" i="43" s="1"/>
  <c r="H4" i="56" l="1"/>
  <c r="H7" i="57"/>
  <c r="H7" i="58"/>
  <c r="H7" i="61"/>
  <c r="D34" i="43"/>
  <c r="C10" i="43"/>
  <c r="E10" i="61"/>
  <c r="E34" i="61"/>
  <c r="E40" i="61" s="1"/>
  <c r="F10" i="61"/>
  <c r="F34" i="61"/>
  <c r="G33" i="43"/>
  <c r="H26" i="53"/>
  <c r="G33" i="57"/>
  <c r="G26" i="53"/>
  <c r="F33" i="57"/>
  <c r="F33" i="43"/>
  <c r="E33" i="57"/>
  <c r="F26" i="53"/>
  <c r="E33" i="43"/>
  <c r="G34" i="61"/>
  <c r="G40" i="61" s="1"/>
  <c r="G10" i="61"/>
  <c r="F45" i="57"/>
  <c r="F20" i="57" s="1"/>
  <c r="F45" i="59"/>
  <c r="F20" i="59" s="1"/>
  <c r="F45" i="43"/>
  <c r="F20" i="43" s="1"/>
  <c r="F45" i="58"/>
  <c r="F20" i="58" s="1"/>
  <c r="F20" i="61"/>
  <c r="F37" i="59"/>
  <c r="F12" i="59" s="1"/>
  <c r="F37" i="58"/>
  <c r="F12" i="58" s="1"/>
  <c r="F12" i="61"/>
  <c r="F37" i="57"/>
  <c r="F12" i="57" s="1"/>
  <c r="F37" i="43"/>
  <c r="F12" i="43" s="1"/>
  <c r="F13" i="61"/>
  <c r="F38" i="59"/>
  <c r="F13" i="59" s="1"/>
  <c r="F38" i="58"/>
  <c r="F13" i="58" s="1"/>
  <c r="F38" i="57"/>
  <c r="F13" i="57" s="1"/>
  <c r="F38" i="43"/>
  <c r="F13" i="43" s="1"/>
  <c r="E45" i="59"/>
  <c r="E20" i="59" s="1"/>
  <c r="E45" i="43"/>
  <c r="E20" i="43" s="1"/>
  <c r="E45" i="58"/>
  <c r="E20" i="58" s="1"/>
  <c r="E20" i="61"/>
  <c r="E45" i="57"/>
  <c r="E20" i="57" s="1"/>
  <c r="E36" i="57"/>
  <c r="E36" i="59"/>
  <c r="E36" i="58"/>
  <c r="E11" i="61"/>
  <c r="E36" i="43"/>
  <c r="E43" i="59"/>
  <c r="E43" i="43"/>
  <c r="E43" i="58"/>
  <c r="E43" i="57"/>
  <c r="G13" i="61"/>
  <c r="G38" i="59"/>
  <c r="G13" i="59" s="1"/>
  <c r="G38" i="58"/>
  <c r="G13" i="58" s="1"/>
  <c r="G38" i="43"/>
  <c r="G13" i="43" s="1"/>
  <c r="G38" i="57"/>
  <c r="G36" i="59"/>
  <c r="G36" i="58"/>
  <c r="G36" i="43"/>
  <c r="G11" i="61"/>
  <c r="G36" i="57"/>
  <c r="G11" i="57" s="1"/>
  <c r="H19" i="55"/>
  <c r="H20" i="55" s="1"/>
  <c r="F36" i="57"/>
  <c r="F36" i="43"/>
  <c r="F36" i="59"/>
  <c r="F36" i="58"/>
  <c r="F11" i="61"/>
  <c r="F40" i="61"/>
  <c r="F44" i="57"/>
  <c r="F19" i="57" s="1"/>
  <c r="F44" i="58"/>
  <c r="F19" i="58" s="1"/>
  <c r="F44" i="59"/>
  <c r="F19" i="59" s="1"/>
  <c r="F44" i="43"/>
  <c r="F19" i="43" s="1"/>
  <c r="F19" i="61"/>
  <c r="E38" i="57"/>
  <c r="E13" i="57" s="1"/>
  <c r="E38" i="43"/>
  <c r="E13" i="43" s="1"/>
  <c r="E13" i="61"/>
  <c r="E38" i="59"/>
  <c r="E13" i="59" s="1"/>
  <c r="E38" i="58"/>
  <c r="E13" i="58" s="1"/>
  <c r="E44" i="59"/>
  <c r="E19" i="59" s="1"/>
  <c r="E44" i="43"/>
  <c r="E19" i="43" s="1"/>
  <c r="E44" i="57"/>
  <c r="E19" i="57" s="1"/>
  <c r="E19" i="61"/>
  <c r="E44" i="58"/>
  <c r="E19" i="58" s="1"/>
  <c r="G47" i="58"/>
  <c r="G22" i="58" s="1"/>
  <c r="G47" i="57"/>
  <c r="G22" i="57" s="1"/>
  <c r="G47" i="59"/>
  <c r="G22" i="59" s="1"/>
  <c r="G47" i="43"/>
  <c r="G22" i="43" s="1"/>
  <c r="G22" i="61"/>
  <c r="G43" i="58"/>
  <c r="G43" i="59"/>
  <c r="G43" i="43"/>
  <c r="G43" i="57"/>
  <c r="G44" i="58"/>
  <c r="G19" i="58" s="1"/>
  <c r="G44" i="59"/>
  <c r="G19" i="59" s="1"/>
  <c r="G44" i="43"/>
  <c r="G19" i="43" s="1"/>
  <c r="G19" i="61"/>
  <c r="G44" i="57"/>
  <c r="G19" i="57" s="1"/>
  <c r="F47" i="59"/>
  <c r="F22" i="59" s="1"/>
  <c r="F47" i="43"/>
  <c r="F22" i="43" s="1"/>
  <c r="F47" i="58"/>
  <c r="F22" i="58" s="1"/>
  <c r="F22" i="61"/>
  <c r="F47" i="57"/>
  <c r="F22" i="57" s="1"/>
  <c r="F43" i="57"/>
  <c r="F43" i="59"/>
  <c r="F43" i="43"/>
  <c r="F43" i="58"/>
  <c r="E22" i="61"/>
  <c r="E47" i="59"/>
  <c r="E22" i="59" s="1"/>
  <c r="E47" i="57"/>
  <c r="E22" i="57" s="1"/>
  <c r="E47" i="43"/>
  <c r="E22" i="43" s="1"/>
  <c r="E47" i="58"/>
  <c r="E22" i="58" s="1"/>
  <c r="E37" i="57"/>
  <c r="E12" i="57" s="1"/>
  <c r="E37" i="59"/>
  <c r="E12" i="59" s="1"/>
  <c r="E37" i="58"/>
  <c r="E12" i="58" s="1"/>
  <c r="E37" i="43"/>
  <c r="E12" i="43" s="1"/>
  <c r="E12" i="61"/>
  <c r="G45" i="58"/>
  <c r="G20" i="58" s="1"/>
  <c r="G45" i="57"/>
  <c r="G20" i="57" s="1"/>
  <c r="G20" i="61"/>
  <c r="G45" i="59"/>
  <c r="G20" i="59" s="1"/>
  <c r="G45" i="43"/>
  <c r="G20" i="43" s="1"/>
  <c r="G37" i="59"/>
  <c r="G12" i="59" s="1"/>
  <c r="G37" i="58"/>
  <c r="G12" i="58" s="1"/>
  <c r="G37" i="43"/>
  <c r="G12" i="43" s="1"/>
  <c r="G37" i="57"/>
  <c r="G12" i="57" s="1"/>
  <c r="G12" i="61"/>
  <c r="J10" i="55"/>
  <c r="K9" i="55"/>
  <c r="C13" i="61"/>
  <c r="C38" i="59"/>
  <c r="C13" i="59" s="1"/>
  <c r="C38" i="58"/>
  <c r="C13" i="58" s="1"/>
  <c r="C38" i="57"/>
  <c r="C13" i="57" s="1"/>
  <c r="C38" i="43"/>
  <c r="C13" i="43" s="1"/>
  <c r="C12" i="61"/>
  <c r="C37" i="59"/>
  <c r="C12" i="59" s="1"/>
  <c r="C37" i="58"/>
  <c r="C12" i="58" s="1"/>
  <c r="C37" i="57"/>
  <c r="C12" i="57" s="1"/>
  <c r="C37" i="43"/>
  <c r="C12" i="43" s="1"/>
  <c r="D13" i="61"/>
  <c r="D38" i="59"/>
  <c r="D13" i="59" s="1"/>
  <c r="D38" i="58"/>
  <c r="D13" i="58" s="1"/>
  <c r="D38" i="57"/>
  <c r="D13" i="57" s="1"/>
  <c r="D38" i="43"/>
  <c r="D13" i="43" s="1"/>
  <c r="D12" i="61"/>
  <c r="D37" i="59"/>
  <c r="D12" i="59" s="1"/>
  <c r="D37" i="58"/>
  <c r="D12" i="58" s="1"/>
  <c r="D37" i="57"/>
  <c r="D12" i="57" s="1"/>
  <c r="D37" i="43"/>
  <c r="D12" i="43" s="1"/>
  <c r="C20" i="61"/>
  <c r="C45" i="59"/>
  <c r="C20" i="59" s="1"/>
  <c r="C45" i="58"/>
  <c r="C20" i="58" s="1"/>
  <c r="C45" i="57"/>
  <c r="C20" i="57" s="1"/>
  <c r="C45" i="43"/>
  <c r="C20" i="43" s="1"/>
  <c r="D20" i="61"/>
  <c r="D45" i="59"/>
  <c r="D20" i="59" s="1"/>
  <c r="D45" i="58"/>
  <c r="D20" i="58" s="1"/>
  <c r="D45" i="57"/>
  <c r="D20" i="57" s="1"/>
  <c r="D45" i="43"/>
  <c r="D20" i="43" s="1"/>
  <c r="H18" i="55"/>
  <c r="C10" i="57"/>
  <c r="C10" i="59"/>
  <c r="C17" i="36"/>
  <c r="M10" i="36"/>
  <c r="D33" i="58"/>
  <c r="D33" i="59"/>
  <c r="C47" i="61"/>
  <c r="D47" i="61"/>
  <c r="D43" i="61"/>
  <c r="C44" i="61"/>
  <c r="D44" i="61"/>
  <c r="C43" i="61"/>
  <c r="D36" i="61"/>
  <c r="C56" i="56"/>
  <c r="E26" i="51"/>
  <c r="H18" i="43" s="1"/>
  <c r="D28" i="51"/>
  <c r="E27" i="51"/>
  <c r="H21" i="43" s="1"/>
  <c r="C5" i="56"/>
  <c r="C9" i="61"/>
  <c r="G5" i="56"/>
  <c r="C8" i="58"/>
  <c r="H8" i="58" s="1"/>
  <c r="D8" i="58"/>
  <c r="D9" i="58" s="1"/>
  <c r="D32" i="58" s="1"/>
  <c r="E5" i="56"/>
  <c r="C8" i="57"/>
  <c r="D8" i="57"/>
  <c r="D9" i="57" s="1"/>
  <c r="D32" i="57" s="1"/>
  <c r="D34" i="57" s="1"/>
  <c r="C8" i="43"/>
  <c r="H8" i="43" s="1"/>
  <c r="D5" i="56"/>
  <c r="D8" i="43"/>
  <c r="D9" i="43" s="1"/>
  <c r="D32" i="43" s="1"/>
  <c r="H9" i="58" l="1"/>
  <c r="C9" i="57"/>
  <c r="H8" i="57"/>
  <c r="E6" i="56" s="1"/>
  <c r="F5" i="56"/>
  <c r="C32" i="61"/>
  <c r="C34" i="61" s="1"/>
  <c r="H9" i="61"/>
  <c r="C7" i="56" s="1"/>
  <c r="E18" i="43"/>
  <c r="F18" i="43"/>
  <c r="F17" i="43" s="1"/>
  <c r="G18" i="43"/>
  <c r="G17" i="43" s="1"/>
  <c r="E21" i="43"/>
  <c r="E46" i="43" s="1"/>
  <c r="F21" i="43"/>
  <c r="F46" i="43" s="1"/>
  <c r="G21" i="43"/>
  <c r="G46" i="43" s="1"/>
  <c r="E17" i="43"/>
  <c r="H20" i="59"/>
  <c r="G18" i="56" s="1"/>
  <c r="G44" i="56" s="1"/>
  <c r="H10" i="61"/>
  <c r="C8" i="56" s="1"/>
  <c r="C31" i="56" s="1"/>
  <c r="F27" i="53"/>
  <c r="F28" i="53" s="1"/>
  <c r="E33" i="58"/>
  <c r="E33" i="59"/>
  <c r="F10" i="57"/>
  <c r="F34" i="57"/>
  <c r="G33" i="59"/>
  <c r="H27" i="53"/>
  <c r="H28" i="53" s="1"/>
  <c r="G33" i="58"/>
  <c r="H13" i="61"/>
  <c r="C11" i="56" s="1"/>
  <c r="C37" i="56" s="1"/>
  <c r="E34" i="57"/>
  <c r="E40" i="57" s="1"/>
  <c r="E10" i="57"/>
  <c r="G27" i="53"/>
  <c r="G28" i="53" s="1"/>
  <c r="F33" i="58"/>
  <c r="F33" i="59"/>
  <c r="G10" i="43"/>
  <c r="G34" i="43"/>
  <c r="G40" i="43" s="1"/>
  <c r="H12" i="57"/>
  <c r="E10" i="56" s="1"/>
  <c r="E36" i="56" s="1"/>
  <c r="H12" i="59"/>
  <c r="G10" i="56" s="1"/>
  <c r="G36" i="56" s="1"/>
  <c r="H13" i="43"/>
  <c r="E10" i="43"/>
  <c r="E34" i="43"/>
  <c r="E40" i="43" s="1"/>
  <c r="F10" i="43"/>
  <c r="F34" i="43"/>
  <c r="F40" i="43" s="1"/>
  <c r="G10" i="57"/>
  <c r="G34" i="57"/>
  <c r="H12" i="58"/>
  <c r="F11" i="43"/>
  <c r="F14" i="43" s="1"/>
  <c r="F15" i="43" s="1"/>
  <c r="F16" i="43" s="1"/>
  <c r="G14" i="61"/>
  <c r="G15" i="61" s="1"/>
  <c r="G16" i="61" s="1"/>
  <c r="G11" i="59"/>
  <c r="G14" i="59" s="1"/>
  <c r="E11" i="58"/>
  <c r="F14" i="61"/>
  <c r="F15" i="61" s="1"/>
  <c r="F16" i="61" s="1"/>
  <c r="E14" i="61"/>
  <c r="E15" i="61" s="1"/>
  <c r="E16" i="61" s="1"/>
  <c r="H12" i="61"/>
  <c r="C10" i="56" s="1"/>
  <c r="C36" i="56" s="1"/>
  <c r="H13" i="58"/>
  <c r="F11" i="58"/>
  <c r="F14" i="58" s="1"/>
  <c r="F11" i="57"/>
  <c r="F40" i="57"/>
  <c r="G11" i="43"/>
  <c r="G14" i="43" s="1"/>
  <c r="G15" i="43" s="1"/>
  <c r="G16" i="43" s="1"/>
  <c r="G40" i="57"/>
  <c r="G13" i="57"/>
  <c r="H13" i="57" s="1"/>
  <c r="E11" i="56" s="1"/>
  <c r="E37" i="56" s="1"/>
  <c r="E11" i="43"/>
  <c r="E11" i="59"/>
  <c r="H20" i="61"/>
  <c r="C18" i="56" s="1"/>
  <c r="C44" i="56" s="1"/>
  <c r="H20" i="58"/>
  <c r="F18" i="56" s="1"/>
  <c r="F44" i="56" s="1"/>
  <c r="H20" i="57"/>
  <c r="E18" i="56" s="1"/>
  <c r="E44" i="56" s="1"/>
  <c r="H12" i="43"/>
  <c r="D10" i="56" s="1"/>
  <c r="D36" i="56" s="1"/>
  <c r="H13" i="59"/>
  <c r="G11" i="56" s="1"/>
  <c r="G37" i="56" s="1"/>
  <c r="F11" i="59"/>
  <c r="F14" i="59" s="1"/>
  <c r="G11" i="58"/>
  <c r="G14" i="58" s="1"/>
  <c r="E11" i="57"/>
  <c r="E14" i="57" s="1"/>
  <c r="E15" i="57" s="1"/>
  <c r="H20" i="43"/>
  <c r="D18" i="56" s="1"/>
  <c r="D44" i="56" s="1"/>
  <c r="F11" i="56"/>
  <c r="F37" i="56" s="1"/>
  <c r="D6" i="56"/>
  <c r="D7" i="56" s="1"/>
  <c r="J11" i="55"/>
  <c r="K10" i="55"/>
  <c r="D11" i="56"/>
  <c r="D37" i="56" s="1"/>
  <c r="D11" i="61"/>
  <c r="D14" i="61" s="1"/>
  <c r="D15" i="61" s="1"/>
  <c r="D16" i="61" s="1"/>
  <c r="D36" i="59"/>
  <c r="D36" i="58"/>
  <c r="D11" i="58" s="1"/>
  <c r="D14" i="58" s="1"/>
  <c r="D36" i="57"/>
  <c r="D11" i="57" s="1"/>
  <c r="D14" i="57" s="1"/>
  <c r="D15" i="57" s="1"/>
  <c r="D16" i="57" s="1"/>
  <c r="D36" i="43"/>
  <c r="D11" i="43" s="1"/>
  <c r="D14" i="43" s="1"/>
  <c r="D15" i="43" s="1"/>
  <c r="D16" i="43" s="1"/>
  <c r="C43" i="58"/>
  <c r="C43" i="57"/>
  <c r="C43" i="59"/>
  <c r="C43" i="43"/>
  <c r="D43" i="59"/>
  <c r="D43" i="43"/>
  <c r="D43" i="58"/>
  <c r="D43" i="57"/>
  <c r="D19" i="61"/>
  <c r="D44" i="58"/>
  <c r="D19" i="58" s="1"/>
  <c r="D44" i="57"/>
  <c r="D19" i="57" s="1"/>
  <c r="D44" i="59"/>
  <c r="D19" i="59" s="1"/>
  <c r="D44" i="43"/>
  <c r="D19" i="43" s="1"/>
  <c r="C19" i="61"/>
  <c r="H19" i="61" s="1"/>
  <c r="C44" i="57"/>
  <c r="C19" i="57" s="1"/>
  <c r="C44" i="59"/>
  <c r="C19" i="59" s="1"/>
  <c r="H19" i="59" s="1"/>
  <c r="C44" i="43"/>
  <c r="C19" i="43" s="1"/>
  <c r="H19" i="43" s="1"/>
  <c r="C44" i="58"/>
  <c r="C19" i="58" s="1"/>
  <c r="C22" i="61"/>
  <c r="H22" i="61" s="1"/>
  <c r="C47" i="59"/>
  <c r="C22" i="59" s="1"/>
  <c r="H22" i="59" s="1"/>
  <c r="C47" i="57"/>
  <c r="C22" i="57" s="1"/>
  <c r="C47" i="58"/>
  <c r="C22" i="58" s="1"/>
  <c r="C47" i="43"/>
  <c r="C22" i="43" s="1"/>
  <c r="D22" i="61"/>
  <c r="D47" i="59"/>
  <c r="D22" i="59" s="1"/>
  <c r="D47" i="43"/>
  <c r="D22" i="43" s="1"/>
  <c r="D47" i="57"/>
  <c r="D22" i="57" s="1"/>
  <c r="D47" i="58"/>
  <c r="D22" i="58" s="1"/>
  <c r="E23" i="36"/>
  <c r="C18" i="36"/>
  <c r="D18" i="36" s="1"/>
  <c r="E18" i="36" s="1"/>
  <c r="F18" i="36" s="1"/>
  <c r="G18" i="36" s="1"/>
  <c r="H18" i="36" s="1"/>
  <c r="M17" i="36"/>
  <c r="E22" i="36"/>
  <c r="C19" i="36"/>
  <c r="D34" i="58"/>
  <c r="D40" i="58" s="1"/>
  <c r="D10" i="58"/>
  <c r="D10" i="59"/>
  <c r="F6" i="56"/>
  <c r="D40" i="61"/>
  <c r="D18" i="43"/>
  <c r="C18" i="43"/>
  <c r="F26" i="51"/>
  <c r="H18" i="57" s="1"/>
  <c r="F27" i="51"/>
  <c r="H21" i="57" s="1"/>
  <c r="E28" i="51"/>
  <c r="C21" i="43"/>
  <c r="D21" i="43"/>
  <c r="D19" i="56"/>
  <c r="D45" i="56" s="1"/>
  <c r="C9" i="58"/>
  <c r="C32" i="58" s="1"/>
  <c r="C34" i="58" s="1"/>
  <c r="H5" i="56"/>
  <c r="C9" i="43"/>
  <c r="H10" i="57" l="1"/>
  <c r="H10" i="43"/>
  <c r="D8" i="56" s="1"/>
  <c r="D31" i="56" s="1"/>
  <c r="H9" i="43"/>
  <c r="C32" i="43"/>
  <c r="C34" i="43" s="1"/>
  <c r="H22" i="43"/>
  <c r="H22" i="58"/>
  <c r="H9" i="57"/>
  <c r="E7" i="56" s="1"/>
  <c r="E50" i="56" s="1"/>
  <c r="C32" i="57"/>
  <c r="C34" i="57" s="1"/>
  <c r="H22" i="57"/>
  <c r="E20" i="56" s="1"/>
  <c r="G48" i="43"/>
  <c r="F23" i="43"/>
  <c r="F24" i="43" s="1"/>
  <c r="F25" i="43" s="1"/>
  <c r="F26" i="43" s="1"/>
  <c r="F27" i="43" s="1"/>
  <c r="G23" i="43"/>
  <c r="G24" i="43" s="1"/>
  <c r="G25" i="43" s="1"/>
  <c r="G26" i="43" s="1"/>
  <c r="G27" i="43" s="1"/>
  <c r="F48" i="43"/>
  <c r="E18" i="57"/>
  <c r="E17" i="57" s="1"/>
  <c r="G18" i="57"/>
  <c r="G17" i="57" s="1"/>
  <c r="F18" i="57"/>
  <c r="F17" i="57" s="1"/>
  <c r="E23" i="43"/>
  <c r="E48" i="43"/>
  <c r="F21" i="57"/>
  <c r="G21" i="57"/>
  <c r="E21" i="57"/>
  <c r="C20" i="56"/>
  <c r="C46" i="56" s="1"/>
  <c r="H19" i="57"/>
  <c r="E17" i="56" s="1"/>
  <c r="E43" i="56" s="1"/>
  <c r="D17" i="43"/>
  <c r="H19" i="58"/>
  <c r="F17" i="56" s="1"/>
  <c r="F43" i="56" s="1"/>
  <c r="G17" i="56"/>
  <c r="G43" i="56" s="1"/>
  <c r="D40" i="43"/>
  <c r="G10" i="58"/>
  <c r="G15" i="58" s="1"/>
  <c r="G34" i="58"/>
  <c r="G40" i="58" s="1"/>
  <c r="E34" i="58"/>
  <c r="E40" i="58" s="1"/>
  <c r="E10" i="58"/>
  <c r="F34" i="58"/>
  <c r="F40" i="58" s="1"/>
  <c r="F10" i="58"/>
  <c r="F15" i="58" s="1"/>
  <c r="F16" i="58" s="1"/>
  <c r="G34" i="59"/>
  <c r="G40" i="59" s="1"/>
  <c r="G10" i="59"/>
  <c r="G15" i="59" s="1"/>
  <c r="E10" i="59"/>
  <c r="E34" i="59"/>
  <c r="E40" i="59" s="1"/>
  <c r="C17" i="56"/>
  <c r="C43" i="56" s="1"/>
  <c r="F10" i="59"/>
  <c r="F15" i="59" s="1"/>
  <c r="F34" i="59"/>
  <c r="F40" i="59" s="1"/>
  <c r="E14" i="59"/>
  <c r="D20" i="56"/>
  <c r="D46" i="56" s="1"/>
  <c r="D17" i="56"/>
  <c r="D43" i="56" s="1"/>
  <c r="G14" i="57"/>
  <c r="G15" i="57" s="1"/>
  <c r="G16" i="57" s="1"/>
  <c r="E8" i="56"/>
  <c r="E31" i="56" s="1"/>
  <c r="E14" i="58"/>
  <c r="F10" i="56"/>
  <c r="F36" i="56" s="1"/>
  <c r="E16" i="57"/>
  <c r="E14" i="43"/>
  <c r="E15" i="43" s="1"/>
  <c r="F14" i="57"/>
  <c r="F15" i="57" s="1"/>
  <c r="F16" i="57" s="1"/>
  <c r="H18" i="56"/>
  <c r="H44" i="56" s="1"/>
  <c r="D8" i="59"/>
  <c r="D9" i="59" s="1"/>
  <c r="D32" i="59" s="1"/>
  <c r="D34" i="59" s="1"/>
  <c r="C8" i="59"/>
  <c r="J12" i="55"/>
  <c r="K12" i="55" s="1"/>
  <c r="K11" i="55"/>
  <c r="D40" i="57"/>
  <c r="D40" i="59"/>
  <c r="G20" i="56"/>
  <c r="G46" i="56" s="1"/>
  <c r="C17" i="43"/>
  <c r="H17" i="43" s="1"/>
  <c r="H23" i="43" s="1"/>
  <c r="D11" i="59"/>
  <c r="D14" i="59" s="1"/>
  <c r="D15" i="59" s="1"/>
  <c r="D16" i="59" s="1"/>
  <c r="F20" i="56"/>
  <c r="F46" i="56" s="1"/>
  <c r="H11" i="56"/>
  <c r="H37" i="56" s="1"/>
  <c r="C20" i="36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D15" i="58"/>
  <c r="D16" i="58" s="1"/>
  <c r="G26" i="51"/>
  <c r="C18" i="57"/>
  <c r="C17" i="57" s="1"/>
  <c r="D18" i="57"/>
  <c r="D17" i="57" s="1"/>
  <c r="D46" i="43"/>
  <c r="D23" i="43"/>
  <c r="D24" i="43" s="1"/>
  <c r="C46" i="43"/>
  <c r="E19" i="56"/>
  <c r="E45" i="56" s="1"/>
  <c r="D21" i="57"/>
  <c r="C21" i="57"/>
  <c r="G27" i="51"/>
  <c r="H21" i="58" s="1"/>
  <c r="F28" i="51"/>
  <c r="C52" i="56"/>
  <c r="C30" i="56"/>
  <c r="C32" i="56" s="1"/>
  <c r="C33" i="56" s="1"/>
  <c r="C50" i="56"/>
  <c r="F7" i="56"/>
  <c r="E30" i="56"/>
  <c r="D30" i="56"/>
  <c r="D51" i="56"/>
  <c r="D50" i="56"/>
  <c r="D48" i="56"/>
  <c r="D32" i="56" l="1"/>
  <c r="D33" i="56" s="1"/>
  <c r="E52" i="56"/>
  <c r="E32" i="56"/>
  <c r="E33" i="56" s="1"/>
  <c r="H10" i="58"/>
  <c r="F8" i="56" s="1"/>
  <c r="H8" i="59"/>
  <c r="H9" i="59" s="1"/>
  <c r="E15" i="59"/>
  <c r="E16" i="59" s="1"/>
  <c r="G21" i="58"/>
  <c r="E21" i="58"/>
  <c r="F21" i="58"/>
  <c r="H26" i="51"/>
  <c r="H18" i="59" s="1"/>
  <c r="H18" i="58"/>
  <c r="D18" i="58" s="1"/>
  <c r="D17" i="58" s="1"/>
  <c r="G46" i="57"/>
  <c r="G48" i="57" s="1"/>
  <c r="G23" i="57"/>
  <c r="F46" i="57"/>
  <c r="F48" i="57" s="1"/>
  <c r="F23" i="57"/>
  <c r="E46" i="57"/>
  <c r="E48" i="57" s="1"/>
  <c r="E23" i="57"/>
  <c r="E24" i="57" s="1"/>
  <c r="E25" i="57" s="1"/>
  <c r="E26" i="57" s="1"/>
  <c r="E27" i="57" s="1"/>
  <c r="C48" i="56"/>
  <c r="D48" i="43"/>
  <c r="H17" i="57"/>
  <c r="D52" i="56"/>
  <c r="G16" i="59"/>
  <c r="F16" i="59"/>
  <c r="G16" i="58"/>
  <c r="H10" i="59"/>
  <c r="G8" i="56" s="1"/>
  <c r="G31" i="56" s="1"/>
  <c r="E15" i="58"/>
  <c r="E16" i="58" s="1"/>
  <c r="F24" i="57"/>
  <c r="F25" i="57" s="1"/>
  <c r="F26" i="57" s="1"/>
  <c r="F27" i="57" s="1"/>
  <c r="H10" i="56"/>
  <c r="H36" i="56" s="1"/>
  <c r="E16" i="43"/>
  <c r="E24" i="43"/>
  <c r="E25" i="43" s="1"/>
  <c r="E26" i="43" s="1"/>
  <c r="E27" i="43" s="1"/>
  <c r="G24" i="57"/>
  <c r="G25" i="57" s="1"/>
  <c r="G26" i="57" s="1"/>
  <c r="G27" i="57" s="1"/>
  <c r="C23" i="43"/>
  <c r="G6" i="56"/>
  <c r="H6" i="56" s="1"/>
  <c r="C9" i="59"/>
  <c r="E48" i="56"/>
  <c r="H17" i="56"/>
  <c r="H43" i="56" s="1"/>
  <c r="E46" i="56"/>
  <c r="H20" i="56"/>
  <c r="H46" i="56" s="1"/>
  <c r="D25" i="43"/>
  <c r="D26" i="43" s="1"/>
  <c r="D27" i="43" s="1"/>
  <c r="I20" i="36"/>
  <c r="J20" i="36" s="1"/>
  <c r="K20" i="36" s="1"/>
  <c r="L20" i="36" s="1"/>
  <c r="I24" i="36"/>
  <c r="K26" i="51"/>
  <c r="E51" i="56"/>
  <c r="D15" i="56"/>
  <c r="C18" i="59"/>
  <c r="C17" i="59" s="1"/>
  <c r="D18" i="59"/>
  <c r="D17" i="59" s="1"/>
  <c r="C18" i="58"/>
  <c r="C17" i="58" s="1"/>
  <c r="F19" i="56"/>
  <c r="D21" i="58"/>
  <c r="C21" i="58"/>
  <c r="C46" i="57"/>
  <c r="C23" i="57"/>
  <c r="G28" i="51"/>
  <c r="H27" i="51"/>
  <c r="H21" i="59" s="1"/>
  <c r="D21" i="59" s="1"/>
  <c r="D46" i="57"/>
  <c r="D48" i="57" s="1"/>
  <c r="D23" i="57"/>
  <c r="D24" i="57" s="1"/>
  <c r="D25" i="57" s="1"/>
  <c r="F30" i="56"/>
  <c r="F48" i="56"/>
  <c r="F52" i="56"/>
  <c r="F50" i="56"/>
  <c r="G7" i="56" l="1"/>
  <c r="G52" i="56" s="1"/>
  <c r="C32" i="59"/>
  <c r="C34" i="59" s="1"/>
  <c r="C21" i="59"/>
  <c r="C46" i="59" s="1"/>
  <c r="F46" i="58"/>
  <c r="F48" i="58" s="1"/>
  <c r="G18" i="58"/>
  <c r="G17" i="58" s="1"/>
  <c r="G23" i="58" s="1"/>
  <c r="G24" i="58" s="1"/>
  <c r="G25" i="58" s="1"/>
  <c r="G26" i="58" s="1"/>
  <c r="G27" i="58" s="1"/>
  <c r="E18" i="58"/>
  <c r="E17" i="58" s="1"/>
  <c r="F18" i="58"/>
  <c r="F17" i="58" s="1"/>
  <c r="F23" i="58" s="1"/>
  <c r="F24" i="58" s="1"/>
  <c r="F25" i="58" s="1"/>
  <c r="F26" i="58" s="1"/>
  <c r="F27" i="58" s="1"/>
  <c r="E46" i="58"/>
  <c r="E48" i="58" s="1"/>
  <c r="E23" i="58"/>
  <c r="G21" i="59"/>
  <c r="E21" i="59"/>
  <c r="F21" i="59"/>
  <c r="G19" i="56"/>
  <c r="G18" i="59"/>
  <c r="G17" i="59" s="1"/>
  <c r="E18" i="59"/>
  <c r="E17" i="59" s="1"/>
  <c r="H17" i="59" s="1"/>
  <c r="F18" i="59"/>
  <c r="F17" i="59" s="1"/>
  <c r="G46" i="58"/>
  <c r="G48" i="58" s="1"/>
  <c r="E24" i="58"/>
  <c r="E25" i="58" s="1"/>
  <c r="E26" i="58" s="1"/>
  <c r="E27" i="58" s="1"/>
  <c r="F31" i="56"/>
  <c r="F32" i="56" s="1"/>
  <c r="F33" i="56" s="1"/>
  <c r="H8" i="56"/>
  <c r="H31" i="56" s="1"/>
  <c r="H23" i="57"/>
  <c r="G50" i="56"/>
  <c r="G30" i="56"/>
  <c r="G32" i="56" s="1"/>
  <c r="G33" i="56" s="1"/>
  <c r="G51" i="56"/>
  <c r="G48" i="56"/>
  <c r="H7" i="56"/>
  <c r="H52" i="56" s="1"/>
  <c r="F51" i="56"/>
  <c r="E15" i="56"/>
  <c r="D42" i="56"/>
  <c r="D21" i="56"/>
  <c r="H28" i="51"/>
  <c r="D46" i="58"/>
  <c r="D48" i="58" s="1"/>
  <c r="D23" i="58"/>
  <c r="D24" i="58" s="1"/>
  <c r="G45" i="56"/>
  <c r="F45" i="56"/>
  <c r="D46" i="59"/>
  <c r="D48" i="59" s="1"/>
  <c r="D23" i="59"/>
  <c r="D24" i="59" s="1"/>
  <c r="D25" i="59" s="1"/>
  <c r="D26" i="57"/>
  <c r="D27" i="57" s="1"/>
  <c r="C46" i="58"/>
  <c r="C23" i="58"/>
  <c r="C23" i="59" l="1"/>
  <c r="H50" i="56"/>
  <c r="H17" i="58"/>
  <c r="F15" i="56" s="1"/>
  <c r="G46" i="59"/>
  <c r="G48" i="59" s="1"/>
  <c r="G23" i="59"/>
  <c r="G24" i="59" s="1"/>
  <c r="G25" i="59" s="1"/>
  <c r="G26" i="59" s="1"/>
  <c r="G27" i="59" s="1"/>
  <c r="F46" i="59"/>
  <c r="F48" i="59" s="1"/>
  <c r="F23" i="59"/>
  <c r="F24" i="59" s="1"/>
  <c r="F25" i="59" s="1"/>
  <c r="F26" i="59" s="1"/>
  <c r="F27" i="59" s="1"/>
  <c r="E46" i="59"/>
  <c r="E48" i="59" s="1"/>
  <c r="E23" i="59"/>
  <c r="E24" i="59" s="1"/>
  <c r="E25" i="59" s="1"/>
  <c r="E26" i="59" s="1"/>
  <c r="E27" i="59" s="1"/>
  <c r="H48" i="56"/>
  <c r="H30" i="56"/>
  <c r="H32" i="56" s="1"/>
  <c r="H33" i="56" s="1"/>
  <c r="D25" i="58"/>
  <c r="D26" i="58" s="1"/>
  <c r="D27" i="58" s="1"/>
  <c r="E42" i="56"/>
  <c r="E21" i="56"/>
  <c r="G15" i="56"/>
  <c r="H23" i="59"/>
  <c r="D26" i="59"/>
  <c r="I28" i="51"/>
  <c r="H23" i="58" l="1"/>
  <c r="F42" i="56"/>
  <c r="F21" i="56"/>
  <c r="G42" i="56"/>
  <c r="G21" i="56"/>
  <c r="D27" i="59"/>
  <c r="J28" i="51"/>
  <c r="K27" i="51"/>
  <c r="K28" i="51" s="1"/>
  <c r="C36" i="61" l="1"/>
  <c r="C40" i="61" l="1"/>
  <c r="C36" i="59"/>
  <c r="C11" i="59" s="1"/>
  <c r="C36" i="58"/>
  <c r="C11" i="58" s="1"/>
  <c r="H11" i="58" s="1"/>
  <c r="H14" i="58" s="1"/>
  <c r="H15" i="58" s="1"/>
  <c r="C36" i="57"/>
  <c r="C40" i="57" s="1"/>
  <c r="C48" i="57" s="1"/>
  <c r="C36" i="43"/>
  <c r="C11" i="43"/>
  <c r="C11" i="61"/>
  <c r="C11" i="57"/>
  <c r="H11" i="57" s="1"/>
  <c r="H14" i="57" s="1"/>
  <c r="H15" i="57" s="1"/>
  <c r="C40" i="59"/>
  <c r="C48" i="59" s="1"/>
  <c r="H11" i="43" l="1"/>
  <c r="H14" i="43" s="1"/>
  <c r="H15" i="43" s="1"/>
  <c r="C40" i="43"/>
  <c r="C48" i="43" s="1"/>
  <c r="C14" i="59"/>
  <c r="C15" i="59" s="1"/>
  <c r="C16" i="59" s="1"/>
  <c r="H11" i="59"/>
  <c r="H14" i="59" s="1"/>
  <c r="H15" i="59" s="1"/>
  <c r="C14" i="61"/>
  <c r="C15" i="61" s="1"/>
  <c r="H11" i="61"/>
  <c r="H14" i="61" s="1"/>
  <c r="H15" i="61" s="1"/>
  <c r="C40" i="58"/>
  <c r="C48" i="58" s="1"/>
  <c r="C14" i="43"/>
  <c r="C15" i="43" s="1"/>
  <c r="C16" i="43" s="1"/>
  <c r="F9" i="56"/>
  <c r="C14" i="58"/>
  <c r="C14" i="57"/>
  <c r="E9" i="56"/>
  <c r="C9" i="56" l="1"/>
  <c r="G9" i="56"/>
  <c r="G12" i="56" s="1"/>
  <c r="D9" i="56"/>
  <c r="H9" i="56" s="1"/>
  <c r="H35" i="56" s="1"/>
  <c r="C24" i="59"/>
  <c r="C25" i="59" s="1"/>
  <c r="G35" i="56"/>
  <c r="G49" i="56"/>
  <c r="H24" i="43"/>
  <c r="C24" i="43"/>
  <c r="C25" i="43" s="1"/>
  <c r="C12" i="56"/>
  <c r="C35" i="56"/>
  <c r="C15" i="57"/>
  <c r="C15" i="58"/>
  <c r="C16" i="61"/>
  <c r="F35" i="56"/>
  <c r="F49" i="56"/>
  <c r="F12" i="56"/>
  <c r="G13" i="56"/>
  <c r="H16" i="59"/>
  <c r="H24" i="59"/>
  <c r="D13" i="56"/>
  <c r="E35" i="56"/>
  <c r="E49" i="56"/>
  <c r="E12" i="56"/>
  <c r="C26" i="59" l="1"/>
  <c r="C27" i="59" s="1"/>
  <c r="D49" i="56"/>
  <c r="D12" i="56"/>
  <c r="D35" i="56"/>
  <c r="H25" i="59"/>
  <c r="H26" i="59" s="1"/>
  <c r="H25" i="43"/>
  <c r="H26" i="43" s="1"/>
  <c r="C26" i="43"/>
  <c r="C27" i="43" s="1"/>
  <c r="H16" i="43"/>
  <c r="H12" i="56"/>
  <c r="G22" i="56"/>
  <c r="G54" i="56" s="1"/>
  <c r="D22" i="56"/>
  <c r="D54" i="56" s="1"/>
  <c r="C24" i="57"/>
  <c r="C25" i="57" s="1"/>
  <c r="C16" i="57"/>
  <c r="H16" i="61"/>
  <c r="C13" i="56"/>
  <c r="D14" i="56"/>
  <c r="D39" i="56"/>
  <c r="D40" i="56" s="1"/>
  <c r="G14" i="56"/>
  <c r="G39" i="56"/>
  <c r="G40" i="56" s="1"/>
  <c r="C24" i="58"/>
  <c r="C25" i="58" s="1"/>
  <c r="C16" i="58"/>
  <c r="G23" i="56" l="1"/>
  <c r="D23" i="56"/>
  <c r="C26" i="57"/>
  <c r="H27" i="59"/>
  <c r="G24" i="56"/>
  <c r="H27" i="43"/>
  <c r="D24" i="56"/>
  <c r="H24" i="58"/>
  <c r="F13" i="56"/>
  <c r="H16" i="58"/>
  <c r="C26" i="58"/>
  <c r="C14" i="56"/>
  <c r="C39" i="56"/>
  <c r="H16" i="57"/>
  <c r="H24" i="57"/>
  <c r="E13" i="56"/>
  <c r="H25" i="58" l="1"/>
  <c r="H26" i="58" s="1"/>
  <c r="H25" i="57"/>
  <c r="H26" i="57" s="1"/>
  <c r="E14" i="56"/>
  <c r="E39" i="56"/>
  <c r="E40" i="56" s="1"/>
  <c r="H13" i="56"/>
  <c r="C27" i="58"/>
  <c r="F14" i="56"/>
  <c r="F39" i="56"/>
  <c r="F40" i="56" s="1"/>
  <c r="C27" i="57"/>
  <c r="E22" i="56"/>
  <c r="E54" i="56" s="1"/>
  <c r="F22" i="56"/>
  <c r="F54" i="56" s="1"/>
  <c r="G53" i="56"/>
  <c r="G25" i="56"/>
  <c r="G60" i="56"/>
  <c r="G59" i="56" s="1"/>
  <c r="D25" i="56"/>
  <c r="D60" i="56"/>
  <c r="D59" i="56" s="1"/>
  <c r="D53" i="56"/>
  <c r="F23" i="56" l="1"/>
  <c r="E23" i="56"/>
  <c r="H14" i="56"/>
  <c r="H39" i="56"/>
  <c r="H27" i="58"/>
  <c r="F24" i="56"/>
  <c r="E24" i="56"/>
  <c r="H27" i="57"/>
  <c r="E25" i="56" l="1"/>
  <c r="E53" i="56"/>
  <c r="E60" i="56"/>
  <c r="E59" i="56" s="1"/>
  <c r="F53" i="56"/>
  <c r="F25" i="56"/>
  <c r="F60" i="56"/>
  <c r="F59" i="56" s="1"/>
  <c r="F21" i="61" l="1"/>
  <c r="F46" i="61" s="1"/>
  <c r="F48" i="61" s="1"/>
  <c r="G21" i="61"/>
  <c r="G46" i="61" s="1"/>
  <c r="G48" i="61" s="1"/>
  <c r="E21" i="61"/>
  <c r="E46" i="61" s="1"/>
  <c r="E48" i="61" s="1"/>
  <c r="D21" i="61"/>
  <c r="D46" i="61" s="1"/>
  <c r="D48" i="61" s="1"/>
  <c r="C21" i="61"/>
  <c r="C46" i="61" s="1"/>
  <c r="C48" i="61" s="1"/>
  <c r="C19" i="56"/>
  <c r="C45" i="56" s="1"/>
  <c r="H19" i="56"/>
  <c r="H51" i="56" s="1"/>
  <c r="H45" i="56" l="1"/>
  <c r="C51" i="56"/>
  <c r="G18" i="61"/>
  <c r="G17" i="61" s="1"/>
  <c r="G23" i="61" s="1"/>
  <c r="G24" i="61" s="1"/>
  <c r="D18" i="61"/>
  <c r="D17" i="61" s="1"/>
  <c r="D23" i="61" s="1"/>
  <c r="D24" i="61" s="1"/>
  <c r="F18" i="61"/>
  <c r="F17" i="61" s="1"/>
  <c r="F23" i="61" s="1"/>
  <c r="F24" i="61" s="1"/>
  <c r="E18" i="61"/>
  <c r="E17" i="61" s="1"/>
  <c r="C18" i="61"/>
  <c r="C17" i="61" s="1"/>
  <c r="E23" i="61" l="1"/>
  <c r="E24" i="61" s="1"/>
  <c r="E25" i="61" s="1"/>
  <c r="E26" i="61" s="1"/>
  <c r="E27" i="61" s="1"/>
  <c r="H17" i="61"/>
  <c r="F25" i="61"/>
  <c r="F26" i="61" s="1"/>
  <c r="F27" i="61" s="1"/>
  <c r="G25" i="61"/>
  <c r="G26" i="61" s="1"/>
  <c r="G27" i="61" s="1"/>
  <c r="C23" i="61"/>
  <c r="C24" i="61" s="1"/>
  <c r="D25" i="61"/>
  <c r="D26" i="61" s="1"/>
  <c r="D27" i="61" s="1"/>
  <c r="C15" i="56" l="1"/>
  <c r="H23" i="61"/>
  <c r="H24" i="61" s="1"/>
  <c r="C25" i="61"/>
  <c r="C26" i="61" s="1"/>
  <c r="H26" i="61" s="1"/>
  <c r="C27" i="61" l="1"/>
  <c r="C22" i="56"/>
  <c r="H25" i="61"/>
  <c r="C23" i="56" s="1"/>
  <c r="C42" i="56"/>
  <c r="C49" i="56"/>
  <c r="C21" i="56"/>
  <c r="C40" i="56" s="1"/>
  <c r="H15" i="56"/>
  <c r="H22" i="56" l="1"/>
  <c r="C54" i="56"/>
  <c r="H42" i="56"/>
  <c r="H21" i="56"/>
  <c r="H40" i="56" s="1"/>
  <c r="H49" i="56"/>
  <c r="H27" i="61"/>
  <c r="C24" i="56"/>
  <c r="C25" i="56" l="1"/>
  <c r="C53" i="56"/>
  <c r="C60" i="56"/>
  <c r="C59" i="56" s="1"/>
  <c r="H54" i="56"/>
  <c r="H23" i="56"/>
  <c r="H24" i="56" s="1"/>
  <c r="H53" i="56" l="1"/>
  <c r="H25" i="56"/>
  <c r="H60" i="56"/>
  <c r="H59" i="56" s="1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</authors>
  <commentList>
    <comment ref="H11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按河北</t>
        </r>
      </text>
    </comment>
  </commentList>
</comments>
</file>

<file path=xl/sharedStrings.xml><?xml version="1.0" encoding="utf-8"?>
<sst xmlns="http://schemas.openxmlformats.org/spreadsheetml/2006/main" count="1241" uniqueCount="305">
  <si>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</si>
  <si>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</si>
  <si>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</si>
  <si>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</si>
  <si>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</si>
  <si>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</si>
  <si>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</si>
  <si>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</si>
  <si>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</si>
  <si>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</si>
  <si>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</si>
  <si>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</si>
  <si>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</si>
  <si>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</si>
  <si>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</si>
  <si>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</si>
  <si>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</si>
  <si>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</si>
  <si>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</si>
  <si>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</si>
  <si>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</si>
  <si>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</si>
  <si>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</si>
  <si>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</si>
  <si>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</si>
  <si>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</si>
  <si>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</si>
  <si>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</si>
  <si>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</si>
  <si>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</si>
  <si>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</si>
  <si>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</si>
  <si>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</si>
  <si>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</si>
  <si>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</si>
  <si>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</si>
  <si>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</si>
  <si>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</si>
  <si>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</si>
  <si>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</si>
  <si>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</si>
  <si>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</si>
  <si>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</si>
  <si>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</si>
  <si>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</si>
  <si>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</si>
  <si>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</si>
  <si>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</si>
  <si>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</si>
  <si>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</si>
  <si>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</si>
  <si>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</si>
  <si>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</si>
  <si>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</si>
  <si>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</si>
  <si>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</si>
  <si>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</si>
  <si>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</si>
  <si>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</si>
  <si>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</si>
  <si>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</si>
  <si>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</si>
  <si>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</si>
  <si>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</si>
  <si>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</si>
  <si>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</si>
  <si>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</si>
  <si>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</si>
  <si>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</si>
  <si>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</si>
  <si>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</si>
  <si>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</si>
  <si>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</si>
  <si>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</si>
  <si>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</si>
  <si>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</si>
  <si>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</si>
  <si>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</si>
  <si>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</si>
  <si>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</si>
  <si>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</si>
  <si>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</si>
  <si>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</si>
  <si>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</si>
  <si>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</si>
  <si>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</si>
  <si>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</si>
  <si>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</si>
  <si>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</si>
  <si>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</si>
  <si>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</si>
  <si>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</si>
  <si>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</si>
  <si>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</si>
  <si>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</si>
  <si>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</si>
  <si>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</si>
  <si>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</si>
  <si>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</si>
  <si>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</si>
  <si>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</si>
  <si>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</si>
  <si>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</si>
  <si>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</si>
  <si>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</si>
  <si>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</si>
  <si>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</si>
  <si>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</si>
  <si>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</si>
  <si>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</si>
  <si>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</si>
  <si>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</si>
  <si>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</si>
  <si>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</si>
  <si>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</si>
  <si>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</si>
  <si>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</si>
  <si>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</si>
  <si>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</si>
  <si>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</si>
  <si>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</si>
  <si>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</si>
  <si>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</si>
  <si>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</si>
  <si>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</si>
  <si>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</si>
  <si>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</si>
  <si>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</si>
  <si>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</si>
  <si>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</si>
  <si>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</si>
  <si>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</si>
  <si>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</si>
  <si>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</si>
  <si>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</si>
  <si>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</si>
  <si>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</si>
  <si>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</si>
  <si>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</si>
  <si>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</si>
  <si>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</si>
  <si>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</si>
  <si>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</si>
  <si>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</si>
  <si>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</si>
  <si>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</si>
  <si>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</si>
  <si>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</si>
  <si>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</si>
  <si>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</si>
  <si>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</si>
  <si>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</si>
  <si>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</si>
  <si>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</si>
  <si>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</si>
  <si>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</si>
  <si>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</si>
  <si>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</si>
  <si>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</si>
  <si>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</si>
  <si>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</si>
  <si>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</si>
  <si>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</si>
  <si>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</si>
  <si>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</si>
  <si>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</si>
  <si>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</si>
  <si>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</si>
  <si>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</si>
  <si>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</si>
  <si>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</si>
  <si>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</si>
  <si>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</si>
  <si>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</si>
  <si>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</si>
  <si>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</si>
  <si>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</si>
  <si>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</si>
  <si>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</si>
  <si>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</si>
  <si>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</si>
  <si>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</si>
  <si>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</si>
  <si>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</si>
  <si>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</si>
  <si>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</si>
  <si>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</si>
  <si>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</si>
  <si>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</si>
  <si>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</si>
  <si>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</si>
  <si>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</si>
  <si>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</si>
  <si>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</si>
  <si>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</si>
  <si>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</si>
  <si>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</si>
  <si>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</si>
  <si>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</si>
  <si>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</si>
  <si>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</si>
  <si>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</si>
  <si>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</si>
  <si>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</si>
  <si>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</si>
  <si>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</si>
  <si>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</si>
  <si>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</si>
  <si>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</si>
  <si>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</si>
  <si>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</si>
  <si>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</si>
  <si>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</si>
  <si>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</si>
  <si>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</si>
  <si>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</si>
  <si>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</si>
  <si>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</si>
  <si>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</si>
  <si>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</si>
  <si>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</si>
  <si>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</si>
  <si>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</si>
  <si>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</si>
  <si>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</si>
  <si>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</si>
  <si>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</si>
  <si>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</si>
  <si>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</si>
  <si>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承兑</t>
  </si>
  <si>
    <t>喷涂件生产地点</t>
  </si>
  <si>
    <t>委外加工</t>
  </si>
  <si>
    <t>物流包装信息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</si>
  <si>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</si>
  <si>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</si>
  <si>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</si>
  <si>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</si>
  <si>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</si>
  <si>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</si>
  <si>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</si>
  <si>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</si>
  <si>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</si>
  <si>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</si>
  <si>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三包周期</t>
  </si>
  <si>
    <t>涂红色处为必填项</t>
  </si>
  <si>
    <t>单位：元、%、未税</t>
  </si>
  <si>
    <t>科目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</si>
  <si>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</si>
  <si>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</si>
  <si>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</si>
  <si>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</si>
  <si>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</si>
  <si>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</si>
  <si>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</si>
  <si>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</si>
  <si>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</si>
  <si>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</si>
  <si>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</si>
  <si>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</si>
  <si>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</si>
  <si>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5" type="noConversion"/>
  </si>
  <si>
    <r>
      <rPr>
        <sz val="11"/>
        <color theme="1"/>
        <rFont val="宋体"/>
        <family val="3"/>
        <charset val="134"/>
        <scheme val="minor"/>
      </rPr>
      <t>2024</t>
    </r>
    <r>
      <rPr>
        <sz val="11"/>
        <color theme="1"/>
        <rFont val="宋体"/>
        <family val="3"/>
        <charset val="134"/>
        <scheme val="minor"/>
      </rPr>
      <t>占收入比率</t>
    </r>
    <phoneticPr fontId="45" type="noConversion"/>
  </si>
  <si>
    <t>2031年</t>
  </si>
  <si>
    <t xml:space="preserve">2029年  </t>
    <phoneticPr fontId="45" type="noConversion"/>
  </si>
  <si>
    <t xml:space="preserve">2028年  </t>
    <phoneticPr fontId="45" type="noConversion"/>
  </si>
  <si>
    <t xml:space="preserve">2027年  </t>
    <phoneticPr fontId="45" type="noConversion"/>
  </si>
  <si>
    <t xml:space="preserve">2026年  </t>
    <phoneticPr fontId="45" type="noConversion"/>
  </si>
  <si>
    <t xml:space="preserve">2025年  </t>
    <phoneticPr fontId="45" type="noConversion"/>
  </si>
  <si>
    <r>
      <t>2025</t>
    </r>
    <r>
      <rPr>
        <b/>
        <sz val="10"/>
        <rFont val="宋体"/>
        <family val="3"/>
        <charset val="134"/>
      </rPr>
      <t>年</t>
    </r>
    <phoneticPr fontId="45" type="noConversion"/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</si>
  <si>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</si>
  <si>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</si>
  <si>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</si>
  <si>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</si>
  <si>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t>单位：未税、元</t>
    <phoneticPr fontId="45" type="noConversion"/>
  </si>
  <si>
    <t>直接材料</t>
    <phoneticPr fontId="45" type="noConversion"/>
  </si>
  <si>
    <t>2025年</t>
    <phoneticPr fontId="45" type="noConversion"/>
  </si>
  <si>
    <t>单件边际贡献</t>
    <phoneticPr fontId="45" type="noConversion"/>
  </si>
  <si>
    <t>所得税(税率15%）</t>
    <phoneticPr fontId="45" type="noConversion"/>
  </si>
  <si>
    <t>单台材料成本为未税价格，骨架、底支架自制。</t>
    <phoneticPr fontId="45" type="noConversion"/>
  </si>
  <si>
    <t>西安数据</t>
    <phoneticPr fontId="45" type="noConversion"/>
  </si>
  <si>
    <t>长春工厂平均值</t>
    <phoneticPr fontId="45" type="noConversion"/>
  </si>
  <si>
    <t>变动费用参考长春工厂2024年实际暂估。</t>
    <phoneticPr fontId="45" type="noConversion"/>
  </si>
  <si>
    <t>财务费用按综合数据。</t>
    <phoneticPr fontId="45" type="noConversion"/>
  </si>
  <si>
    <t>一汽解放汽车有限公司</t>
    <phoneticPr fontId="45" type="noConversion"/>
  </si>
  <si>
    <t>长春</t>
  </si>
  <si>
    <t>驾驶员总成</t>
  </si>
  <si>
    <t>前座总成</t>
  </si>
  <si>
    <t>供应商年降：       年3 %</t>
    <phoneticPr fontId="45" type="noConversion"/>
  </si>
  <si>
    <t>现汇或承兑的比例</t>
  </si>
  <si>
    <t>河北</t>
  </si>
  <si>
    <t>否</t>
  </si>
  <si>
    <t>无</t>
  </si>
  <si>
    <t>是</t>
  </si>
  <si>
    <t>短途物流车</t>
  </si>
  <si>
    <t>24个月</t>
  </si>
  <si>
    <t>账面</t>
    <phoneticPr fontId="45" type="noConversion"/>
  </si>
  <si>
    <t>含前期房租200万</t>
    <phoneticPr fontId="45" type="noConversion"/>
  </si>
  <si>
    <t>6800010MH13J/A</t>
  </si>
  <si>
    <t>6800010NH13J/A</t>
  </si>
  <si>
    <t>6900010TH13J/A</t>
  </si>
  <si>
    <t>可变阻尼、高度调节、单扶手、三点式安全带、</t>
  </si>
  <si>
    <t>可变阻尼、高度调节、单扶手、三点式安全带、联管螺母</t>
  </si>
  <si>
    <t>管梁副驾带安全带</t>
  </si>
  <si>
    <t xml:space="preserve"> J6G新能源项目</t>
    <phoneticPr fontId="45" type="noConversion"/>
  </si>
  <si>
    <t xml:space="preserve"> J6G新能源项目投资收益分析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</si>
</sst>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54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微软雅黑"/>
      <family val="2"/>
      <charset val="134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36" fillId="0" borderId="0"/>
    <xf numFmtId="0" fontId="37" fillId="0" borderId="2" applyNumberFormat="0" applyFill="0" applyBorder="0" applyAlignment="0" applyProtection="0">
      <alignment vertical="center"/>
    </xf>
    <xf numFmtId="0" fontId="44" fillId="0" borderId="0">
      <alignment vertical="center"/>
    </xf>
    <xf numFmtId="0" fontId="38" fillId="0" borderId="0"/>
    <xf numFmtId="0" fontId="39" fillId="0" borderId="0"/>
    <xf numFmtId="1" fontId="40" fillId="0" borderId="2" applyBorder="0"/>
    <xf numFmtId="43" fontId="41" fillId="0" borderId="0" applyFont="0" applyFill="0" applyBorder="0" applyAlignment="0" applyProtection="0">
      <alignment vertical="center"/>
    </xf>
    <xf numFmtId="0" fontId="38" fillId="0" borderId="0"/>
    <xf numFmtId="0" fontId="38" fillId="0" borderId="0"/>
  </cellStyleXfs>
  <cellXfs count="2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5" fillId="5" borderId="0" xfId="1" applyFont="1" applyFill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0" applyNumberFormat="1" applyFont="1" applyAlignment="1">
      <alignment horizontal="center" vertical="center" wrapText="1"/>
    </xf>
    <xf numFmtId="43" fontId="2" fillId="0" borderId="0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177" fontId="2" fillId="0" borderId="0" xfId="1" applyNumberFormat="1" applyFont="1" applyFill="1">
      <alignment vertical="center"/>
    </xf>
    <xf numFmtId="0" fontId="11" fillId="0" borderId="0" xfId="0" applyFont="1" applyFill="1" applyAlignment="1">
      <alignment vertical="center"/>
    </xf>
    <xf numFmtId="10" fontId="2" fillId="0" borderId="0" xfId="0" applyNumberFormat="1" applyFont="1" applyFill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177" fontId="12" fillId="0" borderId="2" xfId="1" applyNumberFormat="1" applyFont="1" applyFill="1" applyBorder="1" applyAlignment="1">
      <alignment horizontal="center" vertical="center" wrapText="1" readingOrder="1"/>
    </xf>
    <xf numFmtId="176" fontId="12" fillId="0" borderId="2" xfId="0" applyNumberFormat="1" applyFont="1" applyFill="1" applyBorder="1" applyAlignment="1">
      <alignment horizontal="center" vertical="center" wrapText="1" readingOrder="1"/>
    </xf>
    <xf numFmtId="0" fontId="12" fillId="0" borderId="2" xfId="0" applyFont="1" applyFill="1" applyBorder="1" applyAlignment="1">
      <alignment horizontal="center" vertical="center" wrapText="1" readingOrder="1"/>
    </xf>
    <xf numFmtId="177" fontId="4" fillId="0" borderId="2" xfId="0" applyNumberFormat="1" applyFont="1" applyFill="1" applyBorder="1" applyAlignment="1">
      <alignment horizontal="center" wrapText="1" readingOrder="1"/>
    </xf>
    <xf numFmtId="43" fontId="2" fillId="0" borderId="0" xfId="1" applyFont="1" applyFill="1">
      <alignment vertical="center"/>
    </xf>
    <xf numFmtId="0" fontId="13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5" fillId="7" borderId="2" xfId="7" applyNumberFormat="1" applyFont="1" applyFill="1" applyBorder="1" applyAlignment="1">
      <alignment horizontal="center" vertical="center" wrapText="1"/>
    </xf>
    <xf numFmtId="43" fontId="15" fillId="7" borderId="2" xfId="1" applyFont="1" applyFill="1" applyBorder="1" applyAlignment="1">
      <alignment horizontal="center" vertical="center" wrapText="1"/>
    </xf>
    <xf numFmtId="0" fontId="15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6" fillId="0" borderId="2" xfId="7" applyNumberFormat="1" applyFont="1" applyFill="1" applyBorder="1" applyAlignment="1">
      <alignment horizontal="left" vertical="center"/>
    </xf>
    <xf numFmtId="43" fontId="16" fillId="4" borderId="2" xfId="1" applyFont="1" applyFill="1" applyBorder="1" applyAlignment="1">
      <alignment horizontal="center" vertical="center"/>
    </xf>
    <xf numFmtId="0" fontId="17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3" fillId="3" borderId="2" xfId="1" applyFont="1" applyFill="1" applyBorder="1" applyAlignment="1" applyProtection="1">
      <alignment horizontal="center" vertical="center"/>
    </xf>
    <xf numFmtId="0" fontId="18" fillId="6" borderId="2" xfId="3" applyNumberFormat="1" applyFont="1" applyFill="1" applyBorder="1" applyAlignment="1" applyProtection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6" fillId="0" borderId="3" xfId="7" applyNumberFormat="1" applyFont="1" applyFill="1" applyBorder="1" applyAlignment="1">
      <alignment horizontal="center" vertical="center"/>
    </xf>
    <xf numFmtId="179" fontId="16" fillId="0" borderId="3" xfId="7" applyNumberFormat="1" applyFont="1" applyFill="1" applyBorder="1" applyAlignment="1">
      <alignment horizontal="left" vertical="center" wrapText="1"/>
    </xf>
    <xf numFmtId="0" fontId="17" fillId="6" borderId="2" xfId="3" applyNumberFormat="1" applyFont="1" applyFill="1" applyBorder="1" applyAlignment="1" applyProtection="1">
      <alignment horizontal="center" vertical="center" wrapText="1"/>
    </xf>
    <xf numFmtId="43" fontId="16" fillId="3" borderId="2" xfId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43" fontId="20" fillId="0" borderId="0" xfId="1" applyFont="1" applyFill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 readingOrder="1"/>
    </xf>
    <xf numFmtId="43" fontId="20" fillId="0" borderId="2" xfId="1" applyFont="1" applyFill="1" applyBorder="1" applyAlignment="1">
      <alignment horizontal="center" vertical="center"/>
    </xf>
    <xf numFmtId="43" fontId="20" fillId="0" borderId="0" xfId="0" applyNumberFormat="1" applyFont="1" applyFill="1">
      <alignment vertical="center"/>
    </xf>
    <xf numFmtId="0" fontId="26" fillId="0" borderId="2" xfId="0" applyFont="1" applyFill="1" applyBorder="1">
      <alignment vertical="center"/>
    </xf>
    <xf numFmtId="10" fontId="20" fillId="0" borderId="2" xfId="2" applyNumberFormat="1" applyFont="1" applyFill="1" applyBorder="1" applyAlignment="1">
      <alignment horizontal="center" vertical="center"/>
    </xf>
    <xf numFmtId="10" fontId="20" fillId="0" borderId="0" xfId="0" applyNumberFormat="1" applyFont="1" applyFill="1">
      <alignment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0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180" fontId="20" fillId="0" borderId="0" xfId="0" applyNumberFormat="1" applyFont="1" applyFill="1">
      <alignment vertical="center"/>
    </xf>
    <xf numFmtId="10" fontId="20" fillId="0" borderId="2" xfId="2" applyNumberFormat="1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0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0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2" fillId="4" borderId="2" xfId="0" applyFont="1" applyFill="1" applyBorder="1" applyAlignment="1">
      <alignment horizontal="center" vertical="center" wrapText="1" readingOrder="1"/>
    </xf>
    <xf numFmtId="0" fontId="22" fillId="0" borderId="0" xfId="0" applyFont="1">
      <alignment vertical="center"/>
    </xf>
    <xf numFmtId="0" fontId="20" fillId="0" borderId="0" xfId="0" applyFont="1" applyBorder="1">
      <alignment vertical="center"/>
    </xf>
    <xf numFmtId="0" fontId="20" fillId="0" borderId="0" xfId="0" applyFont="1">
      <alignment vertical="center"/>
    </xf>
    <xf numFmtId="43" fontId="20" fillId="0" borderId="0" xfId="1" applyFont="1">
      <alignment vertical="center"/>
    </xf>
    <xf numFmtId="43" fontId="29" fillId="0" borderId="2" xfId="1" applyFont="1" applyFill="1" applyBorder="1" applyAlignment="1">
      <alignment horizontal="center" vertical="center" wrapText="1"/>
    </xf>
    <xf numFmtId="177" fontId="20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26" fillId="9" borderId="2" xfId="0" applyFont="1" applyFill="1" applyBorder="1">
      <alignment vertical="center"/>
    </xf>
    <xf numFmtId="177" fontId="22" fillId="9" borderId="2" xfId="1" applyNumberFormat="1" applyFont="1" applyFill="1" applyBorder="1" applyAlignment="1">
      <alignment horizontal="center" vertical="center"/>
    </xf>
    <xf numFmtId="0" fontId="30" fillId="0" borderId="2" xfId="0" applyFont="1" applyFill="1" applyBorder="1">
      <alignment vertical="center"/>
    </xf>
    <xf numFmtId="0" fontId="20" fillId="0" borderId="2" xfId="0" applyFont="1" applyBorder="1">
      <alignment vertical="center"/>
    </xf>
    <xf numFmtId="10" fontId="22" fillId="0" borderId="2" xfId="2" applyNumberFormat="1" applyFont="1" applyBorder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0" fillId="0" borderId="2" xfId="1" applyNumberFormat="1" applyFont="1" applyFill="1" applyBorder="1">
      <alignment vertical="center"/>
    </xf>
    <xf numFmtId="0" fontId="30" fillId="9" borderId="2" xfId="0" applyFont="1" applyFill="1" applyBorder="1">
      <alignment vertical="center"/>
    </xf>
    <xf numFmtId="177" fontId="20" fillId="0" borderId="2" xfId="1" applyNumberFormat="1" applyFont="1" applyBorder="1" applyAlignment="1">
      <alignment horizontal="center" vertical="center"/>
    </xf>
    <xf numFmtId="10" fontId="20" fillId="0" borderId="2" xfId="2" applyNumberFormat="1" applyFont="1" applyBorder="1">
      <alignment vertical="center"/>
    </xf>
    <xf numFmtId="10" fontId="20" fillId="0" borderId="0" xfId="2" applyNumberFormat="1" applyFont="1" applyBorder="1">
      <alignment vertical="center"/>
    </xf>
    <xf numFmtId="43" fontId="20" fillId="0" borderId="0" xfId="1" applyFont="1" applyBorder="1">
      <alignment vertical="center"/>
    </xf>
    <xf numFmtId="0" fontId="26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3" fontId="20" fillId="0" borderId="2" xfId="1" applyFont="1" applyBorder="1">
      <alignment vertical="center"/>
    </xf>
    <xf numFmtId="177" fontId="20" fillId="0" borderId="2" xfId="1" applyNumberFormat="1" applyFont="1" applyBorder="1">
      <alignment vertical="center"/>
    </xf>
    <xf numFmtId="43" fontId="24" fillId="0" borderId="2" xfId="1" applyFont="1" applyFill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30" fillId="0" borderId="2" xfId="0" applyFont="1" applyBorder="1">
      <alignment vertical="center"/>
    </xf>
    <xf numFmtId="0" fontId="20" fillId="0" borderId="6" xfId="0" applyFont="1" applyBorder="1">
      <alignment vertical="center"/>
    </xf>
    <xf numFmtId="1" fontId="16" fillId="6" borderId="0" xfId="3" applyNumberFormat="1" applyFont="1" applyFill="1" applyProtection="1"/>
    <xf numFmtId="0" fontId="16" fillId="6" borderId="0" xfId="3" applyFont="1" applyFill="1" applyProtection="1"/>
    <xf numFmtId="0" fontId="31" fillId="6" borderId="0" xfId="3" applyFont="1" applyFill="1" applyAlignment="1" applyProtection="1">
      <alignment horizontal="centerContinuous"/>
    </xf>
    <xf numFmtId="0" fontId="16" fillId="6" borderId="0" xfId="3" applyFont="1" applyFill="1" applyAlignment="1">
      <alignment horizontal="centerContinuous"/>
    </xf>
    <xf numFmtId="0" fontId="16" fillId="6" borderId="0" xfId="3" applyFont="1" applyFill="1" applyAlignment="1" applyProtection="1">
      <alignment horizontal="centerContinuous"/>
    </xf>
    <xf numFmtId="9" fontId="16" fillId="6" borderId="0" xfId="3" applyNumberFormat="1" applyFont="1" applyFill="1" applyProtection="1"/>
    <xf numFmtId="0" fontId="16" fillId="6" borderId="6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center"/>
    </xf>
    <xf numFmtId="0" fontId="18" fillId="6" borderId="4" xfId="3" applyFont="1" applyFill="1" applyBorder="1" applyAlignment="1" applyProtection="1">
      <alignment horizontal="center"/>
    </xf>
    <xf numFmtId="1" fontId="18" fillId="6" borderId="4" xfId="8" applyFont="1" applyFill="1" applyBorder="1"/>
    <xf numFmtId="1" fontId="16" fillId="6" borderId="4" xfId="8" applyFont="1" applyFill="1" applyBorder="1"/>
    <xf numFmtId="0" fontId="16" fillId="6" borderId="7" xfId="3" applyFont="1" applyFill="1" applyBorder="1" applyProtection="1"/>
    <xf numFmtId="0" fontId="16" fillId="6" borderId="2" xfId="3" applyFont="1" applyFill="1" applyBorder="1" applyAlignment="1" applyProtection="1">
      <alignment horizontal="center"/>
    </xf>
    <xf numFmtId="0" fontId="16" fillId="6" borderId="2" xfId="3" applyFont="1" applyFill="1" applyBorder="1" applyAlignment="1" applyProtection="1">
      <alignment horizontal="left"/>
    </xf>
    <xf numFmtId="0" fontId="16" fillId="9" borderId="2" xfId="3" applyFont="1" applyFill="1" applyBorder="1" applyProtection="1"/>
    <xf numFmtId="177" fontId="16" fillId="9" borderId="2" xfId="1" applyNumberFormat="1" applyFont="1" applyFill="1" applyBorder="1" applyAlignment="1" applyProtection="1"/>
    <xf numFmtId="0" fontId="16" fillId="6" borderId="2" xfId="3" applyFont="1" applyFill="1" applyBorder="1" applyProtection="1"/>
    <xf numFmtId="177" fontId="16" fillId="6" borderId="2" xfId="1" applyNumberFormat="1" applyFont="1" applyFill="1" applyBorder="1" applyAlignment="1" applyProtection="1"/>
    <xf numFmtId="0" fontId="16" fillId="6" borderId="2" xfId="3" applyNumberFormat="1" applyFont="1" applyFill="1" applyBorder="1" applyAlignment="1" applyProtection="1">
      <alignment horizontal="left"/>
    </xf>
    <xf numFmtId="1" fontId="16" fillId="6" borderId="2" xfId="3" applyNumberFormat="1" applyFont="1" applyFill="1" applyBorder="1" applyProtection="1"/>
    <xf numFmtId="1" fontId="16" fillId="6" borderId="2" xfId="3" applyNumberFormat="1" applyFont="1" applyFill="1" applyBorder="1" applyAlignment="1" applyProtection="1">
      <alignment horizontal="left"/>
    </xf>
    <xf numFmtId="0" fontId="16" fillId="6" borderId="8" xfId="3" applyFont="1" applyFill="1" applyBorder="1" applyProtection="1"/>
    <xf numFmtId="0" fontId="16" fillId="6" borderId="11" xfId="3" applyFont="1" applyFill="1" applyBorder="1" applyProtection="1"/>
    <xf numFmtId="0" fontId="16" fillId="6" borderId="12" xfId="3" applyFont="1" applyFill="1" applyBorder="1" applyProtection="1"/>
    <xf numFmtId="0" fontId="16" fillId="6" borderId="0" xfId="3" applyFont="1" applyFill="1" applyBorder="1" applyProtection="1"/>
    <xf numFmtId="181" fontId="16" fillId="6" borderId="0" xfId="3" applyNumberFormat="1" applyFont="1" applyFill="1" applyBorder="1" applyProtection="1"/>
    <xf numFmtId="10" fontId="16" fillId="6" borderId="0" xfId="3" applyNumberFormat="1" applyFont="1" applyFill="1" applyBorder="1" applyProtection="1"/>
    <xf numFmtId="1" fontId="16" fillId="6" borderId="0" xfId="3" applyNumberFormat="1" applyFont="1" applyFill="1" applyBorder="1" applyProtection="1"/>
    <xf numFmtId="0" fontId="16" fillId="6" borderId="13" xfId="3" applyFont="1" applyFill="1" applyBorder="1" applyProtection="1"/>
    <xf numFmtId="0" fontId="16" fillId="6" borderId="1" xfId="3" applyFont="1" applyFill="1" applyBorder="1" applyProtection="1"/>
    <xf numFmtId="2" fontId="16" fillId="6" borderId="1" xfId="3" applyNumberFormat="1" applyFont="1" applyFill="1" applyBorder="1" applyProtection="1"/>
    <xf numFmtId="0" fontId="16" fillId="6" borderId="5" xfId="3" applyFont="1" applyFill="1" applyBorder="1"/>
    <xf numFmtId="1" fontId="16" fillId="6" borderId="7" xfId="8" applyFont="1" applyFill="1" applyBorder="1" applyAlignment="1">
      <alignment horizontal="center"/>
    </xf>
    <xf numFmtId="0" fontId="16" fillId="6" borderId="9" xfId="3" applyFont="1" applyFill="1" applyBorder="1" applyProtection="1"/>
    <xf numFmtId="0" fontId="16" fillId="6" borderId="14" xfId="3" applyFont="1" applyFill="1" applyBorder="1" applyProtection="1"/>
    <xf numFmtId="0" fontId="16" fillId="6" borderId="15" xfId="3" applyFont="1" applyFill="1" applyBorder="1" applyProtection="1"/>
    <xf numFmtId="0" fontId="32" fillId="0" borderId="0" xfId="0" applyFont="1">
      <alignment vertical="center"/>
    </xf>
    <xf numFmtId="0" fontId="33" fillId="0" borderId="2" xfId="0" applyFont="1" applyBorder="1" applyAlignment="1">
      <alignment horizontal="center" vertical="center" wrapText="1" readingOrder="1"/>
    </xf>
    <xf numFmtId="0" fontId="32" fillId="0" borderId="0" xfId="0" applyFont="1" applyFill="1">
      <alignment vertical="center"/>
    </xf>
    <xf numFmtId="0" fontId="12" fillId="0" borderId="2" xfId="0" applyFont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left" vertical="center" wrapText="1" readingOrder="1"/>
    </xf>
    <xf numFmtId="0" fontId="34" fillId="0" borderId="2" xfId="0" applyFont="1" applyFill="1" applyBorder="1" applyAlignment="1">
      <alignment horizontal="left" vertical="center" wrapText="1" readingOrder="1"/>
    </xf>
    <xf numFmtId="0" fontId="34" fillId="0" borderId="2" xfId="0" applyFont="1" applyBorder="1" applyAlignment="1">
      <alignment horizontal="center" vertical="center" wrapText="1" readingOrder="1"/>
    </xf>
    <xf numFmtId="0" fontId="34" fillId="0" borderId="0" xfId="0" applyFont="1" applyFill="1" applyBorder="1" applyAlignment="1">
      <alignment horizontal="left" vertical="center" wrapText="1" readingOrder="1"/>
    </xf>
    <xf numFmtId="0" fontId="35" fillId="0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 readingOrder="1"/>
    </xf>
    <xf numFmtId="0" fontId="20" fillId="0" borderId="1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2" fillId="0" borderId="2" xfId="0" applyFont="1" applyFill="1" applyBorder="1">
      <alignment vertical="center"/>
    </xf>
    <xf numFmtId="43" fontId="2" fillId="0" borderId="2" xfId="0" applyNumberFormat="1" applyFont="1" applyFill="1" applyBorder="1">
      <alignment vertical="center"/>
    </xf>
    <xf numFmtId="43" fontId="2" fillId="0" borderId="2" xfId="1" applyFont="1" applyFill="1" applyBorder="1">
      <alignment vertical="center"/>
    </xf>
    <xf numFmtId="178" fontId="2" fillId="0" borderId="2" xfId="2" applyNumberFormat="1" applyFont="1" applyFill="1" applyBorder="1">
      <alignment vertical="center"/>
    </xf>
    <xf numFmtId="0" fontId="28" fillId="0" borderId="0" xfId="0" applyFont="1">
      <alignment vertical="center"/>
    </xf>
    <xf numFmtId="0" fontId="35" fillId="0" borderId="0" xfId="0" applyFont="1" applyFill="1">
      <alignment vertical="center"/>
    </xf>
    <xf numFmtId="0" fontId="35" fillId="0" borderId="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35" fillId="0" borderId="0" xfId="0" applyFont="1" applyFill="1" applyAlignment="1">
      <alignment vertical="center" wrapText="1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8" fillId="6" borderId="2" xfId="3" applyFont="1" applyFill="1" applyBorder="1" applyAlignment="1" applyProtection="1">
      <alignment horizont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3" fontId="24" fillId="0" borderId="6" xfId="1" applyFont="1" applyFill="1" applyBorder="1" applyAlignment="1">
      <alignment horizontal="center" vertical="center" wrapText="1"/>
    </xf>
    <xf numFmtId="43" fontId="24" fillId="0" borderId="10" xfId="1" applyFont="1" applyFill="1" applyBorder="1" applyAlignment="1">
      <alignment horizontal="center" vertical="center" wrapText="1"/>
    </xf>
    <xf numFmtId="43" fontId="24" fillId="0" borderId="7" xfId="1" applyFont="1" applyFill="1" applyBorder="1" applyAlignment="1">
      <alignment horizontal="center" vertical="center" wrapText="1"/>
    </xf>
    <xf numFmtId="43" fontId="20" fillId="0" borderId="3" xfId="1" applyFont="1" applyFill="1" applyBorder="1" applyAlignment="1">
      <alignment horizontal="center" vertical="center"/>
    </xf>
    <xf numFmtId="43" fontId="20" fillId="0" borderId="4" xfId="1" applyFont="1" applyFill="1" applyBorder="1" applyAlignment="1">
      <alignment horizontal="center" vertical="center"/>
    </xf>
    <xf numFmtId="43" fontId="20" fillId="0" borderId="5" xfId="1" applyFont="1" applyFill="1" applyBorder="1" applyAlignment="1">
      <alignment horizontal="center" vertical="center"/>
    </xf>
    <xf numFmtId="43" fontId="20" fillId="4" borderId="2" xfId="1" applyFont="1" applyFill="1" applyBorder="1" applyAlignment="1">
      <alignment horizontal="center" vertical="center"/>
    </xf>
    <xf numFmtId="0" fontId="14" fillId="6" borderId="1" xfId="3" applyNumberFormat="1" applyFont="1" applyFill="1" applyBorder="1" applyAlignment="1" applyProtection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 readingOrder="1"/>
    </xf>
    <xf numFmtId="0" fontId="12" fillId="0" borderId="10" xfId="0" applyFont="1" applyFill="1" applyBorder="1" applyAlignment="1">
      <alignment horizontal="center" vertical="center" wrapText="1" readingOrder="1"/>
    </xf>
    <xf numFmtId="0" fontId="12" fillId="0" borderId="7" xfId="0" applyFont="1" applyFill="1" applyBorder="1" applyAlignment="1">
      <alignment horizontal="center" vertical="center" wrapText="1" readingOrder="1"/>
    </xf>
    <xf numFmtId="0" fontId="50" fillId="0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</cellXfs>
  <cellStyles count="12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2" sqref="C12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73" customFormat="1" ht="35.25" customHeight="1">
      <c r="A2" s="174" t="s">
        <v>0</v>
      </c>
      <c r="B2" s="174" t="s">
        <v>1</v>
      </c>
      <c r="C2" s="174" t="s">
        <v>2</v>
      </c>
      <c r="D2" s="175"/>
    </row>
    <row r="3" spans="1:4" s="173" customFormat="1" ht="33.75" customHeight="1">
      <c r="A3" s="176">
        <v>1</v>
      </c>
      <c r="B3" s="176" t="s">
        <v>3</v>
      </c>
      <c r="C3" s="177" t="s">
        <v>4</v>
      </c>
      <c r="D3" s="175"/>
    </row>
    <row r="4" spans="1:4" s="173" customFormat="1" ht="33.75" customHeight="1">
      <c r="A4" s="176">
        <v>2</v>
      </c>
      <c r="B4" s="176" t="s">
        <v>5</v>
      </c>
      <c r="C4" s="177" t="s">
        <v>6</v>
      </c>
    </row>
    <row r="5" spans="1:4" s="173" customFormat="1" ht="33.75" customHeight="1">
      <c r="A5" s="176">
        <v>3</v>
      </c>
      <c r="B5" s="200" t="s">
        <v>7</v>
      </c>
      <c r="C5" s="178" t="s">
        <v>8</v>
      </c>
    </row>
    <row r="6" spans="1:4" s="173" customFormat="1" ht="33.75" customHeight="1">
      <c r="A6" s="176">
        <v>4</v>
      </c>
      <c r="B6" s="201"/>
      <c r="C6" s="177" t="s">
        <v>278</v>
      </c>
    </row>
    <row r="7" spans="1:4" s="173" customFormat="1" ht="33.75" customHeight="1">
      <c r="A7" s="176">
        <v>5</v>
      </c>
      <c r="B7" s="179" t="s">
        <v>9</v>
      </c>
      <c r="C7" s="177" t="s">
        <v>281</v>
      </c>
    </row>
    <row r="8" spans="1:4" s="173" customFormat="1" ht="33.75" customHeight="1">
      <c r="A8" s="176">
        <v>6</v>
      </c>
      <c r="B8" s="200" t="s">
        <v>10</v>
      </c>
      <c r="C8" s="177" t="s">
        <v>11</v>
      </c>
    </row>
    <row r="9" spans="1:4" s="173" customFormat="1" ht="33.75" customHeight="1">
      <c r="A9" s="176">
        <v>7</v>
      </c>
      <c r="B9" s="201"/>
      <c r="C9" s="177" t="s">
        <v>12</v>
      </c>
    </row>
    <row r="10" spans="1:4" s="173" customFormat="1" ht="33.75" customHeight="1">
      <c r="A10" s="176">
        <v>8</v>
      </c>
      <c r="B10" s="201"/>
      <c r="C10" s="178" t="s">
        <v>282</v>
      </c>
    </row>
    <row r="11" spans="1:4" s="173" customFormat="1" ht="33.75" customHeight="1">
      <c r="A11" s="176">
        <v>9</v>
      </c>
      <c r="B11" s="201"/>
      <c r="C11" s="177" t="s">
        <v>13</v>
      </c>
    </row>
    <row r="12" spans="1:4" s="173" customFormat="1" ht="33.75" customHeight="1">
      <c r="A12" s="176">
        <v>10</v>
      </c>
      <c r="B12" s="179" t="s">
        <v>14</v>
      </c>
      <c r="C12" s="177" t="s">
        <v>15</v>
      </c>
    </row>
    <row r="13" spans="1:4" ht="33.75" customHeight="1"/>
    <row r="14" spans="1:4" ht="33.75" customHeight="1"/>
    <row r="15" spans="1:4" ht="33.75" customHeight="1">
      <c r="C15" s="180"/>
    </row>
  </sheetData>
  <mergeCells count="2">
    <mergeCell ref="B5:B6"/>
    <mergeCell ref="B8:B11"/>
  </mergeCells>
  <phoneticPr fontId="45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85" zoomScaleNormal="85" workbookViewId="0">
      <selection activeCell="H24" sqref="H24"/>
    </sheetView>
  </sheetViews>
  <sheetFormatPr defaultColWidth="9" defaultRowHeight="16.5"/>
  <cols>
    <col min="1" max="1" width="14" style="43" customWidth="1"/>
    <col min="2" max="2" width="14.125" style="43" customWidth="1"/>
    <col min="3" max="7" width="14.25" style="43" customWidth="1"/>
    <col min="8" max="8" width="13.875" style="43" customWidth="1"/>
    <col min="9" max="9" width="9.25" style="43" customWidth="1"/>
    <col min="10" max="10" width="9.125" style="44" customWidth="1"/>
    <col min="11" max="11" width="9.625" style="44" customWidth="1"/>
    <col min="12" max="16384" width="9" style="43"/>
  </cols>
  <sheetData>
    <row r="1" spans="1:11" ht="29.25" customHeight="1">
      <c r="A1" s="236" t="s">
        <v>190</v>
      </c>
      <c r="B1" s="236"/>
      <c r="C1" s="236"/>
      <c r="D1" s="236"/>
      <c r="E1" s="236"/>
      <c r="F1" s="236"/>
      <c r="G1" s="236"/>
      <c r="H1" s="236"/>
    </row>
    <row r="2" spans="1:11" ht="24" customHeight="1">
      <c r="A2" s="46" t="s">
        <v>191</v>
      </c>
      <c r="E2" s="45"/>
      <c r="F2" s="45"/>
      <c r="G2" s="45"/>
      <c r="H2" s="45"/>
    </row>
    <row r="3" spans="1:11">
      <c r="C3" s="43" t="s">
        <v>192</v>
      </c>
      <c r="D3" s="198" t="s">
        <v>193</v>
      </c>
      <c r="E3" s="47">
        <v>0.03</v>
      </c>
    </row>
    <row r="5" spans="1:11" ht="45" customHeight="1">
      <c r="A5" s="229" t="s">
        <v>194</v>
      </c>
      <c r="B5" s="48" t="s">
        <v>143</v>
      </c>
      <c r="C5" s="196" t="s">
        <v>285</v>
      </c>
      <c r="D5" s="196" t="s">
        <v>285</v>
      </c>
      <c r="E5" s="196" t="s">
        <v>286</v>
      </c>
      <c r="F5" s="196"/>
      <c r="G5" s="196"/>
      <c r="H5" s="233" t="s">
        <v>51</v>
      </c>
    </row>
    <row r="6" spans="1:11" ht="31.5" customHeight="1">
      <c r="A6" s="229"/>
      <c r="B6" s="48" t="s">
        <v>144</v>
      </c>
      <c r="C6" s="197" t="s">
        <v>297</v>
      </c>
      <c r="D6" s="197" t="s">
        <v>298</v>
      </c>
      <c r="E6" s="197" t="s">
        <v>299</v>
      </c>
      <c r="F6" s="197"/>
      <c r="G6" s="197"/>
      <c r="H6" s="234"/>
      <c r="J6" s="44">
        <v>100</v>
      </c>
    </row>
    <row r="7" spans="1:11" ht="32.25" customHeight="1">
      <c r="A7" s="229"/>
      <c r="B7" s="15" t="s">
        <v>195</v>
      </c>
      <c r="C7" s="197" t="s">
        <v>300</v>
      </c>
      <c r="D7" s="197" t="s">
        <v>301</v>
      </c>
      <c r="E7" s="197" t="s">
        <v>302</v>
      </c>
      <c r="F7" s="197"/>
      <c r="G7" s="197"/>
      <c r="H7" s="235"/>
      <c r="I7" s="43">
        <v>2026</v>
      </c>
      <c r="J7" s="44">
        <f>J6*(1-$E$3)</f>
        <v>97</v>
      </c>
      <c r="K7" s="44">
        <f>J7/$J$6</f>
        <v>0.97</v>
      </c>
    </row>
    <row r="8" spans="1:11" ht="33">
      <c r="A8" s="229"/>
      <c r="B8" s="15" t="s">
        <v>196</v>
      </c>
      <c r="C8" s="197">
        <v>1630</v>
      </c>
      <c r="D8" s="197">
        <v>1620</v>
      </c>
      <c r="E8" s="197">
        <v>620</v>
      </c>
      <c r="F8" s="197"/>
      <c r="G8" s="197"/>
      <c r="H8" s="49">
        <f>SUM(C8:G8)</f>
        <v>3870</v>
      </c>
      <c r="I8" s="43">
        <v>2027</v>
      </c>
      <c r="J8" s="44">
        <f>J7*(1-$E$3)</f>
        <v>94.09</v>
      </c>
      <c r="K8" s="44">
        <f>J8/$J$6</f>
        <v>0.94090000000000007</v>
      </c>
    </row>
    <row r="9" spans="1:11" ht="17.25">
      <c r="A9" s="230" t="s">
        <v>197</v>
      </c>
      <c r="B9" s="51" t="s">
        <v>48</v>
      </c>
      <c r="C9" s="182">
        <v>1000</v>
      </c>
      <c r="D9" s="182">
        <v>1000</v>
      </c>
      <c r="E9" s="182">
        <v>2000</v>
      </c>
      <c r="F9" s="182"/>
      <c r="G9" s="182"/>
      <c r="H9" s="49">
        <f>SUM(C9:G9)</f>
        <v>4000</v>
      </c>
      <c r="I9" s="43">
        <v>2028</v>
      </c>
      <c r="J9" s="44">
        <f>J8*(1-E3)</f>
        <v>91.267300000000006</v>
      </c>
      <c r="K9" s="44">
        <f>J9/$J$6</f>
        <v>0.91267300000000007</v>
      </c>
    </row>
    <row r="10" spans="1:11" ht="17.25">
      <c r="A10" s="231"/>
      <c r="B10" s="51" t="s">
        <v>49</v>
      </c>
      <c r="C10" s="182">
        <v>2000</v>
      </c>
      <c r="D10" s="182">
        <v>2000</v>
      </c>
      <c r="E10" s="182">
        <v>4000</v>
      </c>
      <c r="F10" s="182"/>
      <c r="G10" s="182"/>
      <c r="H10" s="49">
        <f t="shared" ref="H10:H15" si="0">SUM(C10:G10)</f>
        <v>8000</v>
      </c>
      <c r="I10" s="43">
        <v>2029</v>
      </c>
      <c r="J10" s="44">
        <f>J9*(1-$E$3)</f>
        <v>88.529280999999997</v>
      </c>
      <c r="K10" s="44">
        <f>J10/$J$6</f>
        <v>0.88529280999999993</v>
      </c>
    </row>
    <row r="11" spans="1:11" ht="17.25">
      <c r="A11" s="231"/>
      <c r="B11" s="51" t="s">
        <v>50</v>
      </c>
      <c r="C11" s="182">
        <v>2000</v>
      </c>
      <c r="D11" s="182">
        <v>2000</v>
      </c>
      <c r="E11" s="182">
        <v>4000</v>
      </c>
      <c r="F11" s="182"/>
      <c r="G11" s="182"/>
      <c r="H11" s="49">
        <f t="shared" si="0"/>
        <v>8000</v>
      </c>
      <c r="I11" s="43">
        <v>2030</v>
      </c>
      <c r="J11" s="44">
        <f>J10*(1-$E$3)</f>
        <v>85.873402569999996</v>
      </c>
      <c r="K11" s="44">
        <f t="shared" ref="K11:K12" si="1">J11/$J$6</f>
        <v>0.85873402570000001</v>
      </c>
    </row>
    <row r="12" spans="1:11" ht="17.25">
      <c r="A12" s="231"/>
      <c r="B12" s="51" t="s">
        <v>185</v>
      </c>
      <c r="C12" s="182">
        <v>2000</v>
      </c>
      <c r="D12" s="182">
        <v>2000</v>
      </c>
      <c r="E12" s="182">
        <v>4000</v>
      </c>
      <c r="F12" s="182"/>
      <c r="G12" s="182"/>
      <c r="H12" s="49">
        <f t="shared" si="0"/>
        <v>8000</v>
      </c>
      <c r="I12" s="43">
        <v>2031</v>
      </c>
      <c r="J12" s="44">
        <f>J11*(1-$E$3)</f>
        <v>83.297200492899989</v>
      </c>
      <c r="K12" s="44">
        <f t="shared" si="1"/>
        <v>0.83297200492899992</v>
      </c>
    </row>
    <row r="13" spans="1:11" ht="17.25">
      <c r="A13" s="231"/>
      <c r="B13" s="51" t="s">
        <v>186</v>
      </c>
      <c r="C13" s="182">
        <v>2000</v>
      </c>
      <c r="D13" s="182">
        <v>2000</v>
      </c>
      <c r="E13" s="182">
        <v>4000</v>
      </c>
      <c r="F13" s="182"/>
      <c r="G13" s="182"/>
      <c r="H13" s="49">
        <f t="shared" si="0"/>
        <v>8000</v>
      </c>
    </row>
    <row r="14" spans="1:11" ht="17.25">
      <c r="A14" s="231"/>
      <c r="B14" s="51" t="s">
        <v>187</v>
      </c>
      <c r="C14" s="50"/>
      <c r="D14" s="50"/>
      <c r="E14" s="50"/>
      <c r="F14" s="50"/>
      <c r="G14" s="50"/>
      <c r="H14" s="49">
        <f t="shared" si="0"/>
        <v>0</v>
      </c>
    </row>
    <row r="15" spans="1:11" ht="17.25">
      <c r="A15" s="232"/>
      <c r="B15" s="51" t="s">
        <v>262</v>
      </c>
      <c r="C15" s="50"/>
      <c r="D15" s="50"/>
      <c r="E15" s="50"/>
      <c r="F15" s="50"/>
      <c r="G15" s="50"/>
      <c r="H15" s="49">
        <f t="shared" si="0"/>
        <v>0</v>
      </c>
    </row>
    <row r="16" spans="1:11" ht="24" customHeight="1">
      <c r="A16" s="228" t="s">
        <v>51</v>
      </c>
      <c r="B16" s="228"/>
      <c r="C16" s="52">
        <f t="shared" ref="C16:H16" si="2">SUM(C9:C15)</f>
        <v>9000</v>
      </c>
      <c r="D16" s="52">
        <f t="shared" si="2"/>
        <v>9000</v>
      </c>
      <c r="E16" s="52">
        <f t="shared" si="2"/>
        <v>18000</v>
      </c>
      <c r="F16" s="52">
        <f t="shared" si="2"/>
        <v>0</v>
      </c>
      <c r="G16" s="52">
        <f t="shared" si="2"/>
        <v>0</v>
      </c>
      <c r="H16" s="52">
        <f t="shared" si="2"/>
        <v>36000</v>
      </c>
    </row>
    <row r="17" spans="1:8" ht="18">
      <c r="A17" s="53"/>
      <c r="B17" s="53"/>
      <c r="C17" s="54"/>
    </row>
    <row r="18" spans="1:8" ht="24.75" customHeight="1">
      <c r="B18" s="189" t="s">
        <v>198</v>
      </c>
      <c r="C18" s="190">
        <f>材料成本!D24</f>
        <v>1243.4641636670585</v>
      </c>
      <c r="D18" s="190">
        <f>材料成本!E24</f>
        <v>1235.6441636670586</v>
      </c>
      <c r="E18" s="190">
        <f>材料成本!F24</f>
        <v>448.49259999999998</v>
      </c>
      <c r="F18" s="190">
        <f>材料成本!G24</f>
        <v>0</v>
      </c>
      <c r="G18" s="190">
        <f>材料成本!H24</f>
        <v>0</v>
      </c>
      <c r="H18" s="191">
        <f>SUM(C18:G18)</f>
        <v>2927.6009273341174</v>
      </c>
    </row>
    <row r="19" spans="1:8" ht="24.75" customHeight="1">
      <c r="B19" s="189" t="s">
        <v>98</v>
      </c>
      <c r="C19" s="190">
        <f>C8-C18</f>
        <v>386.53583633294147</v>
      </c>
      <c r="D19" s="190">
        <f>D8-D18</f>
        <v>384.35583633294141</v>
      </c>
      <c r="E19" s="190">
        <f>E8-E18</f>
        <v>171.50740000000002</v>
      </c>
      <c r="F19" s="190">
        <f>F8-F18</f>
        <v>0</v>
      </c>
      <c r="G19" s="190">
        <f>G8-G18</f>
        <v>0</v>
      </c>
      <c r="H19" s="191">
        <f>SUM(C19:G19)</f>
        <v>942.39907266588284</v>
      </c>
    </row>
    <row r="20" spans="1:8" ht="24.75" customHeight="1">
      <c r="B20" s="189" t="s">
        <v>199</v>
      </c>
      <c r="C20" s="192">
        <f t="shared" ref="C20:H20" si="3">C19/C8</f>
        <v>0.2371385498975101</v>
      </c>
      <c r="D20" s="192">
        <f t="shared" si="3"/>
        <v>0.23725668909440828</v>
      </c>
      <c r="E20" s="192">
        <f t="shared" si="3"/>
        <v>0.27662483870967747</v>
      </c>
      <c r="F20" s="192" t="e">
        <f t="shared" si="3"/>
        <v>#DIV/0!</v>
      </c>
      <c r="G20" s="192" t="e">
        <f t="shared" si="3"/>
        <v>#DIV/0!</v>
      </c>
      <c r="H20" s="192">
        <f t="shared" si="3"/>
        <v>0.243513972265086</v>
      </c>
    </row>
  </sheetData>
  <mergeCells count="5">
    <mergeCell ref="A16:B16"/>
    <mergeCell ref="A5:A8"/>
    <mergeCell ref="A9:A15"/>
    <mergeCell ref="H5:H7"/>
    <mergeCell ref="A1:H1"/>
  </mergeCells>
  <phoneticPr fontId="45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J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9"/>
  <sheetViews>
    <sheetView workbookViewId="0">
      <pane xSplit="3" ySplit="5" topLeftCell="D12" activePane="bottomRight" state="frozen"/>
      <selection pane="topRight"/>
      <selection pane="bottomLeft"/>
      <selection pane="bottomRight" activeCell="D3" sqref="D3:E3"/>
    </sheetView>
  </sheetViews>
  <sheetFormatPr defaultColWidth="9" defaultRowHeight="16.5"/>
  <cols>
    <col min="1" max="2" width="4.375" style="24" customWidth="1"/>
    <col min="3" max="3" width="10" style="24" customWidth="1"/>
    <col min="4" max="9" width="12" style="25" customWidth="1"/>
    <col min="10" max="10" width="12.25" style="24" customWidth="1"/>
    <col min="11" max="11" width="13.25" style="24" customWidth="1"/>
    <col min="12" max="12" width="16" style="24" customWidth="1"/>
    <col min="13" max="16384" width="9" style="24"/>
  </cols>
  <sheetData>
    <row r="1" spans="1:12" s="23" customFormat="1" ht="28.5" customHeight="1">
      <c r="A1" s="237" t="s">
        <v>7</v>
      </c>
      <c r="B1" s="237"/>
      <c r="C1" s="26"/>
      <c r="D1" s="27"/>
      <c r="E1" s="28"/>
      <c r="F1" s="28"/>
      <c r="G1" s="28"/>
      <c r="H1" s="28"/>
      <c r="I1" s="28"/>
      <c r="L1" s="40"/>
    </row>
    <row r="2" spans="1:12" ht="29.25" customHeight="1">
      <c r="A2" s="247" t="s">
        <v>200</v>
      </c>
      <c r="B2" s="247"/>
      <c r="C2" s="247"/>
      <c r="D2" s="247"/>
      <c r="E2" s="247"/>
      <c r="F2" s="244" t="s">
        <v>287</v>
      </c>
      <c r="G2" s="245"/>
      <c r="H2" s="245"/>
      <c r="I2" s="246"/>
    </row>
    <row r="3" spans="1:12">
      <c r="A3" s="253" t="s">
        <v>18</v>
      </c>
      <c r="B3" s="253" t="s">
        <v>201</v>
      </c>
      <c r="C3" s="30" t="s">
        <v>202</v>
      </c>
      <c r="D3" s="238" t="s">
        <v>303</v>
      </c>
      <c r="E3" s="238"/>
      <c r="F3" s="29" t="s">
        <v>203</v>
      </c>
      <c r="G3" s="239"/>
      <c r="H3" s="240"/>
      <c r="I3" s="241" t="s">
        <v>153</v>
      </c>
    </row>
    <row r="4" spans="1:12">
      <c r="A4" s="253"/>
      <c r="B4" s="253"/>
      <c r="C4" s="30" t="s">
        <v>143</v>
      </c>
      <c r="D4" s="31" t="str">
        <f>销量!C5</f>
        <v>驾驶员总成</v>
      </c>
      <c r="E4" s="31" t="str">
        <f>销量!D5</f>
        <v>驾驶员总成</v>
      </c>
      <c r="F4" s="31" t="str">
        <f>销量!E5</f>
        <v>前座总成</v>
      </c>
      <c r="G4" s="31">
        <f>销量!F5</f>
        <v>0</v>
      </c>
      <c r="H4" s="31">
        <f>销量!G5</f>
        <v>0</v>
      </c>
      <c r="I4" s="242"/>
    </row>
    <row r="5" spans="1:12" ht="28.5">
      <c r="A5" s="253"/>
      <c r="B5" s="253"/>
      <c r="C5" s="30" t="s">
        <v>144</v>
      </c>
      <c r="D5" s="31" t="str">
        <f>销量!C6</f>
        <v>6800010MH13J/A</v>
      </c>
      <c r="E5" s="31" t="str">
        <f>销量!D6</f>
        <v>6800010NH13J/A</v>
      </c>
      <c r="F5" s="31" t="str">
        <f>销量!E6</f>
        <v>6900010TH13J/A</v>
      </c>
      <c r="G5" s="31">
        <f>销量!F6</f>
        <v>0</v>
      </c>
      <c r="H5" s="31">
        <f>销量!G6</f>
        <v>0</v>
      </c>
      <c r="I5" s="243"/>
    </row>
    <row r="6" spans="1:12">
      <c r="A6" s="33">
        <v>1</v>
      </c>
      <c r="B6" s="248" t="s">
        <v>204</v>
      </c>
      <c r="C6" s="249"/>
      <c r="D6" s="34"/>
      <c r="E6" s="32"/>
      <c r="F6" s="32"/>
      <c r="G6" s="32"/>
      <c r="H6" s="32"/>
      <c r="I6" s="41"/>
    </row>
    <row r="7" spans="1:12">
      <c r="A7" s="33">
        <v>2</v>
      </c>
      <c r="B7" s="248" t="s">
        <v>205</v>
      </c>
      <c r="C7" s="249"/>
      <c r="D7" s="34"/>
      <c r="E7" s="32"/>
      <c r="F7" s="32"/>
      <c r="G7" s="32"/>
      <c r="H7" s="32"/>
      <c r="I7" s="41"/>
    </row>
    <row r="8" spans="1:12">
      <c r="A8" s="33">
        <v>3</v>
      </c>
      <c r="B8" s="248" t="s">
        <v>206</v>
      </c>
      <c r="C8" s="249"/>
      <c r="D8" s="34"/>
      <c r="E8" s="34"/>
      <c r="F8" s="34"/>
      <c r="G8" s="34"/>
      <c r="H8" s="34"/>
      <c r="I8" s="41"/>
    </row>
    <row r="9" spans="1:12">
      <c r="A9" s="33">
        <v>4</v>
      </c>
      <c r="B9" s="248" t="s">
        <v>207</v>
      </c>
      <c r="C9" s="249"/>
      <c r="D9" s="34"/>
      <c r="E9" s="32"/>
      <c r="F9" s="32"/>
      <c r="G9" s="32"/>
      <c r="H9" s="32"/>
      <c r="I9" s="41"/>
    </row>
    <row r="10" spans="1:12">
      <c r="A10" s="33">
        <v>5</v>
      </c>
      <c r="B10" s="248" t="s">
        <v>208</v>
      </c>
      <c r="C10" s="249"/>
      <c r="D10" s="34"/>
      <c r="E10" s="32"/>
      <c r="F10" s="32"/>
      <c r="G10" s="32"/>
      <c r="H10" s="32"/>
      <c r="I10" s="41"/>
    </row>
    <row r="11" spans="1:12">
      <c r="A11" s="33">
        <v>6</v>
      </c>
      <c r="B11" s="248" t="s">
        <v>209</v>
      </c>
      <c r="C11" s="249"/>
      <c r="D11" s="34"/>
      <c r="E11" s="32"/>
      <c r="F11" s="32"/>
      <c r="G11" s="32"/>
      <c r="H11" s="32"/>
      <c r="I11" s="41"/>
    </row>
    <row r="12" spans="1:12">
      <c r="A12" s="33">
        <v>7</v>
      </c>
      <c r="B12" s="248" t="s">
        <v>210</v>
      </c>
      <c r="C12" s="249"/>
      <c r="D12" s="34"/>
      <c r="E12" s="32"/>
      <c r="F12" s="32"/>
      <c r="G12" s="32"/>
      <c r="H12" s="32"/>
      <c r="I12" s="41"/>
    </row>
    <row r="13" spans="1:12">
      <c r="A13" s="33">
        <v>8</v>
      </c>
      <c r="B13" s="248" t="s">
        <v>211</v>
      </c>
      <c r="C13" s="249"/>
      <c r="D13" s="34"/>
      <c r="E13" s="32"/>
      <c r="F13" s="32"/>
      <c r="G13" s="32"/>
      <c r="H13" s="32"/>
      <c r="I13" s="41"/>
    </row>
    <row r="14" spans="1:12">
      <c r="A14" s="33">
        <v>9</v>
      </c>
      <c r="B14" s="248" t="s">
        <v>212</v>
      </c>
      <c r="C14" s="249"/>
      <c r="D14" s="34"/>
      <c r="E14" s="32"/>
      <c r="F14" s="32"/>
      <c r="G14" s="32"/>
      <c r="H14" s="32"/>
      <c r="I14" s="41"/>
    </row>
    <row r="15" spans="1:12">
      <c r="A15" s="33">
        <v>10</v>
      </c>
      <c r="B15" s="248" t="s">
        <v>213</v>
      </c>
      <c r="C15" s="249"/>
      <c r="D15" s="34"/>
      <c r="E15" s="32"/>
      <c r="F15" s="32"/>
      <c r="G15" s="32"/>
      <c r="H15" s="32"/>
      <c r="I15" s="41"/>
    </row>
    <row r="16" spans="1:12">
      <c r="A16" s="33">
        <v>11</v>
      </c>
      <c r="B16" s="248" t="s">
        <v>214</v>
      </c>
      <c r="C16" s="249"/>
      <c r="D16" s="34"/>
      <c r="E16" s="32"/>
      <c r="F16" s="32"/>
      <c r="G16" s="32"/>
      <c r="H16" s="32"/>
      <c r="I16" s="41"/>
    </row>
    <row r="17" spans="1:9">
      <c r="A17" s="33">
        <v>12</v>
      </c>
      <c r="B17" s="248" t="s">
        <v>215</v>
      </c>
      <c r="C17" s="249"/>
      <c r="D17" s="34"/>
      <c r="E17" s="32"/>
      <c r="F17" s="32"/>
      <c r="G17" s="32"/>
      <c r="H17" s="32"/>
      <c r="I17" s="41"/>
    </row>
    <row r="18" spans="1:9">
      <c r="A18" s="33">
        <v>13</v>
      </c>
      <c r="B18" s="248" t="s">
        <v>216</v>
      </c>
      <c r="C18" s="249"/>
      <c r="D18" s="34"/>
      <c r="E18" s="32"/>
      <c r="F18" s="32"/>
      <c r="G18" s="32"/>
      <c r="H18" s="32"/>
      <c r="I18" s="41"/>
    </row>
    <row r="19" spans="1:9">
      <c r="A19" s="33">
        <v>14</v>
      </c>
      <c r="B19" s="248" t="s">
        <v>217</v>
      </c>
      <c r="C19" s="249"/>
      <c r="D19" s="34"/>
      <c r="E19" s="32"/>
      <c r="F19" s="32"/>
      <c r="G19" s="32"/>
      <c r="H19" s="32"/>
      <c r="I19" s="41"/>
    </row>
    <row r="20" spans="1:9">
      <c r="A20" s="33">
        <v>15</v>
      </c>
      <c r="B20" s="248" t="s">
        <v>218</v>
      </c>
      <c r="C20" s="249"/>
      <c r="D20" s="34"/>
      <c r="E20" s="32"/>
      <c r="F20" s="32"/>
      <c r="G20" s="32"/>
      <c r="H20" s="32"/>
      <c r="I20" s="41"/>
    </row>
    <row r="21" spans="1:9">
      <c r="A21" s="33">
        <v>16</v>
      </c>
      <c r="B21" s="248" t="s">
        <v>219</v>
      </c>
      <c r="C21" s="249"/>
      <c r="D21" s="34"/>
      <c r="E21" s="32"/>
      <c r="F21" s="32"/>
      <c r="G21" s="32"/>
      <c r="H21" s="32"/>
      <c r="I21" s="41"/>
    </row>
    <row r="22" spans="1:9">
      <c r="A22" s="33">
        <v>17</v>
      </c>
      <c r="B22" s="248" t="s">
        <v>36</v>
      </c>
      <c r="C22" s="249"/>
      <c r="D22" s="34"/>
      <c r="E22" s="32"/>
      <c r="F22" s="32"/>
      <c r="G22" s="32"/>
      <c r="H22" s="32"/>
      <c r="I22" s="41"/>
    </row>
    <row r="23" spans="1:9">
      <c r="A23" s="33">
        <v>18</v>
      </c>
      <c r="B23" s="248" t="s">
        <v>220</v>
      </c>
      <c r="C23" s="249"/>
      <c r="D23" s="35">
        <v>1243.4641636670585</v>
      </c>
      <c r="E23" s="35">
        <v>1235.6441636670586</v>
      </c>
      <c r="F23" s="35">
        <v>448.49259999999998</v>
      </c>
      <c r="G23" s="36"/>
      <c r="H23" s="37"/>
      <c r="I23" s="42"/>
    </row>
    <row r="24" spans="1:9" ht="31.5" customHeight="1">
      <c r="A24" s="250" t="s">
        <v>221</v>
      </c>
      <c r="B24" s="251"/>
      <c r="C24" s="252"/>
      <c r="D24" s="38">
        <f>SUM(D6:D23)</f>
        <v>1243.4641636670585</v>
      </c>
      <c r="E24" s="38">
        <f>SUM(E6:E23)</f>
        <v>1235.6441636670586</v>
      </c>
      <c r="F24" s="38">
        <f>SUM(F6:F23)</f>
        <v>448.49259999999998</v>
      </c>
      <c r="G24" s="38">
        <f>SUM(G6:G23)</f>
        <v>0</v>
      </c>
      <c r="H24" s="38">
        <f>SUM(H6:H23)</f>
        <v>0</v>
      </c>
      <c r="I24" s="42"/>
    </row>
    <row r="25" spans="1:9" ht="20.25" customHeight="1">
      <c r="C25" s="24" t="s">
        <v>49</v>
      </c>
      <c r="D25" s="39">
        <f>D24*0.97</f>
        <v>1206.1602387570467</v>
      </c>
      <c r="E25" s="39">
        <f t="shared" ref="E25:H28" si="0">E24*0.97</f>
        <v>1198.5748387570468</v>
      </c>
      <c r="F25" s="39">
        <f t="shared" si="0"/>
        <v>435.03782199999995</v>
      </c>
      <c r="G25" s="39">
        <f t="shared" si="0"/>
        <v>0</v>
      </c>
      <c r="H25" s="39">
        <f t="shared" si="0"/>
        <v>0</v>
      </c>
    </row>
    <row r="26" spans="1:9" ht="20.25" customHeight="1">
      <c r="C26" s="24" t="s">
        <v>50</v>
      </c>
      <c r="D26" s="39">
        <f t="shared" ref="D26:D28" si="1">D25*0.97</f>
        <v>1169.9754315943353</v>
      </c>
      <c r="E26" s="39">
        <f t="shared" si="0"/>
        <v>1162.6175935943354</v>
      </c>
      <c r="F26" s="39">
        <f t="shared" si="0"/>
        <v>421.98668733999995</v>
      </c>
      <c r="G26" s="39">
        <f t="shared" si="0"/>
        <v>0</v>
      </c>
      <c r="H26" s="39">
        <f t="shared" si="0"/>
        <v>0</v>
      </c>
    </row>
    <row r="27" spans="1:9" ht="20.25" customHeight="1">
      <c r="C27" s="24" t="s">
        <v>185</v>
      </c>
      <c r="D27" s="39">
        <f t="shared" si="1"/>
        <v>1134.8761686465052</v>
      </c>
      <c r="E27" s="39">
        <f t="shared" si="0"/>
        <v>1127.7390657865053</v>
      </c>
      <c r="F27" s="39">
        <f t="shared" si="0"/>
        <v>409.32708671979992</v>
      </c>
      <c r="G27" s="39">
        <f t="shared" si="0"/>
        <v>0</v>
      </c>
      <c r="H27" s="39">
        <f t="shared" si="0"/>
        <v>0</v>
      </c>
    </row>
    <row r="28" spans="1:9" ht="20.25" customHeight="1">
      <c r="C28" s="24" t="s">
        <v>186</v>
      </c>
      <c r="D28" s="39">
        <f t="shared" si="1"/>
        <v>1100.8298835871101</v>
      </c>
      <c r="E28" s="39">
        <f t="shared" si="0"/>
        <v>1093.9068938129101</v>
      </c>
      <c r="F28" s="39">
        <f t="shared" si="0"/>
        <v>397.04727411820591</v>
      </c>
      <c r="G28" s="39">
        <f t="shared" si="0"/>
        <v>0</v>
      </c>
      <c r="H28" s="39">
        <f t="shared" si="0"/>
        <v>0</v>
      </c>
    </row>
    <row r="29" spans="1:9" ht="20.25" customHeight="1">
      <c r="C29" s="24" t="s">
        <v>187</v>
      </c>
    </row>
  </sheetData>
  <mergeCells count="27"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D3:E3"/>
    <mergeCell ref="G3:H3"/>
    <mergeCell ref="I3:I5"/>
    <mergeCell ref="F2:I2"/>
    <mergeCell ref="A2:E2"/>
  </mergeCells>
  <phoneticPr fontId="45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8" sqref="D8"/>
    </sheetView>
  </sheetViews>
  <sheetFormatPr defaultColWidth="9" defaultRowHeight="13.5"/>
  <cols>
    <col min="1" max="1" width="5.75" style="16" customWidth="1"/>
    <col min="2" max="2" width="29.625" style="16" customWidth="1"/>
    <col min="3" max="3" width="25.5" style="16" customWidth="1"/>
    <col min="4" max="4" width="22" style="16" customWidth="1"/>
    <col min="5" max="16384" width="9" style="16"/>
  </cols>
  <sheetData>
    <row r="1" spans="1:4" ht="39.75" customHeight="1">
      <c r="A1" s="17" t="s">
        <v>18</v>
      </c>
      <c r="B1" s="17" t="s">
        <v>222</v>
      </c>
      <c r="C1" s="17" t="s">
        <v>223</v>
      </c>
      <c r="D1" s="17" t="s">
        <v>224</v>
      </c>
    </row>
    <row r="2" spans="1:4" ht="25.5" customHeight="1">
      <c r="A2" s="17">
        <v>1</v>
      </c>
      <c r="B2" s="18" t="s">
        <v>225</v>
      </c>
      <c r="C2" s="19" t="s">
        <v>284</v>
      </c>
      <c r="D2" s="185"/>
    </row>
    <row r="3" spans="1:4" ht="24" customHeight="1">
      <c r="A3" s="17">
        <v>2</v>
      </c>
      <c r="B3" s="18" t="s">
        <v>226</v>
      </c>
      <c r="C3" s="20" t="s">
        <v>284</v>
      </c>
      <c r="D3" s="185" t="s">
        <v>227</v>
      </c>
    </row>
    <row r="4" spans="1:4" ht="19.5" customHeight="1">
      <c r="A4" s="17">
        <v>3</v>
      </c>
      <c r="B4" s="18" t="s">
        <v>228</v>
      </c>
      <c r="C4" s="19" t="s">
        <v>229</v>
      </c>
      <c r="D4" s="185" t="s">
        <v>288</v>
      </c>
    </row>
    <row r="5" spans="1:4" ht="21" customHeight="1">
      <c r="A5" s="17">
        <v>4</v>
      </c>
      <c r="B5" s="18" t="s">
        <v>230</v>
      </c>
      <c r="C5" s="19" t="s">
        <v>289</v>
      </c>
      <c r="D5" s="185"/>
    </row>
    <row r="6" spans="1:4" ht="21" customHeight="1">
      <c r="A6" s="17">
        <v>5</v>
      </c>
      <c r="B6" s="18" t="s">
        <v>231</v>
      </c>
      <c r="C6" s="19" t="s">
        <v>290</v>
      </c>
      <c r="D6" s="185"/>
    </row>
    <row r="7" spans="1:4" ht="27.75" customHeight="1">
      <c r="A7" s="17">
        <v>6</v>
      </c>
      <c r="B7" s="17" t="s">
        <v>232</v>
      </c>
      <c r="C7" s="20" t="s">
        <v>173</v>
      </c>
      <c r="D7" s="185"/>
    </row>
    <row r="8" spans="1:4" ht="25.5" customHeight="1">
      <c r="A8" s="17">
        <v>7</v>
      </c>
      <c r="B8" s="18" t="s">
        <v>233</v>
      </c>
      <c r="C8" s="21" t="s">
        <v>234</v>
      </c>
      <c r="D8" s="185"/>
    </row>
    <row r="9" spans="1:4" ht="25.5" customHeight="1">
      <c r="A9" s="17">
        <v>8</v>
      </c>
      <c r="B9" s="17" t="s">
        <v>235</v>
      </c>
      <c r="C9" s="21" t="s">
        <v>291</v>
      </c>
      <c r="D9" s="185"/>
    </row>
    <row r="10" spans="1:4" ht="25.5" customHeight="1">
      <c r="A10" s="17">
        <v>9</v>
      </c>
      <c r="B10" s="17" t="s">
        <v>236</v>
      </c>
      <c r="C10" s="21" t="s">
        <v>292</v>
      </c>
      <c r="D10" s="185"/>
    </row>
    <row r="11" spans="1:4" ht="25.5" customHeight="1">
      <c r="A11" s="17">
        <v>10</v>
      </c>
      <c r="B11" s="17" t="s">
        <v>237</v>
      </c>
      <c r="C11" s="21" t="s">
        <v>291</v>
      </c>
      <c r="D11" s="185" t="s">
        <v>238</v>
      </c>
    </row>
    <row r="12" spans="1:4" ht="25.5" customHeight="1">
      <c r="A12" s="17">
        <v>11</v>
      </c>
      <c r="B12" s="17" t="s">
        <v>239</v>
      </c>
      <c r="C12" s="21" t="s">
        <v>291</v>
      </c>
      <c r="D12" s="185"/>
    </row>
    <row r="13" spans="1:4" ht="24" customHeight="1">
      <c r="A13" s="17">
        <v>12</v>
      </c>
      <c r="B13" s="18" t="s">
        <v>240</v>
      </c>
      <c r="C13" s="21" t="s">
        <v>241</v>
      </c>
      <c r="D13" s="185"/>
    </row>
    <row r="14" spans="1:4" ht="24" customHeight="1">
      <c r="A14" s="17">
        <v>13</v>
      </c>
      <c r="B14" s="18" t="s">
        <v>242</v>
      </c>
      <c r="C14" s="21" t="s">
        <v>293</v>
      </c>
      <c r="D14" s="185"/>
    </row>
    <row r="15" spans="1:4" ht="24" customHeight="1">
      <c r="A15" s="17">
        <v>14</v>
      </c>
      <c r="B15" s="18" t="s">
        <v>243</v>
      </c>
      <c r="C15" s="21" t="s">
        <v>294</v>
      </c>
      <c r="D15" s="185"/>
    </row>
    <row r="16" spans="1:4" ht="24" customHeight="1">
      <c r="A16" s="17">
        <v>15</v>
      </c>
      <c r="B16" s="17" t="s">
        <v>36</v>
      </c>
      <c r="C16" s="17"/>
      <c r="D16" s="17"/>
    </row>
    <row r="17" spans="2:2" ht="16.5">
      <c r="B17" s="22" t="s">
        <v>244</v>
      </c>
    </row>
  </sheetData>
  <phoneticPr fontId="4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62"/>
  <sheetViews>
    <sheetView topLeftCell="B1" zoomScale="85" zoomScaleNormal="85" workbookViewId="0">
      <selection activeCell="I23" sqref="I23"/>
    </sheetView>
  </sheetViews>
  <sheetFormatPr defaultColWidth="9" defaultRowHeight="13.5"/>
  <cols>
    <col min="1" max="2" width="9" style="2"/>
    <col min="3" max="4" width="12.625" style="2" customWidth="1"/>
    <col min="5" max="5" width="11.5" style="2" customWidth="1"/>
    <col min="6" max="7" width="11.125" style="2" customWidth="1"/>
    <col min="8" max="8" width="14.5" style="2" customWidth="1"/>
    <col min="9" max="9" width="16.125" style="3" customWidth="1"/>
    <col min="10" max="16384" width="9" style="2"/>
  </cols>
  <sheetData>
    <row r="1" spans="1:11" s="1" customFormat="1" ht="18.75" customHeight="1">
      <c r="G1" s="254" t="s">
        <v>245</v>
      </c>
      <c r="H1" s="254"/>
      <c r="I1" s="15" t="str">
        <f>销量!C6</f>
        <v>6800010MH13J/A</v>
      </c>
    </row>
    <row r="2" spans="1:11" ht="39" customHeight="1">
      <c r="A2" s="259" t="s">
        <v>246</v>
      </c>
      <c r="B2" s="259"/>
      <c r="C2" s="255" t="s">
        <v>280</v>
      </c>
      <c r="D2" s="256"/>
      <c r="E2" s="256"/>
      <c r="F2" s="256"/>
      <c r="G2" s="256"/>
      <c r="H2" s="257"/>
      <c r="I2" s="3" t="s">
        <v>247</v>
      </c>
    </row>
    <row r="3" spans="1:11" ht="34.5" customHeight="1">
      <c r="A3" s="259"/>
      <c r="B3" s="259"/>
      <c r="C3" s="4" t="s">
        <v>248</v>
      </c>
      <c r="D3" s="4" t="s">
        <v>249</v>
      </c>
      <c r="E3" s="4" t="s">
        <v>250</v>
      </c>
      <c r="F3" s="5" t="s">
        <v>251</v>
      </c>
      <c r="G3" s="5" t="s">
        <v>252</v>
      </c>
      <c r="H3" s="181" t="s">
        <v>261</v>
      </c>
      <c r="I3" s="14">
        <f>销量!C8</f>
        <v>1630</v>
      </c>
      <c r="K3" s="195" t="s">
        <v>279</v>
      </c>
    </row>
    <row r="4" spans="1:11" ht="24" customHeight="1">
      <c r="A4" s="258" t="s">
        <v>254</v>
      </c>
      <c r="B4" s="258"/>
      <c r="C4" s="7"/>
      <c r="D4" s="8"/>
      <c r="E4" s="9">
        <f>$I$3*H4</f>
        <v>20.048999999999999</v>
      </c>
      <c r="F4" s="9"/>
      <c r="G4" s="9"/>
      <c r="H4" s="10">
        <v>1.23E-2</v>
      </c>
      <c r="K4" s="3">
        <v>2.93E-2</v>
      </c>
    </row>
    <row r="5" spans="1:11" ht="24" customHeight="1">
      <c r="A5" s="258" t="s">
        <v>255</v>
      </c>
      <c r="B5" s="6" t="s">
        <v>256</v>
      </c>
      <c r="C5" s="7"/>
      <c r="D5" s="8"/>
      <c r="E5" s="9">
        <f>$I$3*H5</f>
        <v>59.658000000000001</v>
      </c>
      <c r="F5" s="9"/>
      <c r="G5" s="9"/>
      <c r="H5" s="10">
        <v>3.6600000000000001E-2</v>
      </c>
      <c r="K5" s="3">
        <v>6.4699999999999994E-2</v>
      </c>
    </row>
    <row r="6" spans="1:11" ht="24" customHeight="1">
      <c r="A6" s="258"/>
      <c r="B6" s="6" t="s">
        <v>257</v>
      </c>
      <c r="C6" s="7"/>
      <c r="D6" s="8"/>
      <c r="E6" s="9">
        <f t="shared" ref="E6:E11" si="0">$I$3*H6</f>
        <v>18.093</v>
      </c>
      <c r="F6" s="9"/>
      <c r="G6" s="9"/>
      <c r="H6" s="10">
        <v>1.11E-2</v>
      </c>
      <c r="K6" s="3">
        <v>8.6999999999999994E-3</v>
      </c>
    </row>
    <row r="7" spans="1:11" ht="24" customHeight="1">
      <c r="A7" s="255" t="s">
        <v>258</v>
      </c>
      <c r="B7" s="257"/>
      <c r="C7" s="11"/>
      <c r="D7" s="12"/>
      <c r="E7" s="9">
        <f t="shared" si="0"/>
        <v>97.8</v>
      </c>
      <c r="F7" s="9"/>
      <c r="G7" s="9"/>
      <c r="H7" s="13">
        <f>SUM(H4:H6)</f>
        <v>0.06</v>
      </c>
      <c r="K7" s="3"/>
    </row>
    <row r="8" spans="1:11" ht="24" customHeight="1">
      <c r="A8" s="258" t="s">
        <v>81</v>
      </c>
      <c r="B8" s="258"/>
      <c r="C8" s="7"/>
      <c r="D8" s="8"/>
      <c r="E8" s="9">
        <f t="shared" si="0"/>
        <v>52.649000000000001</v>
      </c>
      <c r="F8" s="9"/>
      <c r="G8" s="9"/>
      <c r="H8" s="10">
        <v>3.2300000000000002E-2</v>
      </c>
      <c r="I8" s="3">
        <v>6.3200000000000006E-2</v>
      </c>
      <c r="J8" s="199" t="s">
        <v>296</v>
      </c>
      <c r="K8" s="3">
        <v>2.0500000000000001E-2</v>
      </c>
    </row>
    <row r="9" spans="1:11" ht="24" customHeight="1">
      <c r="A9" s="260" t="s">
        <v>259</v>
      </c>
      <c r="B9" s="6" t="s">
        <v>256</v>
      </c>
      <c r="C9" s="7"/>
      <c r="D9" s="8"/>
      <c r="E9" s="9">
        <f t="shared" si="0"/>
        <v>13.691999999999998</v>
      </c>
      <c r="F9" s="9"/>
      <c r="G9" s="9"/>
      <c r="H9" s="10">
        <v>8.3999999999999995E-3</v>
      </c>
      <c r="K9" s="3">
        <v>1.37E-2</v>
      </c>
    </row>
    <row r="10" spans="1:11" ht="24" customHeight="1">
      <c r="A10" s="261"/>
      <c r="B10" s="6" t="s">
        <v>257</v>
      </c>
      <c r="C10" s="7"/>
      <c r="D10" s="8"/>
      <c r="E10" s="9">
        <f t="shared" si="0"/>
        <v>26.080000000000002</v>
      </c>
      <c r="F10" s="9"/>
      <c r="G10" s="9"/>
      <c r="H10" s="10">
        <v>1.6E-2</v>
      </c>
      <c r="K10" s="3">
        <v>4.1200000000000001E-2</v>
      </c>
    </row>
    <row r="11" spans="1:11" ht="24" customHeight="1">
      <c r="A11" s="258" t="s">
        <v>84</v>
      </c>
      <c r="B11" s="258"/>
      <c r="C11" s="7"/>
      <c r="D11" s="8"/>
      <c r="E11" s="9">
        <f t="shared" si="0"/>
        <v>57.864999999999995</v>
      </c>
      <c r="F11" s="9"/>
      <c r="G11" s="9"/>
      <c r="H11" s="10">
        <v>3.5499999999999997E-2</v>
      </c>
      <c r="I11" s="3">
        <v>-1.2999999999999999E-3</v>
      </c>
      <c r="J11" s="194" t="s">
        <v>295</v>
      </c>
      <c r="K11" s="3">
        <v>4.36E-2</v>
      </c>
    </row>
    <row r="13" spans="1:11" s="1" customFormat="1" ht="18.75" customHeight="1">
      <c r="G13" s="254" t="s">
        <v>245</v>
      </c>
      <c r="H13" s="254"/>
      <c r="I13" s="15" t="str">
        <f>销量!D6</f>
        <v>6800010NH13J/A</v>
      </c>
    </row>
    <row r="14" spans="1:11" ht="39" customHeight="1">
      <c r="A14" s="259" t="s">
        <v>246</v>
      </c>
      <c r="B14" s="259"/>
      <c r="C14" s="255" t="str">
        <f>C2</f>
        <v>长春工厂平均值</v>
      </c>
      <c r="D14" s="256"/>
      <c r="E14" s="256"/>
      <c r="F14" s="256"/>
      <c r="G14" s="256"/>
      <c r="H14" s="257"/>
      <c r="I14" s="3" t="s">
        <v>247</v>
      </c>
    </row>
    <row r="15" spans="1:11" ht="34.5" customHeight="1">
      <c r="A15" s="259"/>
      <c r="B15" s="259"/>
      <c r="C15" s="4" t="s">
        <v>248</v>
      </c>
      <c r="D15" s="4" t="s">
        <v>249</v>
      </c>
      <c r="E15" s="4" t="s">
        <v>250</v>
      </c>
      <c r="F15" s="5" t="s">
        <v>251</v>
      </c>
      <c r="G15" s="5" t="s">
        <v>252</v>
      </c>
      <c r="H15" s="5" t="s">
        <v>253</v>
      </c>
      <c r="I15" s="14">
        <f>销量!D8</f>
        <v>1620</v>
      </c>
    </row>
    <row r="16" spans="1:11" ht="24" customHeight="1">
      <c r="A16" s="258" t="s">
        <v>254</v>
      </c>
      <c r="B16" s="258"/>
      <c r="C16" s="7"/>
      <c r="D16" s="8"/>
      <c r="E16" s="9">
        <f>$I$15*H16</f>
        <v>19.926000000000002</v>
      </c>
      <c r="F16" s="9"/>
      <c r="G16" s="9"/>
      <c r="H16" s="10">
        <f t="shared" ref="H16:H23" si="1">H4</f>
        <v>1.23E-2</v>
      </c>
    </row>
    <row r="17" spans="1:9" ht="24" customHeight="1">
      <c r="A17" s="258" t="s">
        <v>255</v>
      </c>
      <c r="B17" s="6" t="s">
        <v>256</v>
      </c>
      <c r="C17" s="7"/>
      <c r="D17" s="8"/>
      <c r="E17" s="9">
        <f t="shared" ref="E17:E23" si="2">$I$15*H17</f>
        <v>59.292000000000002</v>
      </c>
      <c r="F17" s="9"/>
      <c r="G17" s="9"/>
      <c r="H17" s="10">
        <f t="shared" si="1"/>
        <v>3.6600000000000001E-2</v>
      </c>
    </row>
    <row r="18" spans="1:9" ht="24" customHeight="1">
      <c r="A18" s="258"/>
      <c r="B18" s="6" t="s">
        <v>257</v>
      </c>
      <c r="C18" s="7"/>
      <c r="D18" s="8"/>
      <c r="E18" s="9">
        <f t="shared" si="2"/>
        <v>17.981999999999999</v>
      </c>
      <c r="F18" s="9"/>
      <c r="G18" s="9"/>
      <c r="H18" s="10">
        <f t="shared" si="1"/>
        <v>1.11E-2</v>
      </c>
    </row>
    <row r="19" spans="1:9" ht="24" customHeight="1">
      <c r="A19" s="255" t="s">
        <v>258</v>
      </c>
      <c r="B19" s="257"/>
      <c r="C19" s="11"/>
      <c r="D19" s="12"/>
      <c r="E19" s="9">
        <f t="shared" si="2"/>
        <v>97.2</v>
      </c>
      <c r="F19" s="9"/>
      <c r="G19" s="9"/>
      <c r="H19" s="13">
        <f t="shared" si="1"/>
        <v>0.06</v>
      </c>
    </row>
    <row r="20" spans="1:9" ht="24" customHeight="1">
      <c r="A20" s="258" t="s">
        <v>81</v>
      </c>
      <c r="B20" s="258"/>
      <c r="C20" s="7"/>
      <c r="D20" s="8"/>
      <c r="E20" s="9">
        <f t="shared" si="2"/>
        <v>52.326000000000001</v>
      </c>
      <c r="F20" s="9"/>
      <c r="G20" s="9"/>
      <c r="H20" s="10">
        <f t="shared" si="1"/>
        <v>3.2300000000000002E-2</v>
      </c>
    </row>
    <row r="21" spans="1:9" ht="24" customHeight="1">
      <c r="A21" s="260" t="s">
        <v>259</v>
      </c>
      <c r="B21" s="6" t="s">
        <v>256</v>
      </c>
      <c r="C21" s="7"/>
      <c r="D21" s="8"/>
      <c r="E21" s="9">
        <f t="shared" si="2"/>
        <v>13.607999999999999</v>
      </c>
      <c r="F21" s="9"/>
      <c r="G21" s="9"/>
      <c r="H21" s="10">
        <f t="shared" si="1"/>
        <v>8.3999999999999995E-3</v>
      </c>
    </row>
    <row r="22" spans="1:9" ht="24" customHeight="1">
      <c r="A22" s="261"/>
      <c r="B22" s="6" t="s">
        <v>257</v>
      </c>
      <c r="C22" s="7"/>
      <c r="D22" s="8"/>
      <c r="E22" s="9">
        <f t="shared" si="2"/>
        <v>25.92</v>
      </c>
      <c r="F22" s="9"/>
      <c r="G22" s="9"/>
      <c r="H22" s="10">
        <f t="shared" si="1"/>
        <v>1.6E-2</v>
      </c>
    </row>
    <row r="23" spans="1:9" ht="24" customHeight="1">
      <c r="A23" s="258" t="s">
        <v>84</v>
      </c>
      <c r="B23" s="258"/>
      <c r="C23" s="7"/>
      <c r="D23" s="8"/>
      <c r="E23" s="9">
        <f t="shared" si="2"/>
        <v>57.51</v>
      </c>
      <c r="F23" s="9"/>
      <c r="G23" s="9"/>
      <c r="H23" s="10">
        <f t="shared" si="1"/>
        <v>3.5499999999999997E-2</v>
      </c>
    </row>
    <row r="26" spans="1:9" s="1" customFormat="1" ht="18.75" customHeight="1">
      <c r="G26" s="254" t="s">
        <v>245</v>
      </c>
      <c r="H26" s="254"/>
      <c r="I26" s="15" t="str">
        <f>销量!E6</f>
        <v>6900010TH13J/A</v>
      </c>
    </row>
    <row r="27" spans="1:9" ht="39" customHeight="1">
      <c r="A27" s="259" t="s">
        <v>246</v>
      </c>
      <c r="B27" s="259"/>
      <c r="C27" s="255" t="str">
        <f>C2</f>
        <v>长春工厂平均值</v>
      </c>
      <c r="D27" s="256"/>
      <c r="E27" s="256"/>
      <c r="F27" s="256"/>
      <c r="G27" s="256"/>
      <c r="H27" s="257"/>
      <c r="I27" s="3" t="s">
        <v>247</v>
      </c>
    </row>
    <row r="28" spans="1:9" ht="34.5" customHeight="1">
      <c r="A28" s="259"/>
      <c r="B28" s="259"/>
      <c r="C28" s="4" t="s">
        <v>248</v>
      </c>
      <c r="D28" s="4" t="s">
        <v>249</v>
      </c>
      <c r="E28" s="4" t="s">
        <v>250</v>
      </c>
      <c r="F28" s="5" t="s">
        <v>251</v>
      </c>
      <c r="G28" s="5" t="s">
        <v>252</v>
      </c>
      <c r="H28" s="5" t="s">
        <v>253</v>
      </c>
      <c r="I28" s="14">
        <f>材料成本!F23</f>
        <v>448.49259999999998</v>
      </c>
    </row>
    <row r="29" spans="1:9" ht="24" customHeight="1">
      <c r="A29" s="258" t="s">
        <v>254</v>
      </c>
      <c r="B29" s="258"/>
      <c r="C29" s="7"/>
      <c r="D29" s="8"/>
      <c r="E29" s="9">
        <f>$I$28*H29</f>
        <v>5.5164589799999995</v>
      </c>
      <c r="F29" s="9"/>
      <c r="G29" s="9"/>
      <c r="H29" s="10">
        <f t="shared" ref="H29:H36" si="3">H4</f>
        <v>1.23E-2</v>
      </c>
    </row>
    <row r="30" spans="1:9" ht="24" customHeight="1">
      <c r="A30" s="258" t="s">
        <v>255</v>
      </c>
      <c r="B30" s="6" t="s">
        <v>256</v>
      </c>
      <c r="C30" s="7"/>
      <c r="D30" s="8"/>
      <c r="E30" s="9">
        <f t="shared" ref="E30:E36" si="4">$I$28*H30</f>
        <v>16.41482916</v>
      </c>
      <c r="F30" s="9"/>
      <c r="G30" s="9"/>
      <c r="H30" s="10">
        <f t="shared" si="3"/>
        <v>3.6600000000000001E-2</v>
      </c>
    </row>
    <row r="31" spans="1:9" ht="24" customHeight="1">
      <c r="A31" s="258"/>
      <c r="B31" s="6" t="s">
        <v>257</v>
      </c>
      <c r="C31" s="7"/>
      <c r="D31" s="8"/>
      <c r="E31" s="9">
        <f t="shared" si="4"/>
        <v>4.9782678599999999</v>
      </c>
      <c r="F31" s="9"/>
      <c r="G31" s="9"/>
      <c r="H31" s="10">
        <f t="shared" si="3"/>
        <v>1.11E-2</v>
      </c>
    </row>
    <row r="32" spans="1:9" ht="24" customHeight="1">
      <c r="A32" s="255" t="s">
        <v>258</v>
      </c>
      <c r="B32" s="257"/>
      <c r="C32" s="11"/>
      <c r="D32" s="12"/>
      <c r="E32" s="9">
        <f t="shared" si="4"/>
        <v>26.909555999999998</v>
      </c>
      <c r="F32" s="9"/>
      <c r="G32" s="9"/>
      <c r="H32" s="13">
        <f t="shared" si="3"/>
        <v>0.06</v>
      </c>
    </row>
    <row r="33" spans="1:9" ht="24" customHeight="1">
      <c r="A33" s="258" t="s">
        <v>81</v>
      </c>
      <c r="B33" s="258"/>
      <c r="C33" s="7"/>
      <c r="D33" s="8"/>
      <c r="E33" s="9">
        <f t="shared" si="4"/>
        <v>14.486310980000001</v>
      </c>
      <c r="F33" s="9"/>
      <c r="G33" s="9"/>
      <c r="H33" s="10">
        <f t="shared" si="3"/>
        <v>3.2300000000000002E-2</v>
      </c>
    </row>
    <row r="34" spans="1:9" ht="24" customHeight="1">
      <c r="A34" s="260" t="s">
        <v>259</v>
      </c>
      <c r="B34" s="6" t="s">
        <v>256</v>
      </c>
      <c r="C34" s="7"/>
      <c r="D34" s="8"/>
      <c r="E34" s="9">
        <f t="shared" si="4"/>
        <v>3.7673378399999997</v>
      </c>
      <c r="F34" s="9"/>
      <c r="G34" s="9"/>
      <c r="H34" s="10">
        <f t="shared" si="3"/>
        <v>8.3999999999999995E-3</v>
      </c>
    </row>
    <row r="35" spans="1:9" ht="24" customHeight="1">
      <c r="A35" s="261"/>
      <c r="B35" s="6" t="s">
        <v>257</v>
      </c>
      <c r="C35" s="7"/>
      <c r="D35" s="8"/>
      <c r="E35" s="9">
        <f t="shared" si="4"/>
        <v>7.1758815999999994</v>
      </c>
      <c r="F35" s="9"/>
      <c r="G35" s="9"/>
      <c r="H35" s="10">
        <f t="shared" si="3"/>
        <v>1.6E-2</v>
      </c>
    </row>
    <row r="36" spans="1:9" ht="24" customHeight="1">
      <c r="A36" s="258" t="s">
        <v>84</v>
      </c>
      <c r="B36" s="258"/>
      <c r="C36" s="7"/>
      <c r="D36" s="8"/>
      <c r="E36" s="9">
        <f t="shared" si="4"/>
        <v>15.921487299999997</v>
      </c>
      <c r="F36" s="9"/>
      <c r="G36" s="9"/>
      <c r="H36" s="10">
        <f t="shared" si="3"/>
        <v>3.5499999999999997E-2</v>
      </c>
    </row>
    <row r="39" spans="1:9" s="1" customFormat="1" ht="18.75" customHeight="1">
      <c r="G39" s="254" t="s">
        <v>245</v>
      </c>
      <c r="H39" s="254"/>
      <c r="I39" s="15">
        <f>销量!F6</f>
        <v>0</v>
      </c>
    </row>
    <row r="40" spans="1:9" ht="39" customHeight="1">
      <c r="A40" s="259" t="s">
        <v>246</v>
      </c>
      <c r="B40" s="259"/>
      <c r="C40" s="255" t="str">
        <f>C2</f>
        <v>长春工厂平均值</v>
      </c>
      <c r="D40" s="256"/>
      <c r="E40" s="256"/>
      <c r="F40" s="256"/>
      <c r="G40" s="256"/>
      <c r="H40" s="257"/>
      <c r="I40" s="3" t="s">
        <v>247</v>
      </c>
    </row>
    <row r="41" spans="1:9" ht="34.5" customHeight="1">
      <c r="A41" s="259"/>
      <c r="B41" s="259"/>
      <c r="C41" s="4" t="s">
        <v>248</v>
      </c>
      <c r="D41" s="4" t="s">
        <v>249</v>
      </c>
      <c r="E41" s="4" t="s">
        <v>250</v>
      </c>
      <c r="F41" s="5" t="s">
        <v>251</v>
      </c>
      <c r="G41" s="5" t="s">
        <v>252</v>
      </c>
      <c r="H41" s="5" t="s">
        <v>253</v>
      </c>
      <c r="I41" s="14">
        <f>材料成本!G23</f>
        <v>0</v>
      </c>
    </row>
    <row r="42" spans="1:9" ht="24" customHeight="1">
      <c r="A42" s="258" t="s">
        <v>254</v>
      </c>
      <c r="B42" s="258"/>
      <c r="C42" s="7"/>
      <c r="D42" s="8"/>
      <c r="E42" s="9">
        <f>$I$41*H42</f>
        <v>0</v>
      </c>
      <c r="F42" s="9"/>
      <c r="G42" s="9"/>
      <c r="H42" s="10">
        <f t="shared" ref="H42:H49" si="5">H4</f>
        <v>1.23E-2</v>
      </c>
    </row>
    <row r="43" spans="1:9" ht="24" customHeight="1">
      <c r="A43" s="258" t="s">
        <v>255</v>
      </c>
      <c r="B43" s="6" t="s">
        <v>256</v>
      </c>
      <c r="C43" s="7"/>
      <c r="D43" s="8"/>
      <c r="E43" s="9">
        <f t="shared" ref="E43:E49" si="6">$I$41*H43</f>
        <v>0</v>
      </c>
      <c r="F43" s="9"/>
      <c r="G43" s="9"/>
      <c r="H43" s="10">
        <f t="shared" si="5"/>
        <v>3.6600000000000001E-2</v>
      </c>
    </row>
    <row r="44" spans="1:9" ht="24" customHeight="1">
      <c r="A44" s="258"/>
      <c r="B44" s="6" t="s">
        <v>257</v>
      </c>
      <c r="C44" s="7"/>
      <c r="D44" s="8"/>
      <c r="E44" s="9">
        <f t="shared" si="6"/>
        <v>0</v>
      </c>
      <c r="F44" s="9"/>
      <c r="G44" s="9"/>
      <c r="H44" s="10">
        <f t="shared" si="5"/>
        <v>1.11E-2</v>
      </c>
    </row>
    <row r="45" spans="1:9" ht="24" customHeight="1">
      <c r="A45" s="255" t="s">
        <v>258</v>
      </c>
      <c r="B45" s="257"/>
      <c r="C45" s="11"/>
      <c r="D45" s="12"/>
      <c r="E45" s="9">
        <f t="shared" si="6"/>
        <v>0</v>
      </c>
      <c r="F45" s="9"/>
      <c r="G45" s="9"/>
      <c r="H45" s="13">
        <f t="shared" si="5"/>
        <v>0.06</v>
      </c>
    </row>
    <row r="46" spans="1:9" ht="24" customHeight="1">
      <c r="A46" s="258" t="s">
        <v>81</v>
      </c>
      <c r="B46" s="258"/>
      <c r="C46" s="7"/>
      <c r="D46" s="8"/>
      <c r="E46" s="9">
        <f t="shared" si="6"/>
        <v>0</v>
      </c>
      <c r="F46" s="9"/>
      <c r="G46" s="9"/>
      <c r="H46" s="10">
        <f t="shared" si="5"/>
        <v>3.2300000000000002E-2</v>
      </c>
    </row>
    <row r="47" spans="1:9" ht="24" customHeight="1">
      <c r="A47" s="260" t="s">
        <v>259</v>
      </c>
      <c r="B47" s="6" t="s">
        <v>256</v>
      </c>
      <c r="C47" s="7"/>
      <c r="D47" s="8"/>
      <c r="E47" s="9">
        <f t="shared" si="6"/>
        <v>0</v>
      </c>
      <c r="F47" s="9"/>
      <c r="G47" s="9"/>
      <c r="H47" s="10">
        <f t="shared" si="5"/>
        <v>8.3999999999999995E-3</v>
      </c>
    </row>
    <row r="48" spans="1:9" ht="24" customHeight="1">
      <c r="A48" s="261"/>
      <c r="B48" s="6" t="s">
        <v>257</v>
      </c>
      <c r="C48" s="7"/>
      <c r="D48" s="8"/>
      <c r="E48" s="9">
        <f t="shared" si="6"/>
        <v>0</v>
      </c>
      <c r="F48" s="9"/>
      <c r="G48" s="9"/>
      <c r="H48" s="10">
        <f t="shared" si="5"/>
        <v>1.6E-2</v>
      </c>
    </row>
    <row r="49" spans="1:9" ht="24" customHeight="1">
      <c r="A49" s="258" t="s">
        <v>84</v>
      </c>
      <c r="B49" s="258"/>
      <c r="C49" s="7"/>
      <c r="D49" s="8"/>
      <c r="E49" s="9">
        <f t="shared" si="6"/>
        <v>0</v>
      </c>
      <c r="F49" s="9"/>
      <c r="G49" s="9"/>
      <c r="H49" s="10">
        <f t="shared" si="5"/>
        <v>3.5499999999999997E-2</v>
      </c>
    </row>
    <row r="52" spans="1:9" s="1" customFormat="1" ht="18.75" customHeight="1">
      <c r="G52" s="254" t="s">
        <v>245</v>
      </c>
      <c r="H52" s="254"/>
      <c r="I52" s="15">
        <f>销量!G6</f>
        <v>0</v>
      </c>
    </row>
    <row r="53" spans="1:9" ht="39" customHeight="1">
      <c r="A53" s="259" t="s">
        <v>246</v>
      </c>
      <c r="B53" s="259"/>
      <c r="C53" s="255" t="str">
        <f>C2</f>
        <v>长春工厂平均值</v>
      </c>
      <c r="D53" s="256"/>
      <c r="E53" s="256"/>
      <c r="F53" s="256"/>
      <c r="G53" s="256"/>
      <c r="H53" s="257"/>
      <c r="I53" s="3" t="s">
        <v>247</v>
      </c>
    </row>
    <row r="54" spans="1:9" ht="34.5" customHeight="1">
      <c r="A54" s="259"/>
      <c r="B54" s="259"/>
      <c r="C54" s="4" t="s">
        <v>248</v>
      </c>
      <c r="D54" s="4" t="s">
        <v>249</v>
      </c>
      <c r="E54" s="4" t="s">
        <v>250</v>
      </c>
      <c r="F54" s="5" t="s">
        <v>251</v>
      </c>
      <c r="G54" s="5" t="s">
        <v>252</v>
      </c>
      <c r="H54" s="5" t="s">
        <v>253</v>
      </c>
      <c r="I54" s="14">
        <f>材料成本!H23</f>
        <v>0</v>
      </c>
    </row>
    <row r="55" spans="1:9" ht="24" customHeight="1">
      <c r="A55" s="258" t="s">
        <v>254</v>
      </c>
      <c r="B55" s="258"/>
      <c r="C55" s="7"/>
      <c r="D55" s="8"/>
      <c r="E55" s="9">
        <f>$I$54*H55</f>
        <v>0</v>
      </c>
      <c r="F55" s="9"/>
      <c r="G55" s="9"/>
      <c r="H55" s="10">
        <f t="shared" ref="H55:H62" si="7">H4</f>
        <v>1.23E-2</v>
      </c>
    </row>
    <row r="56" spans="1:9" ht="24" customHeight="1">
      <c r="A56" s="258" t="s">
        <v>255</v>
      </c>
      <c r="B56" s="6" t="s">
        <v>256</v>
      </c>
      <c r="C56" s="7"/>
      <c r="D56" s="8"/>
      <c r="E56" s="9">
        <f t="shared" ref="E56:E62" si="8">$I$54*H56</f>
        <v>0</v>
      </c>
      <c r="F56" s="9"/>
      <c r="G56" s="9"/>
      <c r="H56" s="10">
        <f t="shared" si="7"/>
        <v>3.6600000000000001E-2</v>
      </c>
    </row>
    <row r="57" spans="1:9" ht="24" customHeight="1">
      <c r="A57" s="258"/>
      <c r="B57" s="6" t="s">
        <v>257</v>
      </c>
      <c r="C57" s="7"/>
      <c r="D57" s="8"/>
      <c r="E57" s="9">
        <f t="shared" si="8"/>
        <v>0</v>
      </c>
      <c r="F57" s="9"/>
      <c r="G57" s="9"/>
      <c r="H57" s="10">
        <f t="shared" si="7"/>
        <v>1.11E-2</v>
      </c>
    </row>
    <row r="58" spans="1:9" ht="24" customHeight="1">
      <c r="A58" s="255" t="s">
        <v>258</v>
      </c>
      <c r="B58" s="257"/>
      <c r="C58" s="11"/>
      <c r="D58" s="12"/>
      <c r="E58" s="9">
        <f t="shared" si="8"/>
        <v>0</v>
      </c>
      <c r="F58" s="9"/>
      <c r="G58" s="9"/>
      <c r="H58" s="13">
        <f t="shared" si="7"/>
        <v>0.06</v>
      </c>
    </row>
    <row r="59" spans="1:9" ht="24" customHeight="1">
      <c r="A59" s="258" t="s">
        <v>81</v>
      </c>
      <c r="B59" s="258"/>
      <c r="C59" s="7"/>
      <c r="D59" s="8"/>
      <c r="E59" s="9">
        <f t="shared" si="8"/>
        <v>0</v>
      </c>
      <c r="F59" s="9"/>
      <c r="G59" s="9"/>
      <c r="H59" s="10">
        <f t="shared" si="7"/>
        <v>3.2300000000000002E-2</v>
      </c>
    </row>
    <row r="60" spans="1:9" ht="24" customHeight="1">
      <c r="A60" s="260" t="s">
        <v>259</v>
      </c>
      <c r="B60" s="6" t="s">
        <v>256</v>
      </c>
      <c r="C60" s="7"/>
      <c r="D60" s="8"/>
      <c r="E60" s="9">
        <f t="shared" si="8"/>
        <v>0</v>
      </c>
      <c r="F60" s="9"/>
      <c r="G60" s="9"/>
      <c r="H60" s="10">
        <f t="shared" si="7"/>
        <v>8.3999999999999995E-3</v>
      </c>
    </row>
    <row r="61" spans="1:9" ht="24" customHeight="1">
      <c r="A61" s="261"/>
      <c r="B61" s="6" t="s">
        <v>257</v>
      </c>
      <c r="C61" s="7"/>
      <c r="D61" s="8"/>
      <c r="E61" s="9">
        <f t="shared" si="8"/>
        <v>0</v>
      </c>
      <c r="F61" s="9"/>
      <c r="G61" s="9"/>
      <c r="H61" s="10">
        <f t="shared" si="7"/>
        <v>1.6E-2</v>
      </c>
    </row>
    <row r="62" spans="1:9" ht="24" customHeight="1">
      <c r="A62" s="258" t="s">
        <v>84</v>
      </c>
      <c r="B62" s="258"/>
      <c r="C62" s="7"/>
      <c r="D62" s="8"/>
      <c r="E62" s="9">
        <f t="shared" si="8"/>
        <v>0</v>
      </c>
      <c r="F62" s="9"/>
      <c r="G62" s="9"/>
      <c r="H62" s="10">
        <f t="shared" si="7"/>
        <v>3.5499999999999997E-2</v>
      </c>
    </row>
  </sheetData>
  <mergeCells count="45">
    <mergeCell ref="C53:H53"/>
    <mergeCell ref="A55:B55"/>
    <mergeCell ref="A58:B58"/>
    <mergeCell ref="A59:B59"/>
    <mergeCell ref="A62:B62"/>
    <mergeCell ref="A56:A57"/>
    <mergeCell ref="A60:A61"/>
    <mergeCell ref="A53:B54"/>
    <mergeCell ref="A42:B42"/>
    <mergeCell ref="A45:B45"/>
    <mergeCell ref="A46:B46"/>
    <mergeCell ref="A49:B49"/>
    <mergeCell ref="G52:H52"/>
    <mergeCell ref="A43:A44"/>
    <mergeCell ref="A47:A48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G13:H13"/>
    <mergeCell ref="C14:H14"/>
    <mergeCell ref="A16:B16"/>
    <mergeCell ref="A19:B19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</mergeCells>
  <phoneticPr fontId="45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38" customWidth="1"/>
    <col min="2" max="2" width="28.5" style="138" customWidth="1"/>
    <col min="3" max="4" width="9.125" style="138"/>
    <col min="5" max="5" width="13.875" style="138" customWidth="1"/>
    <col min="6" max="12" width="16.125" style="138" customWidth="1"/>
    <col min="13" max="13" width="10.625" style="138" customWidth="1"/>
    <col min="14" max="254" width="9.125" style="138"/>
    <col min="255" max="255" width="8" style="138" customWidth="1"/>
    <col min="256" max="256" width="28.5" style="138" customWidth="1"/>
    <col min="257" max="268" width="9.125" style="138"/>
    <col min="269" max="269" width="10.625" style="138" customWidth="1"/>
    <col min="270" max="510" width="9.125" style="138"/>
    <col min="511" max="511" width="8" style="138" customWidth="1"/>
    <col min="512" max="512" width="28.5" style="138" customWidth="1"/>
    <col min="513" max="524" width="9.125" style="138"/>
    <col min="525" max="525" width="10.625" style="138" customWidth="1"/>
    <col min="526" max="766" width="9.125" style="138"/>
    <col min="767" max="767" width="8" style="138" customWidth="1"/>
    <col min="768" max="768" width="28.5" style="138" customWidth="1"/>
    <col min="769" max="780" width="9.125" style="138"/>
    <col min="781" max="781" width="10.625" style="138" customWidth="1"/>
    <col min="782" max="1022" width="9.125" style="138"/>
    <col min="1023" max="1023" width="8" style="138" customWidth="1"/>
    <col min="1024" max="1024" width="28.5" style="138" customWidth="1"/>
    <col min="1025" max="1036" width="9.125" style="138"/>
    <col min="1037" max="1037" width="10.625" style="138" customWidth="1"/>
    <col min="1038" max="1278" width="9.125" style="138"/>
    <col min="1279" max="1279" width="8" style="138" customWidth="1"/>
    <col min="1280" max="1280" width="28.5" style="138" customWidth="1"/>
    <col min="1281" max="1292" width="9.125" style="138"/>
    <col min="1293" max="1293" width="10.625" style="138" customWidth="1"/>
    <col min="1294" max="1534" width="9.125" style="138"/>
    <col min="1535" max="1535" width="8" style="138" customWidth="1"/>
    <col min="1536" max="1536" width="28.5" style="138" customWidth="1"/>
    <col min="1537" max="1548" width="9.125" style="138"/>
    <col min="1549" max="1549" width="10.625" style="138" customWidth="1"/>
    <col min="1550" max="1790" width="9.125" style="138"/>
    <col min="1791" max="1791" width="8" style="138" customWidth="1"/>
    <col min="1792" max="1792" width="28.5" style="138" customWidth="1"/>
    <col min="1793" max="1804" width="9.125" style="138"/>
    <col min="1805" max="1805" width="10.625" style="138" customWidth="1"/>
    <col min="1806" max="2046" width="9.125" style="138"/>
    <col min="2047" max="2047" width="8" style="138" customWidth="1"/>
    <col min="2048" max="2048" width="28.5" style="138" customWidth="1"/>
    <col min="2049" max="2060" width="9.125" style="138"/>
    <col min="2061" max="2061" width="10.625" style="138" customWidth="1"/>
    <col min="2062" max="2302" width="9.125" style="138"/>
    <col min="2303" max="2303" width="8" style="138" customWidth="1"/>
    <col min="2304" max="2304" width="28.5" style="138" customWidth="1"/>
    <col min="2305" max="2316" width="9.125" style="138"/>
    <col min="2317" max="2317" width="10.625" style="138" customWidth="1"/>
    <col min="2318" max="2558" width="9.125" style="138"/>
    <col min="2559" max="2559" width="8" style="138" customWidth="1"/>
    <col min="2560" max="2560" width="28.5" style="138" customWidth="1"/>
    <col min="2561" max="2572" width="9.125" style="138"/>
    <col min="2573" max="2573" width="10.625" style="138" customWidth="1"/>
    <col min="2574" max="2814" width="9.125" style="138"/>
    <col min="2815" max="2815" width="8" style="138" customWidth="1"/>
    <col min="2816" max="2816" width="28.5" style="138" customWidth="1"/>
    <col min="2817" max="2828" width="9.125" style="138"/>
    <col min="2829" max="2829" width="10.625" style="138" customWidth="1"/>
    <col min="2830" max="3070" width="9.125" style="138"/>
    <col min="3071" max="3071" width="8" style="138" customWidth="1"/>
    <col min="3072" max="3072" width="28.5" style="138" customWidth="1"/>
    <col min="3073" max="3084" width="9.125" style="138"/>
    <col min="3085" max="3085" width="10.625" style="138" customWidth="1"/>
    <col min="3086" max="3326" width="9.125" style="138"/>
    <col min="3327" max="3327" width="8" style="138" customWidth="1"/>
    <col min="3328" max="3328" width="28.5" style="138" customWidth="1"/>
    <col min="3329" max="3340" width="9.125" style="138"/>
    <col min="3341" max="3341" width="10.625" style="138" customWidth="1"/>
    <col min="3342" max="3582" width="9.125" style="138"/>
    <col min="3583" max="3583" width="8" style="138" customWidth="1"/>
    <col min="3584" max="3584" width="28.5" style="138" customWidth="1"/>
    <col min="3585" max="3596" width="9.125" style="138"/>
    <col min="3597" max="3597" width="10.625" style="138" customWidth="1"/>
    <col min="3598" max="3838" width="9.125" style="138"/>
    <col min="3839" max="3839" width="8" style="138" customWidth="1"/>
    <col min="3840" max="3840" width="28.5" style="138" customWidth="1"/>
    <col min="3841" max="3852" width="9.125" style="138"/>
    <col min="3853" max="3853" width="10.625" style="138" customWidth="1"/>
    <col min="3854" max="4094" width="9.125" style="138"/>
    <col min="4095" max="4095" width="8" style="138" customWidth="1"/>
    <col min="4096" max="4096" width="28.5" style="138" customWidth="1"/>
    <col min="4097" max="4108" width="9.125" style="138"/>
    <col min="4109" max="4109" width="10.625" style="138" customWidth="1"/>
    <col min="4110" max="4350" width="9.125" style="138"/>
    <col min="4351" max="4351" width="8" style="138" customWidth="1"/>
    <col min="4352" max="4352" width="28.5" style="138" customWidth="1"/>
    <col min="4353" max="4364" width="9.125" style="138"/>
    <col min="4365" max="4365" width="10.625" style="138" customWidth="1"/>
    <col min="4366" max="4606" width="9.125" style="138"/>
    <col min="4607" max="4607" width="8" style="138" customWidth="1"/>
    <col min="4608" max="4608" width="28.5" style="138" customWidth="1"/>
    <col min="4609" max="4620" width="9.125" style="138"/>
    <col min="4621" max="4621" width="10.625" style="138" customWidth="1"/>
    <col min="4622" max="4862" width="9.125" style="138"/>
    <col min="4863" max="4863" width="8" style="138" customWidth="1"/>
    <col min="4864" max="4864" width="28.5" style="138" customWidth="1"/>
    <col min="4865" max="4876" width="9.125" style="138"/>
    <col min="4877" max="4877" width="10.625" style="138" customWidth="1"/>
    <col min="4878" max="5118" width="9.125" style="138"/>
    <col min="5119" max="5119" width="8" style="138" customWidth="1"/>
    <col min="5120" max="5120" width="28.5" style="138" customWidth="1"/>
    <col min="5121" max="5132" width="9.125" style="138"/>
    <col min="5133" max="5133" width="10.625" style="138" customWidth="1"/>
    <col min="5134" max="5374" width="9.125" style="138"/>
    <col min="5375" max="5375" width="8" style="138" customWidth="1"/>
    <col min="5376" max="5376" width="28.5" style="138" customWidth="1"/>
    <col min="5377" max="5388" width="9.125" style="138"/>
    <col min="5389" max="5389" width="10.625" style="138" customWidth="1"/>
    <col min="5390" max="5630" width="9.125" style="138"/>
    <col min="5631" max="5631" width="8" style="138" customWidth="1"/>
    <col min="5632" max="5632" width="28.5" style="138" customWidth="1"/>
    <col min="5633" max="5644" width="9.125" style="138"/>
    <col min="5645" max="5645" width="10.625" style="138" customWidth="1"/>
    <col min="5646" max="5886" width="9.125" style="138"/>
    <col min="5887" max="5887" width="8" style="138" customWidth="1"/>
    <col min="5888" max="5888" width="28.5" style="138" customWidth="1"/>
    <col min="5889" max="5900" width="9.125" style="138"/>
    <col min="5901" max="5901" width="10.625" style="138" customWidth="1"/>
    <col min="5902" max="6142" width="9.125" style="138"/>
    <col min="6143" max="6143" width="8" style="138" customWidth="1"/>
    <col min="6144" max="6144" width="28.5" style="138" customWidth="1"/>
    <col min="6145" max="6156" width="9.125" style="138"/>
    <col min="6157" max="6157" width="10.625" style="138" customWidth="1"/>
    <col min="6158" max="6398" width="9.125" style="138"/>
    <col min="6399" max="6399" width="8" style="138" customWidth="1"/>
    <col min="6400" max="6400" width="28.5" style="138" customWidth="1"/>
    <col min="6401" max="6412" width="9.125" style="138"/>
    <col min="6413" max="6413" width="10.625" style="138" customWidth="1"/>
    <col min="6414" max="6654" width="9.125" style="138"/>
    <col min="6655" max="6655" width="8" style="138" customWidth="1"/>
    <col min="6656" max="6656" width="28.5" style="138" customWidth="1"/>
    <col min="6657" max="6668" width="9.125" style="138"/>
    <col min="6669" max="6669" width="10.625" style="138" customWidth="1"/>
    <col min="6670" max="6910" width="9.125" style="138"/>
    <col min="6911" max="6911" width="8" style="138" customWidth="1"/>
    <col min="6912" max="6912" width="28.5" style="138" customWidth="1"/>
    <col min="6913" max="6924" width="9.125" style="138"/>
    <col min="6925" max="6925" width="10.625" style="138" customWidth="1"/>
    <col min="6926" max="7166" width="9.125" style="138"/>
    <col min="7167" max="7167" width="8" style="138" customWidth="1"/>
    <col min="7168" max="7168" width="28.5" style="138" customWidth="1"/>
    <col min="7169" max="7180" width="9.125" style="138"/>
    <col min="7181" max="7181" width="10.625" style="138" customWidth="1"/>
    <col min="7182" max="7422" width="9.125" style="138"/>
    <col min="7423" max="7423" width="8" style="138" customWidth="1"/>
    <col min="7424" max="7424" width="28.5" style="138" customWidth="1"/>
    <col min="7425" max="7436" width="9.125" style="138"/>
    <col min="7437" max="7437" width="10.625" style="138" customWidth="1"/>
    <col min="7438" max="7678" width="9.125" style="138"/>
    <col min="7679" max="7679" width="8" style="138" customWidth="1"/>
    <col min="7680" max="7680" width="28.5" style="138" customWidth="1"/>
    <col min="7681" max="7692" width="9.125" style="138"/>
    <col min="7693" max="7693" width="10.625" style="138" customWidth="1"/>
    <col min="7694" max="7934" width="9.125" style="138"/>
    <col min="7935" max="7935" width="8" style="138" customWidth="1"/>
    <col min="7936" max="7936" width="28.5" style="138" customWidth="1"/>
    <col min="7937" max="7948" width="9.125" style="138"/>
    <col min="7949" max="7949" width="10.625" style="138" customWidth="1"/>
    <col min="7950" max="8190" width="9.125" style="138"/>
    <col min="8191" max="8191" width="8" style="138" customWidth="1"/>
    <col min="8192" max="8192" width="28.5" style="138" customWidth="1"/>
    <col min="8193" max="8204" width="9.125" style="138"/>
    <col min="8205" max="8205" width="10.625" style="138" customWidth="1"/>
    <col min="8206" max="8446" width="9.125" style="138"/>
    <col min="8447" max="8447" width="8" style="138" customWidth="1"/>
    <col min="8448" max="8448" width="28.5" style="138" customWidth="1"/>
    <col min="8449" max="8460" width="9.125" style="138"/>
    <col min="8461" max="8461" width="10.625" style="138" customWidth="1"/>
    <col min="8462" max="8702" width="9.125" style="138"/>
    <col min="8703" max="8703" width="8" style="138" customWidth="1"/>
    <col min="8704" max="8704" width="28.5" style="138" customWidth="1"/>
    <col min="8705" max="8716" width="9.125" style="138"/>
    <col min="8717" max="8717" width="10.625" style="138" customWidth="1"/>
    <col min="8718" max="8958" width="9.125" style="138"/>
    <col min="8959" max="8959" width="8" style="138" customWidth="1"/>
    <col min="8960" max="8960" width="28.5" style="138" customWidth="1"/>
    <col min="8961" max="8972" width="9.125" style="138"/>
    <col min="8973" max="8973" width="10.625" style="138" customWidth="1"/>
    <col min="8974" max="9214" width="9.125" style="138"/>
    <col min="9215" max="9215" width="8" style="138" customWidth="1"/>
    <col min="9216" max="9216" width="28.5" style="138" customWidth="1"/>
    <col min="9217" max="9228" width="9.125" style="138"/>
    <col min="9229" max="9229" width="10.625" style="138" customWidth="1"/>
    <col min="9230" max="9470" width="9.125" style="138"/>
    <col min="9471" max="9471" width="8" style="138" customWidth="1"/>
    <col min="9472" max="9472" width="28.5" style="138" customWidth="1"/>
    <col min="9473" max="9484" width="9.125" style="138"/>
    <col min="9485" max="9485" width="10.625" style="138" customWidth="1"/>
    <col min="9486" max="9726" width="9.125" style="138"/>
    <col min="9727" max="9727" width="8" style="138" customWidth="1"/>
    <col min="9728" max="9728" width="28.5" style="138" customWidth="1"/>
    <col min="9729" max="9740" width="9.125" style="138"/>
    <col min="9741" max="9741" width="10.625" style="138" customWidth="1"/>
    <col min="9742" max="9982" width="9.125" style="138"/>
    <col min="9983" max="9983" width="8" style="138" customWidth="1"/>
    <col min="9984" max="9984" width="28.5" style="138" customWidth="1"/>
    <col min="9985" max="9996" width="9.125" style="138"/>
    <col min="9997" max="9997" width="10.625" style="138" customWidth="1"/>
    <col min="9998" max="10238" width="9.125" style="138"/>
    <col min="10239" max="10239" width="8" style="138" customWidth="1"/>
    <col min="10240" max="10240" width="28.5" style="138" customWidth="1"/>
    <col min="10241" max="10252" width="9.125" style="138"/>
    <col min="10253" max="10253" width="10.625" style="138" customWidth="1"/>
    <col min="10254" max="10494" width="9.125" style="138"/>
    <col min="10495" max="10495" width="8" style="138" customWidth="1"/>
    <col min="10496" max="10496" width="28.5" style="138" customWidth="1"/>
    <col min="10497" max="10508" width="9.125" style="138"/>
    <col min="10509" max="10509" width="10.625" style="138" customWidth="1"/>
    <col min="10510" max="10750" width="9.125" style="138"/>
    <col min="10751" max="10751" width="8" style="138" customWidth="1"/>
    <col min="10752" max="10752" width="28.5" style="138" customWidth="1"/>
    <col min="10753" max="10764" width="9.125" style="138"/>
    <col min="10765" max="10765" width="10.625" style="138" customWidth="1"/>
    <col min="10766" max="11006" width="9.125" style="138"/>
    <col min="11007" max="11007" width="8" style="138" customWidth="1"/>
    <col min="11008" max="11008" width="28.5" style="138" customWidth="1"/>
    <col min="11009" max="11020" width="9.125" style="138"/>
    <col min="11021" max="11021" width="10.625" style="138" customWidth="1"/>
    <col min="11022" max="11262" width="9.125" style="138"/>
    <col min="11263" max="11263" width="8" style="138" customWidth="1"/>
    <col min="11264" max="11264" width="28.5" style="138" customWidth="1"/>
    <col min="11265" max="11276" width="9.125" style="138"/>
    <col min="11277" max="11277" width="10.625" style="138" customWidth="1"/>
    <col min="11278" max="11518" width="9.125" style="138"/>
    <col min="11519" max="11519" width="8" style="138" customWidth="1"/>
    <col min="11520" max="11520" width="28.5" style="138" customWidth="1"/>
    <col min="11521" max="11532" width="9.125" style="138"/>
    <col min="11533" max="11533" width="10.625" style="138" customWidth="1"/>
    <col min="11534" max="11774" width="9.125" style="138"/>
    <col min="11775" max="11775" width="8" style="138" customWidth="1"/>
    <col min="11776" max="11776" width="28.5" style="138" customWidth="1"/>
    <col min="11777" max="11788" width="9.125" style="138"/>
    <col min="11789" max="11789" width="10.625" style="138" customWidth="1"/>
    <col min="11790" max="12030" width="9.125" style="138"/>
    <col min="12031" max="12031" width="8" style="138" customWidth="1"/>
    <col min="12032" max="12032" width="28.5" style="138" customWidth="1"/>
    <col min="12033" max="12044" width="9.125" style="138"/>
    <col min="12045" max="12045" width="10.625" style="138" customWidth="1"/>
    <col min="12046" max="12286" width="9.125" style="138"/>
    <col min="12287" max="12287" width="8" style="138" customWidth="1"/>
    <col min="12288" max="12288" width="28.5" style="138" customWidth="1"/>
    <col min="12289" max="12300" width="9.125" style="138"/>
    <col min="12301" max="12301" width="10.625" style="138" customWidth="1"/>
    <col min="12302" max="12542" width="9.125" style="138"/>
    <col min="12543" max="12543" width="8" style="138" customWidth="1"/>
    <col min="12544" max="12544" width="28.5" style="138" customWidth="1"/>
    <col min="12545" max="12556" width="9.125" style="138"/>
    <col min="12557" max="12557" width="10.625" style="138" customWidth="1"/>
    <col min="12558" max="12798" width="9.125" style="138"/>
    <col min="12799" max="12799" width="8" style="138" customWidth="1"/>
    <col min="12800" max="12800" width="28.5" style="138" customWidth="1"/>
    <col min="12801" max="12812" width="9.125" style="138"/>
    <col min="12813" max="12813" width="10.625" style="138" customWidth="1"/>
    <col min="12814" max="13054" width="9.125" style="138"/>
    <col min="13055" max="13055" width="8" style="138" customWidth="1"/>
    <col min="13056" max="13056" width="28.5" style="138" customWidth="1"/>
    <col min="13057" max="13068" width="9.125" style="138"/>
    <col min="13069" max="13069" width="10.625" style="138" customWidth="1"/>
    <col min="13070" max="13310" width="9.125" style="138"/>
    <col min="13311" max="13311" width="8" style="138" customWidth="1"/>
    <col min="13312" max="13312" width="28.5" style="138" customWidth="1"/>
    <col min="13313" max="13324" width="9.125" style="138"/>
    <col min="13325" max="13325" width="10.625" style="138" customWidth="1"/>
    <col min="13326" max="13566" width="9.125" style="138"/>
    <col min="13567" max="13567" width="8" style="138" customWidth="1"/>
    <col min="13568" max="13568" width="28.5" style="138" customWidth="1"/>
    <col min="13569" max="13580" width="9.125" style="138"/>
    <col min="13581" max="13581" width="10.625" style="138" customWidth="1"/>
    <col min="13582" max="13822" width="9.125" style="138"/>
    <col min="13823" max="13823" width="8" style="138" customWidth="1"/>
    <col min="13824" max="13824" width="28.5" style="138" customWidth="1"/>
    <col min="13825" max="13836" width="9.125" style="138"/>
    <col min="13837" max="13837" width="10.625" style="138" customWidth="1"/>
    <col min="13838" max="14078" width="9.125" style="138"/>
    <col min="14079" max="14079" width="8" style="138" customWidth="1"/>
    <col min="14080" max="14080" width="28.5" style="138" customWidth="1"/>
    <col min="14081" max="14092" width="9.125" style="138"/>
    <col min="14093" max="14093" width="10.625" style="138" customWidth="1"/>
    <col min="14094" max="14334" width="9.125" style="138"/>
    <col min="14335" max="14335" width="8" style="138" customWidth="1"/>
    <col min="14336" max="14336" width="28.5" style="138" customWidth="1"/>
    <col min="14337" max="14348" width="9.125" style="138"/>
    <col min="14349" max="14349" width="10.625" style="138" customWidth="1"/>
    <col min="14350" max="14590" width="9.125" style="138"/>
    <col min="14591" max="14591" width="8" style="138" customWidth="1"/>
    <col min="14592" max="14592" width="28.5" style="138" customWidth="1"/>
    <col min="14593" max="14604" width="9.125" style="138"/>
    <col min="14605" max="14605" width="10.625" style="138" customWidth="1"/>
    <col min="14606" max="14846" width="9.125" style="138"/>
    <col min="14847" max="14847" width="8" style="138" customWidth="1"/>
    <col min="14848" max="14848" width="28.5" style="138" customWidth="1"/>
    <col min="14849" max="14860" width="9.125" style="138"/>
    <col min="14861" max="14861" width="10.625" style="138" customWidth="1"/>
    <col min="14862" max="15102" width="9.125" style="138"/>
    <col min="15103" max="15103" width="8" style="138" customWidth="1"/>
    <col min="15104" max="15104" width="28.5" style="138" customWidth="1"/>
    <col min="15105" max="15116" width="9.125" style="138"/>
    <col min="15117" max="15117" width="10.625" style="138" customWidth="1"/>
    <col min="15118" max="15358" width="9.125" style="138"/>
    <col min="15359" max="15359" width="8" style="138" customWidth="1"/>
    <col min="15360" max="15360" width="28.5" style="138" customWidth="1"/>
    <col min="15361" max="15372" width="9.125" style="138"/>
    <col min="15373" max="15373" width="10.625" style="138" customWidth="1"/>
    <col min="15374" max="15614" width="9.125" style="138"/>
    <col min="15615" max="15615" width="8" style="138" customWidth="1"/>
    <col min="15616" max="15616" width="28.5" style="138" customWidth="1"/>
    <col min="15617" max="15628" width="9.125" style="138"/>
    <col min="15629" max="15629" width="10.625" style="138" customWidth="1"/>
    <col min="15630" max="15870" width="9.125" style="138"/>
    <col min="15871" max="15871" width="8" style="138" customWidth="1"/>
    <col min="15872" max="15872" width="28.5" style="138" customWidth="1"/>
    <col min="15873" max="15884" width="9.125" style="138"/>
    <col min="15885" max="15885" width="10.625" style="138" customWidth="1"/>
    <col min="15886" max="16126" width="9.125" style="138"/>
    <col min="16127" max="16127" width="8" style="138" customWidth="1"/>
    <col min="16128" max="16128" width="28.5" style="138" customWidth="1"/>
    <col min="16129" max="16140" width="9.125" style="138"/>
    <col min="16141" max="16141" width="10.625" style="138" customWidth="1"/>
    <col min="16142" max="16384" width="9.125" style="138"/>
  </cols>
  <sheetData>
    <row r="1" spans="1:13" ht="18.75">
      <c r="A1" s="139" t="s">
        <v>16</v>
      </c>
      <c r="B1" s="140"/>
      <c r="C1" s="141"/>
      <c r="D1" s="141"/>
      <c r="E1" s="140"/>
      <c r="F1" s="141"/>
      <c r="G1" s="141"/>
      <c r="H1" s="140"/>
      <c r="I1" s="141"/>
      <c r="J1" s="141"/>
      <c r="K1" s="141"/>
      <c r="L1" s="141"/>
      <c r="M1" s="141"/>
    </row>
    <row r="2" spans="1:13" ht="12">
      <c r="A2" s="138" t="s">
        <v>17</v>
      </c>
      <c r="B2" s="142"/>
    </row>
    <row r="3" spans="1:13" ht="16.899999999999999" customHeight="1">
      <c r="A3" s="143" t="s">
        <v>18</v>
      </c>
      <c r="B3" s="143" t="s">
        <v>19</v>
      </c>
      <c r="C3" s="202" t="s">
        <v>20</v>
      </c>
      <c r="D3" s="202"/>
      <c r="E3" s="202"/>
      <c r="F3" s="145"/>
      <c r="G3" s="146"/>
      <c r="H3" s="147"/>
      <c r="I3" s="147"/>
      <c r="J3" s="147" t="s">
        <v>21</v>
      </c>
      <c r="K3" s="147"/>
      <c r="L3" s="147"/>
      <c r="M3" s="168"/>
    </row>
    <row r="4" spans="1:13" ht="16.149999999999999" customHeight="1">
      <c r="A4" s="148"/>
      <c r="B4" s="148" t="s">
        <v>22</v>
      </c>
      <c r="C4" s="144">
        <v>2017</v>
      </c>
      <c r="D4" s="144">
        <f t="shared" ref="D4:L4" si="0">C4+1</f>
        <v>2018</v>
      </c>
      <c r="E4" s="144">
        <f t="shared" si="0"/>
        <v>2019</v>
      </c>
      <c r="F4" s="144">
        <f t="shared" si="0"/>
        <v>2020</v>
      </c>
      <c r="G4" s="144">
        <f t="shared" si="0"/>
        <v>2021</v>
      </c>
      <c r="H4" s="149">
        <f t="shared" si="0"/>
        <v>2022</v>
      </c>
      <c r="I4" s="149">
        <f t="shared" si="0"/>
        <v>2023</v>
      </c>
      <c r="J4" s="149">
        <f t="shared" si="0"/>
        <v>2024</v>
      </c>
      <c r="K4" s="149">
        <f t="shared" si="0"/>
        <v>2025</v>
      </c>
      <c r="L4" s="149">
        <f t="shared" si="0"/>
        <v>2026</v>
      </c>
      <c r="M4" s="169" t="s">
        <v>23</v>
      </c>
    </row>
    <row r="5" spans="1:13" ht="15.6" customHeight="1">
      <c r="A5" s="150">
        <v>1</v>
      </c>
      <c r="B5" s="151" t="s">
        <v>24</v>
      </c>
      <c r="C5" s="152">
        <f>SUM(C6:C9)</f>
        <v>0</v>
      </c>
      <c r="D5" s="152">
        <f t="shared" ref="D5:L5" si="1">SUM(D6:D9)</f>
        <v>0</v>
      </c>
      <c r="E5" s="152" t="e">
        <f t="shared" si="1"/>
        <v>#REF!</v>
      </c>
      <c r="F5" s="152" t="e">
        <f t="shared" si="1"/>
        <v>#REF!</v>
      </c>
      <c r="G5" s="152" t="e">
        <f t="shared" si="1"/>
        <v>#REF!</v>
      </c>
      <c r="H5" s="152" t="e">
        <f t="shared" si="1"/>
        <v>#REF!</v>
      </c>
      <c r="I5" s="152" t="e">
        <f t="shared" si="1"/>
        <v>#REF!</v>
      </c>
      <c r="J5" s="152" t="e">
        <f t="shared" si="1"/>
        <v>#REF!</v>
      </c>
      <c r="K5" s="152" t="e">
        <f t="shared" si="1"/>
        <v>#REF!</v>
      </c>
      <c r="L5" s="152" t="e">
        <f t="shared" si="1"/>
        <v>#REF!</v>
      </c>
      <c r="M5" s="156" t="e">
        <f t="shared" ref="M5:M17" si="2">SUM(C5:L5)</f>
        <v>#REF!</v>
      </c>
    </row>
    <row r="6" spans="1:13" ht="15.6" customHeight="1">
      <c r="A6" s="150">
        <v>1.1000000000000001</v>
      </c>
      <c r="B6" s="153" t="s">
        <v>25</v>
      </c>
      <c r="C6" s="154"/>
      <c r="D6" s="154"/>
      <c r="E6" s="154" t="e">
        <f>#REF!</f>
        <v>#REF!</v>
      </c>
      <c r="F6" s="154" t="e">
        <f>#REF!</f>
        <v>#REF!</v>
      </c>
      <c r="G6" s="154" t="e">
        <f>#REF!</f>
        <v>#REF!</v>
      </c>
      <c r="H6" s="154" t="e">
        <f>#REF!</f>
        <v>#REF!</v>
      </c>
      <c r="I6" s="154" t="e">
        <f>#REF!</f>
        <v>#REF!</v>
      </c>
      <c r="J6" s="154" t="e">
        <f>#REF!</f>
        <v>#REF!</v>
      </c>
      <c r="K6" s="154" t="e">
        <f>#REF!</f>
        <v>#REF!</v>
      </c>
      <c r="L6" s="154" t="e">
        <f>#REF!</f>
        <v>#REF!</v>
      </c>
      <c r="M6" s="156" t="e">
        <f t="shared" si="2"/>
        <v>#REF!</v>
      </c>
    </row>
    <row r="7" spans="1:13" ht="15.6" customHeight="1">
      <c r="A7" s="150">
        <v>1.2</v>
      </c>
      <c r="B7" s="153" t="s">
        <v>26</v>
      </c>
      <c r="C7" s="154"/>
      <c r="D7" s="154"/>
      <c r="E7" s="154">
        <f>[1]折、摊!G18</f>
        <v>0</v>
      </c>
      <c r="F7" s="154">
        <f>[1]折、摊!H18</f>
        <v>0</v>
      </c>
      <c r="G7" s="154">
        <f>[1]折、摊!I18</f>
        <v>0</v>
      </c>
      <c r="H7" s="154">
        <f>[1]折、摊!J18</f>
        <v>0</v>
      </c>
      <c r="I7" s="154">
        <f>[1]折、摊!K18</f>
        <v>0</v>
      </c>
      <c r="J7" s="154">
        <f>[1]折、摊!L18</f>
        <v>0</v>
      </c>
      <c r="K7" s="154">
        <f>[1]折、摊!M18</f>
        <v>0</v>
      </c>
      <c r="L7" s="154">
        <f>[1]折、摊!N18</f>
        <v>0</v>
      </c>
      <c r="M7" s="156">
        <f t="shared" si="2"/>
        <v>0</v>
      </c>
    </row>
    <row r="8" spans="1:13" ht="15.6" customHeight="1">
      <c r="A8" s="150">
        <v>1.3</v>
      </c>
      <c r="B8" s="153" t="s">
        <v>27</v>
      </c>
      <c r="C8" s="154" t="s">
        <v>28</v>
      </c>
      <c r="D8" s="154" t="s">
        <v>28</v>
      </c>
      <c r="E8" s="154" t="s">
        <v>28</v>
      </c>
      <c r="F8" s="154" t="s">
        <v>28</v>
      </c>
      <c r="G8" s="154" t="s">
        <v>28</v>
      </c>
      <c r="H8" s="154" t="s">
        <v>28</v>
      </c>
      <c r="I8" s="154" t="s">
        <v>28</v>
      </c>
      <c r="J8" s="154" t="s">
        <v>28</v>
      </c>
      <c r="K8" s="154" t="s">
        <v>28</v>
      </c>
      <c r="L8" s="154"/>
      <c r="M8" s="156">
        <f t="shared" si="2"/>
        <v>0</v>
      </c>
    </row>
    <row r="9" spans="1:13" s="137" customFormat="1" ht="15.6" customHeight="1">
      <c r="A9" s="155">
        <v>1.4</v>
      </c>
      <c r="B9" s="156" t="s">
        <v>29</v>
      </c>
      <c r="C9" s="154" t="s">
        <v>28</v>
      </c>
      <c r="D9" s="154" t="s">
        <v>28</v>
      </c>
      <c r="E9" s="154" t="s">
        <v>28</v>
      </c>
      <c r="F9" s="154" t="s">
        <v>28</v>
      </c>
      <c r="G9" s="154" t="s">
        <v>28</v>
      </c>
      <c r="H9" s="154" t="s">
        <v>28</v>
      </c>
      <c r="I9" s="154" t="s">
        <v>28</v>
      </c>
      <c r="J9" s="154" t="s">
        <v>28</v>
      </c>
      <c r="K9" s="154" t="s">
        <v>28</v>
      </c>
      <c r="L9" s="154" t="s">
        <v>28</v>
      </c>
      <c r="M9" s="156">
        <f t="shared" si="2"/>
        <v>0</v>
      </c>
    </row>
    <row r="10" spans="1:13" ht="15.6" customHeight="1">
      <c r="A10" s="155">
        <v>2</v>
      </c>
      <c r="B10" s="151" t="s">
        <v>30</v>
      </c>
      <c r="C10" s="152">
        <f t="shared" ref="C10:L10" si="3">SUM(C11:C16)</f>
        <v>0</v>
      </c>
      <c r="D10" s="152">
        <f t="shared" si="3"/>
        <v>0</v>
      </c>
      <c r="E10" s="152">
        <f t="shared" si="3"/>
        <v>0</v>
      </c>
      <c r="F10" s="152">
        <f t="shared" si="3"/>
        <v>0</v>
      </c>
      <c r="G10" s="152">
        <f t="shared" si="3"/>
        <v>0</v>
      </c>
      <c r="H10" s="152">
        <f t="shared" si="3"/>
        <v>0</v>
      </c>
      <c r="I10" s="152">
        <f t="shared" si="3"/>
        <v>0</v>
      </c>
      <c r="J10" s="152">
        <f t="shared" si="3"/>
        <v>0</v>
      </c>
      <c r="K10" s="152">
        <f t="shared" si="3"/>
        <v>0</v>
      </c>
      <c r="L10" s="152">
        <f t="shared" si="3"/>
        <v>0</v>
      </c>
      <c r="M10" s="156">
        <f t="shared" si="2"/>
        <v>0</v>
      </c>
    </row>
    <row r="11" spans="1:13" ht="15" customHeight="1">
      <c r="A11" s="150">
        <v>2.1</v>
      </c>
      <c r="B11" s="150" t="s">
        <v>31</v>
      </c>
      <c r="C11" s="154">
        <f>([1]计划!C6-[1]计划!C7)</f>
        <v>0</v>
      </c>
      <c r="D11" s="154">
        <f>([1]计划!D6-[1]计划!D7)</f>
        <v>0</v>
      </c>
      <c r="E11" s="154">
        <f>([1]计划!E6-[1]计划!E7)</f>
        <v>0</v>
      </c>
      <c r="F11" s="154">
        <f>([1]计划!F6-[1]计划!F7)</f>
        <v>0</v>
      </c>
      <c r="G11" s="154">
        <f>([1]计划!G6-[1]计划!G7)</f>
        <v>0</v>
      </c>
      <c r="H11" s="154">
        <f>([1]计划!H6-[1]计划!H7)</f>
        <v>0</v>
      </c>
      <c r="I11" s="154">
        <f>([1]计划!I6-[1]计划!I7)</f>
        <v>0</v>
      </c>
      <c r="J11" s="154">
        <f>([1]计划!J6-[1]计划!J7)</f>
        <v>0</v>
      </c>
      <c r="K11" s="154">
        <f>([1]计划!K6-[1]计划!K7)</f>
        <v>0</v>
      </c>
      <c r="L11" s="154">
        <f>([1]计划!L6-[1]计划!L7)</f>
        <v>0</v>
      </c>
      <c r="M11" s="156">
        <f t="shared" si="2"/>
        <v>0</v>
      </c>
    </row>
    <row r="12" spans="1:13" s="137" customFormat="1" ht="15" customHeight="1">
      <c r="A12" s="150">
        <v>2.2000000000000002</v>
      </c>
      <c r="B12" s="156" t="s">
        <v>32</v>
      </c>
      <c r="C12" s="154">
        <f>[1]计划!C8</f>
        <v>0</v>
      </c>
      <c r="D12" s="154">
        <f>[1]计划!D8</f>
        <v>0</v>
      </c>
      <c r="E12" s="154">
        <f>[1]计划!E8</f>
        <v>0</v>
      </c>
      <c r="F12" s="154">
        <f>[1]计划!F8</f>
        <v>0</v>
      </c>
      <c r="G12" s="154">
        <f>[1]计划!G8</f>
        <v>0</v>
      </c>
      <c r="H12" s="154">
        <f>[1]计划!H8</f>
        <v>0</v>
      </c>
      <c r="I12" s="154">
        <f>[1]计划!I8</f>
        <v>0</v>
      </c>
      <c r="J12" s="154">
        <f>[1]计划!J8</f>
        <v>0</v>
      </c>
      <c r="K12" s="154">
        <f>[1]计划!K8</f>
        <v>0</v>
      </c>
      <c r="L12" s="154">
        <f>[1]计划!L8</f>
        <v>0</v>
      </c>
      <c r="M12" s="156">
        <f t="shared" si="2"/>
        <v>0</v>
      </c>
    </row>
    <row r="13" spans="1:13" ht="15" customHeight="1">
      <c r="A13" s="150">
        <v>2.2999999999999998</v>
      </c>
      <c r="B13" s="153" t="s">
        <v>33</v>
      </c>
      <c r="C13" s="154">
        <f>[1]总成本!C22</f>
        <v>0</v>
      </c>
      <c r="D13" s="154">
        <f>[1]总成本!D22</f>
        <v>0</v>
      </c>
      <c r="E13" s="154">
        <f>[1]总成本!E22</f>
        <v>0</v>
      </c>
      <c r="F13" s="154">
        <f>[1]总成本!F22</f>
        <v>0</v>
      </c>
      <c r="G13" s="154">
        <f>[1]总成本!G22</f>
        <v>0</v>
      </c>
      <c r="H13" s="154">
        <f>[1]总成本!H22</f>
        <v>0</v>
      </c>
      <c r="I13" s="154">
        <f>[1]总成本!I22</f>
        <v>0</v>
      </c>
      <c r="J13" s="154">
        <f>[1]总成本!J22</f>
        <v>0</v>
      </c>
      <c r="K13" s="154">
        <f>[1]总成本!K22</f>
        <v>0</v>
      </c>
      <c r="L13" s="154">
        <f>[1]总成本!L22</f>
        <v>0</v>
      </c>
      <c r="M13" s="156">
        <f t="shared" si="2"/>
        <v>0</v>
      </c>
    </row>
    <row r="14" spans="1:13" ht="15" customHeight="1">
      <c r="A14" s="150">
        <v>2.4</v>
      </c>
      <c r="B14" s="153" t="s">
        <v>34</v>
      </c>
      <c r="C14" s="154">
        <f>[1]价格!D15</f>
        <v>0</v>
      </c>
      <c r="D14" s="154">
        <f>[1]价格!E15</f>
        <v>0</v>
      </c>
      <c r="E14" s="154">
        <f>[1]价格!F15</f>
        <v>0</v>
      </c>
      <c r="F14" s="154">
        <f>[1]价格!G15</f>
        <v>0</v>
      </c>
      <c r="G14" s="154">
        <f>[1]价格!H15</f>
        <v>0</v>
      </c>
      <c r="H14" s="154">
        <f>[1]价格!I15</f>
        <v>0</v>
      </c>
      <c r="I14" s="154">
        <f>[1]价格!J15</f>
        <v>0</v>
      </c>
      <c r="J14" s="154">
        <f>[1]价格!K15</f>
        <v>0</v>
      </c>
      <c r="K14" s="154">
        <f>[1]价格!L15</f>
        <v>0</v>
      </c>
      <c r="L14" s="154">
        <f>[1]价格!M15</f>
        <v>0</v>
      </c>
      <c r="M14" s="156">
        <f t="shared" si="2"/>
        <v>0</v>
      </c>
    </row>
    <row r="15" spans="1:13" ht="15" customHeight="1">
      <c r="A15" s="150">
        <v>2.5</v>
      </c>
      <c r="B15" s="153" t="s">
        <v>35</v>
      </c>
      <c r="C15" s="154">
        <f>[1]利润!C13</f>
        <v>0</v>
      </c>
      <c r="D15" s="154">
        <f>[1]利润!D13</f>
        <v>0</v>
      </c>
      <c r="E15" s="154">
        <f>[1]利润!E13</f>
        <v>0</v>
      </c>
      <c r="F15" s="154">
        <f>[1]利润!F13</f>
        <v>0</v>
      </c>
      <c r="G15" s="154">
        <f>[1]利润!G13</f>
        <v>0</v>
      </c>
      <c r="H15" s="154">
        <f>[1]利润!H13</f>
        <v>0</v>
      </c>
      <c r="I15" s="154">
        <f>[1]利润!I13</f>
        <v>0</v>
      </c>
      <c r="J15" s="154">
        <f>[1]利润!J13</f>
        <v>0</v>
      </c>
      <c r="K15" s="154">
        <f>[1]利润!K13</f>
        <v>0</v>
      </c>
      <c r="L15" s="154">
        <f>[1]利润!L13</f>
        <v>0</v>
      </c>
      <c r="M15" s="156">
        <f t="shared" si="2"/>
        <v>0</v>
      </c>
    </row>
    <row r="16" spans="1:13" ht="15" customHeight="1">
      <c r="A16" s="150">
        <v>2.6</v>
      </c>
      <c r="B16" s="153" t="s">
        <v>36</v>
      </c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6">
        <f t="shared" si="2"/>
        <v>0</v>
      </c>
    </row>
    <row r="17" spans="1:18" ht="12">
      <c r="A17" s="150">
        <v>3</v>
      </c>
      <c r="B17" s="151" t="s">
        <v>37</v>
      </c>
      <c r="C17" s="152">
        <f t="shared" ref="C17:L17" si="4">C5-C10</f>
        <v>0</v>
      </c>
      <c r="D17" s="152">
        <f t="shared" si="4"/>
        <v>0</v>
      </c>
      <c r="E17" s="152" t="e">
        <f t="shared" si="4"/>
        <v>#REF!</v>
      </c>
      <c r="F17" s="152" t="e">
        <f t="shared" si="4"/>
        <v>#REF!</v>
      </c>
      <c r="G17" s="152" t="e">
        <f t="shared" si="4"/>
        <v>#REF!</v>
      </c>
      <c r="H17" s="152" t="e">
        <f t="shared" si="4"/>
        <v>#REF!</v>
      </c>
      <c r="I17" s="152" t="e">
        <f t="shared" si="4"/>
        <v>#REF!</v>
      </c>
      <c r="J17" s="152" t="e">
        <f t="shared" si="4"/>
        <v>#REF!</v>
      </c>
      <c r="K17" s="152" t="e">
        <f t="shared" si="4"/>
        <v>#REF!</v>
      </c>
      <c r="L17" s="152" t="e">
        <f t="shared" si="4"/>
        <v>#REF!</v>
      </c>
      <c r="M17" s="156" t="e">
        <f t="shared" si="2"/>
        <v>#REF!</v>
      </c>
    </row>
    <row r="18" spans="1:18" ht="12">
      <c r="A18" s="157">
        <v>4</v>
      </c>
      <c r="B18" s="153" t="s">
        <v>38</v>
      </c>
      <c r="C18" s="154">
        <f>C17</f>
        <v>0</v>
      </c>
      <c r="D18" s="154">
        <f t="shared" ref="D18:L18" si="5">C18+D17</f>
        <v>0</v>
      </c>
      <c r="E18" s="154" t="e">
        <f t="shared" si="5"/>
        <v>#REF!</v>
      </c>
      <c r="F18" s="154" t="e">
        <f t="shared" si="5"/>
        <v>#REF!</v>
      </c>
      <c r="G18" s="154" t="e">
        <f t="shared" si="5"/>
        <v>#REF!</v>
      </c>
      <c r="H18" s="154" t="e">
        <f t="shared" si="5"/>
        <v>#REF!</v>
      </c>
      <c r="I18" s="154" t="e">
        <f t="shared" si="5"/>
        <v>#REF!</v>
      </c>
      <c r="J18" s="154" t="e">
        <f t="shared" si="5"/>
        <v>#REF!</v>
      </c>
      <c r="K18" s="154" t="e">
        <f t="shared" si="5"/>
        <v>#REF!</v>
      </c>
      <c r="L18" s="154" t="e">
        <f t="shared" si="5"/>
        <v>#REF!</v>
      </c>
      <c r="M18" s="153" t="s">
        <v>28</v>
      </c>
    </row>
    <row r="19" spans="1:18" s="137" customFormat="1" ht="12">
      <c r="A19" s="157">
        <v>5</v>
      </c>
      <c r="B19" s="153" t="s">
        <v>39</v>
      </c>
      <c r="C19" s="154">
        <f t="shared" ref="C19:L19" si="6">C17+C15</f>
        <v>0</v>
      </c>
      <c r="D19" s="154">
        <f t="shared" si="6"/>
        <v>0</v>
      </c>
      <c r="E19" s="154" t="e">
        <f t="shared" si="6"/>
        <v>#REF!</v>
      </c>
      <c r="F19" s="154" t="e">
        <f t="shared" si="6"/>
        <v>#REF!</v>
      </c>
      <c r="G19" s="154" t="e">
        <f t="shared" si="6"/>
        <v>#REF!</v>
      </c>
      <c r="H19" s="154" t="e">
        <f t="shared" si="6"/>
        <v>#REF!</v>
      </c>
      <c r="I19" s="154" t="e">
        <f t="shared" si="6"/>
        <v>#REF!</v>
      </c>
      <c r="J19" s="154" t="e">
        <f t="shared" si="6"/>
        <v>#REF!</v>
      </c>
      <c r="K19" s="154" t="e">
        <f t="shared" si="6"/>
        <v>#REF!</v>
      </c>
      <c r="L19" s="154" t="e">
        <f t="shared" si="6"/>
        <v>#REF!</v>
      </c>
      <c r="M19" s="156" t="e">
        <f>SUM(C19:L19)</f>
        <v>#REF!</v>
      </c>
    </row>
    <row r="20" spans="1:18" s="137" customFormat="1" ht="12">
      <c r="A20" s="150">
        <v>6</v>
      </c>
      <c r="B20" s="153" t="s">
        <v>40</v>
      </c>
      <c r="C20" s="154">
        <f>C19</f>
        <v>0</v>
      </c>
      <c r="D20" s="154">
        <f t="shared" ref="D20:L20" si="7">C20+D19</f>
        <v>0</v>
      </c>
      <c r="E20" s="154" t="e">
        <f t="shared" si="7"/>
        <v>#REF!</v>
      </c>
      <c r="F20" s="154" t="e">
        <f t="shared" si="7"/>
        <v>#REF!</v>
      </c>
      <c r="G20" s="154" t="e">
        <f t="shared" si="7"/>
        <v>#REF!</v>
      </c>
      <c r="H20" s="154" t="e">
        <f t="shared" si="7"/>
        <v>#REF!</v>
      </c>
      <c r="I20" s="154" t="e">
        <f t="shared" si="7"/>
        <v>#REF!</v>
      </c>
      <c r="J20" s="154" t="e">
        <f t="shared" si="7"/>
        <v>#REF!</v>
      </c>
      <c r="K20" s="154" t="e">
        <f t="shared" si="7"/>
        <v>#REF!</v>
      </c>
      <c r="L20" s="154" t="e">
        <f t="shared" si="7"/>
        <v>#REF!</v>
      </c>
      <c r="M20" s="153" t="s">
        <v>28</v>
      </c>
    </row>
    <row r="21" spans="1:18" ht="12">
      <c r="A21" s="158"/>
      <c r="B21" s="159" t="s">
        <v>41</v>
      </c>
      <c r="C21" s="159"/>
      <c r="D21" s="159"/>
      <c r="E21" s="159" t="s">
        <v>42</v>
      </c>
      <c r="F21" s="159"/>
      <c r="G21" s="159"/>
      <c r="H21" s="159"/>
      <c r="I21" s="159" t="s">
        <v>43</v>
      </c>
      <c r="J21" s="159"/>
      <c r="K21" s="159"/>
      <c r="L21" s="159"/>
      <c r="M21" s="170"/>
    </row>
    <row r="22" spans="1:18" ht="12">
      <c r="A22" s="160"/>
      <c r="B22" s="161" t="s">
        <v>44</v>
      </c>
      <c r="C22" s="161"/>
      <c r="D22" s="162" t="s">
        <v>45</v>
      </c>
      <c r="E22" s="163" t="e">
        <f>IRR(C17:L17,0.15)</f>
        <v>#VALUE!</v>
      </c>
      <c r="F22" s="161"/>
      <c r="G22" s="161"/>
      <c r="H22" s="161"/>
      <c r="I22" s="163" t="e">
        <f>IRR(C19:L19,0.15)</f>
        <v>#VALUE!</v>
      </c>
      <c r="J22" s="161"/>
      <c r="K22" s="161"/>
      <c r="L22" s="161"/>
      <c r="M22" s="171"/>
    </row>
    <row r="23" spans="1:18" ht="12">
      <c r="A23" s="160"/>
      <c r="B23" s="161" t="s">
        <v>46</v>
      </c>
      <c r="C23" s="161"/>
      <c r="D23" s="161"/>
      <c r="E23" s="164" t="e">
        <f>NPV(0.12,C17:L17)</f>
        <v>#REF!</v>
      </c>
      <c r="F23" s="161"/>
      <c r="G23" s="161"/>
      <c r="H23" s="161"/>
      <c r="I23" s="164" t="e">
        <f>NPV(0.12,C19:L19)</f>
        <v>#REF!</v>
      </c>
      <c r="J23" s="161"/>
      <c r="K23" s="161"/>
      <c r="L23" s="161"/>
      <c r="M23" s="171"/>
      <c r="R23" s="138">
        <f>30.9-29.82</f>
        <v>1.08</v>
      </c>
    </row>
    <row r="24" spans="1:18" ht="12">
      <c r="A24" s="165"/>
      <c r="B24" s="166" t="s">
        <v>47</v>
      </c>
      <c r="C24" s="166"/>
      <c r="D24" s="166"/>
      <c r="E24" s="167" t="e">
        <f>6-H18/I17</f>
        <v>#REF!</v>
      </c>
      <c r="F24" s="166"/>
      <c r="G24" s="166"/>
      <c r="H24" s="166"/>
      <c r="I24" s="167" t="e">
        <f>6-H20/I19</f>
        <v>#REF!</v>
      </c>
      <c r="J24" s="166"/>
      <c r="K24" s="166"/>
      <c r="L24" s="166"/>
      <c r="M24" s="172"/>
    </row>
  </sheetData>
  <mergeCells count="1">
    <mergeCell ref="C3:E3"/>
  </mergeCells>
  <phoneticPr fontId="4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D24" sqref="D24"/>
    </sheetView>
  </sheetViews>
  <sheetFormatPr defaultColWidth="9" defaultRowHeight="16.5"/>
  <cols>
    <col min="1" max="1" width="5.125" style="112" customWidth="1"/>
    <col min="2" max="2" width="19.625" style="112" customWidth="1"/>
    <col min="3" max="3" width="12.5" style="112" customWidth="1"/>
    <col min="4" max="7" width="12.5" style="113" customWidth="1"/>
    <col min="8" max="8" width="16.5" style="113" customWidth="1"/>
    <col min="9" max="34" width="9" style="112"/>
    <col min="35" max="35" width="4.375" style="112" customWidth="1"/>
    <col min="36" max="36" width="13.875" style="112" customWidth="1"/>
    <col min="37" max="16384" width="9" style="112"/>
  </cols>
  <sheetData>
    <row r="1" spans="1:37" ht="36.75" customHeight="1">
      <c r="A1" s="205" t="s">
        <v>304</v>
      </c>
      <c r="B1" s="205"/>
      <c r="C1" s="205"/>
      <c r="D1" s="205"/>
      <c r="E1" s="205"/>
      <c r="F1" s="205"/>
      <c r="G1" s="205"/>
      <c r="H1" s="205"/>
    </row>
    <row r="2" spans="1:37" ht="22.5" customHeight="1">
      <c r="B2" s="183"/>
      <c r="C2" s="183"/>
      <c r="D2" s="183"/>
      <c r="E2" s="183"/>
      <c r="F2" s="183"/>
      <c r="G2" s="183" t="s">
        <v>273</v>
      </c>
      <c r="H2" s="183"/>
    </row>
    <row r="3" spans="1:37" ht="21.75" customHeight="1">
      <c r="A3" s="203" t="s">
        <v>18</v>
      </c>
      <c r="B3" s="114" t="s">
        <v>1</v>
      </c>
      <c r="C3" s="114" t="s">
        <v>268</v>
      </c>
      <c r="D3" s="114" t="s">
        <v>269</v>
      </c>
      <c r="E3" s="114" t="s">
        <v>270</v>
      </c>
      <c r="F3" s="114" t="s">
        <v>271</v>
      </c>
      <c r="G3" s="114" t="s">
        <v>272</v>
      </c>
      <c r="H3" s="133" t="s">
        <v>51</v>
      </c>
      <c r="AK3" s="112" t="s">
        <v>52</v>
      </c>
    </row>
    <row r="4" spans="1:37" s="82" customFormat="1" ht="15.75" customHeight="1">
      <c r="A4" s="204"/>
      <c r="B4" s="90" t="s">
        <v>3</v>
      </c>
      <c r="C4" s="115">
        <f>'2025年'!H6</f>
        <v>4000</v>
      </c>
      <c r="D4" s="115">
        <f>'2026年'!H6</f>
        <v>8000</v>
      </c>
      <c r="E4" s="115">
        <f>'2027年'!H6</f>
        <v>8000</v>
      </c>
      <c r="F4" s="115">
        <f>'2028年'!H6</f>
        <v>8000</v>
      </c>
      <c r="G4" s="115">
        <f>'2029年'!H6</f>
        <v>8000</v>
      </c>
      <c r="H4" s="115">
        <f t="shared" ref="H4:H11" si="0">SUM(C4:G4)</f>
        <v>36000</v>
      </c>
      <c r="AI4" s="89" t="s">
        <v>18</v>
      </c>
      <c r="AJ4" s="90" t="s">
        <v>3</v>
      </c>
      <c r="AK4" s="82" t="s">
        <v>53</v>
      </c>
    </row>
    <row r="5" spans="1:37" s="82" customFormat="1" ht="15.75" customHeight="1">
      <c r="A5" s="86">
        <v>1</v>
      </c>
      <c r="B5" s="90" t="s">
        <v>54</v>
      </c>
      <c r="C5" s="115">
        <f>'2025年'!H7</f>
        <v>4490000</v>
      </c>
      <c r="D5" s="115">
        <f>'2026年'!H7</f>
        <v>8980000</v>
      </c>
      <c r="E5" s="115">
        <f>'2027年'!H7</f>
        <v>8980000</v>
      </c>
      <c r="F5" s="115">
        <f>'2028年'!H7</f>
        <v>8980000</v>
      </c>
      <c r="G5" s="115">
        <f>'2029年'!H7</f>
        <v>8980000</v>
      </c>
      <c r="H5" s="115">
        <f t="shared" si="0"/>
        <v>40410000</v>
      </c>
      <c r="AI5" s="89" t="s">
        <v>55</v>
      </c>
      <c r="AJ5" s="90" t="s">
        <v>54</v>
      </c>
      <c r="AK5" s="82" t="s">
        <v>53</v>
      </c>
    </row>
    <row r="6" spans="1:37" s="82" customFormat="1" ht="15.75" customHeight="1">
      <c r="A6" s="86">
        <v>2</v>
      </c>
      <c r="B6" s="86" t="s">
        <v>56</v>
      </c>
      <c r="C6" s="115">
        <f>'2025年'!H8</f>
        <v>0</v>
      </c>
      <c r="D6" s="115">
        <f>'2026年'!H8</f>
        <v>269400.00000000023</v>
      </c>
      <c r="E6" s="115">
        <f>'2027年'!H8</f>
        <v>530717.9999999993</v>
      </c>
      <c r="F6" s="115">
        <f>'2028年'!H8</f>
        <v>784196.45999999938</v>
      </c>
      <c r="G6" s="115">
        <f>'2029年'!H8</f>
        <v>1030070.5662000007</v>
      </c>
      <c r="H6" s="115">
        <f t="shared" si="0"/>
        <v>2614385.0261999997</v>
      </c>
      <c r="AI6" s="89" t="s">
        <v>57</v>
      </c>
      <c r="AJ6" s="86" t="s">
        <v>58</v>
      </c>
      <c r="AK6" s="82" t="s">
        <v>53</v>
      </c>
    </row>
    <row r="7" spans="1:37" s="82" customFormat="1" ht="15.75" customHeight="1">
      <c r="A7" s="86">
        <v>3</v>
      </c>
      <c r="B7" s="90" t="s">
        <v>59</v>
      </c>
      <c r="C7" s="116">
        <f>'2025年'!H9</f>
        <v>4490000</v>
      </c>
      <c r="D7" s="116">
        <f>D5-D6</f>
        <v>8710600</v>
      </c>
      <c r="E7" s="116">
        <f>'2027年'!H9</f>
        <v>8449282</v>
      </c>
      <c r="F7" s="115">
        <f>'2028年'!H9</f>
        <v>8195803.540000001</v>
      </c>
      <c r="G7" s="115">
        <f>'2029年'!H9</f>
        <v>7949929.4337999988</v>
      </c>
      <c r="H7" s="115">
        <f t="shared" si="0"/>
        <v>37795614.973799996</v>
      </c>
      <c r="AI7" s="89" t="s">
        <v>60</v>
      </c>
      <c r="AJ7" s="90" t="s">
        <v>59</v>
      </c>
      <c r="AK7" s="82" t="s">
        <v>61</v>
      </c>
    </row>
    <row r="8" spans="1:37" s="82" customFormat="1" ht="15.75" customHeight="1">
      <c r="A8" s="86">
        <v>4</v>
      </c>
      <c r="B8" s="89" t="s">
        <v>274</v>
      </c>
      <c r="C8" s="115">
        <f>'2025年'!H10</f>
        <v>3376093.5273341173</v>
      </c>
      <c r="D8" s="115">
        <f>'2026年'!H10</f>
        <v>6549621.4430281864</v>
      </c>
      <c r="E8" s="116">
        <f>'2027年'!H10</f>
        <v>6549621.4430281864</v>
      </c>
      <c r="F8" s="115">
        <f>'2028年'!H10</f>
        <v>6353132.7997373408</v>
      </c>
      <c r="G8" s="115">
        <f>'2029年'!H10</f>
        <v>6353132.7997373408</v>
      </c>
      <c r="H8" s="115">
        <f t="shared" si="0"/>
        <v>29181602.012865175</v>
      </c>
      <c r="AI8" s="89" t="s">
        <v>62</v>
      </c>
      <c r="AJ8" s="89" t="s">
        <v>63</v>
      </c>
      <c r="AK8" s="82" t="s">
        <v>64</v>
      </c>
    </row>
    <row r="9" spans="1:37" s="82" customFormat="1" ht="15.75" customHeight="1">
      <c r="A9" s="86">
        <v>5</v>
      </c>
      <c r="B9" s="89" t="s">
        <v>65</v>
      </c>
      <c r="C9" s="115">
        <f>'2025年'!H11</f>
        <v>51007.917959999999</v>
      </c>
      <c r="D9" s="115">
        <f>'2026年'!H11</f>
        <v>102015.83592</v>
      </c>
      <c r="E9" s="116">
        <f>'2027年'!H11</f>
        <v>102015.83592</v>
      </c>
      <c r="F9" s="115">
        <f>'2028年'!H11</f>
        <v>102015.83592</v>
      </c>
      <c r="G9" s="115">
        <f>'2029年'!H11</f>
        <v>102015.83592</v>
      </c>
      <c r="H9" s="115">
        <f t="shared" si="0"/>
        <v>459071.26163999998</v>
      </c>
      <c r="AI9" s="89" t="s">
        <v>66</v>
      </c>
      <c r="AJ9" s="89" t="s">
        <v>65</v>
      </c>
    </row>
    <row r="10" spans="1:37" s="82" customFormat="1" ht="15.75" customHeight="1">
      <c r="A10" s="86">
        <v>6</v>
      </c>
      <c r="B10" s="89" t="s">
        <v>67</v>
      </c>
      <c r="C10" s="115">
        <f>'2025年'!H12</f>
        <v>46031.53572</v>
      </c>
      <c r="D10" s="115">
        <f>'2026年'!H12</f>
        <v>92063.07144</v>
      </c>
      <c r="E10" s="116">
        <f>'2027年'!H12</f>
        <v>92063.07144</v>
      </c>
      <c r="F10" s="115">
        <f>'2028年'!H12</f>
        <v>92063.07144</v>
      </c>
      <c r="G10" s="115">
        <f>'2029年'!H12</f>
        <v>92063.07144</v>
      </c>
      <c r="H10" s="115">
        <f t="shared" si="0"/>
        <v>414283.82148000004</v>
      </c>
      <c r="AI10" s="89" t="s">
        <v>68</v>
      </c>
      <c r="AJ10" s="89" t="s">
        <v>67</v>
      </c>
    </row>
    <row r="11" spans="1:37" s="82" customFormat="1" ht="15.75" customHeight="1">
      <c r="A11" s="86">
        <v>7</v>
      </c>
      <c r="B11" s="89" t="s">
        <v>69</v>
      </c>
      <c r="C11" s="115">
        <f>'2025年'!H13</f>
        <v>66351.763200000001</v>
      </c>
      <c r="D11" s="115">
        <f>'2026年'!H13</f>
        <v>132703.5264</v>
      </c>
      <c r="E11" s="116">
        <f>'2027年'!H13</f>
        <v>132703.5264</v>
      </c>
      <c r="F11" s="115">
        <f>'2028年'!H13</f>
        <v>132703.5264</v>
      </c>
      <c r="G11" s="115">
        <f>'2029年'!H13</f>
        <v>132703.5264</v>
      </c>
      <c r="H11" s="115">
        <f t="shared" si="0"/>
        <v>597165.86879999994</v>
      </c>
      <c r="AI11" s="89" t="s">
        <v>70</v>
      </c>
      <c r="AJ11" s="89" t="s">
        <v>69</v>
      </c>
      <c r="AK11" s="82" t="s">
        <v>53</v>
      </c>
    </row>
    <row r="12" spans="1:37" s="82" customFormat="1" ht="15.75" customHeight="1">
      <c r="A12" s="86">
        <v>8</v>
      </c>
      <c r="B12" s="117" t="s">
        <v>71</v>
      </c>
      <c r="C12" s="118">
        <f>SUM(C9:C11)</f>
        <v>163391.21688000002</v>
      </c>
      <c r="D12" s="118">
        <f t="shared" ref="D12:H12" si="1">SUM(D9:D11)</f>
        <v>326782.43376000004</v>
      </c>
      <c r="E12" s="118">
        <f t="shared" si="1"/>
        <v>326782.43376000004</v>
      </c>
      <c r="F12" s="118">
        <f t="shared" si="1"/>
        <v>326782.43376000004</v>
      </c>
      <c r="G12" s="118">
        <f t="shared" si="1"/>
        <v>326782.43376000004</v>
      </c>
      <c r="H12" s="118">
        <f t="shared" si="1"/>
        <v>1470520.9519199999</v>
      </c>
      <c r="AI12" s="89" t="s">
        <v>72</v>
      </c>
      <c r="AJ12" s="94" t="s">
        <v>71</v>
      </c>
    </row>
    <row r="13" spans="1:37" s="82" customFormat="1" ht="15.75" customHeight="1">
      <c r="A13" s="86">
        <v>9</v>
      </c>
      <c r="B13" s="119" t="s">
        <v>73</v>
      </c>
      <c r="C13" s="115">
        <f>'2025年'!H15</f>
        <v>950515.25578588271</v>
      </c>
      <c r="D13" s="115">
        <f>'2026年'!H15</f>
        <v>1834196.1232118136</v>
      </c>
      <c r="E13" s="116">
        <f>'2027年'!H15</f>
        <v>1572878.1232118136</v>
      </c>
      <c r="F13" s="115">
        <f>'2028年'!H15</f>
        <v>1515888.3065026603</v>
      </c>
      <c r="G13" s="115">
        <f>'2029年'!H15</f>
        <v>1270014.2003026581</v>
      </c>
      <c r="H13" s="115">
        <f>SUM(C13:G13)</f>
        <v>7143492.00901483</v>
      </c>
      <c r="J13" s="112"/>
      <c r="K13" s="112"/>
      <c r="L13" s="112"/>
      <c r="M13" s="112"/>
      <c r="N13" s="112"/>
      <c r="O13" s="112"/>
      <c r="AI13" s="89" t="s">
        <v>74</v>
      </c>
      <c r="AJ13" s="94" t="s">
        <v>73</v>
      </c>
    </row>
    <row r="14" spans="1:37" ht="15.75" customHeight="1">
      <c r="A14" s="86">
        <v>10</v>
      </c>
      <c r="B14" s="120" t="s">
        <v>75</v>
      </c>
      <c r="C14" s="121">
        <f t="shared" ref="C14:G14" si="2">+C13/C7</f>
        <v>0.21169604805921663</v>
      </c>
      <c r="D14" s="121">
        <f t="shared" si="2"/>
        <v>0.21057058333660295</v>
      </c>
      <c r="E14" s="121">
        <f t="shared" si="2"/>
        <v>0.1861552405531989</v>
      </c>
      <c r="F14" s="121">
        <f t="shared" si="2"/>
        <v>0.18495908291411534</v>
      </c>
      <c r="G14" s="121">
        <f t="shared" si="2"/>
        <v>0.15975163187022179</v>
      </c>
      <c r="H14" s="121">
        <f>+H13/H7</f>
        <v>0.189003195581464</v>
      </c>
      <c r="AI14" s="120" t="s">
        <v>76</v>
      </c>
      <c r="AJ14" s="120" t="s">
        <v>75</v>
      </c>
    </row>
    <row r="15" spans="1:37" ht="15.75" customHeight="1">
      <c r="A15" s="86">
        <v>11</v>
      </c>
      <c r="B15" s="120" t="s">
        <v>77</v>
      </c>
      <c r="C15" s="115">
        <f>'2025年'!H17</f>
        <v>151779.65831999999</v>
      </c>
      <c r="D15" s="115">
        <f>'2026年'!H17</f>
        <v>303559.31663999998</v>
      </c>
      <c r="E15" s="116">
        <f>'2027年'!H17</f>
        <v>303559.31663999998</v>
      </c>
      <c r="F15" s="115">
        <f>'2028年'!H17</f>
        <v>303559.31663999998</v>
      </c>
      <c r="G15" s="115">
        <f>'2029年'!H17</f>
        <v>303559.31663999998</v>
      </c>
      <c r="H15" s="115">
        <f>SUM(C15:G15)</f>
        <v>1366016.9248799998</v>
      </c>
      <c r="AI15" s="120" t="s">
        <v>78</v>
      </c>
      <c r="AJ15" s="120" t="s">
        <v>77</v>
      </c>
    </row>
    <row r="16" spans="1:37" ht="15.75" hidden="1" customHeight="1">
      <c r="A16" s="86"/>
      <c r="B16" s="120"/>
      <c r="C16" s="115"/>
      <c r="D16" s="115"/>
      <c r="E16" s="115"/>
      <c r="F16" s="115"/>
      <c r="G16" s="115"/>
      <c r="H16" s="115">
        <f>SUM(D16:F16)</f>
        <v>0</v>
      </c>
      <c r="AI16" s="120"/>
      <c r="AJ16" s="120"/>
    </row>
    <row r="17" spans="1:37" ht="15.75" customHeight="1">
      <c r="A17" s="86">
        <v>12</v>
      </c>
      <c r="B17" s="120" t="s">
        <v>79</v>
      </c>
      <c r="C17" s="122">
        <f>'2025年'!H19</f>
        <v>34834.675679999993</v>
      </c>
      <c r="D17" s="122">
        <f>'2026年'!H19</f>
        <v>69669.351359999986</v>
      </c>
      <c r="E17" s="122">
        <f>'2027年'!H19</f>
        <v>69669.351359999986</v>
      </c>
      <c r="F17" s="115">
        <f>'2028年'!H19</f>
        <v>69669.351359999986</v>
      </c>
      <c r="G17" s="115">
        <f>'2029年'!H19</f>
        <v>69669.351359999986</v>
      </c>
      <c r="H17" s="115">
        <f>SUM(C17:G17)</f>
        <v>313512.08111999993</v>
      </c>
      <c r="P17" s="93"/>
      <c r="AI17" s="120" t="s">
        <v>80</v>
      </c>
      <c r="AJ17" s="120" t="s">
        <v>79</v>
      </c>
      <c r="AK17" s="112" t="s">
        <v>53</v>
      </c>
    </row>
    <row r="18" spans="1:37" ht="15.75" customHeight="1">
      <c r="A18" s="86">
        <v>13</v>
      </c>
      <c r="B18" s="120" t="s">
        <v>81</v>
      </c>
      <c r="C18" s="122">
        <f>'2025年'!H20</f>
        <v>133947.62195999999</v>
      </c>
      <c r="D18" s="122">
        <f>'2026年'!H20</f>
        <v>267895.24391999998</v>
      </c>
      <c r="E18" s="122">
        <f>'2027年'!H20</f>
        <v>267895.24391999998</v>
      </c>
      <c r="F18" s="115">
        <f>'2028年'!H20</f>
        <v>267895.24391999998</v>
      </c>
      <c r="G18" s="115">
        <f>'2029年'!H20</f>
        <v>267895.24391999998</v>
      </c>
      <c r="H18" s="115">
        <f>SUM(C18:G18)</f>
        <v>1205528.5976400001</v>
      </c>
      <c r="AI18" s="120" t="s">
        <v>82</v>
      </c>
      <c r="AJ18" s="120" t="s">
        <v>81</v>
      </c>
    </row>
    <row r="19" spans="1:37" s="84" customFormat="1" ht="15.75" customHeight="1">
      <c r="A19" s="86">
        <v>14</v>
      </c>
      <c r="B19" s="101" t="s">
        <v>83</v>
      </c>
      <c r="C19" s="123">
        <f>'2025年'!H21</f>
        <v>2000</v>
      </c>
      <c r="D19" s="123">
        <f>'2026年'!H21</f>
        <v>2000</v>
      </c>
      <c r="E19" s="123">
        <f>'2027年'!H21</f>
        <v>2000</v>
      </c>
      <c r="F19" s="123">
        <f>'2028年'!H21</f>
        <v>2000</v>
      </c>
      <c r="G19" s="115">
        <f>'2029年'!H21</f>
        <v>2000</v>
      </c>
      <c r="H19" s="115">
        <f>SUM(C19:G19)</f>
        <v>10000</v>
      </c>
      <c r="AI19" s="101"/>
      <c r="AJ19" s="101"/>
    </row>
    <row r="20" spans="1:37" s="82" customFormat="1" ht="15.75" customHeight="1">
      <c r="A20" s="86">
        <v>15</v>
      </c>
      <c r="B20" s="89" t="s">
        <v>84</v>
      </c>
      <c r="C20" s="122">
        <f>'2025年'!H22</f>
        <v>147217.97459999999</v>
      </c>
      <c r="D20" s="122">
        <f>'2026年'!H22</f>
        <v>294435.94919999997</v>
      </c>
      <c r="E20" s="122">
        <f>'2027年'!H22</f>
        <v>294435.94919999997</v>
      </c>
      <c r="F20" s="115">
        <f>'2028年'!H22</f>
        <v>294435.94919999997</v>
      </c>
      <c r="G20" s="115">
        <f>'2029年'!H22</f>
        <v>294435.94919999997</v>
      </c>
      <c r="H20" s="115">
        <f>SUM(C20:G20)</f>
        <v>1324961.7713999997</v>
      </c>
      <c r="AI20" s="89" t="s">
        <v>85</v>
      </c>
      <c r="AJ20" s="89" t="s">
        <v>84</v>
      </c>
    </row>
    <row r="21" spans="1:37" s="110" customFormat="1" ht="15.75" customHeight="1">
      <c r="A21" s="86">
        <v>16</v>
      </c>
      <c r="B21" s="124" t="s">
        <v>86</v>
      </c>
      <c r="C21" s="118">
        <f t="shared" ref="C21:G21" si="3">+C20+C19+C18+C17+C15</f>
        <v>469779.93055999995</v>
      </c>
      <c r="D21" s="118">
        <f t="shared" si="3"/>
        <v>937559.8611199999</v>
      </c>
      <c r="E21" s="118">
        <f t="shared" si="3"/>
        <v>937559.8611199999</v>
      </c>
      <c r="F21" s="118">
        <f t="shared" si="3"/>
        <v>937559.8611199999</v>
      </c>
      <c r="G21" s="118">
        <f t="shared" si="3"/>
        <v>937559.8611199999</v>
      </c>
      <c r="H21" s="118">
        <f>+H20+H19+H18+H17+H15</f>
        <v>4220019.3750399994</v>
      </c>
      <c r="AI21" s="134" t="s">
        <v>87</v>
      </c>
      <c r="AJ21" s="135" t="s">
        <v>86</v>
      </c>
    </row>
    <row r="22" spans="1:37" ht="15.75" customHeight="1">
      <c r="A22" s="86">
        <v>17</v>
      </c>
      <c r="B22" s="120" t="s">
        <v>88</v>
      </c>
      <c r="C22" s="123">
        <f>'2025年'!H24</f>
        <v>480735.32522588276</v>
      </c>
      <c r="D22" s="125">
        <f>'2026年'!H24</f>
        <v>896636.26209181373</v>
      </c>
      <c r="E22" s="125">
        <f>'2027年'!H24</f>
        <v>635318.26209181361</v>
      </c>
      <c r="F22" s="115">
        <f>'2028年'!H24</f>
        <v>578328.44538266037</v>
      </c>
      <c r="G22" s="115">
        <f>'2029年'!H24</f>
        <v>332454.33918265824</v>
      </c>
      <c r="H22" s="115">
        <f>SUM(C22:G22)</f>
        <v>2923472.6339748288</v>
      </c>
      <c r="AI22" s="120" t="s">
        <v>89</v>
      </c>
      <c r="AJ22" s="120" t="s">
        <v>88</v>
      </c>
    </row>
    <row r="23" spans="1:37" ht="15.75" customHeight="1">
      <c r="A23" s="86">
        <v>18</v>
      </c>
      <c r="B23" s="120" t="s">
        <v>35</v>
      </c>
      <c r="C23" s="123">
        <f>'2025年'!H25</f>
        <v>72110.298783882405</v>
      </c>
      <c r="D23" s="125">
        <f>'2026年'!H25</f>
        <v>134495.43931377205</v>
      </c>
      <c r="E23" s="125">
        <f>'2027年'!H25</f>
        <v>95297.739313772036</v>
      </c>
      <c r="F23" s="115">
        <f>'2028年'!H25</f>
        <v>86749.26680739905</v>
      </c>
      <c r="G23" s="115">
        <f>'2029年'!H25</f>
        <v>49868.150877398737</v>
      </c>
      <c r="H23" s="115">
        <f t="shared" ref="H23" si="4">IF(H22&lt;0,0,H22*0.15)</f>
        <v>438520.89509622433</v>
      </c>
      <c r="AI23" s="120" t="s">
        <v>90</v>
      </c>
      <c r="AJ23" s="120" t="s">
        <v>35</v>
      </c>
    </row>
    <row r="24" spans="1:37" ht="15.75" customHeight="1">
      <c r="A24" s="86">
        <v>19</v>
      </c>
      <c r="B24" s="120" t="s">
        <v>91</v>
      </c>
      <c r="C24" s="123">
        <f>'2025年'!H26</f>
        <v>408625.02644200047</v>
      </c>
      <c r="D24" s="125">
        <f>'2026年'!H26</f>
        <v>762140.82277804171</v>
      </c>
      <c r="E24" s="125">
        <f>'2027年'!H26</f>
        <v>540020.52277804154</v>
      </c>
      <c r="F24" s="115">
        <f>'2028年'!H26</f>
        <v>491579.17857526132</v>
      </c>
      <c r="G24" s="115">
        <f>'2029年'!H26</f>
        <v>282586.18830525951</v>
      </c>
      <c r="H24" s="115">
        <f>H22-H23</f>
        <v>2484951.7388786045</v>
      </c>
      <c r="AI24" s="120" t="s">
        <v>92</v>
      </c>
      <c r="AJ24" s="120" t="s">
        <v>91</v>
      </c>
    </row>
    <row r="25" spans="1:37" ht="15.75" customHeight="1">
      <c r="A25" s="86">
        <v>20</v>
      </c>
      <c r="B25" s="120" t="s">
        <v>93</v>
      </c>
      <c r="C25" s="126">
        <f>C24/C5</f>
        <v>9.1007800989309676E-2</v>
      </c>
      <c r="D25" s="126">
        <f t="shared" ref="D25:H25" si="5">D24/D5</f>
        <v>8.487091567684206E-2</v>
      </c>
      <c r="E25" s="126">
        <f t="shared" si="5"/>
        <v>6.0135915676842046E-2</v>
      </c>
      <c r="F25" s="126">
        <f t="shared" si="5"/>
        <v>5.4741556634216183E-2</v>
      </c>
      <c r="G25" s="126">
        <f t="shared" si="5"/>
        <v>3.1468395134215982E-2</v>
      </c>
      <c r="H25" s="126">
        <f t="shared" si="5"/>
        <v>6.1493485248171359E-2</v>
      </c>
      <c r="AI25" s="136" t="s">
        <v>94</v>
      </c>
      <c r="AJ25" s="136" t="s">
        <v>95</v>
      </c>
    </row>
    <row r="26" spans="1:37" s="111" customFormat="1" ht="15.75" customHeight="1">
      <c r="D26" s="127"/>
      <c r="E26" s="127"/>
      <c r="F26" s="127"/>
      <c r="G26" s="127"/>
      <c r="H26" s="127"/>
    </row>
    <row r="27" spans="1:37" s="111" customFormat="1" ht="15.75" customHeight="1">
      <c r="A27" s="111" t="s">
        <v>96</v>
      </c>
      <c r="D27" s="128"/>
      <c r="E27" s="128"/>
      <c r="F27" s="128"/>
      <c r="G27" s="128"/>
      <c r="H27" s="128"/>
      <c r="AI27" s="111" t="s">
        <v>96</v>
      </c>
    </row>
    <row r="28" spans="1:37" ht="25.5" customHeight="1">
      <c r="A28" s="120" t="s">
        <v>18</v>
      </c>
      <c r="B28" s="184" t="s">
        <v>1</v>
      </c>
      <c r="C28" s="114" t="str">
        <f>C3</f>
        <v>2025年</v>
      </c>
      <c r="D28" s="114" t="str">
        <f t="shared" ref="D28:G28" si="6">D3</f>
        <v>2026年</v>
      </c>
      <c r="E28" s="114" t="str">
        <f t="shared" si="6"/>
        <v>2027年</v>
      </c>
      <c r="F28" s="114" t="str">
        <f t="shared" si="6"/>
        <v>2028年</v>
      </c>
      <c r="G28" s="114" t="str">
        <f t="shared" si="6"/>
        <v>2029年</v>
      </c>
      <c r="H28" s="133" t="s">
        <v>51</v>
      </c>
      <c r="AK28" s="112" t="s">
        <v>52</v>
      </c>
    </row>
    <row r="29" spans="1:37" s="82" customFormat="1" ht="15.75" customHeight="1">
      <c r="A29" s="89" t="s">
        <v>97</v>
      </c>
      <c r="B29" s="94" t="s">
        <v>98</v>
      </c>
      <c r="C29" s="94"/>
      <c r="D29" s="100"/>
      <c r="E29" s="100"/>
      <c r="F29" s="100"/>
      <c r="G29" s="100"/>
      <c r="H29" s="100"/>
      <c r="AI29" s="89" t="s">
        <v>99</v>
      </c>
      <c r="AJ29" s="94" t="s">
        <v>98</v>
      </c>
    </row>
    <row r="30" spans="1:37" s="82" customFormat="1" ht="15.75" customHeight="1">
      <c r="A30" s="89" t="s">
        <v>55</v>
      </c>
      <c r="B30" s="89" t="s">
        <v>100</v>
      </c>
      <c r="C30" s="92">
        <f>+C7/C4</f>
        <v>1122.5</v>
      </c>
      <c r="D30" s="92">
        <f t="shared" ref="D30:H30" si="7">+D7/D4</f>
        <v>1088.825</v>
      </c>
      <c r="E30" s="92">
        <f t="shared" si="7"/>
        <v>1056.1602499999999</v>
      </c>
      <c r="F30" s="92">
        <f t="shared" si="7"/>
        <v>1024.4754425000001</v>
      </c>
      <c r="G30" s="92">
        <f t="shared" si="7"/>
        <v>993.74117922499988</v>
      </c>
      <c r="H30" s="92">
        <f t="shared" si="7"/>
        <v>1049.8781937166666</v>
      </c>
      <c r="AI30" s="89" t="s">
        <v>55</v>
      </c>
      <c r="AJ30" s="89" t="s">
        <v>100</v>
      </c>
    </row>
    <row r="31" spans="1:37" s="82" customFormat="1" ht="15.75" customHeight="1">
      <c r="A31" s="89" t="s">
        <v>57</v>
      </c>
      <c r="B31" s="89" t="s">
        <v>101</v>
      </c>
      <c r="C31" s="92">
        <f>+C8/C4</f>
        <v>844.02338183352936</v>
      </c>
      <c r="D31" s="92">
        <f t="shared" ref="D31:H31" si="8">+D8/D4</f>
        <v>818.70268037852327</v>
      </c>
      <c r="E31" s="92">
        <f t="shared" si="8"/>
        <v>818.70268037852327</v>
      </c>
      <c r="F31" s="92">
        <f t="shared" si="8"/>
        <v>794.14159996716762</v>
      </c>
      <c r="G31" s="92">
        <f t="shared" si="8"/>
        <v>794.14159996716762</v>
      </c>
      <c r="H31" s="92">
        <f t="shared" si="8"/>
        <v>810.60005591292156</v>
      </c>
      <c r="AI31" s="89" t="s">
        <v>57</v>
      </c>
      <c r="AJ31" s="89" t="s">
        <v>101</v>
      </c>
    </row>
    <row r="32" spans="1:37" s="82" customFormat="1" ht="15.75" customHeight="1">
      <c r="A32" s="89" t="s">
        <v>102</v>
      </c>
      <c r="B32" s="89" t="s">
        <v>103</v>
      </c>
      <c r="C32" s="100">
        <f>C30-C31</f>
        <v>278.47661816647064</v>
      </c>
      <c r="D32" s="100">
        <f t="shared" ref="D32:H32" si="9">D30-D31</f>
        <v>270.12231962147678</v>
      </c>
      <c r="E32" s="100">
        <f t="shared" si="9"/>
        <v>237.45756962147664</v>
      </c>
      <c r="F32" s="100">
        <f t="shared" si="9"/>
        <v>230.33384253283248</v>
      </c>
      <c r="G32" s="100">
        <f t="shared" si="9"/>
        <v>199.59957925783226</v>
      </c>
      <c r="H32" s="100">
        <f t="shared" si="9"/>
        <v>239.27813780374504</v>
      </c>
      <c r="AI32" s="89" t="s">
        <v>102</v>
      </c>
      <c r="AJ32" s="89" t="s">
        <v>103</v>
      </c>
    </row>
    <row r="33" spans="1:36" s="82" customFormat="1" ht="15.75" customHeight="1">
      <c r="A33" s="89">
        <v>3.1</v>
      </c>
      <c r="B33" s="89" t="s">
        <v>104</v>
      </c>
      <c r="C33" s="95">
        <f>C32/C30</f>
        <v>0.24808607409039701</v>
      </c>
      <c r="D33" s="95">
        <f t="shared" ref="D33:H33" si="10">D32/D30</f>
        <v>0.24808607409039724</v>
      </c>
      <c r="E33" s="95">
        <f t="shared" si="10"/>
        <v>0.22483100421690427</v>
      </c>
      <c r="F33" s="95">
        <f t="shared" si="10"/>
        <v>0.22483100421690436</v>
      </c>
      <c r="G33" s="95">
        <f t="shared" si="10"/>
        <v>0.20085670537825173</v>
      </c>
      <c r="H33" s="95">
        <f t="shared" si="10"/>
        <v>0.2279103797333652</v>
      </c>
      <c r="AI33" s="89"/>
      <c r="AJ33" s="89"/>
    </row>
    <row r="34" spans="1:36" s="82" customFormat="1" ht="15.75" customHeight="1">
      <c r="A34" s="89" t="s">
        <v>99</v>
      </c>
      <c r="B34" s="94" t="s">
        <v>9</v>
      </c>
      <c r="C34" s="100"/>
      <c r="D34" s="100"/>
      <c r="E34" s="100"/>
      <c r="F34" s="100"/>
      <c r="G34" s="100"/>
      <c r="H34" s="100"/>
      <c r="AI34" s="89" t="s">
        <v>105</v>
      </c>
      <c r="AJ34" s="94" t="s">
        <v>9</v>
      </c>
    </row>
    <row r="35" spans="1:36" s="82" customFormat="1" ht="15.75" customHeight="1">
      <c r="A35" s="89" t="s">
        <v>55</v>
      </c>
      <c r="B35" s="101" t="s">
        <v>106</v>
      </c>
      <c r="C35" s="92">
        <f>+C9/C4</f>
        <v>12.75197949</v>
      </c>
      <c r="D35" s="92">
        <f t="shared" ref="D35:H35" si="11">+D9/D4</f>
        <v>12.75197949</v>
      </c>
      <c r="E35" s="92">
        <f t="shared" si="11"/>
        <v>12.75197949</v>
      </c>
      <c r="F35" s="92">
        <f t="shared" si="11"/>
        <v>12.75197949</v>
      </c>
      <c r="G35" s="92">
        <f t="shared" si="11"/>
        <v>12.75197949</v>
      </c>
      <c r="H35" s="92">
        <f t="shared" si="11"/>
        <v>12.75197949</v>
      </c>
      <c r="AI35" s="89" t="s">
        <v>102</v>
      </c>
      <c r="AJ35" s="89" t="s">
        <v>106</v>
      </c>
    </row>
    <row r="36" spans="1:36" s="82" customFormat="1" ht="15.75" customHeight="1">
      <c r="A36" s="89" t="s">
        <v>57</v>
      </c>
      <c r="B36" s="101" t="s">
        <v>107</v>
      </c>
      <c r="C36" s="92">
        <f>+C10/C4</f>
        <v>11.50788393</v>
      </c>
      <c r="D36" s="92">
        <f t="shared" ref="D36:H36" si="12">+D10/D4</f>
        <v>11.50788393</v>
      </c>
      <c r="E36" s="92">
        <f t="shared" si="12"/>
        <v>11.50788393</v>
      </c>
      <c r="F36" s="92">
        <f t="shared" si="12"/>
        <v>11.50788393</v>
      </c>
      <c r="G36" s="92">
        <f t="shared" si="12"/>
        <v>11.50788393</v>
      </c>
      <c r="H36" s="92">
        <f t="shared" si="12"/>
        <v>11.507883930000002</v>
      </c>
      <c r="AI36" s="89" t="s">
        <v>60</v>
      </c>
      <c r="AJ36" s="89" t="s">
        <v>107</v>
      </c>
    </row>
    <row r="37" spans="1:36" s="82" customFormat="1" ht="15.75" customHeight="1">
      <c r="A37" s="89" t="s">
        <v>102</v>
      </c>
      <c r="B37" s="101" t="s">
        <v>108</v>
      </c>
      <c r="C37" s="92">
        <f>+C11/C4</f>
        <v>16.587940800000002</v>
      </c>
      <c r="D37" s="92">
        <f t="shared" ref="D37:H37" si="13">+D11/D4</f>
        <v>16.587940800000002</v>
      </c>
      <c r="E37" s="92">
        <f t="shared" si="13"/>
        <v>16.587940800000002</v>
      </c>
      <c r="F37" s="92">
        <f t="shared" si="13"/>
        <v>16.587940800000002</v>
      </c>
      <c r="G37" s="92">
        <f t="shared" si="13"/>
        <v>16.587940800000002</v>
      </c>
      <c r="H37" s="92">
        <f t="shared" si="13"/>
        <v>16.587940799999998</v>
      </c>
      <c r="AI37" s="89" t="s">
        <v>66</v>
      </c>
      <c r="AJ37" s="89" t="s">
        <v>108</v>
      </c>
    </row>
    <row r="38" spans="1:36" s="82" customFormat="1" ht="15.75" customHeight="1">
      <c r="A38" s="89" t="s">
        <v>109</v>
      </c>
      <c r="B38" s="119" t="s">
        <v>110</v>
      </c>
      <c r="C38" s="92"/>
      <c r="D38" s="92"/>
      <c r="E38" s="92"/>
      <c r="F38" s="92"/>
      <c r="G38" s="92"/>
      <c r="H38" s="92"/>
      <c r="AI38" s="89" t="s">
        <v>109</v>
      </c>
      <c r="AJ38" s="94" t="s">
        <v>110</v>
      </c>
    </row>
    <row r="39" spans="1:36" s="82" customFormat="1">
      <c r="A39" s="89" t="s">
        <v>55</v>
      </c>
      <c r="B39" s="101" t="s">
        <v>276</v>
      </c>
      <c r="C39" s="92">
        <f>+C13/C4</f>
        <v>237.62881394647067</v>
      </c>
      <c r="D39" s="92">
        <f t="shared" ref="D39:H39" si="14">+D13/D4</f>
        <v>229.27451540147669</v>
      </c>
      <c r="E39" s="92">
        <f t="shared" si="14"/>
        <v>196.60976540147669</v>
      </c>
      <c r="F39" s="92">
        <f t="shared" si="14"/>
        <v>189.48603831283253</v>
      </c>
      <c r="G39" s="92">
        <f t="shared" si="14"/>
        <v>158.75177503783226</v>
      </c>
      <c r="H39" s="92">
        <f t="shared" si="14"/>
        <v>198.43033358374527</v>
      </c>
      <c r="AI39" s="89" t="s">
        <v>55</v>
      </c>
      <c r="AJ39" s="89" t="s">
        <v>111</v>
      </c>
    </row>
    <row r="40" spans="1:36" s="82" customFormat="1" ht="15.75" customHeight="1">
      <c r="A40" s="89" t="s">
        <v>57</v>
      </c>
      <c r="B40" s="101" t="s">
        <v>112</v>
      </c>
      <c r="C40" s="115">
        <f>+C21/C39</f>
        <v>1976.9485137683037</v>
      </c>
      <c r="D40" s="115">
        <f t="shared" ref="D40:H40" si="15">+D21/D39</f>
        <v>4089.2458521971489</v>
      </c>
      <c r="E40" s="115">
        <f t="shared" si="15"/>
        <v>4768.6332324617997</v>
      </c>
      <c r="F40" s="115">
        <f t="shared" si="15"/>
        <v>4947.9099857063493</v>
      </c>
      <c r="G40" s="115">
        <f t="shared" si="15"/>
        <v>5905.8228539275815</v>
      </c>
      <c r="H40" s="115">
        <f t="shared" si="15"/>
        <v>21267.007411742259</v>
      </c>
      <c r="AI40" s="89" t="s">
        <v>57</v>
      </c>
      <c r="AJ40" s="89" t="s">
        <v>112</v>
      </c>
    </row>
    <row r="41" spans="1:36" s="82" customFormat="1" ht="15.75" customHeight="1">
      <c r="A41" s="89" t="s">
        <v>113</v>
      </c>
      <c r="B41" s="94" t="s">
        <v>114</v>
      </c>
      <c r="C41" s="100"/>
      <c r="D41" s="100"/>
      <c r="E41" s="100"/>
      <c r="F41" s="100"/>
      <c r="G41" s="100"/>
      <c r="H41" s="100"/>
      <c r="AI41" s="89" t="s">
        <v>113</v>
      </c>
      <c r="AJ41" s="94" t="s">
        <v>114</v>
      </c>
    </row>
    <row r="42" spans="1:36" s="82" customFormat="1" ht="15.75" customHeight="1">
      <c r="A42" s="89" t="s">
        <v>55</v>
      </c>
      <c r="B42" s="89" t="s">
        <v>115</v>
      </c>
      <c r="C42" s="100">
        <f>+C15/C4</f>
        <v>37.944914579999995</v>
      </c>
      <c r="D42" s="100">
        <f t="shared" ref="D42:H42" si="16">+D15/D4</f>
        <v>37.944914579999995</v>
      </c>
      <c r="E42" s="100">
        <f t="shared" si="16"/>
        <v>37.944914579999995</v>
      </c>
      <c r="F42" s="100">
        <f t="shared" si="16"/>
        <v>37.944914579999995</v>
      </c>
      <c r="G42" s="100">
        <f t="shared" si="16"/>
        <v>37.944914579999995</v>
      </c>
      <c r="H42" s="100">
        <f t="shared" si="16"/>
        <v>37.944914579999995</v>
      </c>
      <c r="AI42" s="89" t="s">
        <v>55</v>
      </c>
      <c r="AJ42" s="89" t="s">
        <v>115</v>
      </c>
    </row>
    <row r="43" spans="1:36" s="82" customFormat="1" ht="15.75" customHeight="1">
      <c r="A43" s="89" t="s">
        <v>57</v>
      </c>
      <c r="B43" s="89" t="s">
        <v>116</v>
      </c>
      <c r="C43" s="100">
        <f>+C17/C4</f>
        <v>8.7086689199999974</v>
      </c>
      <c r="D43" s="100">
        <f t="shared" ref="D43:H43" si="17">+D17/D4</f>
        <v>8.7086689199999974</v>
      </c>
      <c r="E43" s="100">
        <f t="shared" si="17"/>
        <v>8.7086689199999974</v>
      </c>
      <c r="F43" s="100">
        <f t="shared" si="17"/>
        <v>8.7086689199999974</v>
      </c>
      <c r="G43" s="100">
        <f t="shared" si="17"/>
        <v>8.7086689199999974</v>
      </c>
      <c r="H43" s="100">
        <f t="shared" si="17"/>
        <v>8.7086689199999974</v>
      </c>
      <c r="AI43" s="89" t="s">
        <v>57</v>
      </c>
      <c r="AJ43" s="89" t="s">
        <v>116</v>
      </c>
    </row>
    <row r="44" spans="1:36" s="82" customFormat="1" ht="15.75" customHeight="1">
      <c r="A44" s="89" t="s">
        <v>102</v>
      </c>
      <c r="B44" s="89" t="s">
        <v>117</v>
      </c>
      <c r="C44" s="100">
        <f>+C18/C4</f>
        <v>33.486905489999998</v>
      </c>
      <c r="D44" s="100">
        <f t="shared" ref="D44:H44" si="18">+D18/D4</f>
        <v>33.486905489999998</v>
      </c>
      <c r="E44" s="100">
        <f t="shared" si="18"/>
        <v>33.486905489999998</v>
      </c>
      <c r="F44" s="100">
        <f t="shared" si="18"/>
        <v>33.486905489999998</v>
      </c>
      <c r="G44" s="100">
        <f t="shared" si="18"/>
        <v>33.486905489999998</v>
      </c>
      <c r="H44" s="100">
        <f t="shared" si="18"/>
        <v>33.486905489999998</v>
      </c>
      <c r="AI44" s="89" t="s">
        <v>102</v>
      </c>
      <c r="AJ44" s="89" t="s">
        <v>117</v>
      </c>
    </row>
    <row r="45" spans="1:36" s="82" customFormat="1" ht="15.75" customHeight="1">
      <c r="A45" s="89" t="s">
        <v>60</v>
      </c>
      <c r="B45" s="89" t="s">
        <v>118</v>
      </c>
      <c r="C45" s="100">
        <f>C19/C4</f>
        <v>0.5</v>
      </c>
      <c r="D45" s="100">
        <f t="shared" ref="D45:H45" si="19">D19/D4</f>
        <v>0.25</v>
      </c>
      <c r="E45" s="100">
        <f t="shared" si="19"/>
        <v>0.25</v>
      </c>
      <c r="F45" s="100">
        <f t="shared" si="19"/>
        <v>0.25</v>
      </c>
      <c r="G45" s="100">
        <f t="shared" si="19"/>
        <v>0.25</v>
      </c>
      <c r="H45" s="100">
        <f t="shared" si="19"/>
        <v>0.27777777777777779</v>
      </c>
      <c r="AI45" s="89" t="s">
        <v>60</v>
      </c>
      <c r="AJ45" s="89" t="s">
        <v>119</v>
      </c>
    </row>
    <row r="46" spans="1:36" s="82" customFormat="1" ht="15.75" customHeight="1">
      <c r="A46" s="89" t="s">
        <v>62</v>
      </c>
      <c r="B46" s="89" t="s">
        <v>120</v>
      </c>
      <c r="C46" s="100">
        <f>C20/C4</f>
        <v>36.804493649999998</v>
      </c>
      <c r="D46" s="100">
        <f t="shared" ref="D46:H46" si="20">D20/D4</f>
        <v>36.804493649999998</v>
      </c>
      <c r="E46" s="100">
        <f t="shared" si="20"/>
        <v>36.804493649999998</v>
      </c>
      <c r="F46" s="100">
        <f t="shared" si="20"/>
        <v>36.804493649999998</v>
      </c>
      <c r="G46" s="100">
        <f t="shared" si="20"/>
        <v>36.804493649999998</v>
      </c>
      <c r="H46" s="100">
        <f t="shared" si="20"/>
        <v>36.804493649999991</v>
      </c>
      <c r="AI46" s="89" t="s">
        <v>62</v>
      </c>
      <c r="AJ46" s="89" t="s">
        <v>120</v>
      </c>
    </row>
    <row r="47" spans="1:36" s="82" customFormat="1" ht="15.75" customHeight="1">
      <c r="A47" s="89" t="s">
        <v>121</v>
      </c>
      <c r="B47" s="94" t="s">
        <v>122</v>
      </c>
      <c r="C47" s="100"/>
      <c r="D47" s="100"/>
      <c r="E47" s="100"/>
      <c r="F47" s="100"/>
      <c r="G47" s="100"/>
      <c r="H47" s="100"/>
      <c r="AI47" s="89" t="s">
        <v>121</v>
      </c>
      <c r="AJ47" s="94" t="s">
        <v>122</v>
      </c>
    </row>
    <row r="48" spans="1:36" s="82" customFormat="1" ht="15.75" customHeight="1">
      <c r="A48" s="89" t="s">
        <v>55</v>
      </c>
      <c r="B48" s="89" t="s">
        <v>123</v>
      </c>
      <c r="C48" s="103">
        <f>+(C11+C17)/C7</f>
        <v>2.2535955207126947E-2</v>
      </c>
      <c r="D48" s="103">
        <f t="shared" ref="D48:H48" si="21">+(D11+D17)/D7</f>
        <v>2.3232943512502009E-2</v>
      </c>
      <c r="E48" s="103">
        <f t="shared" si="21"/>
        <v>2.3951488157218568E-2</v>
      </c>
      <c r="F48" s="103">
        <f t="shared" si="21"/>
        <v>2.4692255832184085E-2</v>
      </c>
      <c r="G48" s="103">
        <f t="shared" si="21"/>
        <v>2.5455933847612466E-2</v>
      </c>
      <c r="H48" s="103">
        <f t="shared" si="21"/>
        <v>2.4094804398639466E-2</v>
      </c>
      <c r="AI48" s="89" t="s">
        <v>55</v>
      </c>
      <c r="AJ48" s="89" t="s">
        <v>123</v>
      </c>
    </row>
    <row r="49" spans="1:36" s="82" customFormat="1" ht="15.75" customHeight="1">
      <c r="A49" s="89" t="s">
        <v>57</v>
      </c>
      <c r="B49" s="89" t="s">
        <v>124</v>
      </c>
      <c r="C49" s="103">
        <f>+(C9+C10+C15)/C7</f>
        <v>5.5416283296213807E-2</v>
      </c>
      <c r="D49" s="103">
        <f t="shared" ref="D49:H49" si="22">+(D9+D10+D15)/D7</f>
        <v>5.7130188965168874E-2</v>
      </c>
      <c r="E49" s="103">
        <f t="shared" si="22"/>
        <v>5.8897102025947293E-2</v>
      </c>
      <c r="F49" s="103">
        <f t="shared" si="22"/>
        <v>6.071866188241988E-2</v>
      </c>
      <c r="G49" s="103">
        <f t="shared" si="22"/>
        <v>6.2596558641669992E-2</v>
      </c>
      <c r="H49" s="103">
        <f t="shared" si="22"/>
        <v>5.9249519013047876E-2</v>
      </c>
      <c r="AI49" s="89" t="s">
        <v>57</v>
      </c>
      <c r="AJ49" s="89" t="s">
        <v>124</v>
      </c>
    </row>
    <row r="50" spans="1:36" s="82" customFormat="1" ht="15.75" customHeight="1">
      <c r="A50" s="89" t="s">
        <v>102</v>
      </c>
      <c r="B50" s="89" t="s">
        <v>125</v>
      </c>
      <c r="C50" s="103">
        <f>+C18/C7</f>
        <v>2.9832432507795097E-2</v>
      </c>
      <c r="D50" s="103">
        <f t="shared" ref="D50:H50" si="23">+D18/D7</f>
        <v>3.0755085059582576E-2</v>
      </c>
      <c r="E50" s="103">
        <f t="shared" si="23"/>
        <v>3.1706273257301625E-2</v>
      </c>
      <c r="F50" s="103">
        <f t="shared" si="23"/>
        <v>3.26868796467027E-2</v>
      </c>
      <c r="G50" s="103">
        <f t="shared" si="23"/>
        <v>3.369781406876568E-2</v>
      </c>
      <c r="H50" s="103">
        <f t="shared" si="23"/>
        <v>3.1895991068690774E-2</v>
      </c>
      <c r="AI50" s="89" t="s">
        <v>102</v>
      </c>
      <c r="AJ50" s="89" t="s">
        <v>125</v>
      </c>
    </row>
    <row r="51" spans="1:36" s="82" customFormat="1" ht="15.75" customHeight="1">
      <c r="A51" s="89" t="s">
        <v>60</v>
      </c>
      <c r="B51" s="89" t="s">
        <v>126</v>
      </c>
      <c r="C51" s="103">
        <f>+C19/C7</f>
        <v>4.4543429844097997E-4</v>
      </c>
      <c r="D51" s="103">
        <f t="shared" ref="D51:H51" si="24">+D19/D7</f>
        <v>2.2960530847473195E-4</v>
      </c>
      <c r="E51" s="103">
        <f t="shared" si="24"/>
        <v>2.3670650358219788E-4</v>
      </c>
      <c r="F51" s="103">
        <f t="shared" si="24"/>
        <v>2.4402732328061635E-4</v>
      </c>
      <c r="G51" s="103">
        <f t="shared" si="24"/>
        <v>2.5157456008310968E-4</v>
      </c>
      <c r="H51" s="103">
        <f t="shared" si="24"/>
        <v>2.6458095752462349E-4</v>
      </c>
      <c r="AI51" s="89" t="s">
        <v>60</v>
      </c>
      <c r="AJ51" s="89" t="s">
        <v>126</v>
      </c>
    </row>
    <row r="52" spans="1:36" s="82" customFormat="1" ht="15.75" customHeight="1">
      <c r="A52" s="89" t="s">
        <v>62</v>
      </c>
      <c r="B52" s="89" t="s">
        <v>127</v>
      </c>
      <c r="C52" s="103">
        <f>+C20/C7</f>
        <v>3.2787967616926497E-2</v>
      </c>
      <c r="D52" s="103">
        <f t="shared" ref="D52:H52" si="25">+D20/D7</f>
        <v>3.3802028471058246E-2</v>
      </c>
      <c r="E52" s="103">
        <f t="shared" si="25"/>
        <v>3.4847452032018812E-2</v>
      </c>
      <c r="F52" s="103">
        <f t="shared" si="25"/>
        <v>3.5925208280431761E-2</v>
      </c>
      <c r="G52" s="103">
        <f t="shared" si="25"/>
        <v>3.7036297196321413E-2</v>
      </c>
      <c r="H52" s="103">
        <f t="shared" si="25"/>
        <v>3.5055965416053325E-2</v>
      </c>
      <c r="AI52" s="89" t="s">
        <v>62</v>
      </c>
      <c r="AJ52" s="89" t="s">
        <v>127</v>
      </c>
    </row>
    <row r="53" spans="1:36" s="82" customFormat="1" ht="15.75" customHeight="1">
      <c r="A53" s="89" t="s">
        <v>66</v>
      </c>
      <c r="B53" s="89" t="s">
        <v>128</v>
      </c>
      <c r="C53" s="103">
        <f>+C24/C7</f>
        <v>9.1007800989309676E-2</v>
      </c>
      <c r="D53" s="103">
        <f t="shared" ref="D53:H53" si="26">+D24/D7</f>
        <v>8.7495789357569131E-2</v>
      </c>
      <c r="E53" s="103">
        <f t="shared" si="26"/>
        <v>6.3913184904710429E-2</v>
      </c>
      <c r="F53" s="103">
        <f t="shared" si="26"/>
        <v>5.9979375564102558E-2</v>
      </c>
      <c r="G53" s="103">
        <f t="shared" si="26"/>
        <v>3.554574800422923E-2</v>
      </c>
      <c r="H53" s="103">
        <f t="shared" si="26"/>
        <v>6.574709104749793E-2</v>
      </c>
      <c r="AI53" s="89" t="s">
        <v>66</v>
      </c>
      <c r="AJ53" s="89" t="s">
        <v>129</v>
      </c>
    </row>
    <row r="54" spans="1:36" s="82" customFormat="1" ht="15.75" customHeight="1">
      <c r="A54" s="89" t="s">
        <v>130</v>
      </c>
      <c r="B54" s="94" t="s">
        <v>131</v>
      </c>
      <c r="C54" s="100">
        <f>+C22/C4</f>
        <v>120.18383130647069</v>
      </c>
      <c r="D54" s="100">
        <f t="shared" ref="D54:H54" si="27">+D22/D4</f>
        <v>112.07953276147671</v>
      </c>
      <c r="E54" s="100">
        <f t="shared" si="27"/>
        <v>79.414782761476701</v>
      </c>
      <c r="F54" s="100">
        <f t="shared" si="27"/>
        <v>72.291055672832542</v>
      </c>
      <c r="G54" s="100">
        <f t="shared" si="27"/>
        <v>41.556792397832282</v>
      </c>
      <c r="H54" s="100">
        <f t="shared" si="27"/>
        <v>81.20757316596746</v>
      </c>
      <c r="AI54" s="89" t="s">
        <v>130</v>
      </c>
      <c r="AJ54" s="94" t="s">
        <v>131</v>
      </c>
    </row>
    <row r="55" spans="1:36" s="82" customFormat="1" ht="32.25" customHeight="1">
      <c r="A55" s="89" t="s">
        <v>132</v>
      </c>
      <c r="B55" s="129" t="s">
        <v>133</v>
      </c>
      <c r="C55" s="129"/>
      <c r="D55" s="100"/>
      <c r="E55" s="100"/>
      <c r="F55" s="100"/>
      <c r="G55" s="100"/>
      <c r="H55" s="100"/>
      <c r="AI55" s="89"/>
      <c r="AJ55" s="94"/>
    </row>
    <row r="56" spans="1:36" s="82" customFormat="1" ht="15.75" customHeight="1">
      <c r="A56" s="89" t="s">
        <v>55</v>
      </c>
      <c r="B56" s="89" t="s">
        <v>134</v>
      </c>
      <c r="C56" s="100">
        <f>C57+C58</f>
        <v>10000</v>
      </c>
      <c r="D56" s="100"/>
      <c r="E56" s="100"/>
      <c r="F56" s="100"/>
      <c r="G56" s="100"/>
      <c r="H56" s="100"/>
    </row>
    <row r="57" spans="1:36" s="82" customFormat="1" ht="15.75" customHeight="1">
      <c r="A57" s="89">
        <v>1.1000000000000001</v>
      </c>
      <c r="B57" s="130" t="s">
        <v>135</v>
      </c>
      <c r="C57" s="100">
        <f>项目投资!B27</f>
        <v>10000</v>
      </c>
      <c r="D57" s="100"/>
      <c r="E57" s="100"/>
      <c r="F57" s="100"/>
      <c r="G57" s="100"/>
      <c r="H57" s="100"/>
    </row>
    <row r="58" spans="1:36" s="82" customFormat="1" ht="15.75" customHeight="1">
      <c r="A58" s="89">
        <v>1.2</v>
      </c>
      <c r="B58" s="89" t="s">
        <v>136</v>
      </c>
      <c r="C58" s="100">
        <f>项目投资!B26</f>
        <v>0</v>
      </c>
      <c r="D58" s="100"/>
      <c r="E58" s="100"/>
      <c r="F58" s="100"/>
      <c r="G58" s="100"/>
      <c r="H58" s="100"/>
    </row>
    <row r="59" spans="1:36" ht="15.75" customHeight="1">
      <c r="A59" s="120" t="s">
        <v>57</v>
      </c>
      <c r="B59" s="120" t="s">
        <v>137</v>
      </c>
      <c r="C59" s="131">
        <f>C60+C61</f>
        <v>408625.02644200047</v>
      </c>
      <c r="D59" s="131">
        <f t="shared" ref="D59:H59" si="28">D60+D61</f>
        <v>762140.82277804171</v>
      </c>
      <c r="E59" s="131">
        <f t="shared" si="28"/>
        <v>540020.52277804154</v>
      </c>
      <c r="F59" s="131">
        <f t="shared" si="28"/>
        <v>491579.17857526132</v>
      </c>
      <c r="G59" s="131">
        <f t="shared" si="28"/>
        <v>282586.18830525951</v>
      </c>
      <c r="H59" s="131">
        <f t="shared" si="28"/>
        <v>2484951.7388786045</v>
      </c>
    </row>
    <row r="60" spans="1:36" ht="15.75" customHeight="1">
      <c r="A60" s="120" t="s">
        <v>102</v>
      </c>
      <c r="B60" s="120" t="s">
        <v>138</v>
      </c>
      <c r="C60" s="131">
        <f>C24</f>
        <v>408625.02644200047</v>
      </c>
      <c r="D60" s="131">
        <f t="shared" ref="D60:H60" si="29">D24</f>
        <v>762140.82277804171</v>
      </c>
      <c r="E60" s="131">
        <f t="shared" si="29"/>
        <v>540020.52277804154</v>
      </c>
      <c r="F60" s="131">
        <f t="shared" si="29"/>
        <v>491579.17857526132</v>
      </c>
      <c r="G60" s="131">
        <f t="shared" si="29"/>
        <v>282586.18830525951</v>
      </c>
      <c r="H60" s="131">
        <f t="shared" si="29"/>
        <v>2484951.7388786045</v>
      </c>
    </row>
    <row r="61" spans="1:36" ht="15.75" customHeight="1">
      <c r="A61" s="120" t="s">
        <v>60</v>
      </c>
      <c r="B61" s="120" t="s">
        <v>139</v>
      </c>
      <c r="C61" s="120"/>
      <c r="D61" s="131">
        <f>'[2]2023年'!I18</f>
        <v>0</v>
      </c>
      <c r="E61" s="131"/>
      <c r="F61" s="131"/>
      <c r="G61" s="131"/>
      <c r="H61" s="131">
        <f>[2]项目投资!G26</f>
        <v>0</v>
      </c>
    </row>
    <row r="62" spans="1:36" ht="15.75" customHeight="1">
      <c r="A62" s="120" t="s">
        <v>62</v>
      </c>
      <c r="B62" s="120" t="s">
        <v>140</v>
      </c>
      <c r="C62" s="120"/>
      <c r="D62" s="132"/>
      <c r="E62" s="132"/>
      <c r="F62" s="132"/>
      <c r="G62" s="132"/>
      <c r="H62" s="131"/>
    </row>
    <row r="64" spans="1:36">
      <c r="B64"/>
      <c r="C64"/>
    </row>
  </sheetData>
  <mergeCells count="2">
    <mergeCell ref="A3:A4"/>
    <mergeCell ref="A1:H1"/>
  </mergeCells>
  <phoneticPr fontId="4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8" sqref="C8"/>
    </sheetView>
  </sheetViews>
  <sheetFormatPr defaultColWidth="9" defaultRowHeight="16.5"/>
  <cols>
    <col min="1" max="1" width="5.125" style="82" customWidth="1"/>
    <col min="2" max="2" width="17.5" style="82" customWidth="1"/>
    <col min="3" max="7" width="14.375" style="85" customWidth="1"/>
    <col min="8" max="8" width="18.75" style="85" customWidth="1"/>
    <col min="9" max="9" width="12.375" style="82" customWidth="1"/>
    <col min="10" max="10" width="10.125" style="82" customWidth="1"/>
    <col min="11" max="17" width="9" style="82" customWidth="1"/>
    <col min="18" max="31" width="9" style="82"/>
    <col min="32" max="32" width="4.375" style="82" customWidth="1"/>
    <col min="33" max="33" width="13.875" style="82" customWidth="1"/>
    <col min="34" max="16384" width="9" style="82"/>
  </cols>
  <sheetData>
    <row r="1" spans="1:34">
      <c r="A1" s="206" t="s">
        <v>141</v>
      </c>
      <c r="B1" s="206"/>
      <c r="C1" s="210" t="s">
        <v>267</v>
      </c>
      <c r="D1" s="211"/>
      <c r="E1" s="211"/>
      <c r="F1" s="211"/>
      <c r="G1" s="211"/>
      <c r="H1" s="212"/>
    </row>
    <row r="2" spans="1:34">
      <c r="A2" s="206" t="s">
        <v>142</v>
      </c>
      <c r="B2" s="206"/>
      <c r="C2" s="213" t="s">
        <v>283</v>
      </c>
      <c r="D2" s="213"/>
      <c r="E2" s="213"/>
      <c r="F2" s="213"/>
      <c r="G2" s="213"/>
      <c r="H2" s="213"/>
    </row>
    <row r="3" spans="1:34">
      <c r="A3" s="206" t="s">
        <v>143</v>
      </c>
      <c r="B3" s="206"/>
      <c r="C3" s="87" t="str">
        <f>销量!C5</f>
        <v>驾驶员总成</v>
      </c>
      <c r="D3" s="87" t="str">
        <f>销量!D5</f>
        <v>驾驶员总成</v>
      </c>
      <c r="E3" s="87" t="str">
        <f>销量!E5</f>
        <v>前座总成</v>
      </c>
      <c r="F3" s="87">
        <f>销量!F5</f>
        <v>0</v>
      </c>
      <c r="G3" s="87">
        <f>销量!G5</f>
        <v>0</v>
      </c>
      <c r="H3" s="207" t="s">
        <v>51</v>
      </c>
    </row>
    <row r="4" spans="1:34">
      <c r="A4" s="206" t="s">
        <v>144</v>
      </c>
      <c r="B4" s="206"/>
      <c r="C4" s="87" t="str">
        <f>销量!C6</f>
        <v>6800010MH13J/A</v>
      </c>
      <c r="D4" s="87" t="str">
        <f>销量!D6</f>
        <v>6800010NH13J/A</v>
      </c>
      <c r="E4" s="87" t="str">
        <f>销量!E6</f>
        <v>6900010TH13J/A</v>
      </c>
      <c r="F4" s="87">
        <f>销量!F6</f>
        <v>0</v>
      </c>
      <c r="G4" s="87">
        <f>销量!G6</f>
        <v>0</v>
      </c>
      <c r="H4" s="208"/>
    </row>
    <row r="5" spans="1:34" ht="31.5" customHeight="1">
      <c r="A5" s="206" t="s">
        <v>145</v>
      </c>
      <c r="B5" s="206"/>
      <c r="C5" s="88" t="str">
        <f>销量!C7</f>
        <v>可变阻尼、高度调节、单扶手、三点式安全带、</v>
      </c>
      <c r="D5" s="88" t="str">
        <f>销量!D7</f>
        <v>可变阻尼、高度调节、单扶手、三点式安全带、联管螺母</v>
      </c>
      <c r="E5" s="88" t="str">
        <f>销量!E7</f>
        <v>管梁副驾带安全带</v>
      </c>
      <c r="F5" s="88">
        <f>销量!F7</f>
        <v>0</v>
      </c>
      <c r="G5" s="88">
        <f>销量!G7</f>
        <v>0</v>
      </c>
      <c r="H5" s="209"/>
      <c r="AH5" s="82" t="s">
        <v>52</v>
      </c>
    </row>
    <row r="6" spans="1:34" ht="17.25">
      <c r="A6" s="89" t="s">
        <v>18</v>
      </c>
      <c r="B6" s="90" t="s">
        <v>146</v>
      </c>
      <c r="C6" s="109">
        <f>销量!C9</f>
        <v>1000</v>
      </c>
      <c r="D6" s="109">
        <f>销量!D9</f>
        <v>1000</v>
      </c>
      <c r="E6" s="109">
        <f>销量!E9</f>
        <v>2000</v>
      </c>
      <c r="F6" s="109">
        <f>销量!F9</f>
        <v>0</v>
      </c>
      <c r="G6" s="109">
        <f>销量!G9</f>
        <v>0</v>
      </c>
      <c r="H6" s="92">
        <f>+SUM(C6:G6)</f>
        <v>4000</v>
      </c>
      <c r="AF6" s="89" t="s">
        <v>18</v>
      </c>
      <c r="AG6" s="90" t="s">
        <v>3</v>
      </c>
      <c r="AH6" s="82" t="s">
        <v>53</v>
      </c>
    </row>
    <row r="7" spans="1:34">
      <c r="A7" s="86">
        <v>1</v>
      </c>
      <c r="B7" s="90" t="s">
        <v>54</v>
      </c>
      <c r="C7" s="92">
        <f>C6*销量!C8</f>
        <v>1630000</v>
      </c>
      <c r="D7" s="92">
        <f>D6*销量!D8</f>
        <v>1620000</v>
      </c>
      <c r="E7" s="92">
        <f>E6*销量!E8</f>
        <v>1240000</v>
      </c>
      <c r="F7" s="92">
        <f>F6*销量!F8</f>
        <v>0</v>
      </c>
      <c r="G7" s="92">
        <f>G6*销量!G8</f>
        <v>0</v>
      </c>
      <c r="H7" s="92">
        <f t="shared" ref="H7:H26" si="0">+SUM(C7:G7)</f>
        <v>4490000</v>
      </c>
      <c r="I7" s="85"/>
      <c r="AF7" s="89" t="s">
        <v>55</v>
      </c>
      <c r="AG7" s="90" t="s">
        <v>54</v>
      </c>
      <c r="AH7" s="82" t="s">
        <v>53</v>
      </c>
    </row>
    <row r="8" spans="1:34">
      <c r="A8" s="86">
        <v>2</v>
      </c>
      <c r="B8" s="86" t="s">
        <v>56</v>
      </c>
      <c r="C8" s="92"/>
      <c r="D8" s="92"/>
      <c r="E8" s="92"/>
      <c r="F8" s="92"/>
      <c r="G8" s="92"/>
      <c r="H8" s="92">
        <f t="shared" si="0"/>
        <v>0</v>
      </c>
      <c r="I8" s="93"/>
      <c r="AF8" s="89" t="s">
        <v>57</v>
      </c>
      <c r="AG8" s="86" t="s">
        <v>58</v>
      </c>
      <c r="AH8" s="82" t="s">
        <v>53</v>
      </c>
    </row>
    <row r="9" spans="1:34">
      <c r="A9" s="86">
        <v>3</v>
      </c>
      <c r="B9" s="90" t="s">
        <v>59</v>
      </c>
      <c r="C9" s="92">
        <f>+C7-C8</f>
        <v>1630000</v>
      </c>
      <c r="D9" s="92">
        <f>+D7-D8</f>
        <v>1620000</v>
      </c>
      <c r="E9" s="92">
        <f t="shared" ref="E9:G9" si="1">+E7-E8</f>
        <v>1240000</v>
      </c>
      <c r="F9" s="92">
        <f t="shared" si="1"/>
        <v>0</v>
      </c>
      <c r="G9" s="92">
        <f t="shared" si="1"/>
        <v>0</v>
      </c>
      <c r="H9" s="92">
        <f t="shared" si="0"/>
        <v>4490000</v>
      </c>
      <c r="AF9" s="89" t="s">
        <v>60</v>
      </c>
      <c r="AG9" s="90" t="s">
        <v>59</v>
      </c>
      <c r="AH9" s="82" t="s">
        <v>61</v>
      </c>
    </row>
    <row r="10" spans="1:34">
      <c r="A10" s="86">
        <v>4</v>
      </c>
      <c r="B10" s="89" t="s">
        <v>63</v>
      </c>
      <c r="C10" s="92">
        <f>C6*C33</f>
        <v>1243464.1636670586</v>
      </c>
      <c r="D10" s="92">
        <f>D6*D33</f>
        <v>1235644.1636670586</v>
      </c>
      <c r="E10" s="92">
        <f t="shared" ref="E10:G10" si="2">E6*E33</f>
        <v>896985.2</v>
      </c>
      <c r="F10" s="92">
        <f t="shared" si="2"/>
        <v>0</v>
      </c>
      <c r="G10" s="92">
        <f t="shared" si="2"/>
        <v>0</v>
      </c>
      <c r="H10" s="92">
        <f t="shared" si="0"/>
        <v>3376093.5273341173</v>
      </c>
      <c r="AF10" s="89" t="s">
        <v>62</v>
      </c>
      <c r="AG10" s="89" t="s">
        <v>63</v>
      </c>
      <c r="AH10" s="82" t="s">
        <v>64</v>
      </c>
    </row>
    <row r="11" spans="1:34">
      <c r="A11" s="86">
        <v>5</v>
      </c>
      <c r="B11" s="89" t="s">
        <v>65</v>
      </c>
      <c r="C11" s="92">
        <f>+C6*C36</f>
        <v>20049</v>
      </c>
      <c r="D11" s="92">
        <f>+D6*D36</f>
        <v>19926.000000000004</v>
      </c>
      <c r="E11" s="92">
        <f t="shared" ref="E11:G11" si="3">+E6*E36</f>
        <v>11032.917959999999</v>
      </c>
      <c r="F11" s="92">
        <f t="shared" si="3"/>
        <v>0</v>
      </c>
      <c r="G11" s="92">
        <f t="shared" si="3"/>
        <v>0</v>
      </c>
      <c r="H11" s="92">
        <f t="shared" si="0"/>
        <v>51007.917959999999</v>
      </c>
      <c r="AF11" s="89" t="s">
        <v>66</v>
      </c>
      <c r="AG11" s="89" t="s">
        <v>65</v>
      </c>
    </row>
    <row r="12" spans="1:34">
      <c r="A12" s="86">
        <v>6</v>
      </c>
      <c r="B12" s="89" t="s">
        <v>67</v>
      </c>
      <c r="C12" s="92">
        <f>+C6*C37</f>
        <v>18093</v>
      </c>
      <c r="D12" s="92">
        <f>+D6*D37</f>
        <v>17982</v>
      </c>
      <c r="E12" s="92">
        <f t="shared" ref="E12:G12" si="4">+E6*E37</f>
        <v>9956.5357199999999</v>
      </c>
      <c r="F12" s="92">
        <f t="shared" si="4"/>
        <v>0</v>
      </c>
      <c r="G12" s="92">
        <f t="shared" si="4"/>
        <v>0</v>
      </c>
      <c r="H12" s="92">
        <f t="shared" si="0"/>
        <v>46031.53572</v>
      </c>
      <c r="AF12" s="89" t="s">
        <v>68</v>
      </c>
      <c r="AG12" s="89" t="s">
        <v>67</v>
      </c>
    </row>
    <row r="13" spans="1:34">
      <c r="A13" s="86">
        <v>7</v>
      </c>
      <c r="B13" s="89" t="s">
        <v>69</v>
      </c>
      <c r="C13" s="92">
        <f>+C6*C38</f>
        <v>26080.000000000004</v>
      </c>
      <c r="D13" s="92">
        <f>+D6*D38</f>
        <v>25920</v>
      </c>
      <c r="E13" s="92">
        <f t="shared" ref="E13:G13" si="5">+E6*E38</f>
        <v>14351.763199999999</v>
      </c>
      <c r="F13" s="92">
        <f t="shared" si="5"/>
        <v>0</v>
      </c>
      <c r="G13" s="92">
        <f t="shared" si="5"/>
        <v>0</v>
      </c>
      <c r="H13" s="92">
        <f t="shared" si="0"/>
        <v>66351.763200000001</v>
      </c>
      <c r="AF13" s="89" t="s">
        <v>70</v>
      </c>
      <c r="AG13" s="89" t="s">
        <v>69</v>
      </c>
      <c r="AH13" s="82" t="s">
        <v>53</v>
      </c>
    </row>
    <row r="14" spans="1:34">
      <c r="A14" s="86">
        <v>8</v>
      </c>
      <c r="B14" s="94" t="s">
        <v>71</v>
      </c>
      <c r="C14" s="92">
        <f>SUM(C11:C13)</f>
        <v>64222</v>
      </c>
      <c r="D14" s="92">
        <f>SUM(D11:D13)</f>
        <v>63828</v>
      </c>
      <c r="E14" s="92">
        <f t="shared" ref="E14:F14" si="6">SUM(E11:E13)</f>
        <v>35341.21688</v>
      </c>
      <c r="F14" s="92">
        <f t="shared" si="6"/>
        <v>0</v>
      </c>
      <c r="G14" s="92">
        <f>SUM(G11:G13)</f>
        <v>0</v>
      </c>
      <c r="H14" s="92">
        <f>SUM(H11:H13)</f>
        <v>163391.21688000002</v>
      </c>
      <c r="AF14" s="89" t="s">
        <v>72</v>
      </c>
      <c r="AG14" s="94" t="s">
        <v>71</v>
      </c>
    </row>
    <row r="15" spans="1:34">
      <c r="A15" s="86">
        <v>9</v>
      </c>
      <c r="B15" s="94" t="s">
        <v>73</v>
      </c>
      <c r="C15" s="92">
        <f>+C9-C10-C14</f>
        <v>322313.83633294143</v>
      </c>
      <c r="D15" s="92">
        <f>+D9-D10-D14</f>
        <v>320527.83633294143</v>
      </c>
      <c r="E15" s="92">
        <f t="shared" ref="E15:H15" si="7">+E9-E10-E14</f>
        <v>307673.58312000002</v>
      </c>
      <c r="F15" s="92">
        <f t="shared" si="7"/>
        <v>0</v>
      </c>
      <c r="G15" s="92">
        <f t="shared" si="7"/>
        <v>0</v>
      </c>
      <c r="H15" s="92">
        <f t="shared" si="7"/>
        <v>950515.25578588271</v>
      </c>
      <c r="AF15" s="89" t="s">
        <v>74</v>
      </c>
      <c r="AG15" s="94" t="s">
        <v>73</v>
      </c>
    </row>
    <row r="16" spans="1:34">
      <c r="A16" s="86">
        <v>10</v>
      </c>
      <c r="B16" s="89" t="s">
        <v>75</v>
      </c>
      <c r="C16" s="95">
        <f>+C15/C9</f>
        <v>0.19773854989751008</v>
      </c>
      <c r="D16" s="95">
        <f>+D15/D9</f>
        <v>0.19785668909440829</v>
      </c>
      <c r="E16" s="95">
        <f t="shared" ref="E16:G16" si="8">+E15/E9</f>
        <v>0.24812385735483872</v>
      </c>
      <c r="F16" s="95" t="e">
        <f t="shared" si="8"/>
        <v>#DIV/0!</v>
      </c>
      <c r="G16" s="95" t="e">
        <f t="shared" si="8"/>
        <v>#DIV/0!</v>
      </c>
      <c r="H16" s="95">
        <f>+H15/H9</f>
        <v>0.21169604805921663</v>
      </c>
      <c r="AF16" s="89" t="s">
        <v>76</v>
      </c>
      <c r="AG16" s="89" t="s">
        <v>75</v>
      </c>
    </row>
    <row r="17" spans="1:34">
      <c r="A17" s="86">
        <v>11</v>
      </c>
      <c r="B17" s="89" t="s">
        <v>77</v>
      </c>
      <c r="C17" s="92">
        <f>C6*C43+C18</f>
        <v>59658</v>
      </c>
      <c r="D17" s="92">
        <f>D6*D43+D18</f>
        <v>59292</v>
      </c>
      <c r="E17" s="92">
        <f t="shared" ref="E17:G17" si="9">E6*E43+E18</f>
        <v>32829.658320000002</v>
      </c>
      <c r="F17" s="92">
        <f t="shared" si="9"/>
        <v>0</v>
      </c>
      <c r="G17" s="92">
        <f t="shared" si="9"/>
        <v>0</v>
      </c>
      <c r="H17" s="92">
        <f t="shared" si="0"/>
        <v>151779.65831999999</v>
      </c>
      <c r="I17" s="93"/>
      <c r="AF17" s="89" t="s">
        <v>78</v>
      </c>
      <c r="AG17" s="89" t="s">
        <v>77</v>
      </c>
    </row>
    <row r="18" spans="1:34" s="83" customFormat="1">
      <c r="A18" s="86">
        <v>12</v>
      </c>
      <c r="B18" s="97" t="s">
        <v>147</v>
      </c>
      <c r="C18" s="98">
        <f>$H$18/$H$6*C6</f>
        <v>0</v>
      </c>
      <c r="D18" s="98">
        <f>$H$18/$H$6*D6</f>
        <v>0</v>
      </c>
      <c r="E18" s="98">
        <f t="shared" ref="E18:G18" si="10">$H$18/$H$6*E6</f>
        <v>0</v>
      </c>
      <c r="F18" s="98">
        <f t="shared" si="10"/>
        <v>0</v>
      </c>
      <c r="G18" s="98">
        <f t="shared" si="10"/>
        <v>0</v>
      </c>
      <c r="H18" s="92">
        <f>项目投资!D26</f>
        <v>0</v>
      </c>
      <c r="I18" s="99" t="s">
        <v>148</v>
      </c>
      <c r="J18" s="99"/>
      <c r="K18" s="99"/>
    </row>
    <row r="19" spans="1:34">
      <c r="A19" s="86">
        <v>13</v>
      </c>
      <c r="B19" s="89" t="s">
        <v>79</v>
      </c>
      <c r="C19" s="92">
        <f>C6*C44</f>
        <v>13691.999999999998</v>
      </c>
      <c r="D19" s="92">
        <f>D6*D44</f>
        <v>13607.999999999998</v>
      </c>
      <c r="E19" s="92">
        <f t="shared" ref="E19:G19" si="11">E6*E44</f>
        <v>7534.6756799999994</v>
      </c>
      <c r="F19" s="92">
        <f t="shared" si="11"/>
        <v>0</v>
      </c>
      <c r="G19" s="92">
        <f t="shared" si="11"/>
        <v>0</v>
      </c>
      <c r="H19" s="92">
        <f t="shared" si="0"/>
        <v>34834.675679999993</v>
      </c>
      <c r="I19" s="83"/>
      <c r="AF19" s="89" t="s">
        <v>80</v>
      </c>
      <c r="AG19" s="89" t="s">
        <v>79</v>
      </c>
      <c r="AH19" s="82" t="s">
        <v>53</v>
      </c>
    </row>
    <row r="20" spans="1:34">
      <c r="A20" s="86">
        <v>14</v>
      </c>
      <c r="B20" s="89" t="s">
        <v>81</v>
      </c>
      <c r="C20" s="92">
        <f>C6*C45</f>
        <v>52649</v>
      </c>
      <c r="D20" s="92">
        <f>D6*D45</f>
        <v>52326</v>
      </c>
      <c r="E20" s="92">
        <f t="shared" ref="E20:G20" si="12">E6*E45</f>
        <v>28972.62196</v>
      </c>
      <c r="F20" s="92">
        <f t="shared" si="12"/>
        <v>0</v>
      </c>
      <c r="G20" s="92">
        <f t="shared" si="12"/>
        <v>0</v>
      </c>
      <c r="H20" s="92">
        <f t="shared" si="0"/>
        <v>133947.62195999999</v>
      </c>
      <c r="AF20" s="89" t="s">
        <v>82</v>
      </c>
      <c r="AG20" s="89" t="s">
        <v>81</v>
      </c>
    </row>
    <row r="21" spans="1:34">
      <c r="A21" s="86">
        <v>15</v>
      </c>
      <c r="B21" s="89" t="s">
        <v>83</v>
      </c>
      <c r="C21" s="100">
        <f>$H$21/$H$6*C6</f>
        <v>500</v>
      </c>
      <c r="D21" s="100">
        <f>$H$21/$H$6*D6</f>
        <v>500</v>
      </c>
      <c r="E21" s="100">
        <f t="shared" ref="E21:G21" si="13">$H$21/$H$6*E6</f>
        <v>1000</v>
      </c>
      <c r="F21" s="100">
        <f t="shared" si="13"/>
        <v>0</v>
      </c>
      <c r="G21" s="100">
        <f t="shared" si="13"/>
        <v>0</v>
      </c>
      <c r="H21" s="92">
        <f>项目投资!D27</f>
        <v>2000</v>
      </c>
      <c r="AF21" s="89"/>
      <c r="AG21" s="89"/>
    </row>
    <row r="22" spans="1:34">
      <c r="A22" s="86">
        <v>16</v>
      </c>
      <c r="B22" s="89" t="s">
        <v>84</v>
      </c>
      <c r="C22" s="92">
        <f>C6*C47</f>
        <v>57864.999999999993</v>
      </c>
      <c r="D22" s="92">
        <f>D6*D47</f>
        <v>57510</v>
      </c>
      <c r="E22" s="92">
        <f t="shared" ref="E22:G22" si="14">E6*E47</f>
        <v>31842.974599999994</v>
      </c>
      <c r="F22" s="92">
        <f t="shared" si="14"/>
        <v>0</v>
      </c>
      <c r="G22" s="92">
        <f t="shared" si="14"/>
        <v>0</v>
      </c>
      <c r="H22" s="92">
        <f t="shared" si="0"/>
        <v>147217.97459999999</v>
      </c>
      <c r="AF22" s="89" t="s">
        <v>85</v>
      </c>
      <c r="AG22" s="89" t="s">
        <v>84</v>
      </c>
    </row>
    <row r="23" spans="1:34">
      <c r="A23" s="86">
        <v>17</v>
      </c>
      <c r="B23" s="94" t="s">
        <v>86</v>
      </c>
      <c r="C23" s="100">
        <f>+C22+C21+C20+C19+C17</f>
        <v>184364</v>
      </c>
      <c r="D23" s="100">
        <f>+D22+D21+D20+D19+D17</f>
        <v>183236</v>
      </c>
      <c r="E23" s="100">
        <f t="shared" ref="E23:G23" si="15">+E22+E21+E20+E19+E17</f>
        <v>102179.93055999999</v>
      </c>
      <c r="F23" s="100">
        <f t="shared" si="15"/>
        <v>0</v>
      </c>
      <c r="G23" s="100">
        <f t="shared" si="15"/>
        <v>0</v>
      </c>
      <c r="H23" s="100">
        <f>+H22+H21+H20+H19+H17</f>
        <v>469779.93055999995</v>
      </c>
      <c r="AF23" s="89" t="s">
        <v>87</v>
      </c>
      <c r="AG23" s="94" t="s">
        <v>86</v>
      </c>
    </row>
    <row r="24" spans="1:34">
      <c r="A24" s="86">
        <v>18</v>
      </c>
      <c r="B24" s="101" t="s">
        <v>88</v>
      </c>
      <c r="C24" s="100">
        <f>+C15-C23</f>
        <v>137949.83633294143</v>
      </c>
      <c r="D24" s="100">
        <f>+D15-D23</f>
        <v>137291.83633294143</v>
      </c>
      <c r="E24" s="100">
        <f t="shared" ref="E24:G24" si="16">+E15-E23</f>
        <v>205493.65256000002</v>
      </c>
      <c r="F24" s="100">
        <f t="shared" si="16"/>
        <v>0</v>
      </c>
      <c r="G24" s="100">
        <f t="shared" si="16"/>
        <v>0</v>
      </c>
      <c r="H24" s="100">
        <f>+H15-H23</f>
        <v>480735.32522588276</v>
      </c>
      <c r="J24" s="102"/>
      <c r="AF24" s="89" t="s">
        <v>89</v>
      </c>
      <c r="AG24" s="89" t="s">
        <v>88</v>
      </c>
    </row>
    <row r="25" spans="1:34">
      <c r="A25" s="86">
        <v>19</v>
      </c>
      <c r="B25" s="89" t="s">
        <v>277</v>
      </c>
      <c r="C25" s="100">
        <f>IF(C24&lt;0,0,C24*0.15)</f>
        <v>20692.475449941212</v>
      </c>
      <c r="D25" s="100">
        <f t="shared" ref="D25:H25" si="17">IF(D24&lt;0,0,D24*0.15)</f>
        <v>20593.775449941215</v>
      </c>
      <c r="E25" s="100">
        <f t="shared" ref="E25:G25" si="18">IF(E24&lt;0,0,E24*0.15)</f>
        <v>30824.047884</v>
      </c>
      <c r="F25" s="100">
        <f t="shared" si="18"/>
        <v>0</v>
      </c>
      <c r="G25" s="100">
        <f t="shared" si="18"/>
        <v>0</v>
      </c>
      <c r="H25" s="100">
        <f t="shared" si="17"/>
        <v>72110.298783882405</v>
      </c>
      <c r="I25" s="2"/>
      <c r="J25" s="2"/>
      <c r="K25" s="2"/>
      <c r="AF25" s="89" t="s">
        <v>90</v>
      </c>
      <c r="AG25" s="89" t="s">
        <v>35</v>
      </c>
    </row>
    <row r="26" spans="1:34">
      <c r="A26" s="86">
        <v>20</v>
      </c>
      <c r="B26" s="89" t="s">
        <v>91</v>
      </c>
      <c r="C26" s="100">
        <f>C24-C25</f>
        <v>117257.36088300022</v>
      </c>
      <c r="D26" s="100">
        <f>D24-D25</f>
        <v>116698.06088300022</v>
      </c>
      <c r="E26" s="100">
        <f t="shared" ref="E26:G26" si="19">E24-E25</f>
        <v>174669.60467600002</v>
      </c>
      <c r="F26" s="100">
        <f t="shared" si="19"/>
        <v>0</v>
      </c>
      <c r="G26" s="100">
        <f t="shared" si="19"/>
        <v>0</v>
      </c>
      <c r="H26" s="92">
        <f t="shared" si="0"/>
        <v>408625.02644200047</v>
      </c>
      <c r="I26" s="2"/>
      <c r="J26" s="2"/>
      <c r="K26" s="2"/>
      <c r="AF26" s="89" t="s">
        <v>92</v>
      </c>
      <c r="AG26" s="89" t="s">
        <v>91</v>
      </c>
    </row>
    <row r="27" spans="1:34">
      <c r="A27" s="86">
        <v>21</v>
      </c>
      <c r="B27" s="89" t="s">
        <v>95</v>
      </c>
      <c r="C27" s="103">
        <f>C26/C7</f>
        <v>7.1937031216564556E-2</v>
      </c>
      <c r="D27" s="103">
        <f>D26/D7</f>
        <v>7.2035840051234701E-2</v>
      </c>
      <c r="E27" s="103">
        <f t="shared" ref="E27:G27" si="20">E26/E7</f>
        <v>0.14086258441612903</v>
      </c>
      <c r="F27" s="103" t="e">
        <f t="shared" si="20"/>
        <v>#DIV/0!</v>
      </c>
      <c r="G27" s="103" t="e">
        <f t="shared" si="20"/>
        <v>#DIV/0!</v>
      </c>
      <c r="H27" s="103">
        <f>H26/H7</f>
        <v>9.1007800989309676E-2</v>
      </c>
      <c r="I27" s="2"/>
      <c r="J27" s="2"/>
      <c r="K27" s="2"/>
      <c r="AF27" s="89" t="s">
        <v>94</v>
      </c>
      <c r="AG27" s="89" t="s">
        <v>95</v>
      </c>
    </row>
    <row r="28" spans="1:34">
      <c r="I28" s="2"/>
      <c r="J28" s="2"/>
      <c r="K28" s="2"/>
    </row>
    <row r="29" spans="1:34">
      <c r="A29" s="82" t="s">
        <v>96</v>
      </c>
      <c r="H29" s="85" t="s">
        <v>149</v>
      </c>
      <c r="I29" s="2"/>
      <c r="J29" s="2"/>
      <c r="K29" s="2"/>
      <c r="AF29" s="82" t="s">
        <v>96</v>
      </c>
    </row>
    <row r="30" spans="1:34">
      <c r="A30" s="89" t="s">
        <v>97</v>
      </c>
      <c r="B30" s="94" t="s">
        <v>98</v>
      </c>
      <c r="C30" s="100"/>
      <c r="D30" s="100"/>
      <c r="E30" s="100"/>
      <c r="F30" s="100"/>
      <c r="G30" s="100"/>
      <c r="H30" s="100"/>
      <c r="I30" s="2"/>
      <c r="J30" s="2"/>
      <c r="K30" s="2"/>
      <c r="M30" s="2"/>
      <c r="AF30" s="89" t="s">
        <v>99</v>
      </c>
      <c r="AG30" s="94" t="s">
        <v>98</v>
      </c>
    </row>
    <row r="31" spans="1:34">
      <c r="A31" s="86">
        <v>1</v>
      </c>
      <c r="B31" s="97" t="s">
        <v>100</v>
      </c>
      <c r="C31" s="104">
        <f>销量!C8</f>
        <v>1630</v>
      </c>
      <c r="D31" s="104">
        <f>销量!D8</f>
        <v>1620</v>
      </c>
      <c r="E31" s="104">
        <f>销量!E8</f>
        <v>620</v>
      </c>
      <c r="F31" s="104">
        <f>销量!F8</f>
        <v>0</v>
      </c>
      <c r="G31" s="104">
        <f>销量!G8</f>
        <v>0</v>
      </c>
      <c r="H31" s="100"/>
      <c r="I31" s="2"/>
      <c r="J31" s="2"/>
      <c r="K31" s="2"/>
      <c r="M31" s="2"/>
      <c r="AF31" s="89" t="s">
        <v>55</v>
      </c>
      <c r="AG31" s="89" t="s">
        <v>100</v>
      </c>
    </row>
    <row r="32" spans="1:34">
      <c r="A32" s="86">
        <v>2</v>
      </c>
      <c r="B32" s="89" t="s">
        <v>150</v>
      </c>
      <c r="C32" s="92">
        <f>C9/C6</f>
        <v>1630</v>
      </c>
      <c r="D32" s="92">
        <f t="shared" ref="D32:G32" si="21">D9/D6</f>
        <v>1620</v>
      </c>
      <c r="E32" s="92">
        <f t="shared" si="21"/>
        <v>620</v>
      </c>
      <c r="F32" s="92" t="e">
        <f t="shared" si="21"/>
        <v>#DIV/0!</v>
      </c>
      <c r="G32" s="92" t="e">
        <f t="shared" si="21"/>
        <v>#DIV/0!</v>
      </c>
      <c r="H32" s="100"/>
      <c r="I32" s="2"/>
      <c r="J32" s="2"/>
      <c r="K32" s="2"/>
      <c r="L32" s="2"/>
      <c r="M32" s="2"/>
      <c r="N32" s="2"/>
      <c r="O32" s="2"/>
      <c r="AF32" s="89"/>
      <c r="AG32" s="89"/>
    </row>
    <row r="33" spans="1:33">
      <c r="A33" s="86">
        <v>3</v>
      </c>
      <c r="B33" s="97" t="s">
        <v>101</v>
      </c>
      <c r="C33" s="92">
        <f>材料成本!D24</f>
        <v>1243.4641636670585</v>
      </c>
      <c r="D33" s="92">
        <f>材料成本!E24</f>
        <v>1235.6441636670586</v>
      </c>
      <c r="E33" s="92">
        <f>材料成本!F24</f>
        <v>448.49259999999998</v>
      </c>
      <c r="F33" s="92">
        <f>材料成本!G24</f>
        <v>0</v>
      </c>
      <c r="G33" s="92">
        <f>材料成本!H24</f>
        <v>0</v>
      </c>
      <c r="H33" s="100"/>
      <c r="J33" s="2"/>
      <c r="K33" s="2"/>
      <c r="L33" s="2"/>
      <c r="M33" s="2"/>
      <c r="N33" s="2"/>
      <c r="O33" s="2"/>
      <c r="AF33" s="89" t="s">
        <v>57</v>
      </c>
      <c r="AG33" s="89" t="s">
        <v>101</v>
      </c>
    </row>
    <row r="34" spans="1:33" ht="17.25" customHeight="1">
      <c r="A34" s="86">
        <v>4</v>
      </c>
      <c r="B34" s="89" t="s">
        <v>103</v>
      </c>
      <c r="C34" s="105">
        <f>C32-C33</f>
        <v>386.53583633294147</v>
      </c>
      <c r="D34" s="105">
        <f>D32-D33</f>
        <v>384.35583633294141</v>
      </c>
      <c r="E34" s="105">
        <f t="shared" ref="E34:G34" si="22">E32-E33</f>
        <v>171.50740000000002</v>
      </c>
      <c r="F34" s="105" t="e">
        <f t="shared" si="22"/>
        <v>#DIV/0!</v>
      </c>
      <c r="G34" s="105" t="e">
        <f t="shared" si="22"/>
        <v>#DIV/0!</v>
      </c>
      <c r="H34" s="100"/>
      <c r="J34" s="2"/>
      <c r="K34" s="2"/>
      <c r="L34" s="2"/>
      <c r="M34" s="2"/>
      <c r="N34" s="2"/>
      <c r="O34" s="2"/>
      <c r="AF34" s="89" t="s">
        <v>102</v>
      </c>
      <c r="AG34" s="89" t="s">
        <v>103</v>
      </c>
    </row>
    <row r="35" spans="1:33">
      <c r="A35" s="89" t="s">
        <v>99</v>
      </c>
      <c r="B35" s="94" t="s">
        <v>9</v>
      </c>
      <c r="C35" s="100"/>
      <c r="D35" s="100"/>
      <c r="E35" s="100"/>
      <c r="F35" s="100"/>
      <c r="G35" s="100"/>
      <c r="H35" s="100"/>
      <c r="I35" s="2"/>
      <c r="J35" s="2"/>
      <c r="K35" s="2"/>
      <c r="L35" s="2"/>
      <c r="M35" s="2"/>
      <c r="N35" s="2"/>
      <c r="O35" s="2"/>
      <c r="P35" s="2"/>
      <c r="Q35" s="2"/>
      <c r="R35" s="2"/>
      <c r="AF35" s="89" t="s">
        <v>105</v>
      </c>
      <c r="AG35" s="94" t="s">
        <v>9</v>
      </c>
    </row>
    <row r="36" spans="1:33">
      <c r="A36" s="86">
        <v>1</v>
      </c>
      <c r="B36" s="89" t="s">
        <v>106</v>
      </c>
      <c r="C36" s="98">
        <f>标准成本!E4</f>
        <v>20.048999999999999</v>
      </c>
      <c r="D36" s="98">
        <f>标准成本!E16</f>
        <v>19.926000000000002</v>
      </c>
      <c r="E36" s="98">
        <f>标准成本!E29</f>
        <v>5.5164589799999995</v>
      </c>
      <c r="F36" s="98">
        <f>标准成本!E42</f>
        <v>0</v>
      </c>
      <c r="G36" s="98">
        <f>标准成本!E55</f>
        <v>0</v>
      </c>
      <c r="H36" s="104"/>
      <c r="I36" s="2"/>
      <c r="J36" s="2"/>
      <c r="K36" s="2"/>
      <c r="L36" s="2"/>
      <c r="M36" s="2"/>
      <c r="N36" s="2"/>
      <c r="O36" s="2"/>
      <c r="P36" s="2"/>
      <c r="Q36" s="2"/>
      <c r="R36" s="2"/>
      <c r="AF36" s="89" t="s">
        <v>102</v>
      </c>
      <c r="AG36" s="89" t="s">
        <v>106</v>
      </c>
    </row>
    <row r="37" spans="1:33">
      <c r="A37" s="86">
        <v>2</v>
      </c>
      <c r="B37" s="89" t="s">
        <v>107</v>
      </c>
      <c r="C37" s="98">
        <f>标准成本!E6</f>
        <v>18.093</v>
      </c>
      <c r="D37" s="98">
        <f>标准成本!E18</f>
        <v>17.981999999999999</v>
      </c>
      <c r="E37" s="98">
        <f>标准成本!E31</f>
        <v>4.9782678599999999</v>
      </c>
      <c r="F37" s="98">
        <f>标准成本!E44</f>
        <v>0</v>
      </c>
      <c r="G37" s="98">
        <f>标准成本!E57</f>
        <v>0</v>
      </c>
      <c r="H37" s="104"/>
      <c r="I37" s="2"/>
      <c r="J37" s="2"/>
      <c r="K37" s="2"/>
      <c r="L37" s="2"/>
      <c r="M37" s="2"/>
      <c r="N37" s="2"/>
      <c r="O37" s="2"/>
      <c r="P37" s="2"/>
      <c r="Q37" s="2"/>
      <c r="R37" s="2"/>
      <c r="AF37" s="89" t="s">
        <v>60</v>
      </c>
      <c r="AG37" s="89" t="s">
        <v>107</v>
      </c>
    </row>
    <row r="38" spans="1:33">
      <c r="A38" s="86">
        <v>3</v>
      </c>
      <c r="B38" s="89" t="s">
        <v>108</v>
      </c>
      <c r="C38" s="98">
        <f>标准成本!E10</f>
        <v>26.080000000000002</v>
      </c>
      <c r="D38" s="98">
        <f>标准成本!E22</f>
        <v>25.92</v>
      </c>
      <c r="E38" s="98">
        <f>标准成本!E35</f>
        <v>7.1758815999999994</v>
      </c>
      <c r="F38" s="98">
        <f>标准成本!E48</f>
        <v>0</v>
      </c>
      <c r="G38" s="98">
        <f>标准成本!E61</f>
        <v>0</v>
      </c>
      <c r="H38" s="104"/>
      <c r="I38" s="2"/>
      <c r="J38" s="2"/>
      <c r="K38" s="2"/>
      <c r="L38" s="2"/>
      <c r="M38" s="2"/>
      <c r="N38" s="2"/>
      <c r="O38" s="2"/>
      <c r="P38" s="2"/>
      <c r="Q38" s="2"/>
      <c r="R38" s="2"/>
      <c r="AF38" s="89" t="s">
        <v>66</v>
      </c>
      <c r="AG38" s="89" t="s">
        <v>108</v>
      </c>
    </row>
    <row r="39" spans="1:33">
      <c r="A39" s="89" t="s">
        <v>105</v>
      </c>
      <c r="B39" s="94" t="s">
        <v>110</v>
      </c>
      <c r="C39" s="100"/>
      <c r="D39" s="100"/>
      <c r="E39" s="100"/>
      <c r="F39" s="100"/>
      <c r="G39" s="100"/>
      <c r="H39" s="100"/>
      <c r="AF39" s="89" t="s">
        <v>109</v>
      </c>
      <c r="AG39" s="94" t="s">
        <v>110</v>
      </c>
    </row>
    <row r="40" spans="1:33">
      <c r="A40" s="86">
        <v>1</v>
      </c>
      <c r="B40" s="89" t="s">
        <v>111</v>
      </c>
      <c r="C40" s="100">
        <f>C34-C36-C37-C38</f>
        <v>322.31383633294149</v>
      </c>
      <c r="D40" s="100">
        <f>D34-D36-D37-D38</f>
        <v>320.52783633294138</v>
      </c>
      <c r="E40" s="100">
        <f t="shared" ref="E40:G40" si="23">E34-E36-E37-E38</f>
        <v>153.83679156000002</v>
      </c>
      <c r="F40" s="100" t="e">
        <f t="shared" si="23"/>
        <v>#DIV/0!</v>
      </c>
      <c r="G40" s="100" t="e">
        <f t="shared" si="23"/>
        <v>#DIV/0!</v>
      </c>
      <c r="H40" s="100"/>
      <c r="AF40" s="89" t="s">
        <v>55</v>
      </c>
      <c r="AG40" s="89" t="s">
        <v>111</v>
      </c>
    </row>
    <row r="41" spans="1:33">
      <c r="A41" s="86">
        <v>2</v>
      </c>
      <c r="B41" s="89" t="s">
        <v>112</v>
      </c>
      <c r="C41" s="100"/>
      <c r="D41" s="100"/>
      <c r="E41" s="100"/>
      <c r="F41" s="100"/>
      <c r="G41" s="100"/>
      <c r="H41" s="100"/>
      <c r="AF41" s="89" t="s">
        <v>57</v>
      </c>
      <c r="AG41" s="89" t="s">
        <v>112</v>
      </c>
    </row>
    <row r="42" spans="1:33">
      <c r="A42" s="89" t="s">
        <v>109</v>
      </c>
      <c r="B42" s="94" t="s">
        <v>114</v>
      </c>
      <c r="C42" s="100"/>
      <c r="D42" s="100"/>
      <c r="E42" s="100"/>
      <c r="F42" s="100"/>
      <c r="G42" s="100"/>
      <c r="H42" s="100"/>
      <c r="AF42" s="89" t="s">
        <v>113</v>
      </c>
      <c r="AG42" s="94" t="s">
        <v>114</v>
      </c>
    </row>
    <row r="43" spans="1:33">
      <c r="A43" s="86">
        <v>1</v>
      </c>
      <c r="B43" s="101" t="s">
        <v>115</v>
      </c>
      <c r="C43" s="98">
        <f>标准成本!E5</f>
        <v>59.658000000000001</v>
      </c>
      <c r="D43" s="98">
        <f>标准成本!E17</f>
        <v>59.292000000000002</v>
      </c>
      <c r="E43" s="98">
        <f>标准成本!E30</f>
        <v>16.41482916</v>
      </c>
      <c r="F43" s="98">
        <f>标准成本!E43</f>
        <v>0</v>
      </c>
      <c r="G43" s="98">
        <f>标准成本!E56</f>
        <v>0</v>
      </c>
      <c r="H43" s="100"/>
      <c r="AF43" s="89" t="s">
        <v>55</v>
      </c>
      <c r="AG43" s="89" t="s">
        <v>115</v>
      </c>
    </row>
    <row r="44" spans="1:33">
      <c r="A44" s="86">
        <v>2</v>
      </c>
      <c r="B44" s="101" t="s">
        <v>116</v>
      </c>
      <c r="C44" s="98">
        <f>标准成本!E9</f>
        <v>13.691999999999998</v>
      </c>
      <c r="D44" s="98">
        <f>标准成本!E21</f>
        <v>13.607999999999999</v>
      </c>
      <c r="E44" s="98">
        <f>标准成本!E34</f>
        <v>3.7673378399999997</v>
      </c>
      <c r="F44" s="98">
        <f>标准成本!E47</f>
        <v>0</v>
      </c>
      <c r="G44" s="98">
        <f>标准成本!E60</f>
        <v>0</v>
      </c>
      <c r="H44" s="100"/>
      <c r="AF44" s="89" t="s">
        <v>57</v>
      </c>
      <c r="AG44" s="89" t="s">
        <v>116</v>
      </c>
    </row>
    <row r="45" spans="1:33">
      <c r="A45" s="86">
        <v>3</v>
      </c>
      <c r="B45" s="101" t="s">
        <v>117</v>
      </c>
      <c r="C45" s="98">
        <f>标准成本!E8</f>
        <v>52.649000000000001</v>
      </c>
      <c r="D45" s="98">
        <f>标准成本!E20</f>
        <v>52.326000000000001</v>
      </c>
      <c r="E45" s="98">
        <f>标准成本!E33</f>
        <v>14.486310980000001</v>
      </c>
      <c r="F45" s="98">
        <f>标准成本!E46</f>
        <v>0</v>
      </c>
      <c r="G45" s="98">
        <f>标准成本!E59</f>
        <v>0</v>
      </c>
      <c r="H45" s="100"/>
      <c r="AF45" s="89" t="s">
        <v>102</v>
      </c>
      <c r="AG45" s="89" t="s">
        <v>117</v>
      </c>
    </row>
    <row r="46" spans="1:33" s="84" customFormat="1">
      <c r="A46" s="86">
        <v>4</v>
      </c>
      <c r="B46" s="101" t="s">
        <v>118</v>
      </c>
      <c r="C46" s="106">
        <f>C21/C6</f>
        <v>0.5</v>
      </c>
      <c r="D46" s="106">
        <f>D21/D6</f>
        <v>0.5</v>
      </c>
      <c r="E46" s="106">
        <f t="shared" ref="E46:G46" si="24">E21/E6</f>
        <v>0.5</v>
      </c>
      <c r="F46" s="106" t="e">
        <f t="shared" si="24"/>
        <v>#DIV/0!</v>
      </c>
      <c r="G46" s="106" t="e">
        <f t="shared" si="24"/>
        <v>#DIV/0!</v>
      </c>
      <c r="H46" s="106"/>
      <c r="AF46" s="101" t="s">
        <v>62</v>
      </c>
      <c r="AG46" s="101" t="s">
        <v>120</v>
      </c>
    </row>
    <row r="47" spans="1:33" s="84" customFormat="1">
      <c r="A47" s="86">
        <v>5</v>
      </c>
      <c r="B47" s="101" t="s">
        <v>120</v>
      </c>
      <c r="C47" s="98">
        <f>标准成本!E11</f>
        <v>57.864999999999995</v>
      </c>
      <c r="D47" s="98">
        <f>标准成本!E23</f>
        <v>57.51</v>
      </c>
      <c r="E47" s="98">
        <f>标准成本!E36</f>
        <v>15.921487299999997</v>
      </c>
      <c r="F47" s="98">
        <f>标准成本!E49</f>
        <v>0</v>
      </c>
      <c r="G47" s="98">
        <f>标准成本!E62</f>
        <v>0</v>
      </c>
      <c r="H47" s="106"/>
      <c r="AF47" s="101" t="s">
        <v>62</v>
      </c>
      <c r="AG47" s="101" t="s">
        <v>120</v>
      </c>
    </row>
    <row r="48" spans="1:33">
      <c r="A48" s="89" t="s">
        <v>113</v>
      </c>
      <c r="B48" s="94" t="s">
        <v>131</v>
      </c>
      <c r="C48" s="100">
        <f>C40-C43-C44-C45-C47-C46</f>
        <v>137.94983633294146</v>
      </c>
      <c r="D48" s="100">
        <f>D40-D43-D44-D45-D47-D46</f>
        <v>137.29183633294141</v>
      </c>
      <c r="E48" s="100">
        <f t="shared" ref="E48:G48" si="25">E40-E43-E44-E45-E47-E46</f>
        <v>102.74682628000001</v>
      </c>
      <c r="F48" s="100" t="e">
        <f t="shared" si="25"/>
        <v>#DIV/0!</v>
      </c>
      <c r="G48" s="100" t="e">
        <f t="shared" si="25"/>
        <v>#DIV/0!</v>
      </c>
      <c r="H48" s="100"/>
      <c r="AF48" s="89" t="s">
        <v>130</v>
      </c>
      <c r="AG48" s="94" t="s">
        <v>131</v>
      </c>
    </row>
    <row r="51" spans="2:13">
      <c r="C51" s="107"/>
      <c r="D51" s="107"/>
      <c r="E51" s="107"/>
      <c r="F51" s="107"/>
      <c r="G51" s="107"/>
    </row>
    <row r="54" spans="2:13">
      <c r="B54" s="2"/>
      <c r="C54" s="108"/>
      <c r="D54" s="108"/>
      <c r="E54" s="108"/>
      <c r="F54" s="108"/>
      <c r="G54" s="108"/>
      <c r="H54" s="108"/>
      <c r="I54" s="2"/>
      <c r="J54" s="2"/>
      <c r="K54" s="2"/>
      <c r="L54" s="2"/>
      <c r="M54" s="2"/>
    </row>
    <row r="55" spans="2:13">
      <c r="B55" s="2"/>
      <c r="C55" s="108"/>
      <c r="D55" s="108"/>
      <c r="E55" s="108"/>
      <c r="F55" s="108"/>
      <c r="G55" s="108"/>
      <c r="H55" s="108"/>
      <c r="I55" s="2"/>
      <c r="J55" s="2"/>
      <c r="K55" s="2"/>
      <c r="L55" s="2"/>
      <c r="M55" s="2"/>
    </row>
    <row r="56" spans="2:13">
      <c r="B56" s="2"/>
      <c r="C56" s="108"/>
      <c r="D56" s="108"/>
      <c r="E56" s="108"/>
      <c r="F56" s="108"/>
      <c r="G56" s="108"/>
      <c r="H56" s="108"/>
      <c r="I56" s="2"/>
      <c r="J56" s="2"/>
      <c r="K56" s="2"/>
      <c r="L56" s="2"/>
      <c r="M56" s="2"/>
    </row>
    <row r="57" spans="2:13">
      <c r="B57" s="2"/>
      <c r="C57" s="108"/>
      <c r="D57" s="108"/>
      <c r="E57" s="108"/>
      <c r="F57" s="108"/>
      <c r="G57" s="108"/>
      <c r="H57" s="108"/>
      <c r="I57" s="2"/>
      <c r="J57" s="2"/>
      <c r="K57" s="2"/>
      <c r="L57" s="2"/>
      <c r="M57" s="2"/>
    </row>
    <row r="58" spans="2:13">
      <c r="B58" s="2"/>
      <c r="C58" s="108"/>
      <c r="D58" s="108"/>
      <c r="E58" s="108"/>
      <c r="F58" s="108"/>
      <c r="G58" s="108"/>
      <c r="H58" s="108"/>
      <c r="I58" s="2"/>
      <c r="J58" s="2"/>
      <c r="K58" s="2"/>
      <c r="L58" s="2"/>
      <c r="M58" s="2"/>
    </row>
    <row r="59" spans="2:13">
      <c r="B59" s="2"/>
      <c r="C59" s="108"/>
      <c r="D59" s="108"/>
      <c r="E59" s="108"/>
      <c r="F59" s="108"/>
      <c r="G59" s="108"/>
      <c r="H59" s="108"/>
      <c r="I59" s="2"/>
      <c r="J59" s="2"/>
      <c r="K59" s="2"/>
      <c r="L59" s="2"/>
      <c r="M59" s="2"/>
    </row>
    <row r="60" spans="2:13">
      <c r="B60" s="2"/>
      <c r="C60" s="108"/>
      <c r="D60" s="108"/>
      <c r="E60" s="108"/>
      <c r="F60" s="108"/>
      <c r="G60" s="108"/>
      <c r="H60" s="108"/>
      <c r="I60" s="2"/>
      <c r="J60" s="2"/>
      <c r="K60" s="2"/>
      <c r="L60" s="2"/>
      <c r="M60" s="2"/>
    </row>
    <row r="61" spans="2:13">
      <c r="B61" s="2"/>
      <c r="C61" s="108"/>
      <c r="D61" s="108"/>
      <c r="E61" s="108"/>
      <c r="F61" s="108"/>
      <c r="G61" s="108"/>
      <c r="H61" s="108"/>
      <c r="I61" s="2"/>
      <c r="J61" s="2"/>
      <c r="K61" s="2"/>
      <c r="L61" s="2"/>
      <c r="M61" s="2"/>
    </row>
    <row r="62" spans="2:13">
      <c r="B62" s="2"/>
      <c r="C62" s="108"/>
      <c r="D62" s="108"/>
      <c r="E62" s="108"/>
      <c r="F62" s="108"/>
      <c r="G62" s="108"/>
      <c r="H62" s="108"/>
      <c r="I62" s="2"/>
      <c r="J62" s="2"/>
      <c r="K62" s="2"/>
      <c r="L62" s="2"/>
      <c r="M62" s="2"/>
    </row>
    <row r="63" spans="2:13">
      <c r="B63" s="2"/>
      <c r="C63" s="108"/>
      <c r="D63" s="108"/>
      <c r="E63" s="108"/>
      <c r="F63" s="108"/>
      <c r="G63" s="108"/>
      <c r="H63" s="108"/>
      <c r="I63" s="2"/>
      <c r="J63" s="2"/>
      <c r="K63" s="2"/>
      <c r="L63" s="2"/>
      <c r="M63" s="2"/>
    </row>
    <row r="64" spans="2:13">
      <c r="B64" s="2"/>
      <c r="C64" s="108"/>
      <c r="D64" s="108"/>
      <c r="E64" s="108"/>
      <c r="F64" s="108"/>
      <c r="G64" s="108"/>
      <c r="H64" s="108"/>
      <c r="I64" s="2"/>
      <c r="J64" s="2"/>
      <c r="K64" s="2"/>
      <c r="L64" s="2"/>
      <c r="M64" s="2"/>
    </row>
    <row r="65" spans="2:13">
      <c r="B65" s="2"/>
      <c r="C65" s="108"/>
      <c r="D65" s="108"/>
      <c r="E65" s="108"/>
      <c r="F65" s="108"/>
      <c r="G65" s="108"/>
      <c r="H65" s="108"/>
      <c r="I65" s="2"/>
      <c r="J65" s="2"/>
      <c r="K65" s="2"/>
      <c r="L65" s="2"/>
      <c r="M65" s="2"/>
    </row>
    <row r="66" spans="2:13">
      <c r="B66" s="2"/>
      <c r="C66" s="108"/>
      <c r="D66" s="108"/>
      <c r="E66" s="108"/>
      <c r="F66" s="108"/>
      <c r="G66" s="108"/>
      <c r="H66" s="108"/>
      <c r="I66" s="2"/>
      <c r="J66" s="2"/>
      <c r="K66" s="2"/>
      <c r="L66" s="2"/>
      <c r="M66" s="2"/>
    </row>
    <row r="67" spans="2:13">
      <c r="B67" s="2"/>
      <c r="C67" s="108"/>
      <c r="D67" s="108"/>
      <c r="E67" s="108"/>
      <c r="F67" s="108"/>
      <c r="G67" s="108"/>
      <c r="H67" s="108"/>
      <c r="I67" s="2"/>
    </row>
    <row r="68" spans="2:13">
      <c r="B68" s="2"/>
      <c r="C68" s="108"/>
      <c r="D68" s="108"/>
      <c r="E68" s="108"/>
      <c r="F68" s="108"/>
      <c r="G68" s="108"/>
      <c r="H68" s="108"/>
      <c r="I68" s="2"/>
    </row>
    <row r="69" spans="2:13">
      <c r="B69" s="2"/>
      <c r="C69" s="108"/>
      <c r="D69" s="108"/>
      <c r="E69" s="108"/>
      <c r="F69" s="108"/>
      <c r="G69" s="108"/>
      <c r="H69" s="108"/>
      <c r="I69" s="2"/>
    </row>
    <row r="70" spans="2:13">
      <c r="B70" s="2"/>
      <c r="C70" s="108"/>
      <c r="D70" s="108"/>
      <c r="E70" s="108"/>
      <c r="F70" s="108"/>
      <c r="G70" s="108"/>
      <c r="H70" s="108"/>
      <c r="I70" s="2"/>
    </row>
    <row r="71" spans="2:13">
      <c r="B71" s="2"/>
      <c r="C71" s="108"/>
      <c r="D71" s="108"/>
      <c r="E71" s="108"/>
      <c r="F71" s="108"/>
      <c r="G71" s="108"/>
      <c r="H71" s="108"/>
      <c r="I71" s="2"/>
    </row>
    <row r="72" spans="2:13">
      <c r="B72" s="2"/>
      <c r="C72" s="108"/>
      <c r="D72" s="108"/>
      <c r="E72" s="108"/>
      <c r="F72" s="108"/>
      <c r="G72" s="108"/>
      <c r="H72" s="108"/>
      <c r="I72" s="2"/>
    </row>
    <row r="73" spans="2:13">
      <c r="B73" s="2"/>
      <c r="C73" s="108"/>
      <c r="D73" s="108"/>
      <c r="E73" s="108"/>
      <c r="F73" s="108"/>
      <c r="G73" s="108"/>
      <c r="H73" s="108"/>
      <c r="I73" s="2"/>
    </row>
    <row r="74" spans="2:13">
      <c r="B74" s="2"/>
      <c r="C74" s="108"/>
      <c r="D74" s="108"/>
      <c r="E74" s="108"/>
      <c r="F74" s="108"/>
      <c r="G74" s="108"/>
      <c r="H74" s="108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C8" sqref="C8"/>
    </sheetView>
  </sheetViews>
  <sheetFormatPr defaultColWidth="9" defaultRowHeight="16.5"/>
  <cols>
    <col min="1" max="1" width="5.125" style="82" customWidth="1"/>
    <col min="2" max="2" width="17.5" style="82" customWidth="1"/>
    <col min="3" max="7" width="14.375" style="85" customWidth="1"/>
    <col min="8" max="8" width="18.75" style="85" customWidth="1"/>
    <col min="9" max="9" width="12.375" style="82" customWidth="1"/>
    <col min="10" max="10" width="10.125" style="82" customWidth="1"/>
    <col min="11" max="17" width="9" style="82" customWidth="1"/>
    <col min="18" max="33" width="9" style="82"/>
    <col min="34" max="34" width="4.375" style="82" customWidth="1"/>
    <col min="35" max="35" width="13.875" style="82" customWidth="1"/>
    <col min="36" max="16384" width="9" style="82"/>
  </cols>
  <sheetData>
    <row r="1" spans="1:36">
      <c r="A1" s="206" t="s">
        <v>141</v>
      </c>
      <c r="B1" s="206"/>
      <c r="C1" s="210" t="s">
        <v>266</v>
      </c>
      <c r="D1" s="211"/>
      <c r="E1" s="211"/>
      <c r="F1" s="211"/>
      <c r="G1" s="211"/>
      <c r="H1" s="212"/>
    </row>
    <row r="2" spans="1:36">
      <c r="A2" s="206" t="s">
        <v>142</v>
      </c>
      <c r="B2" s="206"/>
      <c r="C2" s="213" t="str">
        <f>'2025年'!$C$2</f>
        <v>一汽解放汽车有限公司</v>
      </c>
      <c r="D2" s="213"/>
      <c r="E2" s="213"/>
      <c r="F2" s="213"/>
      <c r="G2" s="213"/>
      <c r="H2" s="213"/>
    </row>
    <row r="3" spans="1:36">
      <c r="A3" s="206" t="s">
        <v>143</v>
      </c>
      <c r="B3" s="206"/>
      <c r="C3" s="87" t="str">
        <f>'2025年'!C3</f>
        <v>驾驶员总成</v>
      </c>
      <c r="D3" s="87" t="str">
        <f>'2025年'!D3</f>
        <v>驾驶员总成</v>
      </c>
      <c r="E3" s="87" t="str">
        <f>'2025年'!E3</f>
        <v>前座总成</v>
      </c>
      <c r="F3" s="87">
        <f>'2025年'!F3</f>
        <v>0</v>
      </c>
      <c r="G3" s="87">
        <f>'2025年'!G3</f>
        <v>0</v>
      </c>
      <c r="H3" s="207" t="s">
        <v>51</v>
      </c>
    </row>
    <row r="4" spans="1:36">
      <c r="A4" s="206" t="s">
        <v>144</v>
      </c>
      <c r="B4" s="206"/>
      <c r="C4" s="87" t="str">
        <f>'2025年'!C4</f>
        <v>6800010MH13J/A</v>
      </c>
      <c r="D4" s="87" t="str">
        <f>'2025年'!D4</f>
        <v>6800010NH13J/A</v>
      </c>
      <c r="E4" s="87" t="str">
        <f>'2025年'!E4</f>
        <v>6900010TH13J/A</v>
      </c>
      <c r="F4" s="87">
        <f>'2025年'!F4</f>
        <v>0</v>
      </c>
      <c r="G4" s="87">
        <f>'2025年'!G4</f>
        <v>0</v>
      </c>
      <c r="H4" s="208"/>
    </row>
    <row r="5" spans="1:36" ht="42.75">
      <c r="A5" s="206" t="s">
        <v>145</v>
      </c>
      <c r="B5" s="206"/>
      <c r="C5" s="88" t="str">
        <f>'2025年'!C5</f>
        <v>可变阻尼、高度调节、单扶手、三点式安全带、</v>
      </c>
      <c r="D5" s="88" t="str">
        <f>'2025年'!D5</f>
        <v>可变阻尼、高度调节、单扶手、三点式安全带、联管螺母</v>
      </c>
      <c r="E5" s="88" t="str">
        <f>'2025年'!E5</f>
        <v>管梁副驾带安全带</v>
      </c>
      <c r="F5" s="88">
        <f>'2025年'!F5</f>
        <v>0</v>
      </c>
      <c r="G5" s="88">
        <f>'2025年'!G5</f>
        <v>0</v>
      </c>
      <c r="H5" s="209"/>
      <c r="AJ5" s="82" t="s">
        <v>52</v>
      </c>
    </row>
    <row r="6" spans="1:36" ht="17.25">
      <c r="A6" s="89" t="s">
        <v>18</v>
      </c>
      <c r="B6" s="90" t="s">
        <v>146</v>
      </c>
      <c r="C6" s="109">
        <f>销量!C10</f>
        <v>2000</v>
      </c>
      <c r="D6" s="109">
        <f>销量!D10</f>
        <v>2000</v>
      </c>
      <c r="E6" s="109">
        <f>销量!E10</f>
        <v>4000</v>
      </c>
      <c r="F6" s="109">
        <f>销量!F10</f>
        <v>0</v>
      </c>
      <c r="G6" s="109">
        <f>销量!G10</f>
        <v>0</v>
      </c>
      <c r="H6" s="92">
        <f>+SUM(C6:G6)</f>
        <v>8000</v>
      </c>
      <c r="AH6" s="89" t="s">
        <v>18</v>
      </c>
      <c r="AI6" s="90" t="s">
        <v>3</v>
      </c>
      <c r="AJ6" s="82" t="s">
        <v>53</v>
      </c>
    </row>
    <row r="7" spans="1:36">
      <c r="A7" s="86">
        <v>1</v>
      </c>
      <c r="B7" s="90" t="s">
        <v>54</v>
      </c>
      <c r="C7" s="92">
        <f>C6*销量!C8</f>
        <v>3260000</v>
      </c>
      <c r="D7" s="92">
        <f>D6*销量!D8</f>
        <v>3240000</v>
      </c>
      <c r="E7" s="92">
        <f>E6*销量!E8</f>
        <v>2480000</v>
      </c>
      <c r="F7" s="92">
        <f>F6*销量!F8</f>
        <v>0</v>
      </c>
      <c r="G7" s="92">
        <f>G6*销量!G8</f>
        <v>0</v>
      </c>
      <c r="H7" s="92">
        <f t="shared" ref="H7:H13" si="0">+SUM(C7:G7)</f>
        <v>8980000</v>
      </c>
      <c r="I7" s="85"/>
      <c r="AH7" s="89" t="s">
        <v>55</v>
      </c>
      <c r="AI7" s="90" t="s">
        <v>54</v>
      </c>
      <c r="AJ7" s="82" t="s">
        <v>53</v>
      </c>
    </row>
    <row r="8" spans="1:36">
      <c r="A8" s="86">
        <v>2</v>
      </c>
      <c r="B8" s="86" t="s">
        <v>56</v>
      </c>
      <c r="C8" s="92">
        <f>C7*(1-销量!$K$7)</f>
        <v>97800.000000000087</v>
      </c>
      <c r="D8" s="92">
        <f>D7*(1-销量!$K$7)</f>
        <v>97200.000000000087</v>
      </c>
      <c r="E8" s="92">
        <f>E7*(1-销量!$K$7)</f>
        <v>74400.000000000073</v>
      </c>
      <c r="F8" s="92">
        <f>F7*(1-销量!$K$7)</f>
        <v>0</v>
      </c>
      <c r="G8" s="92">
        <f>G7*(1-销量!$K$7)</f>
        <v>0</v>
      </c>
      <c r="H8" s="92">
        <f t="shared" si="0"/>
        <v>269400.00000000023</v>
      </c>
      <c r="I8" s="93"/>
      <c r="AH8" s="89" t="s">
        <v>57</v>
      </c>
      <c r="AI8" s="86" t="s">
        <v>58</v>
      </c>
      <c r="AJ8" s="82" t="s">
        <v>53</v>
      </c>
    </row>
    <row r="9" spans="1:36">
      <c r="A9" s="86">
        <v>3</v>
      </c>
      <c r="B9" s="90" t="s">
        <v>59</v>
      </c>
      <c r="C9" s="92">
        <f>+C7-C8</f>
        <v>3162200</v>
      </c>
      <c r="D9" s="92">
        <f>+D7-D8</f>
        <v>3142800</v>
      </c>
      <c r="E9" s="92">
        <f t="shared" ref="E9:G9" si="1">+E7-E8</f>
        <v>2405600</v>
      </c>
      <c r="F9" s="92">
        <f t="shared" si="1"/>
        <v>0</v>
      </c>
      <c r="G9" s="92">
        <f t="shared" si="1"/>
        <v>0</v>
      </c>
      <c r="H9" s="92">
        <f t="shared" si="0"/>
        <v>8710600</v>
      </c>
      <c r="AH9" s="89" t="s">
        <v>60</v>
      </c>
      <c r="AI9" s="90" t="s">
        <v>59</v>
      </c>
      <c r="AJ9" s="82" t="s">
        <v>61</v>
      </c>
    </row>
    <row r="10" spans="1:36">
      <c r="A10" s="86">
        <v>4</v>
      </c>
      <c r="B10" s="89" t="s">
        <v>63</v>
      </c>
      <c r="C10" s="92">
        <f>C6*C33</f>
        <v>2412320.4775140933</v>
      </c>
      <c r="D10" s="92">
        <f>D6*D33</f>
        <v>2397149.6775140935</v>
      </c>
      <c r="E10" s="92">
        <f t="shared" ref="E10:G10" si="2">E6*E33</f>
        <v>1740151.2879999997</v>
      </c>
      <c r="F10" s="92">
        <f t="shared" si="2"/>
        <v>0</v>
      </c>
      <c r="G10" s="92">
        <f t="shared" si="2"/>
        <v>0</v>
      </c>
      <c r="H10" s="92">
        <f t="shared" si="0"/>
        <v>6549621.4430281864</v>
      </c>
      <c r="AH10" s="89" t="s">
        <v>62</v>
      </c>
      <c r="AI10" s="89" t="s">
        <v>63</v>
      </c>
      <c r="AJ10" s="82" t="s">
        <v>64</v>
      </c>
    </row>
    <row r="11" spans="1:36">
      <c r="A11" s="86">
        <v>5</v>
      </c>
      <c r="B11" s="89" t="s">
        <v>65</v>
      </c>
      <c r="C11" s="92">
        <f>+C6*C36</f>
        <v>40098</v>
      </c>
      <c r="D11" s="92">
        <f>+D6*D36</f>
        <v>39852.000000000007</v>
      </c>
      <c r="E11" s="92">
        <f t="shared" ref="E11:G11" si="3">+E6*E36</f>
        <v>22065.835919999998</v>
      </c>
      <c r="F11" s="92">
        <f t="shared" si="3"/>
        <v>0</v>
      </c>
      <c r="G11" s="92">
        <f t="shared" si="3"/>
        <v>0</v>
      </c>
      <c r="H11" s="92">
        <f t="shared" si="0"/>
        <v>102015.83592</v>
      </c>
      <c r="AH11" s="89" t="s">
        <v>66</v>
      </c>
      <c r="AI11" s="89" t="s">
        <v>65</v>
      </c>
    </row>
    <row r="12" spans="1:36">
      <c r="A12" s="86">
        <v>6</v>
      </c>
      <c r="B12" s="89" t="s">
        <v>67</v>
      </c>
      <c r="C12" s="92">
        <f>+C6*C37</f>
        <v>36186</v>
      </c>
      <c r="D12" s="92">
        <f>+D6*D37</f>
        <v>35964</v>
      </c>
      <c r="E12" s="92">
        <f t="shared" ref="E12:G12" si="4">+E6*E37</f>
        <v>19913.07144</v>
      </c>
      <c r="F12" s="92">
        <f t="shared" si="4"/>
        <v>0</v>
      </c>
      <c r="G12" s="92">
        <f t="shared" si="4"/>
        <v>0</v>
      </c>
      <c r="H12" s="92">
        <f t="shared" si="0"/>
        <v>92063.07144</v>
      </c>
      <c r="AH12" s="89" t="s">
        <v>68</v>
      </c>
      <c r="AI12" s="89" t="s">
        <v>67</v>
      </c>
    </row>
    <row r="13" spans="1:36">
      <c r="A13" s="86">
        <v>7</v>
      </c>
      <c r="B13" s="89" t="s">
        <v>69</v>
      </c>
      <c r="C13" s="92">
        <f>+C6*C38</f>
        <v>52160.000000000007</v>
      </c>
      <c r="D13" s="92">
        <f>+D6*D38</f>
        <v>51840</v>
      </c>
      <c r="E13" s="92">
        <f t="shared" ref="E13:G13" si="5">+E6*E38</f>
        <v>28703.526399999999</v>
      </c>
      <c r="F13" s="92">
        <f t="shared" si="5"/>
        <v>0</v>
      </c>
      <c r="G13" s="92">
        <f t="shared" si="5"/>
        <v>0</v>
      </c>
      <c r="H13" s="92">
        <f t="shared" si="0"/>
        <v>132703.5264</v>
      </c>
      <c r="AH13" s="89" t="s">
        <v>70</v>
      </c>
      <c r="AI13" s="89" t="s">
        <v>69</v>
      </c>
      <c r="AJ13" s="82" t="s">
        <v>53</v>
      </c>
    </row>
    <row r="14" spans="1:36">
      <c r="A14" s="86">
        <v>8</v>
      </c>
      <c r="B14" s="94" t="s">
        <v>71</v>
      </c>
      <c r="C14" s="92">
        <f>SUM(C11:C13)</f>
        <v>128444</v>
      </c>
      <c r="D14" s="92">
        <f>SUM(D11:D13)</f>
        <v>127656</v>
      </c>
      <c r="E14" s="92">
        <f t="shared" ref="E14:H14" si="6">SUM(E11:E13)</f>
        <v>70682.43376</v>
      </c>
      <c r="F14" s="92">
        <f t="shared" si="6"/>
        <v>0</v>
      </c>
      <c r="G14" s="92">
        <f t="shared" si="6"/>
        <v>0</v>
      </c>
      <c r="H14" s="92">
        <f t="shared" si="6"/>
        <v>326782.43376000004</v>
      </c>
      <c r="AH14" s="89" t="s">
        <v>72</v>
      </c>
      <c r="AI14" s="94" t="s">
        <v>71</v>
      </c>
    </row>
    <row r="15" spans="1:36">
      <c r="A15" s="86">
        <v>9</v>
      </c>
      <c r="B15" s="94" t="s">
        <v>73</v>
      </c>
      <c r="C15" s="92">
        <f>+C9-C10-C14</f>
        <v>621435.52248590672</v>
      </c>
      <c r="D15" s="92">
        <f>+D9-D10-D14</f>
        <v>617994.32248590654</v>
      </c>
      <c r="E15" s="92">
        <f t="shared" ref="E15:H15" si="7">+E9-E10-E14</f>
        <v>594766.27824000025</v>
      </c>
      <c r="F15" s="92">
        <f t="shared" si="7"/>
        <v>0</v>
      </c>
      <c r="G15" s="92">
        <f t="shared" si="7"/>
        <v>0</v>
      </c>
      <c r="H15" s="92">
        <f t="shared" si="7"/>
        <v>1834196.1232118136</v>
      </c>
      <c r="AH15" s="89" t="s">
        <v>74</v>
      </c>
      <c r="AI15" s="94" t="s">
        <v>73</v>
      </c>
    </row>
    <row r="16" spans="1:36">
      <c r="A16" s="86">
        <v>10</v>
      </c>
      <c r="B16" s="89" t="s">
        <v>75</v>
      </c>
      <c r="C16" s="95">
        <f>+C15/C9</f>
        <v>0.19651999319647925</v>
      </c>
      <c r="D16" s="95">
        <f>+D15/D9</f>
        <v>0.19663813239337741</v>
      </c>
      <c r="E16" s="95">
        <f t="shared" ref="E16:G16" si="8">+E15/E9</f>
        <v>0.24724238370468915</v>
      </c>
      <c r="F16" s="95" t="e">
        <f t="shared" si="8"/>
        <v>#DIV/0!</v>
      </c>
      <c r="G16" s="95" t="e">
        <f t="shared" si="8"/>
        <v>#DIV/0!</v>
      </c>
      <c r="H16" s="95">
        <f>+H15/H9</f>
        <v>0.21057058333660295</v>
      </c>
      <c r="AH16" s="89" t="s">
        <v>76</v>
      </c>
      <c r="AI16" s="89" t="s">
        <v>75</v>
      </c>
    </row>
    <row r="17" spans="1:36">
      <c r="A17" s="86">
        <v>11</v>
      </c>
      <c r="B17" s="89" t="s">
        <v>77</v>
      </c>
      <c r="C17" s="92">
        <f>C6*C43+C18</f>
        <v>119316</v>
      </c>
      <c r="D17" s="92">
        <f>D6*D43+D18</f>
        <v>118584</v>
      </c>
      <c r="E17" s="92">
        <f t="shared" ref="E17:G17" si="9">E6*E43+E18</f>
        <v>65659.316640000005</v>
      </c>
      <c r="F17" s="92">
        <f t="shared" si="9"/>
        <v>0</v>
      </c>
      <c r="G17" s="92">
        <f t="shared" si="9"/>
        <v>0</v>
      </c>
      <c r="H17" s="92">
        <f>+SUM(C17:G17)</f>
        <v>303559.31663999998</v>
      </c>
      <c r="I17" s="93"/>
      <c r="AH17" s="89" t="s">
        <v>78</v>
      </c>
      <c r="AI17" s="89" t="s">
        <v>77</v>
      </c>
    </row>
    <row r="18" spans="1:36" s="83" customFormat="1">
      <c r="A18" s="86">
        <v>12</v>
      </c>
      <c r="B18" s="97" t="s">
        <v>147</v>
      </c>
      <c r="C18" s="98">
        <f>$H$18/$H$6*C6</f>
        <v>0</v>
      </c>
      <c r="D18" s="98">
        <f>$H$18/$H$6*D6</f>
        <v>0</v>
      </c>
      <c r="E18" s="98">
        <f t="shared" ref="E18:G18" si="10">$H$18/$H$6*E6</f>
        <v>0</v>
      </c>
      <c r="F18" s="98">
        <f t="shared" si="10"/>
        <v>0</v>
      </c>
      <c r="G18" s="98">
        <f t="shared" si="10"/>
        <v>0</v>
      </c>
      <c r="H18" s="92">
        <f>项目投资!E26</f>
        <v>0</v>
      </c>
      <c r="I18" s="99" t="s">
        <v>148</v>
      </c>
      <c r="J18" s="99"/>
      <c r="K18" s="99"/>
    </row>
    <row r="19" spans="1:36">
      <c r="A19" s="86">
        <v>13</v>
      </c>
      <c r="B19" s="89" t="s">
        <v>79</v>
      </c>
      <c r="C19" s="92">
        <f>C6*C44</f>
        <v>27383.999999999996</v>
      </c>
      <c r="D19" s="92">
        <f>D6*D44</f>
        <v>27215.999999999996</v>
      </c>
      <c r="E19" s="92">
        <f t="shared" ref="E19:G19" si="11">E6*E44</f>
        <v>15069.351359999999</v>
      </c>
      <c r="F19" s="92">
        <f t="shared" si="11"/>
        <v>0</v>
      </c>
      <c r="G19" s="92">
        <f t="shared" si="11"/>
        <v>0</v>
      </c>
      <c r="H19" s="92">
        <f t="shared" ref="H19:H20" si="12">+SUM(C19:G19)</f>
        <v>69669.351359999986</v>
      </c>
      <c r="I19" s="83"/>
      <c r="AH19" s="89" t="s">
        <v>80</v>
      </c>
      <c r="AI19" s="89" t="s">
        <v>79</v>
      </c>
      <c r="AJ19" s="82" t="s">
        <v>53</v>
      </c>
    </row>
    <row r="20" spans="1:36">
      <c r="A20" s="86">
        <v>14</v>
      </c>
      <c r="B20" s="89" t="s">
        <v>81</v>
      </c>
      <c r="C20" s="92">
        <f>C6*C45</f>
        <v>105298</v>
      </c>
      <c r="D20" s="92">
        <f>D6*D45</f>
        <v>104652</v>
      </c>
      <c r="E20" s="92">
        <f t="shared" ref="E20:G20" si="13">E6*E45</f>
        <v>57945.243920000001</v>
      </c>
      <c r="F20" s="92">
        <f t="shared" si="13"/>
        <v>0</v>
      </c>
      <c r="G20" s="92">
        <f t="shared" si="13"/>
        <v>0</v>
      </c>
      <c r="H20" s="92">
        <f t="shared" si="12"/>
        <v>267895.24391999998</v>
      </c>
      <c r="AH20" s="89" t="s">
        <v>82</v>
      </c>
      <c r="AI20" s="89" t="s">
        <v>81</v>
      </c>
    </row>
    <row r="21" spans="1:36">
      <c r="A21" s="86">
        <v>15</v>
      </c>
      <c r="B21" s="89" t="s">
        <v>83</v>
      </c>
      <c r="C21" s="100">
        <f>$H$21/$H$6*C6</f>
        <v>500</v>
      </c>
      <c r="D21" s="100">
        <f>$H$21/$H$6*D6</f>
        <v>500</v>
      </c>
      <c r="E21" s="100">
        <f t="shared" ref="E21:G21" si="14">$H$21/$H$6*E6</f>
        <v>1000</v>
      </c>
      <c r="F21" s="100">
        <f t="shared" si="14"/>
        <v>0</v>
      </c>
      <c r="G21" s="100">
        <f t="shared" si="14"/>
        <v>0</v>
      </c>
      <c r="H21" s="92">
        <f>项目投资!E27</f>
        <v>2000</v>
      </c>
      <c r="AH21" s="89"/>
      <c r="AI21" s="89"/>
    </row>
    <row r="22" spans="1:36">
      <c r="A22" s="86">
        <v>16</v>
      </c>
      <c r="B22" s="89" t="s">
        <v>84</v>
      </c>
      <c r="C22" s="92">
        <f>C6*C47</f>
        <v>115729.99999999999</v>
      </c>
      <c r="D22" s="92">
        <f>D6*D47</f>
        <v>115020</v>
      </c>
      <c r="E22" s="92">
        <f t="shared" ref="E22:G22" si="15">E6*E47</f>
        <v>63685.949199999988</v>
      </c>
      <c r="F22" s="92">
        <f t="shared" si="15"/>
        <v>0</v>
      </c>
      <c r="G22" s="92">
        <f t="shared" si="15"/>
        <v>0</v>
      </c>
      <c r="H22" s="92">
        <f>+SUM(C22:G22)</f>
        <v>294435.94919999997</v>
      </c>
      <c r="AH22" s="89" t="s">
        <v>85</v>
      </c>
      <c r="AI22" s="89" t="s">
        <v>84</v>
      </c>
    </row>
    <row r="23" spans="1:36">
      <c r="A23" s="86">
        <v>17</v>
      </c>
      <c r="B23" s="94" t="s">
        <v>86</v>
      </c>
      <c r="C23" s="100">
        <f>+C22+C21+C20+C19+C17</f>
        <v>368228</v>
      </c>
      <c r="D23" s="100">
        <f>+D22+D21+D20+D19+D17</f>
        <v>365972</v>
      </c>
      <c r="E23" s="100">
        <f t="shared" ref="E23:G23" si="16">+E22+E21+E20+E19+E17</f>
        <v>203359.86111999999</v>
      </c>
      <c r="F23" s="100">
        <f t="shared" si="16"/>
        <v>0</v>
      </c>
      <c r="G23" s="100">
        <f t="shared" si="16"/>
        <v>0</v>
      </c>
      <c r="H23" s="100">
        <f>+H22+H21+H20+H19+H17</f>
        <v>937559.8611199999</v>
      </c>
      <c r="AH23" s="89" t="s">
        <v>87</v>
      </c>
      <c r="AI23" s="94" t="s">
        <v>86</v>
      </c>
    </row>
    <row r="24" spans="1:36">
      <c r="A24" s="86">
        <v>18</v>
      </c>
      <c r="B24" s="101" t="s">
        <v>88</v>
      </c>
      <c r="C24" s="100">
        <f>+C15-C23</f>
        <v>253207.52248590672</v>
      </c>
      <c r="D24" s="100">
        <f>+D15-D23</f>
        <v>252022.32248590654</v>
      </c>
      <c r="E24" s="100">
        <f t="shared" ref="E24:G24" si="17">+E15-E23</f>
        <v>391406.41712000023</v>
      </c>
      <c r="F24" s="100">
        <f t="shared" si="17"/>
        <v>0</v>
      </c>
      <c r="G24" s="100">
        <f t="shared" si="17"/>
        <v>0</v>
      </c>
      <c r="H24" s="100">
        <f>+H15-H23</f>
        <v>896636.26209181373</v>
      </c>
      <c r="J24" s="102"/>
      <c r="AH24" s="89" t="s">
        <v>89</v>
      </c>
      <c r="AI24" s="89" t="s">
        <v>88</v>
      </c>
    </row>
    <row r="25" spans="1:36">
      <c r="A25" s="86">
        <v>19</v>
      </c>
      <c r="B25" s="89" t="s">
        <v>277</v>
      </c>
      <c r="C25" s="100">
        <f>IF(C24&lt;0,0,C24*0.15)</f>
        <v>37981.128372886007</v>
      </c>
      <c r="D25" s="100">
        <f t="shared" ref="D25:H25" si="18">IF(D24&lt;0,0,D24*0.15)</f>
        <v>37803.348372885979</v>
      </c>
      <c r="E25" s="100">
        <f t="shared" ref="E25:G25" si="19">IF(E24&lt;0,0,E24*0.15)</f>
        <v>58710.962568000032</v>
      </c>
      <c r="F25" s="100">
        <f t="shared" si="19"/>
        <v>0</v>
      </c>
      <c r="G25" s="100">
        <f t="shared" si="19"/>
        <v>0</v>
      </c>
      <c r="H25" s="100">
        <f t="shared" si="18"/>
        <v>134495.43931377205</v>
      </c>
      <c r="I25" s="2"/>
      <c r="J25" s="2"/>
      <c r="K25" s="2"/>
      <c r="AH25" s="89" t="s">
        <v>90</v>
      </c>
      <c r="AI25" s="89" t="s">
        <v>35</v>
      </c>
    </row>
    <row r="26" spans="1:36">
      <c r="A26" s="86">
        <v>20</v>
      </c>
      <c r="B26" s="89" t="s">
        <v>91</v>
      </c>
      <c r="C26" s="100">
        <f>C24-C25</f>
        <v>215226.39411302071</v>
      </c>
      <c r="D26" s="100">
        <f>D24-D25</f>
        <v>214218.97411302055</v>
      </c>
      <c r="E26" s="100">
        <f t="shared" ref="E26:G26" si="20">E24-E25</f>
        <v>332695.45455200021</v>
      </c>
      <c r="F26" s="100">
        <f t="shared" si="20"/>
        <v>0</v>
      </c>
      <c r="G26" s="100">
        <f t="shared" si="20"/>
        <v>0</v>
      </c>
      <c r="H26" s="100">
        <f>H24-H25</f>
        <v>762140.82277804171</v>
      </c>
      <c r="I26" s="2"/>
      <c r="J26" s="2"/>
      <c r="K26" s="2"/>
      <c r="AH26" s="89" t="s">
        <v>92</v>
      </c>
      <c r="AI26" s="89" t="s">
        <v>91</v>
      </c>
    </row>
    <row r="27" spans="1:36">
      <c r="A27" s="86">
        <v>21</v>
      </c>
      <c r="B27" s="89" t="s">
        <v>95</v>
      </c>
      <c r="C27" s="103">
        <f>C26/C7</f>
        <v>6.6020366292337637E-2</v>
      </c>
      <c r="D27" s="103">
        <f>D26/D7</f>
        <v>6.61169673188335E-2</v>
      </c>
      <c r="E27" s="103">
        <f t="shared" ref="E27:G27" si="21">E26/E7</f>
        <v>0.13415139296451623</v>
      </c>
      <c r="F27" s="103" t="e">
        <f t="shared" si="21"/>
        <v>#DIV/0!</v>
      </c>
      <c r="G27" s="103" t="e">
        <f t="shared" si="21"/>
        <v>#DIV/0!</v>
      </c>
      <c r="H27" s="103">
        <f>H26/H7</f>
        <v>8.487091567684206E-2</v>
      </c>
      <c r="I27" s="2"/>
      <c r="J27" s="2"/>
      <c r="K27" s="2"/>
      <c r="AH27" s="89" t="s">
        <v>94</v>
      </c>
      <c r="AI27" s="89" t="s">
        <v>95</v>
      </c>
    </row>
    <row r="28" spans="1:36">
      <c r="I28" s="2"/>
      <c r="J28" s="2"/>
      <c r="K28" s="2"/>
    </row>
    <row r="29" spans="1:36">
      <c r="A29" s="82" t="s">
        <v>96</v>
      </c>
      <c r="H29" s="85" t="s">
        <v>149</v>
      </c>
      <c r="I29" s="2"/>
      <c r="J29" s="2"/>
      <c r="K29" s="2"/>
      <c r="AH29" s="82" t="s">
        <v>96</v>
      </c>
    </row>
    <row r="30" spans="1:36">
      <c r="A30" s="89" t="s">
        <v>97</v>
      </c>
      <c r="B30" s="94" t="s">
        <v>98</v>
      </c>
      <c r="C30" s="100"/>
      <c r="D30" s="100"/>
      <c r="E30" s="100"/>
      <c r="F30" s="100"/>
      <c r="G30" s="100"/>
      <c r="H30" s="100"/>
      <c r="I30" s="2"/>
      <c r="J30" s="2"/>
      <c r="K30" s="2"/>
      <c r="M30" s="2"/>
      <c r="AH30" s="89" t="s">
        <v>99</v>
      </c>
      <c r="AI30" s="94" t="s">
        <v>98</v>
      </c>
    </row>
    <row r="31" spans="1:36">
      <c r="A31" s="86">
        <v>1</v>
      </c>
      <c r="B31" s="97" t="s">
        <v>100</v>
      </c>
      <c r="C31" s="104">
        <f>销量!C8</f>
        <v>1630</v>
      </c>
      <c r="D31" s="104">
        <f>销量!D8</f>
        <v>1620</v>
      </c>
      <c r="E31" s="104">
        <f>销量!E8</f>
        <v>620</v>
      </c>
      <c r="F31" s="104">
        <f>销量!F8</f>
        <v>0</v>
      </c>
      <c r="G31" s="104">
        <f>销量!G8</f>
        <v>0</v>
      </c>
      <c r="H31" s="100"/>
      <c r="I31" s="2"/>
      <c r="J31" s="2"/>
      <c r="K31" s="2"/>
      <c r="M31" s="2"/>
      <c r="AH31" s="89" t="s">
        <v>55</v>
      </c>
      <c r="AI31" s="89" t="s">
        <v>100</v>
      </c>
    </row>
    <row r="32" spans="1:36">
      <c r="A32" s="86">
        <v>2</v>
      </c>
      <c r="B32" s="89" t="s">
        <v>150</v>
      </c>
      <c r="C32" s="92">
        <f>C9/C6</f>
        <v>1581.1</v>
      </c>
      <c r="D32" s="92">
        <f t="shared" ref="D32:G32" si="22">D9/D6</f>
        <v>1571.4</v>
      </c>
      <c r="E32" s="92">
        <f t="shared" si="22"/>
        <v>601.4</v>
      </c>
      <c r="F32" s="92" t="e">
        <f t="shared" si="22"/>
        <v>#DIV/0!</v>
      </c>
      <c r="G32" s="92" t="e">
        <f t="shared" si="22"/>
        <v>#DIV/0!</v>
      </c>
      <c r="H32" s="100"/>
      <c r="I32" s="2"/>
      <c r="J32" s="2"/>
      <c r="K32" s="2"/>
      <c r="L32" s="2"/>
      <c r="M32" s="2"/>
      <c r="N32" s="2"/>
      <c r="O32" s="2"/>
      <c r="AH32" s="89"/>
      <c r="AI32" s="89"/>
    </row>
    <row r="33" spans="1:35">
      <c r="A33" s="86">
        <v>3</v>
      </c>
      <c r="B33" s="97" t="s">
        <v>101</v>
      </c>
      <c r="C33" s="92">
        <f>材料成本!D25</f>
        <v>1206.1602387570467</v>
      </c>
      <c r="D33" s="92">
        <f>材料成本!E25</f>
        <v>1198.5748387570468</v>
      </c>
      <c r="E33" s="92">
        <f>材料成本!F25</f>
        <v>435.03782199999995</v>
      </c>
      <c r="F33" s="92">
        <f>材料成本!G25</f>
        <v>0</v>
      </c>
      <c r="G33" s="92">
        <f>材料成本!H25</f>
        <v>0</v>
      </c>
      <c r="H33" s="100"/>
      <c r="J33" s="2"/>
      <c r="K33" s="2"/>
      <c r="L33" s="2"/>
      <c r="M33" s="2"/>
      <c r="N33" s="2"/>
      <c r="O33" s="2"/>
      <c r="AH33" s="89" t="s">
        <v>57</v>
      </c>
      <c r="AI33" s="89" t="s">
        <v>101</v>
      </c>
    </row>
    <row r="34" spans="1:35" ht="17.25" customHeight="1">
      <c r="A34" s="86">
        <v>4</v>
      </c>
      <c r="B34" s="89" t="s">
        <v>103</v>
      </c>
      <c r="C34" s="105">
        <f>C32-C33</f>
        <v>374.93976124295318</v>
      </c>
      <c r="D34" s="105">
        <f t="shared" ref="D34:G34" si="23">D32-D33</f>
        <v>372.8251612429533</v>
      </c>
      <c r="E34" s="105">
        <f t="shared" si="23"/>
        <v>166.36217800000003</v>
      </c>
      <c r="F34" s="105" t="e">
        <f t="shared" si="23"/>
        <v>#DIV/0!</v>
      </c>
      <c r="G34" s="105" t="e">
        <f t="shared" si="23"/>
        <v>#DIV/0!</v>
      </c>
      <c r="H34" s="100"/>
      <c r="J34" s="2"/>
      <c r="K34" s="2"/>
      <c r="L34" s="2"/>
      <c r="M34" s="2"/>
      <c r="N34" s="2"/>
      <c r="O34" s="2"/>
      <c r="AH34" s="89" t="s">
        <v>102</v>
      </c>
      <c r="AI34" s="89" t="s">
        <v>103</v>
      </c>
    </row>
    <row r="35" spans="1:35">
      <c r="A35" s="89" t="s">
        <v>99</v>
      </c>
      <c r="B35" s="94" t="s">
        <v>9</v>
      </c>
      <c r="C35" s="100"/>
      <c r="D35" s="100"/>
      <c r="E35" s="100"/>
      <c r="F35" s="100"/>
      <c r="G35" s="100"/>
      <c r="H35" s="100"/>
      <c r="I35" s="2"/>
      <c r="J35" s="2"/>
      <c r="K35" s="2"/>
      <c r="L35" s="2"/>
      <c r="M35" s="2"/>
      <c r="N35" s="2"/>
      <c r="O35" s="2"/>
      <c r="P35" s="2"/>
      <c r="Q35" s="2"/>
      <c r="R35" s="2"/>
      <c r="AH35" s="89" t="s">
        <v>105</v>
      </c>
      <c r="AI35" s="94" t="s">
        <v>9</v>
      </c>
    </row>
    <row r="36" spans="1:35">
      <c r="A36" s="86">
        <v>1</v>
      </c>
      <c r="B36" s="89" t="s">
        <v>106</v>
      </c>
      <c r="C36" s="98">
        <f>'2025年'!C36</f>
        <v>20.048999999999999</v>
      </c>
      <c r="D36" s="98">
        <f>'2025年'!D36</f>
        <v>19.926000000000002</v>
      </c>
      <c r="E36" s="98">
        <f>'2025年'!E36</f>
        <v>5.5164589799999995</v>
      </c>
      <c r="F36" s="98">
        <f>'2025年'!F36</f>
        <v>0</v>
      </c>
      <c r="G36" s="98">
        <f>'2025年'!G36</f>
        <v>0</v>
      </c>
      <c r="H36" s="104"/>
      <c r="I36" s="2"/>
      <c r="J36" s="2"/>
      <c r="K36" s="2"/>
      <c r="L36" s="2"/>
      <c r="M36" s="2"/>
      <c r="N36" s="2"/>
      <c r="O36" s="2"/>
      <c r="P36" s="2"/>
      <c r="Q36" s="2"/>
      <c r="R36" s="2"/>
      <c r="AH36" s="89" t="s">
        <v>102</v>
      </c>
      <c r="AI36" s="89" t="s">
        <v>106</v>
      </c>
    </row>
    <row r="37" spans="1:35">
      <c r="A37" s="86">
        <v>2</v>
      </c>
      <c r="B37" s="89" t="s">
        <v>107</v>
      </c>
      <c r="C37" s="98">
        <f>'2025年'!C37</f>
        <v>18.093</v>
      </c>
      <c r="D37" s="98">
        <f>'2025年'!D37</f>
        <v>17.981999999999999</v>
      </c>
      <c r="E37" s="98">
        <f>'2025年'!E37</f>
        <v>4.9782678599999999</v>
      </c>
      <c r="F37" s="98">
        <f>'2025年'!F37</f>
        <v>0</v>
      </c>
      <c r="G37" s="98">
        <f>'2025年'!G37</f>
        <v>0</v>
      </c>
      <c r="H37" s="104"/>
      <c r="I37" s="2"/>
      <c r="J37" s="2"/>
      <c r="K37" s="2"/>
      <c r="L37" s="2"/>
      <c r="M37" s="2"/>
      <c r="N37" s="2"/>
      <c r="O37" s="2"/>
      <c r="P37" s="2"/>
      <c r="Q37" s="2"/>
      <c r="R37" s="2"/>
      <c r="AH37" s="89" t="s">
        <v>60</v>
      </c>
      <c r="AI37" s="89" t="s">
        <v>107</v>
      </c>
    </row>
    <row r="38" spans="1:35">
      <c r="A38" s="86">
        <v>3</v>
      </c>
      <c r="B38" s="89" t="s">
        <v>108</v>
      </c>
      <c r="C38" s="98">
        <f>'2025年'!C38</f>
        <v>26.080000000000002</v>
      </c>
      <c r="D38" s="98">
        <f>'2025年'!D38</f>
        <v>25.92</v>
      </c>
      <c r="E38" s="98">
        <f>'2025年'!E38</f>
        <v>7.1758815999999994</v>
      </c>
      <c r="F38" s="98">
        <f>'2025年'!F38</f>
        <v>0</v>
      </c>
      <c r="G38" s="98">
        <f>'2025年'!G38</f>
        <v>0</v>
      </c>
      <c r="H38" s="104"/>
      <c r="I38" s="2"/>
      <c r="J38" s="2"/>
      <c r="K38" s="2"/>
      <c r="L38" s="2"/>
      <c r="M38" s="2"/>
      <c r="N38" s="2"/>
      <c r="O38" s="2"/>
      <c r="P38" s="2"/>
      <c r="Q38" s="2"/>
      <c r="R38" s="2"/>
      <c r="AH38" s="89" t="s">
        <v>66</v>
      </c>
      <c r="AI38" s="89" t="s">
        <v>108</v>
      </c>
    </row>
    <row r="39" spans="1:35">
      <c r="A39" s="89" t="s">
        <v>105</v>
      </c>
      <c r="B39" s="94" t="s">
        <v>110</v>
      </c>
      <c r="C39" s="100"/>
      <c r="D39" s="100"/>
      <c r="E39" s="100"/>
      <c r="F39" s="100"/>
      <c r="G39" s="100"/>
      <c r="H39" s="100"/>
      <c r="AH39" s="89" t="s">
        <v>109</v>
      </c>
      <c r="AI39" s="94" t="s">
        <v>110</v>
      </c>
    </row>
    <row r="40" spans="1:35">
      <c r="A40" s="86">
        <v>1</v>
      </c>
      <c r="B40" s="89" t="s">
        <v>111</v>
      </c>
      <c r="C40" s="100">
        <f>C34-C36-C37-C38</f>
        <v>310.7177612429532</v>
      </c>
      <c r="D40" s="100">
        <f>D34-D36-D37-D38</f>
        <v>308.99716124295327</v>
      </c>
      <c r="E40" s="100">
        <f t="shared" ref="E40:G40" si="24">E34-E36-E37-E38</f>
        <v>148.69156956000003</v>
      </c>
      <c r="F40" s="100" t="e">
        <f t="shared" si="24"/>
        <v>#DIV/0!</v>
      </c>
      <c r="G40" s="100" t="e">
        <f t="shared" si="24"/>
        <v>#DIV/0!</v>
      </c>
      <c r="H40" s="100"/>
      <c r="AH40" s="89" t="s">
        <v>55</v>
      </c>
      <c r="AI40" s="89" t="s">
        <v>111</v>
      </c>
    </row>
    <row r="41" spans="1:35">
      <c r="A41" s="86">
        <v>2</v>
      </c>
      <c r="B41" s="89" t="s">
        <v>112</v>
      </c>
      <c r="C41" s="100"/>
      <c r="D41" s="100"/>
      <c r="E41" s="100"/>
      <c r="F41" s="100"/>
      <c r="G41" s="100"/>
      <c r="H41" s="100"/>
      <c r="AH41" s="89" t="s">
        <v>57</v>
      </c>
      <c r="AI41" s="89" t="s">
        <v>112</v>
      </c>
    </row>
    <row r="42" spans="1:35">
      <c r="A42" s="89" t="s">
        <v>109</v>
      </c>
      <c r="B42" s="94" t="s">
        <v>114</v>
      </c>
      <c r="C42" s="100"/>
      <c r="D42" s="100"/>
      <c r="E42" s="100"/>
      <c r="F42" s="100"/>
      <c r="G42" s="100"/>
      <c r="H42" s="100"/>
      <c r="AH42" s="89" t="s">
        <v>113</v>
      </c>
      <c r="AI42" s="94" t="s">
        <v>114</v>
      </c>
    </row>
    <row r="43" spans="1:35">
      <c r="A43" s="86">
        <v>1</v>
      </c>
      <c r="B43" s="101" t="s">
        <v>115</v>
      </c>
      <c r="C43" s="98">
        <f>'2025年'!C43</f>
        <v>59.658000000000001</v>
      </c>
      <c r="D43" s="98">
        <f>'2025年'!D43</f>
        <v>59.292000000000002</v>
      </c>
      <c r="E43" s="98">
        <f>'2025年'!E43</f>
        <v>16.41482916</v>
      </c>
      <c r="F43" s="98">
        <f>'2025年'!F43</f>
        <v>0</v>
      </c>
      <c r="G43" s="98">
        <f>'2025年'!G43</f>
        <v>0</v>
      </c>
      <c r="H43" s="100"/>
      <c r="AH43" s="89" t="s">
        <v>55</v>
      </c>
      <c r="AI43" s="89" t="s">
        <v>115</v>
      </c>
    </row>
    <row r="44" spans="1:35">
      <c r="A44" s="86">
        <v>2</v>
      </c>
      <c r="B44" s="101" t="s">
        <v>116</v>
      </c>
      <c r="C44" s="98">
        <f>'2025年'!C44</f>
        <v>13.691999999999998</v>
      </c>
      <c r="D44" s="98">
        <f>'2025年'!D44</f>
        <v>13.607999999999999</v>
      </c>
      <c r="E44" s="98">
        <f>'2025年'!E44</f>
        <v>3.7673378399999997</v>
      </c>
      <c r="F44" s="98">
        <f>'2025年'!F44</f>
        <v>0</v>
      </c>
      <c r="G44" s="98">
        <f>'2025年'!G44</f>
        <v>0</v>
      </c>
      <c r="H44" s="100"/>
      <c r="AH44" s="89" t="s">
        <v>57</v>
      </c>
      <c r="AI44" s="89" t="s">
        <v>116</v>
      </c>
    </row>
    <row r="45" spans="1:35">
      <c r="A45" s="86">
        <v>3</v>
      </c>
      <c r="B45" s="101" t="s">
        <v>117</v>
      </c>
      <c r="C45" s="98">
        <f>'2025年'!C45</f>
        <v>52.649000000000001</v>
      </c>
      <c r="D45" s="98">
        <f>'2025年'!D45</f>
        <v>52.326000000000001</v>
      </c>
      <c r="E45" s="98">
        <f>'2025年'!E45</f>
        <v>14.486310980000001</v>
      </c>
      <c r="F45" s="98">
        <f>'2025年'!F45</f>
        <v>0</v>
      </c>
      <c r="G45" s="98">
        <f>'2025年'!G45</f>
        <v>0</v>
      </c>
      <c r="H45" s="100"/>
      <c r="AH45" s="89" t="s">
        <v>102</v>
      </c>
      <c r="AI45" s="89" t="s">
        <v>117</v>
      </c>
    </row>
    <row r="46" spans="1:35" s="84" customFormat="1">
      <c r="A46" s="86">
        <v>4</v>
      </c>
      <c r="B46" s="101" t="s">
        <v>118</v>
      </c>
      <c r="C46" s="106">
        <f>C21/C6</f>
        <v>0.25</v>
      </c>
      <c r="D46" s="106">
        <f>D21/D6</f>
        <v>0.25</v>
      </c>
      <c r="E46" s="106">
        <f t="shared" ref="E46:G46" si="25">E21/E6</f>
        <v>0.25</v>
      </c>
      <c r="F46" s="106" t="e">
        <f t="shared" si="25"/>
        <v>#DIV/0!</v>
      </c>
      <c r="G46" s="106" t="e">
        <f t="shared" si="25"/>
        <v>#DIV/0!</v>
      </c>
      <c r="H46" s="106"/>
      <c r="AH46" s="101" t="s">
        <v>62</v>
      </c>
      <c r="AI46" s="101" t="s">
        <v>120</v>
      </c>
    </row>
    <row r="47" spans="1:35" s="84" customFormat="1">
      <c r="A47" s="86">
        <v>5</v>
      </c>
      <c r="B47" s="101" t="s">
        <v>120</v>
      </c>
      <c r="C47" s="98">
        <f>'2025年'!C47</f>
        <v>57.864999999999995</v>
      </c>
      <c r="D47" s="98">
        <f>'2025年'!D47</f>
        <v>57.51</v>
      </c>
      <c r="E47" s="98">
        <f>'2025年'!E47</f>
        <v>15.921487299999997</v>
      </c>
      <c r="F47" s="98">
        <f>'2025年'!F47</f>
        <v>0</v>
      </c>
      <c r="G47" s="98">
        <f>'2025年'!G47</f>
        <v>0</v>
      </c>
      <c r="H47" s="106"/>
      <c r="AH47" s="101" t="s">
        <v>62</v>
      </c>
      <c r="AI47" s="101" t="s">
        <v>120</v>
      </c>
    </row>
    <row r="48" spans="1:35">
      <c r="A48" s="89" t="s">
        <v>113</v>
      </c>
      <c r="B48" s="94" t="s">
        <v>131</v>
      </c>
      <c r="C48" s="100">
        <f>C40-C43-C44-C45-C47-C46</f>
        <v>126.60376124295318</v>
      </c>
      <c r="D48" s="100">
        <f>D40-D43-D44-D45-D47-D46</f>
        <v>126.01116124295328</v>
      </c>
      <c r="E48" s="100">
        <f t="shared" ref="E48:G48" si="26">E40-E43-E44-E45-E47-E46</f>
        <v>97.851604280000018</v>
      </c>
      <c r="F48" s="100" t="e">
        <f t="shared" si="26"/>
        <v>#DIV/0!</v>
      </c>
      <c r="G48" s="100" t="e">
        <f t="shared" si="26"/>
        <v>#DIV/0!</v>
      </c>
      <c r="H48" s="100"/>
      <c r="AH48" s="89" t="s">
        <v>130</v>
      </c>
      <c r="AI48" s="94" t="s">
        <v>131</v>
      </c>
    </row>
    <row r="51" spans="2:13">
      <c r="C51" s="107"/>
      <c r="D51" s="107"/>
      <c r="E51" s="107"/>
      <c r="F51" s="107"/>
      <c r="G51" s="107"/>
    </row>
    <row r="54" spans="2:13">
      <c r="B54" s="2"/>
      <c r="C54" s="108"/>
      <c r="D54" s="108"/>
      <c r="E54" s="108"/>
      <c r="F54" s="108"/>
      <c r="G54" s="108"/>
      <c r="H54" s="108"/>
      <c r="I54" s="2"/>
      <c r="J54" s="2"/>
      <c r="K54" s="2"/>
      <c r="L54" s="2"/>
      <c r="M54" s="2"/>
    </row>
    <row r="55" spans="2:13">
      <c r="B55" s="2"/>
      <c r="C55" s="108"/>
      <c r="D55" s="108"/>
      <c r="E55" s="108"/>
      <c r="F55" s="108"/>
      <c r="G55" s="108"/>
      <c r="H55" s="108"/>
      <c r="I55" s="2"/>
      <c r="J55" s="2"/>
      <c r="K55" s="2"/>
      <c r="L55" s="2"/>
      <c r="M55" s="2"/>
    </row>
    <row r="56" spans="2:13">
      <c r="B56" s="2"/>
      <c r="C56" s="108"/>
      <c r="D56" s="108"/>
      <c r="E56" s="108"/>
      <c r="F56" s="108"/>
      <c r="G56" s="108"/>
      <c r="H56" s="108"/>
      <c r="I56" s="2"/>
      <c r="J56" s="2"/>
      <c r="K56" s="2"/>
      <c r="L56" s="2"/>
      <c r="M56" s="2"/>
    </row>
    <row r="57" spans="2:13">
      <c r="B57" s="2"/>
      <c r="C57" s="108"/>
      <c r="D57" s="108"/>
      <c r="E57" s="108"/>
      <c r="F57" s="108"/>
      <c r="G57" s="108"/>
      <c r="H57" s="108"/>
      <c r="I57" s="2"/>
      <c r="J57" s="2"/>
      <c r="K57" s="2"/>
      <c r="L57" s="2"/>
      <c r="M57" s="2"/>
    </row>
    <row r="58" spans="2:13">
      <c r="B58" s="2"/>
      <c r="C58" s="108"/>
      <c r="D58" s="108"/>
      <c r="E58" s="108"/>
      <c r="F58" s="108"/>
      <c r="G58" s="108"/>
      <c r="H58" s="108"/>
      <c r="I58" s="2"/>
      <c r="J58" s="2"/>
      <c r="K58" s="2"/>
      <c r="L58" s="2"/>
      <c r="M58" s="2"/>
    </row>
    <row r="59" spans="2:13">
      <c r="B59" s="2"/>
      <c r="C59" s="108"/>
      <c r="D59" s="108"/>
      <c r="E59" s="108"/>
      <c r="F59" s="108"/>
      <c r="G59" s="108"/>
      <c r="H59" s="108"/>
      <c r="I59" s="2"/>
      <c r="J59" s="2"/>
      <c r="K59" s="2"/>
      <c r="L59" s="2"/>
      <c r="M59" s="2"/>
    </row>
    <row r="60" spans="2:13">
      <c r="B60" s="2"/>
      <c r="C60" s="108"/>
      <c r="D60" s="108"/>
      <c r="E60" s="108"/>
      <c r="F60" s="108"/>
      <c r="G60" s="108"/>
      <c r="H60" s="108"/>
      <c r="I60" s="2"/>
      <c r="J60" s="2"/>
      <c r="K60" s="2"/>
      <c r="L60" s="2"/>
      <c r="M60" s="2"/>
    </row>
    <row r="61" spans="2:13">
      <c r="B61" s="2"/>
      <c r="C61" s="108"/>
      <c r="D61" s="108"/>
      <c r="E61" s="108"/>
      <c r="F61" s="108"/>
      <c r="G61" s="108"/>
      <c r="H61" s="108"/>
      <c r="I61" s="2"/>
      <c r="J61" s="2"/>
      <c r="K61" s="2"/>
      <c r="L61" s="2"/>
      <c r="M61" s="2"/>
    </row>
    <row r="62" spans="2:13">
      <c r="B62" s="2"/>
      <c r="C62" s="108"/>
      <c r="D62" s="108"/>
      <c r="E62" s="108"/>
      <c r="F62" s="108"/>
      <c r="G62" s="108"/>
      <c r="H62" s="108"/>
      <c r="I62" s="2"/>
      <c r="J62" s="2"/>
      <c r="K62" s="2"/>
      <c r="L62" s="2"/>
      <c r="M62" s="2"/>
    </row>
    <row r="63" spans="2:13">
      <c r="B63" s="2"/>
      <c r="C63" s="108"/>
      <c r="D63" s="108"/>
      <c r="E63" s="108"/>
      <c r="F63" s="108"/>
      <c r="G63" s="108"/>
      <c r="H63" s="108"/>
      <c r="I63" s="2"/>
      <c r="J63" s="2"/>
      <c r="K63" s="2"/>
      <c r="L63" s="2"/>
      <c r="M63" s="2"/>
    </row>
    <row r="64" spans="2:13">
      <c r="B64" s="2"/>
      <c r="C64" s="108"/>
      <c r="D64" s="108"/>
      <c r="E64" s="108"/>
      <c r="F64" s="108"/>
      <c r="G64" s="108"/>
      <c r="H64" s="108"/>
      <c r="I64" s="2"/>
      <c r="J64" s="2"/>
      <c r="K64" s="2"/>
      <c r="L64" s="2"/>
      <c r="M64" s="2"/>
    </row>
    <row r="65" spans="2:13">
      <c r="B65" s="2"/>
      <c r="C65" s="108"/>
      <c r="D65" s="108"/>
      <c r="E65" s="108"/>
      <c r="F65" s="108"/>
      <c r="G65" s="108"/>
      <c r="H65" s="108"/>
      <c r="I65" s="2"/>
      <c r="J65" s="2"/>
      <c r="K65" s="2"/>
      <c r="L65" s="2"/>
      <c r="M65" s="2"/>
    </row>
    <row r="66" spans="2:13">
      <c r="B66" s="2"/>
      <c r="C66" s="108"/>
      <c r="D66" s="108"/>
      <c r="E66" s="108"/>
      <c r="F66" s="108"/>
      <c r="G66" s="108"/>
      <c r="H66" s="108"/>
      <c r="I66" s="2"/>
      <c r="J66" s="2"/>
      <c r="K66" s="2"/>
      <c r="L66" s="2"/>
      <c r="M66" s="2"/>
    </row>
    <row r="67" spans="2:13">
      <c r="B67" s="2"/>
      <c r="C67" s="108"/>
      <c r="D67" s="108"/>
      <c r="E67" s="108"/>
      <c r="F67" s="108"/>
      <c r="G67" s="108"/>
      <c r="H67" s="108"/>
      <c r="I67" s="2"/>
    </row>
    <row r="68" spans="2:13">
      <c r="B68" s="2"/>
      <c r="C68" s="108"/>
      <c r="D68" s="108"/>
      <c r="E68" s="108"/>
      <c r="F68" s="108"/>
      <c r="G68" s="108"/>
      <c r="H68" s="108"/>
      <c r="I68" s="2"/>
    </row>
    <row r="69" spans="2:13">
      <c r="B69" s="2"/>
      <c r="C69" s="108"/>
      <c r="D69" s="108"/>
      <c r="E69" s="108"/>
      <c r="F69" s="108"/>
      <c r="G69" s="108"/>
      <c r="H69" s="108"/>
      <c r="I69" s="2"/>
    </row>
    <row r="70" spans="2:13">
      <c r="B70" s="2"/>
      <c r="C70" s="108"/>
      <c r="D70" s="108"/>
      <c r="E70" s="108"/>
      <c r="F70" s="108"/>
      <c r="G70" s="108"/>
      <c r="H70" s="108"/>
      <c r="I70" s="2"/>
    </row>
    <row r="71" spans="2:13">
      <c r="B71" s="2"/>
      <c r="C71" s="108"/>
      <c r="D71" s="108"/>
      <c r="E71" s="108"/>
      <c r="F71" s="108"/>
      <c r="G71" s="108"/>
      <c r="H71" s="108"/>
      <c r="I71" s="2"/>
    </row>
    <row r="72" spans="2:13">
      <c r="B72" s="2"/>
      <c r="C72" s="108"/>
      <c r="D72" s="108"/>
      <c r="E72" s="108"/>
      <c r="F72" s="108"/>
      <c r="G72" s="108"/>
      <c r="H72" s="108"/>
      <c r="I72" s="2"/>
    </row>
    <row r="73" spans="2:13">
      <c r="B73" s="2"/>
      <c r="C73" s="108"/>
      <c r="D73" s="108"/>
      <c r="E73" s="108"/>
      <c r="F73" s="108"/>
      <c r="G73" s="108"/>
      <c r="H73" s="108"/>
      <c r="I73" s="2"/>
    </row>
    <row r="74" spans="2:13">
      <c r="B74" s="2"/>
      <c r="C74" s="108"/>
      <c r="D74" s="108"/>
      <c r="E74" s="108"/>
      <c r="F74" s="108"/>
      <c r="G74" s="108"/>
      <c r="H74" s="108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C8" sqref="C8"/>
    </sheetView>
  </sheetViews>
  <sheetFormatPr defaultColWidth="9" defaultRowHeight="16.5"/>
  <cols>
    <col min="1" max="1" width="5.125" style="82" customWidth="1"/>
    <col min="2" max="2" width="17.5" style="82" customWidth="1"/>
    <col min="3" max="3" width="15.375" style="85" customWidth="1"/>
    <col min="4" max="7" width="14.375" style="85" customWidth="1"/>
    <col min="8" max="8" width="18.75" style="85" customWidth="1"/>
    <col min="9" max="9" width="12.375" style="82" customWidth="1"/>
    <col min="10" max="10" width="10.125" style="82" customWidth="1"/>
    <col min="11" max="17" width="9" style="82" customWidth="1"/>
    <col min="18" max="33" width="9" style="82"/>
    <col min="34" max="34" width="4.375" style="82" customWidth="1"/>
    <col min="35" max="35" width="13.875" style="82" customWidth="1"/>
    <col min="36" max="16384" width="9" style="82"/>
  </cols>
  <sheetData>
    <row r="1" spans="1:36">
      <c r="A1" s="206" t="s">
        <v>141</v>
      </c>
      <c r="B1" s="206"/>
      <c r="C1" s="210" t="s">
        <v>265</v>
      </c>
      <c r="D1" s="211"/>
      <c r="E1" s="211"/>
      <c r="F1" s="211"/>
      <c r="G1" s="211"/>
      <c r="H1" s="212"/>
    </row>
    <row r="2" spans="1:36">
      <c r="A2" s="206" t="s">
        <v>142</v>
      </c>
      <c r="B2" s="206"/>
      <c r="C2" s="213" t="str">
        <f>'2025年'!$C$2</f>
        <v>一汽解放汽车有限公司</v>
      </c>
      <c r="D2" s="213"/>
      <c r="E2" s="213"/>
      <c r="F2" s="213"/>
      <c r="G2" s="213"/>
      <c r="H2" s="213"/>
    </row>
    <row r="3" spans="1:36">
      <c r="A3" s="206" t="s">
        <v>143</v>
      </c>
      <c r="B3" s="206"/>
      <c r="C3" s="87" t="str">
        <f>'2025年'!C3</f>
        <v>驾驶员总成</v>
      </c>
      <c r="D3" s="87" t="str">
        <f>'2025年'!D3</f>
        <v>驾驶员总成</v>
      </c>
      <c r="E3" s="87" t="str">
        <f>'2025年'!E3</f>
        <v>前座总成</v>
      </c>
      <c r="F3" s="87">
        <f>'2025年'!F3</f>
        <v>0</v>
      </c>
      <c r="G3" s="87">
        <f>'2025年'!G3</f>
        <v>0</v>
      </c>
      <c r="H3" s="207" t="s">
        <v>51</v>
      </c>
    </row>
    <row r="4" spans="1:36">
      <c r="A4" s="206" t="s">
        <v>144</v>
      </c>
      <c r="B4" s="206"/>
      <c r="C4" s="87" t="str">
        <f>'2025年'!C4</f>
        <v>6800010MH13J/A</v>
      </c>
      <c r="D4" s="87" t="str">
        <f>'2025年'!D4</f>
        <v>6800010NH13J/A</v>
      </c>
      <c r="E4" s="87" t="str">
        <f>'2025年'!E4</f>
        <v>6900010TH13J/A</v>
      </c>
      <c r="F4" s="87">
        <f>'2025年'!F4</f>
        <v>0</v>
      </c>
      <c r="G4" s="87">
        <f>'2025年'!G4</f>
        <v>0</v>
      </c>
      <c r="H4" s="208"/>
    </row>
    <row r="5" spans="1:36" ht="42.75">
      <c r="A5" s="206" t="s">
        <v>145</v>
      </c>
      <c r="B5" s="206"/>
      <c r="C5" s="88" t="str">
        <f>'2025年'!C5</f>
        <v>可变阻尼、高度调节、单扶手、三点式安全带、</v>
      </c>
      <c r="D5" s="88" t="str">
        <f>'2025年'!D5</f>
        <v>可变阻尼、高度调节、单扶手、三点式安全带、联管螺母</v>
      </c>
      <c r="E5" s="88" t="str">
        <f>'2025年'!E5</f>
        <v>管梁副驾带安全带</v>
      </c>
      <c r="F5" s="88">
        <f>'2025年'!F5</f>
        <v>0</v>
      </c>
      <c r="G5" s="88">
        <f>'2025年'!G5</f>
        <v>0</v>
      </c>
      <c r="H5" s="209"/>
      <c r="AJ5" s="82" t="s">
        <v>52</v>
      </c>
    </row>
    <row r="6" spans="1:36">
      <c r="A6" s="89" t="s">
        <v>18</v>
      </c>
      <c r="B6" s="90" t="s">
        <v>146</v>
      </c>
      <c r="C6" s="91">
        <f>销量!C11</f>
        <v>2000</v>
      </c>
      <c r="D6" s="91">
        <f>销量!D11</f>
        <v>2000</v>
      </c>
      <c r="E6" s="91">
        <f>销量!E11</f>
        <v>4000</v>
      </c>
      <c r="F6" s="91">
        <f>销量!F11</f>
        <v>0</v>
      </c>
      <c r="G6" s="91">
        <f>销量!G11</f>
        <v>0</v>
      </c>
      <c r="H6" s="92">
        <f>+SUM(C6:G6)</f>
        <v>8000</v>
      </c>
      <c r="AH6" s="89" t="s">
        <v>18</v>
      </c>
      <c r="AI6" s="90" t="s">
        <v>3</v>
      </c>
      <c r="AJ6" s="82" t="s">
        <v>53</v>
      </c>
    </row>
    <row r="7" spans="1:36">
      <c r="A7" s="86">
        <v>1</v>
      </c>
      <c r="B7" s="90" t="s">
        <v>54</v>
      </c>
      <c r="C7" s="92">
        <f>C6*销量!C8</f>
        <v>3260000</v>
      </c>
      <c r="D7" s="92">
        <f>D6*销量!D8</f>
        <v>3240000</v>
      </c>
      <c r="E7" s="92">
        <f>E6*销量!E8</f>
        <v>2480000</v>
      </c>
      <c r="F7" s="92">
        <f>F6*销量!F8</f>
        <v>0</v>
      </c>
      <c r="G7" s="92">
        <f>G6*销量!G8</f>
        <v>0</v>
      </c>
      <c r="H7" s="92">
        <f t="shared" ref="H7:H13" si="0">+SUM(C7:G7)</f>
        <v>8980000</v>
      </c>
      <c r="I7" s="85"/>
      <c r="AH7" s="89" t="s">
        <v>55</v>
      </c>
      <c r="AI7" s="90" t="s">
        <v>54</v>
      </c>
      <c r="AJ7" s="82" t="s">
        <v>53</v>
      </c>
    </row>
    <row r="8" spans="1:36">
      <c r="A8" s="86">
        <v>2</v>
      </c>
      <c r="B8" s="86" t="s">
        <v>56</v>
      </c>
      <c r="C8" s="92">
        <f>C7*(1-销量!$K$8)</f>
        <v>192665.99999999977</v>
      </c>
      <c r="D8" s="92">
        <f>D7*(1-销量!$K$8)</f>
        <v>191483.99999999977</v>
      </c>
      <c r="E8" s="92">
        <f>E7*(1-销量!$K$8)</f>
        <v>146567.99999999983</v>
      </c>
      <c r="F8" s="92">
        <f>F7*(1-销量!$K$8)</f>
        <v>0</v>
      </c>
      <c r="G8" s="92">
        <f>G7*(1-销量!$K$8)</f>
        <v>0</v>
      </c>
      <c r="H8" s="92">
        <f t="shared" si="0"/>
        <v>530717.9999999993</v>
      </c>
      <c r="I8" s="93"/>
      <c r="AH8" s="89" t="s">
        <v>57</v>
      </c>
      <c r="AI8" s="86" t="s">
        <v>58</v>
      </c>
      <c r="AJ8" s="82" t="s">
        <v>53</v>
      </c>
    </row>
    <row r="9" spans="1:36">
      <c r="A9" s="86">
        <v>3</v>
      </c>
      <c r="B9" s="90" t="s">
        <v>59</v>
      </c>
      <c r="C9" s="92">
        <f>+C7-C8</f>
        <v>3067334</v>
      </c>
      <c r="D9" s="92">
        <f>+D7-D8</f>
        <v>3048516</v>
      </c>
      <c r="E9" s="92">
        <f t="shared" ref="E9:G9" si="1">+E7-E8</f>
        <v>2333432</v>
      </c>
      <c r="F9" s="92">
        <f t="shared" si="1"/>
        <v>0</v>
      </c>
      <c r="G9" s="92">
        <f t="shared" si="1"/>
        <v>0</v>
      </c>
      <c r="H9" s="92">
        <f t="shared" si="0"/>
        <v>8449282</v>
      </c>
      <c r="AH9" s="89" t="s">
        <v>60</v>
      </c>
      <c r="AI9" s="90" t="s">
        <v>59</v>
      </c>
      <c r="AJ9" s="82" t="s">
        <v>61</v>
      </c>
    </row>
    <row r="10" spans="1:36">
      <c r="A10" s="86">
        <v>4</v>
      </c>
      <c r="B10" s="89" t="s">
        <v>63</v>
      </c>
      <c r="C10" s="92">
        <f>C6*C33</f>
        <v>2412320.4775140933</v>
      </c>
      <c r="D10" s="92">
        <f>D6*D33</f>
        <v>2397149.6775140935</v>
      </c>
      <c r="E10" s="92">
        <f t="shared" ref="E10:G10" si="2">E6*E33</f>
        <v>1740151.2879999997</v>
      </c>
      <c r="F10" s="92">
        <f t="shared" si="2"/>
        <v>0</v>
      </c>
      <c r="G10" s="92">
        <f t="shared" si="2"/>
        <v>0</v>
      </c>
      <c r="H10" s="92">
        <f t="shared" si="0"/>
        <v>6549621.4430281864</v>
      </c>
      <c r="AH10" s="89" t="s">
        <v>62</v>
      </c>
      <c r="AI10" s="89" t="s">
        <v>63</v>
      </c>
      <c r="AJ10" s="82" t="s">
        <v>64</v>
      </c>
    </row>
    <row r="11" spans="1:36">
      <c r="A11" s="86">
        <v>5</v>
      </c>
      <c r="B11" s="89" t="s">
        <v>65</v>
      </c>
      <c r="C11" s="92">
        <f>+C6*C36</f>
        <v>40098</v>
      </c>
      <c r="D11" s="92">
        <f>+D6*D36</f>
        <v>39852.000000000007</v>
      </c>
      <c r="E11" s="92">
        <f t="shared" ref="E11:G11" si="3">+E6*E36</f>
        <v>22065.835919999998</v>
      </c>
      <c r="F11" s="92">
        <f t="shared" si="3"/>
        <v>0</v>
      </c>
      <c r="G11" s="92">
        <f t="shared" si="3"/>
        <v>0</v>
      </c>
      <c r="H11" s="92">
        <f t="shared" si="0"/>
        <v>102015.83592</v>
      </c>
      <c r="AH11" s="89" t="s">
        <v>66</v>
      </c>
      <c r="AI11" s="89" t="s">
        <v>65</v>
      </c>
    </row>
    <row r="12" spans="1:36">
      <c r="A12" s="86">
        <v>6</v>
      </c>
      <c r="B12" s="89" t="s">
        <v>67</v>
      </c>
      <c r="C12" s="92">
        <f>+C6*C37</f>
        <v>36186</v>
      </c>
      <c r="D12" s="92">
        <f>+D6*D37</f>
        <v>35964</v>
      </c>
      <c r="E12" s="92">
        <f t="shared" ref="E12:G12" si="4">+E6*E37</f>
        <v>19913.07144</v>
      </c>
      <c r="F12" s="92">
        <f t="shared" si="4"/>
        <v>0</v>
      </c>
      <c r="G12" s="92">
        <f t="shared" si="4"/>
        <v>0</v>
      </c>
      <c r="H12" s="92">
        <f t="shared" si="0"/>
        <v>92063.07144</v>
      </c>
      <c r="AH12" s="89" t="s">
        <v>68</v>
      </c>
      <c r="AI12" s="89" t="s">
        <v>67</v>
      </c>
    </row>
    <row r="13" spans="1:36">
      <c r="A13" s="86">
        <v>7</v>
      </c>
      <c r="B13" s="89" t="s">
        <v>69</v>
      </c>
      <c r="C13" s="92">
        <f>+C6*C38</f>
        <v>52160.000000000007</v>
      </c>
      <c r="D13" s="92">
        <f>+D6*D38</f>
        <v>51840</v>
      </c>
      <c r="E13" s="92">
        <f t="shared" ref="E13:G13" si="5">+E6*E38</f>
        <v>28703.526399999999</v>
      </c>
      <c r="F13" s="92">
        <f t="shared" si="5"/>
        <v>0</v>
      </c>
      <c r="G13" s="92">
        <f t="shared" si="5"/>
        <v>0</v>
      </c>
      <c r="H13" s="92">
        <f t="shared" si="0"/>
        <v>132703.5264</v>
      </c>
      <c r="AH13" s="89" t="s">
        <v>70</v>
      </c>
      <c r="AI13" s="89" t="s">
        <v>69</v>
      </c>
      <c r="AJ13" s="82" t="s">
        <v>53</v>
      </c>
    </row>
    <row r="14" spans="1:36">
      <c r="A14" s="86">
        <v>8</v>
      </c>
      <c r="B14" s="94" t="s">
        <v>71</v>
      </c>
      <c r="C14" s="92">
        <f>SUM(C11:C13)</f>
        <v>128444</v>
      </c>
      <c r="D14" s="92">
        <f>SUM(D11:D13)</f>
        <v>127656</v>
      </c>
      <c r="E14" s="92">
        <f t="shared" ref="E14:H14" si="6">SUM(E11:E13)</f>
        <v>70682.43376</v>
      </c>
      <c r="F14" s="92">
        <f t="shared" si="6"/>
        <v>0</v>
      </c>
      <c r="G14" s="92">
        <f t="shared" si="6"/>
        <v>0</v>
      </c>
      <c r="H14" s="92">
        <f t="shared" si="6"/>
        <v>326782.43376000004</v>
      </c>
      <c r="AH14" s="89" t="s">
        <v>72</v>
      </c>
      <c r="AI14" s="94" t="s">
        <v>71</v>
      </c>
    </row>
    <row r="15" spans="1:36">
      <c r="A15" s="86">
        <v>9</v>
      </c>
      <c r="B15" s="94" t="s">
        <v>73</v>
      </c>
      <c r="C15" s="92">
        <f>+C9-C10-C14</f>
        <v>526569.52248590672</v>
      </c>
      <c r="D15" s="92">
        <f>+D9-D10-D14</f>
        <v>523710.32248590654</v>
      </c>
      <c r="E15" s="92">
        <f t="shared" ref="E15:H15" si="7">+E9-E10-E14</f>
        <v>522598.27824000031</v>
      </c>
      <c r="F15" s="92">
        <f t="shared" si="7"/>
        <v>0</v>
      </c>
      <c r="G15" s="92">
        <f t="shared" si="7"/>
        <v>0</v>
      </c>
      <c r="H15" s="92">
        <f t="shared" si="7"/>
        <v>1572878.1232118136</v>
      </c>
      <c r="AH15" s="89" t="s">
        <v>74</v>
      </c>
      <c r="AI15" s="94" t="s">
        <v>73</v>
      </c>
    </row>
    <row r="16" spans="1:36">
      <c r="A16" s="86">
        <v>10</v>
      </c>
      <c r="B16" s="89" t="s">
        <v>75</v>
      </c>
      <c r="C16" s="95">
        <f>+C15/C9</f>
        <v>0.17167009607884459</v>
      </c>
      <c r="D16" s="95">
        <f>+D15/D9</f>
        <v>0.17179188906533754</v>
      </c>
      <c r="E16" s="95">
        <f t="shared" ref="E16:G16" si="8">+E15/E9</f>
        <v>0.22396122031411256</v>
      </c>
      <c r="F16" s="95" t="e">
        <f t="shared" si="8"/>
        <v>#DIV/0!</v>
      </c>
      <c r="G16" s="95" t="e">
        <f t="shared" si="8"/>
        <v>#DIV/0!</v>
      </c>
      <c r="H16" s="95">
        <f>+H15/H9</f>
        <v>0.1861552405531989</v>
      </c>
      <c r="AH16" s="89" t="s">
        <v>76</v>
      </c>
      <c r="AI16" s="89" t="s">
        <v>75</v>
      </c>
    </row>
    <row r="17" spans="1:36">
      <c r="A17" s="86">
        <v>11</v>
      </c>
      <c r="B17" s="89" t="s">
        <v>77</v>
      </c>
      <c r="C17" s="92">
        <f>C6*C43+C18</f>
        <v>119316</v>
      </c>
      <c r="D17" s="92">
        <f>D6*D43+D18</f>
        <v>118584</v>
      </c>
      <c r="E17" s="92">
        <f t="shared" ref="E17:G17" si="9">E6*E43+E18</f>
        <v>65659.316640000005</v>
      </c>
      <c r="F17" s="92">
        <f t="shared" si="9"/>
        <v>0</v>
      </c>
      <c r="G17" s="92">
        <f t="shared" si="9"/>
        <v>0</v>
      </c>
      <c r="H17" s="92">
        <f>+SUM(C17:G17)</f>
        <v>303559.31663999998</v>
      </c>
      <c r="I17" s="93"/>
      <c r="AH17" s="89" t="s">
        <v>78</v>
      </c>
      <c r="AI17" s="89" t="s">
        <v>77</v>
      </c>
    </row>
    <row r="18" spans="1:36" s="83" customFormat="1">
      <c r="A18" s="86">
        <v>12</v>
      </c>
      <c r="B18" s="97" t="s">
        <v>147</v>
      </c>
      <c r="C18" s="98">
        <f>$H$18/$H$6*C6</f>
        <v>0</v>
      </c>
      <c r="D18" s="98">
        <f>$H$18/$H$6*D6</f>
        <v>0</v>
      </c>
      <c r="E18" s="98">
        <f t="shared" ref="E18:G18" si="10">$H$18/$H$6*E6</f>
        <v>0</v>
      </c>
      <c r="F18" s="98">
        <f t="shared" si="10"/>
        <v>0</v>
      </c>
      <c r="G18" s="98">
        <f t="shared" si="10"/>
        <v>0</v>
      </c>
      <c r="H18" s="92">
        <f>项目投资!F26</f>
        <v>0</v>
      </c>
      <c r="I18" s="99" t="s">
        <v>148</v>
      </c>
      <c r="J18" s="99"/>
      <c r="K18" s="99"/>
    </row>
    <row r="19" spans="1:36">
      <c r="A19" s="86">
        <v>13</v>
      </c>
      <c r="B19" s="89" t="s">
        <v>79</v>
      </c>
      <c r="C19" s="92">
        <f>C6*C44</f>
        <v>27383.999999999996</v>
      </c>
      <c r="D19" s="92">
        <f>D6*D44</f>
        <v>27215.999999999996</v>
      </c>
      <c r="E19" s="92">
        <f t="shared" ref="E19:G19" si="11">E6*E44</f>
        <v>15069.351359999999</v>
      </c>
      <c r="F19" s="92">
        <f t="shared" si="11"/>
        <v>0</v>
      </c>
      <c r="G19" s="92">
        <f t="shared" si="11"/>
        <v>0</v>
      </c>
      <c r="H19" s="92">
        <f>+SUM(C19:G19)</f>
        <v>69669.351359999986</v>
      </c>
      <c r="I19" s="83"/>
      <c r="AH19" s="89" t="s">
        <v>80</v>
      </c>
      <c r="AI19" s="89" t="s">
        <v>79</v>
      </c>
      <c r="AJ19" s="82" t="s">
        <v>53</v>
      </c>
    </row>
    <row r="20" spans="1:36">
      <c r="A20" s="86">
        <v>14</v>
      </c>
      <c r="B20" s="89" t="s">
        <v>81</v>
      </c>
      <c r="C20" s="92">
        <f>C6*C45</f>
        <v>105298</v>
      </c>
      <c r="D20" s="92">
        <f>D6*D45</f>
        <v>104652</v>
      </c>
      <c r="E20" s="92">
        <f t="shared" ref="E20:G20" si="12">E6*E45</f>
        <v>57945.243920000001</v>
      </c>
      <c r="F20" s="92">
        <f t="shared" si="12"/>
        <v>0</v>
      </c>
      <c r="G20" s="92">
        <f t="shared" si="12"/>
        <v>0</v>
      </c>
      <c r="H20" s="92">
        <f>+SUM(C20:G20)</f>
        <v>267895.24391999998</v>
      </c>
      <c r="AH20" s="89" t="s">
        <v>82</v>
      </c>
      <c r="AI20" s="89" t="s">
        <v>81</v>
      </c>
    </row>
    <row r="21" spans="1:36">
      <c r="A21" s="86">
        <v>15</v>
      </c>
      <c r="B21" s="89" t="s">
        <v>83</v>
      </c>
      <c r="C21" s="100">
        <f>$H$21/$H$6*C6</f>
        <v>500</v>
      </c>
      <c r="D21" s="100">
        <f>$H$21/$H$6*D6</f>
        <v>500</v>
      </c>
      <c r="E21" s="100">
        <f t="shared" ref="E21:G21" si="13">$H$21/$H$6*E6</f>
        <v>1000</v>
      </c>
      <c r="F21" s="100">
        <f t="shared" si="13"/>
        <v>0</v>
      </c>
      <c r="G21" s="100">
        <f t="shared" si="13"/>
        <v>0</v>
      </c>
      <c r="H21" s="92">
        <f>项目投资!F27</f>
        <v>2000</v>
      </c>
      <c r="AH21" s="89"/>
      <c r="AI21" s="89"/>
    </row>
    <row r="22" spans="1:36">
      <c r="A22" s="86">
        <v>16</v>
      </c>
      <c r="B22" s="89" t="s">
        <v>84</v>
      </c>
      <c r="C22" s="92">
        <f>C6*C47</f>
        <v>115729.99999999999</v>
      </c>
      <c r="D22" s="92">
        <f>D6*D47</f>
        <v>115020</v>
      </c>
      <c r="E22" s="92">
        <f t="shared" ref="E22:G22" si="14">E6*E47</f>
        <v>63685.949199999988</v>
      </c>
      <c r="F22" s="92">
        <f t="shared" si="14"/>
        <v>0</v>
      </c>
      <c r="G22" s="92">
        <f t="shared" si="14"/>
        <v>0</v>
      </c>
      <c r="H22" s="92">
        <f t="shared" ref="H22:H23" si="15">+SUM(C22:G22)</f>
        <v>294435.94919999997</v>
      </c>
      <c r="AH22" s="89" t="s">
        <v>85</v>
      </c>
      <c r="AI22" s="89" t="s">
        <v>84</v>
      </c>
    </row>
    <row r="23" spans="1:36">
      <c r="A23" s="86">
        <v>17</v>
      </c>
      <c r="B23" s="94" t="s">
        <v>86</v>
      </c>
      <c r="C23" s="100">
        <f>+C22+C21+C20+C19+C17</f>
        <v>368228</v>
      </c>
      <c r="D23" s="100">
        <f>+D22+D21+D20+D19+D17</f>
        <v>365972</v>
      </c>
      <c r="E23" s="100">
        <f t="shared" ref="E23:G23" si="16">+E22+E21+E20+E19+E17</f>
        <v>203359.86111999999</v>
      </c>
      <c r="F23" s="100">
        <f t="shared" si="16"/>
        <v>0</v>
      </c>
      <c r="G23" s="100">
        <f t="shared" si="16"/>
        <v>0</v>
      </c>
      <c r="H23" s="92">
        <f t="shared" si="15"/>
        <v>937559.86112000002</v>
      </c>
      <c r="AH23" s="89" t="s">
        <v>87</v>
      </c>
      <c r="AI23" s="94" t="s">
        <v>86</v>
      </c>
    </row>
    <row r="24" spans="1:36">
      <c r="A24" s="86">
        <v>18</v>
      </c>
      <c r="B24" s="101" t="s">
        <v>88</v>
      </c>
      <c r="C24" s="100">
        <f>+C15-C23</f>
        <v>158341.52248590672</v>
      </c>
      <c r="D24" s="100">
        <f>+D15-D23</f>
        <v>157738.32248590654</v>
      </c>
      <c r="E24" s="100">
        <f t="shared" ref="E24:G24" si="17">+E15-E23</f>
        <v>319238.41712000035</v>
      </c>
      <c r="F24" s="100">
        <f t="shared" si="17"/>
        <v>0</v>
      </c>
      <c r="G24" s="100">
        <f t="shared" si="17"/>
        <v>0</v>
      </c>
      <c r="H24" s="100">
        <f>+H15-H23</f>
        <v>635318.26209181361</v>
      </c>
      <c r="J24" s="102"/>
      <c r="AH24" s="89" t="s">
        <v>89</v>
      </c>
      <c r="AI24" s="89" t="s">
        <v>88</v>
      </c>
    </row>
    <row r="25" spans="1:36">
      <c r="A25" s="86">
        <v>19</v>
      </c>
      <c r="B25" s="89" t="s">
        <v>277</v>
      </c>
      <c r="C25" s="100">
        <f>IF(C24&lt;0,0,C24*0.15)</f>
        <v>23751.228372886009</v>
      </c>
      <c r="D25" s="100">
        <f t="shared" ref="D25:H25" si="18">IF(D24&lt;0,0,D24*0.15)</f>
        <v>23660.748372885981</v>
      </c>
      <c r="E25" s="100">
        <f t="shared" ref="E25:G25" si="19">IF(E24&lt;0,0,E24*0.15)</f>
        <v>47885.762568000049</v>
      </c>
      <c r="F25" s="100">
        <f t="shared" si="19"/>
        <v>0</v>
      </c>
      <c r="G25" s="100">
        <f t="shared" si="19"/>
        <v>0</v>
      </c>
      <c r="H25" s="100">
        <f t="shared" si="18"/>
        <v>95297.739313772036</v>
      </c>
      <c r="I25" s="2"/>
      <c r="J25" s="2"/>
      <c r="K25" s="2"/>
      <c r="AH25" s="89" t="s">
        <v>90</v>
      </c>
      <c r="AI25" s="89" t="s">
        <v>35</v>
      </c>
    </row>
    <row r="26" spans="1:36">
      <c r="A26" s="86">
        <v>20</v>
      </c>
      <c r="B26" s="89" t="s">
        <v>91</v>
      </c>
      <c r="C26" s="100">
        <f>C24-C25</f>
        <v>134590.2941130207</v>
      </c>
      <c r="D26" s="100">
        <f>D24-D25</f>
        <v>134077.57411302056</v>
      </c>
      <c r="E26" s="100">
        <f t="shared" ref="E26:H26" si="20">E24-E25</f>
        <v>271352.65455200028</v>
      </c>
      <c r="F26" s="100">
        <f t="shared" si="20"/>
        <v>0</v>
      </c>
      <c r="G26" s="100">
        <f t="shared" si="20"/>
        <v>0</v>
      </c>
      <c r="H26" s="100">
        <f t="shared" si="20"/>
        <v>540020.52277804154</v>
      </c>
      <c r="I26" s="2"/>
      <c r="J26" s="2"/>
      <c r="K26" s="2"/>
      <c r="AH26" s="89" t="s">
        <v>92</v>
      </c>
      <c r="AI26" s="89" t="s">
        <v>91</v>
      </c>
    </row>
    <row r="27" spans="1:36">
      <c r="A27" s="86">
        <v>21</v>
      </c>
      <c r="B27" s="89" t="s">
        <v>95</v>
      </c>
      <c r="C27" s="103">
        <f>C26/C7</f>
        <v>4.1285366292337637E-2</v>
      </c>
      <c r="D27" s="103">
        <f>D26/D7</f>
        <v>4.1381967318833507E-2</v>
      </c>
      <c r="E27" s="103">
        <f t="shared" ref="E27:G27" si="21">E26/E7</f>
        <v>0.10941639296451625</v>
      </c>
      <c r="F27" s="103" t="e">
        <f t="shared" si="21"/>
        <v>#DIV/0!</v>
      </c>
      <c r="G27" s="103" t="e">
        <f t="shared" si="21"/>
        <v>#DIV/0!</v>
      </c>
      <c r="H27" s="103">
        <f>H26/H7</f>
        <v>6.0135915676842046E-2</v>
      </c>
      <c r="I27" s="2"/>
      <c r="J27" s="2"/>
      <c r="K27" s="2"/>
      <c r="AH27" s="89" t="s">
        <v>94</v>
      </c>
      <c r="AI27" s="89" t="s">
        <v>95</v>
      </c>
    </row>
    <row r="28" spans="1:36">
      <c r="I28" s="2"/>
      <c r="J28" s="2"/>
      <c r="K28" s="2"/>
    </row>
    <row r="29" spans="1:36">
      <c r="A29" s="82" t="s">
        <v>96</v>
      </c>
      <c r="H29" s="85" t="s">
        <v>149</v>
      </c>
      <c r="I29" s="2"/>
      <c r="J29" s="2"/>
      <c r="K29" s="2"/>
      <c r="AH29" s="82" t="s">
        <v>96</v>
      </c>
    </row>
    <row r="30" spans="1:36">
      <c r="A30" s="89" t="s">
        <v>97</v>
      </c>
      <c r="B30" s="94" t="s">
        <v>98</v>
      </c>
      <c r="C30" s="100"/>
      <c r="D30" s="100"/>
      <c r="E30" s="100"/>
      <c r="F30" s="100"/>
      <c r="G30" s="100"/>
      <c r="H30" s="100"/>
      <c r="I30" s="2"/>
      <c r="J30" s="2"/>
      <c r="K30" s="2"/>
      <c r="M30" s="2"/>
      <c r="AH30" s="89" t="s">
        <v>99</v>
      </c>
      <c r="AI30" s="94" t="s">
        <v>98</v>
      </c>
    </row>
    <row r="31" spans="1:36">
      <c r="A31" s="86">
        <v>1</v>
      </c>
      <c r="B31" s="97" t="s">
        <v>100</v>
      </c>
      <c r="C31" s="104">
        <f>销量!C8</f>
        <v>1630</v>
      </c>
      <c r="D31" s="104">
        <f>销量!D8</f>
        <v>1620</v>
      </c>
      <c r="E31" s="104">
        <f>销量!E8</f>
        <v>620</v>
      </c>
      <c r="F31" s="104">
        <f>销量!F8</f>
        <v>0</v>
      </c>
      <c r="G31" s="104">
        <f>销量!G8</f>
        <v>0</v>
      </c>
      <c r="H31" s="100"/>
      <c r="I31" s="2"/>
      <c r="J31" s="2"/>
      <c r="K31" s="2"/>
      <c r="M31" s="2"/>
      <c r="AH31" s="89" t="s">
        <v>55</v>
      </c>
      <c r="AI31" s="89" t="s">
        <v>100</v>
      </c>
    </row>
    <row r="32" spans="1:36">
      <c r="A32" s="86">
        <v>2</v>
      </c>
      <c r="B32" s="89" t="s">
        <v>150</v>
      </c>
      <c r="C32" s="92">
        <f>C9/C6</f>
        <v>1533.6669999999999</v>
      </c>
      <c r="D32" s="92">
        <f t="shared" ref="D32:G32" si="22">D9/D6</f>
        <v>1524.258</v>
      </c>
      <c r="E32" s="92">
        <f t="shared" si="22"/>
        <v>583.35799999999995</v>
      </c>
      <c r="F32" s="92" t="e">
        <f t="shared" si="22"/>
        <v>#DIV/0!</v>
      </c>
      <c r="G32" s="92" t="e">
        <f t="shared" si="22"/>
        <v>#DIV/0!</v>
      </c>
      <c r="H32" s="100"/>
      <c r="I32" s="2"/>
      <c r="J32" s="2"/>
      <c r="K32" s="2"/>
      <c r="L32" s="2"/>
      <c r="M32" s="2"/>
      <c r="N32" s="2"/>
      <c r="O32" s="2"/>
      <c r="AH32" s="89"/>
      <c r="AI32" s="89"/>
    </row>
    <row r="33" spans="1:35">
      <c r="A33" s="86">
        <v>3</v>
      </c>
      <c r="B33" s="97" t="s">
        <v>101</v>
      </c>
      <c r="C33" s="92">
        <f>材料成本!D25</f>
        <v>1206.1602387570467</v>
      </c>
      <c r="D33" s="92">
        <f>材料成本!E25</f>
        <v>1198.5748387570468</v>
      </c>
      <c r="E33" s="92">
        <f>材料成本!F25</f>
        <v>435.03782199999995</v>
      </c>
      <c r="F33" s="92">
        <f>材料成本!G25</f>
        <v>0</v>
      </c>
      <c r="G33" s="92">
        <f>材料成本!H25</f>
        <v>0</v>
      </c>
      <c r="H33" s="100"/>
      <c r="J33" s="2"/>
      <c r="K33" s="2"/>
      <c r="L33" s="2"/>
      <c r="M33" s="2"/>
      <c r="N33" s="2"/>
      <c r="O33" s="2"/>
      <c r="AH33" s="89" t="s">
        <v>57</v>
      </c>
      <c r="AI33" s="89" t="s">
        <v>101</v>
      </c>
    </row>
    <row r="34" spans="1:35" ht="17.25" customHeight="1">
      <c r="A34" s="86">
        <v>4</v>
      </c>
      <c r="B34" s="89" t="s">
        <v>103</v>
      </c>
      <c r="C34" s="105">
        <f>C32-C33</f>
        <v>327.50676124295319</v>
      </c>
      <c r="D34" s="105">
        <f>D32-D33</f>
        <v>325.68316124295325</v>
      </c>
      <c r="E34" s="105">
        <f t="shared" ref="E34:G34" si="23">E32-E33</f>
        <v>148.320178</v>
      </c>
      <c r="F34" s="105" t="e">
        <f t="shared" si="23"/>
        <v>#DIV/0!</v>
      </c>
      <c r="G34" s="105" t="e">
        <f t="shared" si="23"/>
        <v>#DIV/0!</v>
      </c>
      <c r="H34" s="100"/>
      <c r="J34" s="2"/>
      <c r="K34" s="2"/>
      <c r="L34" s="2"/>
      <c r="M34" s="2"/>
      <c r="N34" s="2"/>
      <c r="O34" s="2"/>
      <c r="AH34" s="89" t="s">
        <v>102</v>
      </c>
      <c r="AI34" s="89" t="s">
        <v>103</v>
      </c>
    </row>
    <row r="35" spans="1:35">
      <c r="A35" s="89" t="s">
        <v>99</v>
      </c>
      <c r="B35" s="94" t="s">
        <v>9</v>
      </c>
      <c r="C35" s="100"/>
      <c r="D35" s="100"/>
      <c r="E35" s="100"/>
      <c r="F35" s="100"/>
      <c r="G35" s="100"/>
      <c r="H35" s="100"/>
      <c r="I35" s="2"/>
      <c r="J35" s="2"/>
      <c r="K35" s="2"/>
      <c r="L35" s="2"/>
      <c r="M35" s="2"/>
      <c r="N35" s="2"/>
      <c r="O35" s="2"/>
      <c r="P35" s="2"/>
      <c r="Q35" s="2"/>
      <c r="R35" s="2"/>
      <c r="AH35" s="89" t="s">
        <v>105</v>
      </c>
      <c r="AI35" s="94" t="s">
        <v>9</v>
      </c>
    </row>
    <row r="36" spans="1:35">
      <c r="A36" s="86">
        <v>1</v>
      </c>
      <c r="B36" s="89" t="s">
        <v>106</v>
      </c>
      <c r="C36" s="98">
        <f>'2025年'!C36</f>
        <v>20.048999999999999</v>
      </c>
      <c r="D36" s="98">
        <f>'2025年'!D36</f>
        <v>19.926000000000002</v>
      </c>
      <c r="E36" s="98">
        <f>'2025年'!E36</f>
        <v>5.5164589799999995</v>
      </c>
      <c r="F36" s="98">
        <f>'2025年'!F36</f>
        <v>0</v>
      </c>
      <c r="G36" s="98">
        <f>'2025年'!G36</f>
        <v>0</v>
      </c>
      <c r="H36" s="104"/>
      <c r="I36" s="2"/>
      <c r="J36" s="2"/>
      <c r="K36" s="2"/>
      <c r="L36" s="2"/>
      <c r="M36" s="2"/>
      <c r="N36" s="2"/>
      <c r="O36" s="2"/>
      <c r="P36" s="2"/>
      <c r="Q36" s="2"/>
      <c r="R36" s="2"/>
      <c r="AH36" s="89" t="s">
        <v>102</v>
      </c>
      <c r="AI36" s="89" t="s">
        <v>106</v>
      </c>
    </row>
    <row r="37" spans="1:35">
      <c r="A37" s="86">
        <v>2</v>
      </c>
      <c r="B37" s="89" t="s">
        <v>107</v>
      </c>
      <c r="C37" s="98">
        <f>'2025年'!C37</f>
        <v>18.093</v>
      </c>
      <c r="D37" s="98">
        <f>'2025年'!D37</f>
        <v>17.981999999999999</v>
      </c>
      <c r="E37" s="98">
        <f>'2025年'!E37</f>
        <v>4.9782678599999999</v>
      </c>
      <c r="F37" s="98">
        <f>'2025年'!F37</f>
        <v>0</v>
      </c>
      <c r="G37" s="98">
        <f>'2025年'!G37</f>
        <v>0</v>
      </c>
      <c r="H37" s="104"/>
      <c r="I37" s="2"/>
      <c r="J37" s="2"/>
      <c r="K37" s="2"/>
      <c r="L37" s="2"/>
      <c r="M37" s="2"/>
      <c r="N37" s="2"/>
      <c r="O37" s="2"/>
      <c r="P37" s="2"/>
      <c r="Q37" s="2"/>
      <c r="R37" s="2"/>
      <c r="AH37" s="89" t="s">
        <v>60</v>
      </c>
      <c r="AI37" s="89" t="s">
        <v>107</v>
      </c>
    </row>
    <row r="38" spans="1:35">
      <c r="A38" s="86">
        <v>3</v>
      </c>
      <c r="B38" s="89" t="s">
        <v>108</v>
      </c>
      <c r="C38" s="98">
        <f>'2025年'!C38</f>
        <v>26.080000000000002</v>
      </c>
      <c r="D38" s="98">
        <f>'2025年'!D38</f>
        <v>25.92</v>
      </c>
      <c r="E38" s="98">
        <f>'2025年'!E38</f>
        <v>7.1758815999999994</v>
      </c>
      <c r="F38" s="98">
        <f>'2025年'!F38</f>
        <v>0</v>
      </c>
      <c r="G38" s="98">
        <f>'2025年'!G38</f>
        <v>0</v>
      </c>
      <c r="H38" s="104"/>
      <c r="I38" s="2"/>
      <c r="J38" s="2"/>
      <c r="K38" s="2"/>
      <c r="L38" s="2"/>
      <c r="M38" s="2"/>
      <c r="N38" s="2"/>
      <c r="O38" s="2"/>
      <c r="P38" s="2"/>
      <c r="Q38" s="2"/>
      <c r="R38" s="2"/>
      <c r="AH38" s="89" t="s">
        <v>66</v>
      </c>
      <c r="AI38" s="89" t="s">
        <v>108</v>
      </c>
    </row>
    <row r="39" spans="1:35">
      <c r="A39" s="89" t="s">
        <v>105</v>
      </c>
      <c r="B39" s="94" t="s">
        <v>110</v>
      </c>
      <c r="C39" s="100"/>
      <c r="D39" s="100"/>
      <c r="E39" s="100"/>
      <c r="F39" s="100"/>
      <c r="G39" s="100"/>
      <c r="H39" s="100"/>
      <c r="AH39" s="89" t="s">
        <v>109</v>
      </c>
      <c r="AI39" s="94" t="s">
        <v>110</v>
      </c>
    </row>
    <row r="40" spans="1:35">
      <c r="A40" s="86">
        <v>1</v>
      </c>
      <c r="B40" s="89" t="s">
        <v>111</v>
      </c>
      <c r="C40" s="100">
        <f>C34-C36-C37-C38</f>
        <v>263.28476124295321</v>
      </c>
      <c r="D40" s="100">
        <f>D34-D36-D37-D38</f>
        <v>261.85516124295322</v>
      </c>
      <c r="E40" s="100">
        <f t="shared" ref="E40:G40" si="24">E34-E36-E37-E38</f>
        <v>130.64956956</v>
      </c>
      <c r="F40" s="100" t="e">
        <f t="shared" si="24"/>
        <v>#DIV/0!</v>
      </c>
      <c r="G40" s="100" t="e">
        <f t="shared" si="24"/>
        <v>#DIV/0!</v>
      </c>
      <c r="H40" s="100"/>
      <c r="AH40" s="89" t="s">
        <v>55</v>
      </c>
      <c r="AI40" s="89" t="s">
        <v>111</v>
      </c>
    </row>
    <row r="41" spans="1:35">
      <c r="A41" s="86">
        <v>2</v>
      </c>
      <c r="B41" s="89" t="s">
        <v>112</v>
      </c>
      <c r="C41" s="100"/>
      <c r="D41" s="100"/>
      <c r="E41" s="100"/>
      <c r="F41" s="100"/>
      <c r="G41" s="100"/>
      <c r="H41" s="100"/>
      <c r="AH41" s="89" t="s">
        <v>57</v>
      </c>
      <c r="AI41" s="89" t="s">
        <v>112</v>
      </c>
    </row>
    <row r="42" spans="1:35">
      <c r="A42" s="89" t="s">
        <v>109</v>
      </c>
      <c r="B42" s="94" t="s">
        <v>114</v>
      </c>
      <c r="C42" s="100"/>
      <c r="D42" s="100"/>
      <c r="E42" s="100"/>
      <c r="F42" s="100"/>
      <c r="G42" s="100"/>
      <c r="H42" s="100"/>
      <c r="AH42" s="89" t="s">
        <v>113</v>
      </c>
      <c r="AI42" s="94" t="s">
        <v>114</v>
      </c>
    </row>
    <row r="43" spans="1:35">
      <c r="A43" s="86">
        <v>1</v>
      </c>
      <c r="B43" s="101" t="s">
        <v>115</v>
      </c>
      <c r="C43" s="98">
        <f>'2025年'!C43</f>
        <v>59.658000000000001</v>
      </c>
      <c r="D43" s="98">
        <f>'2025年'!D43</f>
        <v>59.292000000000002</v>
      </c>
      <c r="E43" s="98">
        <f>'2025年'!E43</f>
        <v>16.41482916</v>
      </c>
      <c r="F43" s="98">
        <f>'2025年'!F43</f>
        <v>0</v>
      </c>
      <c r="G43" s="98">
        <f>'2025年'!G43</f>
        <v>0</v>
      </c>
      <c r="H43" s="100"/>
      <c r="AH43" s="89" t="s">
        <v>55</v>
      </c>
      <c r="AI43" s="89" t="s">
        <v>115</v>
      </c>
    </row>
    <row r="44" spans="1:35">
      <c r="A44" s="86">
        <v>2</v>
      </c>
      <c r="B44" s="101" t="s">
        <v>116</v>
      </c>
      <c r="C44" s="98">
        <f>'2025年'!C44</f>
        <v>13.691999999999998</v>
      </c>
      <c r="D44" s="98">
        <f>'2025年'!D44</f>
        <v>13.607999999999999</v>
      </c>
      <c r="E44" s="98">
        <f>'2025年'!E44</f>
        <v>3.7673378399999997</v>
      </c>
      <c r="F44" s="98">
        <f>'2025年'!F44</f>
        <v>0</v>
      </c>
      <c r="G44" s="98">
        <f>'2025年'!G44</f>
        <v>0</v>
      </c>
      <c r="H44" s="100"/>
      <c r="AH44" s="89" t="s">
        <v>57</v>
      </c>
      <c r="AI44" s="89" t="s">
        <v>116</v>
      </c>
    </row>
    <row r="45" spans="1:35">
      <c r="A45" s="86">
        <v>3</v>
      </c>
      <c r="B45" s="101" t="s">
        <v>117</v>
      </c>
      <c r="C45" s="98">
        <f>'2025年'!C45</f>
        <v>52.649000000000001</v>
      </c>
      <c r="D45" s="98">
        <f>'2025年'!D45</f>
        <v>52.326000000000001</v>
      </c>
      <c r="E45" s="98">
        <f>'2025年'!E45</f>
        <v>14.486310980000001</v>
      </c>
      <c r="F45" s="98">
        <f>'2025年'!F45</f>
        <v>0</v>
      </c>
      <c r="G45" s="98">
        <f>'2025年'!G45</f>
        <v>0</v>
      </c>
      <c r="H45" s="100"/>
      <c r="AH45" s="89" t="s">
        <v>102</v>
      </c>
      <c r="AI45" s="89" t="s">
        <v>117</v>
      </c>
    </row>
    <row r="46" spans="1:35" s="84" customFormat="1">
      <c r="A46" s="86">
        <v>4</v>
      </c>
      <c r="B46" s="101" t="s">
        <v>118</v>
      </c>
      <c r="C46" s="106">
        <f>C21/C6</f>
        <v>0.25</v>
      </c>
      <c r="D46" s="106">
        <f>D21/D6</f>
        <v>0.25</v>
      </c>
      <c r="E46" s="106">
        <f t="shared" ref="E46:G46" si="25">E21/E6</f>
        <v>0.25</v>
      </c>
      <c r="F46" s="106" t="e">
        <f t="shared" si="25"/>
        <v>#DIV/0!</v>
      </c>
      <c r="G46" s="106" t="e">
        <f t="shared" si="25"/>
        <v>#DIV/0!</v>
      </c>
      <c r="H46" s="106"/>
      <c r="AH46" s="101" t="s">
        <v>62</v>
      </c>
      <c r="AI46" s="101" t="s">
        <v>120</v>
      </c>
    </row>
    <row r="47" spans="1:35" s="84" customFormat="1">
      <c r="A47" s="86">
        <v>5</v>
      </c>
      <c r="B47" s="101" t="s">
        <v>120</v>
      </c>
      <c r="C47" s="98">
        <f>'2025年'!C47</f>
        <v>57.864999999999995</v>
      </c>
      <c r="D47" s="98">
        <f>'2025年'!D47</f>
        <v>57.51</v>
      </c>
      <c r="E47" s="98">
        <f>'2025年'!E47</f>
        <v>15.921487299999997</v>
      </c>
      <c r="F47" s="98">
        <f>'2025年'!F47</f>
        <v>0</v>
      </c>
      <c r="G47" s="98">
        <f>'2025年'!G47</f>
        <v>0</v>
      </c>
      <c r="H47" s="106"/>
      <c r="AH47" s="101" t="s">
        <v>62</v>
      </c>
      <c r="AI47" s="101" t="s">
        <v>120</v>
      </c>
    </row>
    <row r="48" spans="1:35">
      <c r="A48" s="89" t="s">
        <v>113</v>
      </c>
      <c r="B48" s="94" t="s">
        <v>131</v>
      </c>
      <c r="C48" s="100">
        <f>C40-C43-C44-C45-C47-C46</f>
        <v>79.170761242953191</v>
      </c>
      <c r="D48" s="100">
        <f>D40-D43-D44-D45-D47-D46</f>
        <v>78.869161242953226</v>
      </c>
      <c r="E48" s="100">
        <f t="shared" ref="E48:G48" si="26">E40-E43-E44-E45-E47-E46</f>
        <v>79.809604280000016</v>
      </c>
      <c r="F48" s="100" t="e">
        <f t="shared" si="26"/>
        <v>#DIV/0!</v>
      </c>
      <c r="G48" s="100" t="e">
        <f t="shared" si="26"/>
        <v>#DIV/0!</v>
      </c>
      <c r="H48" s="100"/>
      <c r="AH48" s="89" t="s">
        <v>130</v>
      </c>
      <c r="AI48" s="94" t="s">
        <v>131</v>
      </c>
    </row>
    <row r="51" spans="2:13">
      <c r="C51" s="107"/>
      <c r="D51" s="107"/>
      <c r="E51" s="107"/>
      <c r="F51" s="107"/>
      <c r="G51" s="107"/>
    </row>
    <row r="54" spans="2:13">
      <c r="B54" s="2"/>
      <c r="C54" s="108"/>
      <c r="D54" s="108"/>
      <c r="E54" s="108"/>
      <c r="F54" s="108"/>
      <c r="G54" s="108"/>
      <c r="H54" s="108"/>
      <c r="I54" s="2"/>
      <c r="J54" s="2"/>
      <c r="K54" s="2"/>
      <c r="L54" s="2"/>
      <c r="M54" s="2"/>
    </row>
    <row r="55" spans="2:13">
      <c r="B55" s="2"/>
      <c r="C55" s="108"/>
      <c r="D55" s="108"/>
      <c r="E55" s="108"/>
      <c r="F55" s="108"/>
      <c r="G55" s="108"/>
      <c r="H55" s="108"/>
      <c r="I55" s="2"/>
      <c r="J55" s="2"/>
      <c r="K55" s="2"/>
      <c r="L55" s="2"/>
      <c r="M55" s="2"/>
    </row>
    <row r="56" spans="2:13">
      <c r="B56" s="2"/>
      <c r="C56" s="108"/>
      <c r="D56" s="108"/>
      <c r="E56" s="108"/>
      <c r="F56" s="108"/>
      <c r="G56" s="108"/>
      <c r="H56" s="108"/>
      <c r="I56" s="2"/>
      <c r="J56" s="2"/>
      <c r="K56" s="2"/>
      <c r="L56" s="2"/>
      <c r="M56" s="2"/>
    </row>
    <row r="57" spans="2:13">
      <c r="B57" s="2"/>
      <c r="C57" s="108"/>
      <c r="D57" s="108"/>
      <c r="E57" s="108"/>
      <c r="F57" s="108"/>
      <c r="G57" s="108"/>
      <c r="H57" s="108"/>
      <c r="I57" s="2"/>
      <c r="J57" s="2"/>
      <c r="K57" s="2"/>
      <c r="L57" s="2"/>
      <c r="M57" s="2"/>
    </row>
    <row r="58" spans="2:13">
      <c r="B58" s="2"/>
      <c r="C58" s="108"/>
      <c r="D58" s="108"/>
      <c r="E58" s="108"/>
      <c r="F58" s="108"/>
      <c r="G58" s="108"/>
      <c r="H58" s="108"/>
      <c r="I58" s="2"/>
      <c r="J58" s="2"/>
      <c r="K58" s="2"/>
      <c r="L58" s="2"/>
      <c r="M58" s="2"/>
    </row>
    <row r="59" spans="2:13">
      <c r="B59" s="2"/>
      <c r="C59" s="108"/>
      <c r="D59" s="108"/>
      <c r="E59" s="108"/>
      <c r="F59" s="108"/>
      <c r="G59" s="108"/>
      <c r="H59" s="108"/>
      <c r="I59" s="2"/>
      <c r="J59" s="2"/>
      <c r="K59" s="2"/>
      <c r="L59" s="2"/>
      <c r="M59" s="2"/>
    </row>
    <row r="60" spans="2:13">
      <c r="B60" s="2"/>
      <c r="C60" s="108"/>
      <c r="D60" s="108"/>
      <c r="E60" s="108"/>
      <c r="F60" s="108"/>
      <c r="G60" s="108"/>
      <c r="H60" s="108"/>
      <c r="I60" s="2"/>
      <c r="J60" s="2"/>
      <c r="K60" s="2"/>
      <c r="L60" s="2"/>
      <c r="M60" s="2"/>
    </row>
    <row r="61" spans="2:13">
      <c r="B61" s="2"/>
      <c r="C61" s="108"/>
      <c r="D61" s="108"/>
      <c r="E61" s="108"/>
      <c r="F61" s="108"/>
      <c r="G61" s="108"/>
      <c r="H61" s="108"/>
      <c r="I61" s="2"/>
      <c r="J61" s="2"/>
      <c r="K61" s="2"/>
      <c r="L61" s="2"/>
      <c r="M61" s="2"/>
    </row>
    <row r="62" spans="2:13">
      <c r="B62" s="2"/>
      <c r="C62" s="108"/>
      <c r="D62" s="108"/>
      <c r="E62" s="108"/>
      <c r="F62" s="108"/>
      <c r="G62" s="108"/>
      <c r="H62" s="108"/>
      <c r="I62" s="2"/>
      <c r="J62" s="2"/>
      <c r="K62" s="2"/>
      <c r="L62" s="2"/>
      <c r="M62" s="2"/>
    </row>
    <row r="63" spans="2:13">
      <c r="B63" s="2"/>
      <c r="C63" s="108"/>
      <c r="D63" s="108"/>
      <c r="E63" s="108"/>
      <c r="F63" s="108"/>
      <c r="G63" s="108"/>
      <c r="H63" s="108"/>
      <c r="I63" s="2"/>
      <c r="J63" s="2"/>
      <c r="K63" s="2"/>
      <c r="L63" s="2"/>
      <c r="M63" s="2"/>
    </row>
    <row r="64" spans="2:13">
      <c r="B64" s="2"/>
      <c r="C64" s="108"/>
      <c r="D64" s="108"/>
      <c r="E64" s="108"/>
      <c r="F64" s="108"/>
      <c r="G64" s="108"/>
      <c r="H64" s="108"/>
      <c r="I64" s="2"/>
      <c r="J64" s="2"/>
      <c r="K64" s="2"/>
      <c r="L64" s="2"/>
      <c r="M64" s="2"/>
    </row>
    <row r="65" spans="2:13">
      <c r="B65" s="2"/>
      <c r="C65" s="108"/>
      <c r="D65" s="108"/>
      <c r="E65" s="108"/>
      <c r="F65" s="108"/>
      <c r="G65" s="108"/>
      <c r="H65" s="108"/>
      <c r="I65" s="2"/>
      <c r="J65" s="2"/>
      <c r="K65" s="2"/>
      <c r="L65" s="2"/>
      <c r="M65" s="2"/>
    </row>
    <row r="66" spans="2:13">
      <c r="B66" s="2"/>
      <c r="C66" s="108"/>
      <c r="D66" s="108"/>
      <c r="E66" s="108"/>
      <c r="F66" s="108"/>
      <c r="G66" s="108"/>
      <c r="H66" s="108"/>
      <c r="I66" s="2"/>
      <c r="J66" s="2"/>
      <c r="K66" s="2"/>
      <c r="L66" s="2"/>
      <c r="M66" s="2"/>
    </row>
    <row r="67" spans="2:13">
      <c r="B67" s="2"/>
      <c r="C67" s="108"/>
      <c r="D67" s="108"/>
      <c r="E67" s="108"/>
      <c r="F67" s="108"/>
      <c r="G67" s="108"/>
      <c r="H67" s="108"/>
      <c r="I67" s="2"/>
    </row>
    <row r="68" spans="2:13">
      <c r="B68" s="2"/>
      <c r="C68" s="108"/>
      <c r="D68" s="108"/>
      <c r="E68" s="108"/>
      <c r="F68" s="108"/>
      <c r="G68" s="108"/>
      <c r="H68" s="108"/>
      <c r="I68" s="2"/>
    </row>
    <row r="69" spans="2:13">
      <c r="B69" s="2"/>
      <c r="C69" s="108"/>
      <c r="D69" s="108"/>
      <c r="E69" s="108"/>
      <c r="F69" s="108"/>
      <c r="G69" s="108"/>
      <c r="H69" s="108"/>
      <c r="I69" s="2"/>
    </row>
    <row r="70" spans="2:13">
      <c r="B70" s="2"/>
      <c r="C70" s="108"/>
      <c r="D70" s="108"/>
      <c r="E70" s="108"/>
      <c r="F70" s="108"/>
      <c r="G70" s="108"/>
      <c r="H70" s="108"/>
      <c r="I70" s="2"/>
    </row>
    <row r="71" spans="2:13">
      <c r="B71" s="2"/>
      <c r="C71" s="108"/>
      <c r="D71" s="108"/>
      <c r="E71" s="108"/>
      <c r="F71" s="108"/>
      <c r="G71" s="108"/>
      <c r="H71" s="108"/>
      <c r="I71" s="2"/>
    </row>
    <row r="72" spans="2:13">
      <c r="B72" s="2"/>
      <c r="C72" s="108"/>
      <c r="D72" s="108"/>
      <c r="E72" s="108"/>
      <c r="F72" s="108"/>
      <c r="G72" s="108"/>
      <c r="H72" s="108"/>
      <c r="I72" s="2"/>
    </row>
    <row r="73" spans="2:13">
      <c r="B73" s="2"/>
      <c r="C73" s="108"/>
      <c r="D73" s="108"/>
      <c r="E73" s="108"/>
      <c r="F73" s="108"/>
      <c r="G73" s="108"/>
      <c r="H73" s="108"/>
      <c r="I73" s="2"/>
    </row>
    <row r="74" spans="2:13">
      <c r="B74" s="2"/>
      <c r="C74" s="108"/>
      <c r="D74" s="108"/>
      <c r="E74" s="108"/>
      <c r="F74" s="108"/>
      <c r="G74" s="108"/>
      <c r="H74" s="108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C8" sqref="C8"/>
    </sheetView>
  </sheetViews>
  <sheetFormatPr defaultColWidth="9" defaultRowHeight="16.5"/>
  <cols>
    <col min="1" max="1" width="5.125" style="82" customWidth="1"/>
    <col min="2" max="2" width="17.5" style="82" customWidth="1"/>
    <col min="3" max="7" width="14.375" style="85" customWidth="1"/>
    <col min="8" max="8" width="18.75" style="85" customWidth="1"/>
    <col min="9" max="9" width="12.375" style="82" customWidth="1"/>
    <col min="10" max="10" width="10.125" style="82" customWidth="1"/>
    <col min="11" max="17" width="9" style="82" customWidth="1"/>
    <col min="18" max="33" width="9" style="82"/>
    <col min="34" max="34" width="4.375" style="82" customWidth="1"/>
    <col min="35" max="35" width="13.875" style="82" customWidth="1"/>
    <col min="36" max="16384" width="9" style="82"/>
  </cols>
  <sheetData>
    <row r="1" spans="1:36">
      <c r="A1" s="206" t="s">
        <v>141</v>
      </c>
      <c r="B1" s="206"/>
      <c r="C1" s="210" t="s">
        <v>264</v>
      </c>
      <c r="D1" s="211"/>
      <c r="E1" s="211"/>
      <c r="F1" s="211"/>
      <c r="G1" s="211"/>
      <c r="H1" s="212"/>
    </row>
    <row r="2" spans="1:36">
      <c r="A2" s="206" t="s">
        <v>142</v>
      </c>
      <c r="B2" s="206"/>
      <c r="C2" s="213" t="str">
        <f>'2025年'!$C$2</f>
        <v>一汽解放汽车有限公司</v>
      </c>
      <c r="D2" s="213"/>
      <c r="E2" s="213"/>
      <c r="F2" s="213"/>
      <c r="G2" s="213"/>
      <c r="H2" s="213"/>
    </row>
    <row r="3" spans="1:36">
      <c r="A3" s="206" t="s">
        <v>143</v>
      </c>
      <c r="B3" s="206"/>
      <c r="C3" s="87" t="str">
        <f>'2025年'!C3</f>
        <v>驾驶员总成</v>
      </c>
      <c r="D3" s="87" t="str">
        <f>'2025年'!D3</f>
        <v>驾驶员总成</v>
      </c>
      <c r="E3" s="87" t="str">
        <f>'2025年'!E3</f>
        <v>前座总成</v>
      </c>
      <c r="F3" s="87">
        <f>'2025年'!F3</f>
        <v>0</v>
      </c>
      <c r="G3" s="87">
        <f>'2025年'!G3</f>
        <v>0</v>
      </c>
      <c r="H3" s="207" t="s">
        <v>51</v>
      </c>
    </row>
    <row r="4" spans="1:36">
      <c r="A4" s="206" t="s">
        <v>144</v>
      </c>
      <c r="B4" s="206"/>
      <c r="C4" s="87" t="str">
        <f>'2025年'!C4</f>
        <v>6800010MH13J/A</v>
      </c>
      <c r="D4" s="87" t="str">
        <f>'2025年'!D4</f>
        <v>6800010NH13J/A</v>
      </c>
      <c r="E4" s="87" t="str">
        <f>'2025年'!E4</f>
        <v>6900010TH13J/A</v>
      </c>
      <c r="F4" s="87">
        <f>'2025年'!F4</f>
        <v>0</v>
      </c>
      <c r="G4" s="87">
        <f>'2025年'!G4</f>
        <v>0</v>
      </c>
      <c r="H4" s="208"/>
    </row>
    <row r="5" spans="1:36" ht="42.75">
      <c r="A5" s="206" t="s">
        <v>145</v>
      </c>
      <c r="B5" s="206"/>
      <c r="C5" s="88" t="str">
        <f>'2025年'!C5</f>
        <v>可变阻尼、高度调节、单扶手、三点式安全带、</v>
      </c>
      <c r="D5" s="88" t="str">
        <f>'2025年'!D5</f>
        <v>可变阻尼、高度调节、单扶手、三点式安全带、联管螺母</v>
      </c>
      <c r="E5" s="88" t="str">
        <f>'2025年'!E5</f>
        <v>管梁副驾带安全带</v>
      </c>
      <c r="F5" s="88">
        <f>'2025年'!F5</f>
        <v>0</v>
      </c>
      <c r="G5" s="88">
        <f>'2025年'!G5</f>
        <v>0</v>
      </c>
      <c r="H5" s="209"/>
      <c r="AJ5" s="82" t="s">
        <v>52</v>
      </c>
    </row>
    <row r="6" spans="1:36" ht="17.25">
      <c r="A6" s="89" t="s">
        <v>18</v>
      </c>
      <c r="B6" s="90" t="s">
        <v>146</v>
      </c>
      <c r="C6" s="109">
        <f>销量!C12</f>
        <v>2000</v>
      </c>
      <c r="D6" s="109">
        <f>销量!D12</f>
        <v>2000</v>
      </c>
      <c r="E6" s="109">
        <f>销量!E12</f>
        <v>4000</v>
      </c>
      <c r="F6" s="109">
        <f>销量!F12</f>
        <v>0</v>
      </c>
      <c r="G6" s="109">
        <f>销量!G12</f>
        <v>0</v>
      </c>
      <c r="H6" s="92">
        <f>+SUM(C6:G6)</f>
        <v>8000</v>
      </c>
      <c r="AH6" s="89" t="s">
        <v>18</v>
      </c>
      <c r="AI6" s="90" t="s">
        <v>3</v>
      </c>
      <c r="AJ6" s="82" t="s">
        <v>53</v>
      </c>
    </row>
    <row r="7" spans="1:36">
      <c r="A7" s="86">
        <v>1</v>
      </c>
      <c r="B7" s="90" t="s">
        <v>54</v>
      </c>
      <c r="C7" s="92">
        <f>C6*销量!C8</f>
        <v>3260000</v>
      </c>
      <c r="D7" s="92">
        <f>D6*销量!D8</f>
        <v>3240000</v>
      </c>
      <c r="E7" s="92">
        <f>E6*销量!E8</f>
        <v>2480000</v>
      </c>
      <c r="F7" s="92">
        <f>F6*销量!F8</f>
        <v>0</v>
      </c>
      <c r="G7" s="92">
        <f>G6*销量!G8</f>
        <v>0</v>
      </c>
      <c r="H7" s="92">
        <f t="shared" ref="H7:H13" si="0">+SUM(C7:G7)</f>
        <v>8980000</v>
      </c>
      <c r="I7" s="85"/>
      <c r="AH7" s="89" t="s">
        <v>55</v>
      </c>
      <c r="AI7" s="90" t="s">
        <v>54</v>
      </c>
      <c r="AJ7" s="82" t="s">
        <v>53</v>
      </c>
    </row>
    <row r="8" spans="1:36">
      <c r="A8" s="86">
        <v>2</v>
      </c>
      <c r="B8" s="86" t="s">
        <v>56</v>
      </c>
      <c r="C8" s="92">
        <f>C7*(1-销量!$K$9)</f>
        <v>284686.01999999979</v>
      </c>
      <c r="D8" s="92">
        <f>D7*(1-销量!$K$9)</f>
        <v>282939.47999999981</v>
      </c>
      <c r="E8" s="92">
        <f>E7*(1-销量!$K$9)</f>
        <v>216570.95999999985</v>
      </c>
      <c r="F8" s="92">
        <f>F7*(1-销量!$K$9)</f>
        <v>0</v>
      </c>
      <c r="G8" s="92">
        <f>G7*(1-销量!$K$9)</f>
        <v>0</v>
      </c>
      <c r="H8" s="92">
        <f t="shared" si="0"/>
        <v>784196.45999999938</v>
      </c>
      <c r="I8" s="93"/>
      <c r="AH8" s="89" t="s">
        <v>57</v>
      </c>
      <c r="AI8" s="86" t="s">
        <v>58</v>
      </c>
      <c r="AJ8" s="82" t="s">
        <v>53</v>
      </c>
    </row>
    <row r="9" spans="1:36">
      <c r="A9" s="86">
        <v>3</v>
      </c>
      <c r="B9" s="90" t="s">
        <v>59</v>
      </c>
      <c r="C9" s="92">
        <f>+C7-C8</f>
        <v>2975313.9800000004</v>
      </c>
      <c r="D9" s="92">
        <f>+D7-D8</f>
        <v>2957060.52</v>
      </c>
      <c r="E9" s="92">
        <f t="shared" ref="E9:H9" si="1">+E7-E8</f>
        <v>2263429.04</v>
      </c>
      <c r="F9" s="92">
        <f t="shared" si="1"/>
        <v>0</v>
      </c>
      <c r="G9" s="92">
        <f t="shared" si="1"/>
        <v>0</v>
      </c>
      <c r="H9" s="92">
        <f t="shared" si="1"/>
        <v>8195803.540000001</v>
      </c>
      <c r="AH9" s="89" t="s">
        <v>60</v>
      </c>
      <c r="AI9" s="90" t="s">
        <v>59</v>
      </c>
      <c r="AJ9" s="82" t="s">
        <v>61</v>
      </c>
    </row>
    <row r="10" spans="1:36">
      <c r="A10" s="86">
        <v>4</v>
      </c>
      <c r="B10" s="89" t="s">
        <v>63</v>
      </c>
      <c r="C10" s="92">
        <f>C6*C33</f>
        <v>2339950.8631886705</v>
      </c>
      <c r="D10" s="92">
        <f>D6*D33</f>
        <v>2325235.187188671</v>
      </c>
      <c r="E10" s="92">
        <f t="shared" ref="E10:G10" si="2">E6*E33</f>
        <v>1687946.7493599998</v>
      </c>
      <c r="F10" s="92">
        <f t="shared" si="2"/>
        <v>0</v>
      </c>
      <c r="G10" s="92">
        <f t="shared" si="2"/>
        <v>0</v>
      </c>
      <c r="H10" s="92">
        <f t="shared" si="0"/>
        <v>6353132.7997373408</v>
      </c>
      <c r="AH10" s="89" t="s">
        <v>62</v>
      </c>
      <c r="AI10" s="89" t="s">
        <v>63</v>
      </c>
      <c r="AJ10" s="82" t="s">
        <v>64</v>
      </c>
    </row>
    <row r="11" spans="1:36">
      <c r="A11" s="86">
        <v>5</v>
      </c>
      <c r="B11" s="89" t="s">
        <v>65</v>
      </c>
      <c r="C11" s="92">
        <f>+C6*C36</f>
        <v>40098</v>
      </c>
      <c r="D11" s="92">
        <f>+D6*D36</f>
        <v>39852.000000000007</v>
      </c>
      <c r="E11" s="92">
        <f t="shared" ref="E11:G11" si="3">+E6*E36</f>
        <v>22065.835919999998</v>
      </c>
      <c r="F11" s="92">
        <f t="shared" si="3"/>
        <v>0</v>
      </c>
      <c r="G11" s="92">
        <f t="shared" si="3"/>
        <v>0</v>
      </c>
      <c r="H11" s="92">
        <f t="shared" si="0"/>
        <v>102015.83592</v>
      </c>
      <c r="AH11" s="89" t="s">
        <v>66</v>
      </c>
      <c r="AI11" s="89" t="s">
        <v>65</v>
      </c>
    </row>
    <row r="12" spans="1:36">
      <c r="A12" s="86">
        <v>6</v>
      </c>
      <c r="B12" s="89" t="s">
        <v>67</v>
      </c>
      <c r="C12" s="92">
        <f>+C6*C37</f>
        <v>36186</v>
      </c>
      <c r="D12" s="92">
        <f>+D6*D37</f>
        <v>35964</v>
      </c>
      <c r="E12" s="92">
        <f t="shared" ref="E12:G12" si="4">+E6*E37</f>
        <v>19913.07144</v>
      </c>
      <c r="F12" s="92">
        <f t="shared" si="4"/>
        <v>0</v>
      </c>
      <c r="G12" s="92">
        <f t="shared" si="4"/>
        <v>0</v>
      </c>
      <c r="H12" s="92">
        <f t="shared" si="0"/>
        <v>92063.07144</v>
      </c>
      <c r="AH12" s="89" t="s">
        <v>68</v>
      </c>
      <c r="AI12" s="89" t="s">
        <v>67</v>
      </c>
    </row>
    <row r="13" spans="1:36">
      <c r="A13" s="86">
        <v>7</v>
      </c>
      <c r="B13" s="89" t="s">
        <v>69</v>
      </c>
      <c r="C13" s="92">
        <f>+C6*C38</f>
        <v>52160.000000000007</v>
      </c>
      <c r="D13" s="92">
        <f>+D6*D38</f>
        <v>51840</v>
      </c>
      <c r="E13" s="92">
        <f t="shared" ref="E13:G13" si="5">+E6*E38</f>
        <v>28703.526399999999</v>
      </c>
      <c r="F13" s="92">
        <f t="shared" si="5"/>
        <v>0</v>
      </c>
      <c r="G13" s="92">
        <f t="shared" si="5"/>
        <v>0</v>
      </c>
      <c r="H13" s="92">
        <f t="shared" si="0"/>
        <v>132703.5264</v>
      </c>
      <c r="AH13" s="89" t="s">
        <v>70</v>
      </c>
      <c r="AI13" s="89" t="s">
        <v>69</v>
      </c>
      <c r="AJ13" s="82" t="s">
        <v>53</v>
      </c>
    </row>
    <row r="14" spans="1:36">
      <c r="A14" s="86">
        <v>8</v>
      </c>
      <c r="B14" s="94" t="s">
        <v>71</v>
      </c>
      <c r="C14" s="92">
        <f>SUM(C11:C13)</f>
        <v>128444</v>
      </c>
      <c r="D14" s="92">
        <f>SUM(D11:D13)</f>
        <v>127656</v>
      </c>
      <c r="E14" s="92">
        <f t="shared" ref="E14:H14" si="6">SUM(E11:E13)</f>
        <v>70682.43376</v>
      </c>
      <c r="F14" s="92">
        <f t="shared" si="6"/>
        <v>0</v>
      </c>
      <c r="G14" s="92">
        <f t="shared" si="6"/>
        <v>0</v>
      </c>
      <c r="H14" s="92">
        <f t="shared" si="6"/>
        <v>326782.43376000004</v>
      </c>
      <c r="AH14" s="89" t="s">
        <v>72</v>
      </c>
      <c r="AI14" s="94" t="s">
        <v>71</v>
      </c>
    </row>
    <row r="15" spans="1:36">
      <c r="A15" s="86">
        <v>9</v>
      </c>
      <c r="B15" s="94" t="s">
        <v>73</v>
      </c>
      <c r="C15" s="92">
        <f>+C9-C10-C14</f>
        <v>506919.11681132996</v>
      </c>
      <c r="D15" s="92">
        <f>+D9-D10-D14</f>
        <v>504169.33281132905</v>
      </c>
      <c r="E15" s="92">
        <f t="shared" ref="E15:H15" si="7">+E9-E10-E14</f>
        <v>504799.85688000027</v>
      </c>
      <c r="F15" s="92">
        <f t="shared" si="7"/>
        <v>0</v>
      </c>
      <c r="G15" s="92">
        <f t="shared" si="7"/>
        <v>0</v>
      </c>
      <c r="H15" s="92">
        <f t="shared" si="7"/>
        <v>1515888.3065026603</v>
      </c>
      <c r="AH15" s="89" t="s">
        <v>74</v>
      </c>
      <c r="AI15" s="94" t="s">
        <v>73</v>
      </c>
    </row>
    <row r="16" spans="1:36">
      <c r="A16" s="86">
        <v>10</v>
      </c>
      <c r="B16" s="89" t="s">
        <v>75</v>
      </c>
      <c r="C16" s="95">
        <f>+C15/C9</f>
        <v>0.17037499914927631</v>
      </c>
      <c r="D16" s="95">
        <f>+D15/D9</f>
        <v>0.17049679213576902</v>
      </c>
      <c r="E16" s="95">
        <f t="shared" ref="E16:G16" si="8">+E15/E9</f>
        <v>0.2230243793637994</v>
      </c>
      <c r="F16" s="95" t="e">
        <f t="shared" si="8"/>
        <v>#DIV/0!</v>
      </c>
      <c r="G16" s="95" t="e">
        <f t="shared" si="8"/>
        <v>#DIV/0!</v>
      </c>
      <c r="H16" s="95">
        <f>+H15/H9</f>
        <v>0.18495908291411534</v>
      </c>
      <c r="I16" s="96"/>
      <c r="J16" s="96"/>
      <c r="K16" s="96"/>
      <c r="AH16" s="89" t="s">
        <v>76</v>
      </c>
      <c r="AI16" s="89" t="s">
        <v>75</v>
      </c>
    </row>
    <row r="17" spans="1:36">
      <c r="A17" s="86">
        <v>11</v>
      </c>
      <c r="B17" s="89" t="s">
        <v>77</v>
      </c>
      <c r="C17" s="92">
        <f>C6*C43+C18</f>
        <v>119316</v>
      </c>
      <c r="D17" s="92">
        <f>D6*D43+D18</f>
        <v>118584</v>
      </c>
      <c r="E17" s="92">
        <f t="shared" ref="E17:G17" si="9">E6*E43+E18</f>
        <v>65659.316640000005</v>
      </c>
      <c r="F17" s="92">
        <f t="shared" si="9"/>
        <v>0</v>
      </c>
      <c r="G17" s="92">
        <f t="shared" si="9"/>
        <v>0</v>
      </c>
      <c r="H17" s="92">
        <f>+SUM(C17:G17)</f>
        <v>303559.31663999998</v>
      </c>
      <c r="I17" s="93"/>
      <c r="AH17" s="89" t="s">
        <v>78</v>
      </c>
      <c r="AI17" s="89" t="s">
        <v>77</v>
      </c>
    </row>
    <row r="18" spans="1:36" s="83" customFormat="1">
      <c r="A18" s="86">
        <v>12</v>
      </c>
      <c r="B18" s="97" t="s">
        <v>147</v>
      </c>
      <c r="C18" s="98">
        <f>$H$18/$H$6*C6</f>
        <v>0</v>
      </c>
      <c r="D18" s="98">
        <f>$H$18/$H$6*D6</f>
        <v>0</v>
      </c>
      <c r="E18" s="98">
        <f t="shared" ref="E18:G18" si="10">$H$18/$H$6*E6</f>
        <v>0</v>
      </c>
      <c r="F18" s="98">
        <f t="shared" si="10"/>
        <v>0</v>
      </c>
      <c r="G18" s="98">
        <f t="shared" si="10"/>
        <v>0</v>
      </c>
      <c r="H18" s="92">
        <f>项目投资!G26</f>
        <v>0</v>
      </c>
      <c r="I18" s="99" t="s">
        <v>148</v>
      </c>
      <c r="J18" s="99"/>
      <c r="K18" s="99"/>
    </row>
    <row r="19" spans="1:36">
      <c r="A19" s="86">
        <v>13</v>
      </c>
      <c r="B19" s="89" t="s">
        <v>79</v>
      </c>
      <c r="C19" s="92">
        <f>C6*C44</f>
        <v>27383.999999999996</v>
      </c>
      <c r="D19" s="92">
        <f>D6*D44</f>
        <v>27215.999999999996</v>
      </c>
      <c r="E19" s="92">
        <f t="shared" ref="E19:G19" si="11">E6*E44</f>
        <v>15069.351359999999</v>
      </c>
      <c r="F19" s="92">
        <f t="shared" si="11"/>
        <v>0</v>
      </c>
      <c r="G19" s="92">
        <f t="shared" si="11"/>
        <v>0</v>
      </c>
      <c r="H19" s="92">
        <f t="shared" ref="H19:H20" si="12">+SUM(C19:G19)</f>
        <v>69669.351359999986</v>
      </c>
      <c r="I19" s="83"/>
      <c r="AH19" s="89" t="s">
        <v>80</v>
      </c>
      <c r="AI19" s="89" t="s">
        <v>79</v>
      </c>
      <c r="AJ19" s="82" t="s">
        <v>53</v>
      </c>
    </row>
    <row r="20" spans="1:36">
      <c r="A20" s="86">
        <v>14</v>
      </c>
      <c r="B20" s="89" t="s">
        <v>81</v>
      </c>
      <c r="C20" s="92">
        <f>C6*C45</f>
        <v>105298</v>
      </c>
      <c r="D20" s="92">
        <f>D6*D45</f>
        <v>104652</v>
      </c>
      <c r="E20" s="92">
        <f t="shared" ref="E20:G20" si="13">E6*E45</f>
        <v>57945.243920000001</v>
      </c>
      <c r="F20" s="92">
        <f t="shared" si="13"/>
        <v>0</v>
      </c>
      <c r="G20" s="92">
        <f t="shared" si="13"/>
        <v>0</v>
      </c>
      <c r="H20" s="92">
        <f t="shared" si="12"/>
        <v>267895.24391999998</v>
      </c>
      <c r="AH20" s="89" t="s">
        <v>82</v>
      </c>
      <c r="AI20" s="89" t="s">
        <v>81</v>
      </c>
    </row>
    <row r="21" spans="1:36">
      <c r="A21" s="86">
        <v>15</v>
      </c>
      <c r="B21" s="89" t="s">
        <v>83</v>
      </c>
      <c r="C21" s="100">
        <f>$H$21/$H$6*C6</f>
        <v>500</v>
      </c>
      <c r="D21" s="100">
        <f>$H$21/$H$6*D6</f>
        <v>500</v>
      </c>
      <c r="E21" s="100">
        <f t="shared" ref="E21:G21" si="14">$H$21/$H$6*E6</f>
        <v>1000</v>
      </c>
      <c r="F21" s="100">
        <f t="shared" si="14"/>
        <v>0</v>
      </c>
      <c r="G21" s="100">
        <f t="shared" si="14"/>
        <v>0</v>
      </c>
      <c r="H21" s="92">
        <f>项目投资!G27</f>
        <v>2000</v>
      </c>
      <c r="AH21" s="89"/>
      <c r="AI21" s="89"/>
    </row>
    <row r="22" spans="1:36">
      <c r="A22" s="86">
        <v>16</v>
      </c>
      <c r="B22" s="89" t="s">
        <v>84</v>
      </c>
      <c r="C22" s="92">
        <f>C6*C47</f>
        <v>115729.99999999999</v>
      </c>
      <c r="D22" s="92">
        <f>D6*D47</f>
        <v>115020</v>
      </c>
      <c r="E22" s="92">
        <f t="shared" ref="E22:G22" si="15">E6*E47</f>
        <v>63685.949199999988</v>
      </c>
      <c r="F22" s="92">
        <f t="shared" si="15"/>
        <v>0</v>
      </c>
      <c r="G22" s="92">
        <f t="shared" si="15"/>
        <v>0</v>
      </c>
      <c r="H22" s="92">
        <f>+SUM(C22:G22)</f>
        <v>294435.94919999997</v>
      </c>
      <c r="AH22" s="89" t="s">
        <v>85</v>
      </c>
      <c r="AI22" s="89" t="s">
        <v>84</v>
      </c>
    </row>
    <row r="23" spans="1:36">
      <c r="A23" s="86">
        <v>17</v>
      </c>
      <c r="B23" s="94" t="s">
        <v>86</v>
      </c>
      <c r="C23" s="100">
        <f>+C22+C21+C20+C19+C17</f>
        <v>368228</v>
      </c>
      <c r="D23" s="100">
        <f>+D22+D21+D20+D19+D17</f>
        <v>365972</v>
      </c>
      <c r="E23" s="100">
        <f t="shared" ref="E23:G23" si="16">+E22+E21+E20+E19+E17</f>
        <v>203359.86111999999</v>
      </c>
      <c r="F23" s="100">
        <f t="shared" si="16"/>
        <v>0</v>
      </c>
      <c r="G23" s="100">
        <f t="shared" si="16"/>
        <v>0</v>
      </c>
      <c r="H23" s="100">
        <f>+H22+H21+H20+H19+H17</f>
        <v>937559.8611199999</v>
      </c>
      <c r="AH23" s="89" t="s">
        <v>87</v>
      </c>
      <c r="AI23" s="94" t="s">
        <v>86</v>
      </c>
    </row>
    <row r="24" spans="1:36">
      <c r="A24" s="86">
        <v>18</v>
      </c>
      <c r="B24" s="101" t="s">
        <v>88</v>
      </c>
      <c r="C24" s="100">
        <f>+C15-C23</f>
        <v>138691.11681132996</v>
      </c>
      <c r="D24" s="100">
        <f>+D15-D23</f>
        <v>138197.33281132905</v>
      </c>
      <c r="E24" s="100">
        <f t="shared" ref="E24:G24" si="17">+E15-E23</f>
        <v>301439.99576000031</v>
      </c>
      <c r="F24" s="100">
        <f t="shared" si="17"/>
        <v>0</v>
      </c>
      <c r="G24" s="100">
        <f t="shared" si="17"/>
        <v>0</v>
      </c>
      <c r="H24" s="100">
        <f>+H15-H23</f>
        <v>578328.44538266037</v>
      </c>
      <c r="J24" s="102"/>
      <c r="AH24" s="89" t="s">
        <v>89</v>
      </c>
      <c r="AI24" s="89" t="s">
        <v>88</v>
      </c>
    </row>
    <row r="25" spans="1:36">
      <c r="A25" s="86">
        <v>19</v>
      </c>
      <c r="B25" s="89" t="s">
        <v>277</v>
      </c>
      <c r="C25" s="100">
        <f>IF(C24&lt;0,0,C24*0.15)</f>
        <v>20803.667521699495</v>
      </c>
      <c r="D25" s="100">
        <f t="shared" ref="D25:H25" si="18">IF(D24&lt;0,0,D24*0.15)</f>
        <v>20729.599921699355</v>
      </c>
      <c r="E25" s="100">
        <f t="shared" ref="E25:G25" si="19">IF(E24&lt;0,0,E24*0.15)</f>
        <v>45215.999364000047</v>
      </c>
      <c r="F25" s="100">
        <f t="shared" si="19"/>
        <v>0</v>
      </c>
      <c r="G25" s="100">
        <f t="shared" si="19"/>
        <v>0</v>
      </c>
      <c r="H25" s="100">
        <f t="shared" si="18"/>
        <v>86749.26680739905</v>
      </c>
      <c r="I25" s="2"/>
      <c r="J25" s="2"/>
      <c r="K25" s="2"/>
      <c r="AH25" s="89" t="s">
        <v>90</v>
      </c>
      <c r="AI25" s="89" t="s">
        <v>35</v>
      </c>
    </row>
    <row r="26" spans="1:36">
      <c r="A26" s="86">
        <v>20</v>
      </c>
      <c r="B26" s="89" t="s">
        <v>91</v>
      </c>
      <c r="C26" s="100">
        <f>C24-C25</f>
        <v>117887.44928963047</v>
      </c>
      <c r="D26" s="100">
        <f>D24-D25</f>
        <v>117467.7328896297</v>
      </c>
      <c r="E26" s="100">
        <f t="shared" ref="E26:H26" si="20">E24-E25</f>
        <v>256223.99639600026</v>
      </c>
      <c r="F26" s="100">
        <f t="shared" si="20"/>
        <v>0</v>
      </c>
      <c r="G26" s="100">
        <f t="shared" si="20"/>
        <v>0</v>
      </c>
      <c r="H26" s="100">
        <f t="shared" si="20"/>
        <v>491579.17857526132</v>
      </c>
      <c r="I26" s="2"/>
      <c r="J26" s="2"/>
      <c r="K26" s="2"/>
      <c r="AH26" s="89" t="s">
        <v>92</v>
      </c>
      <c r="AI26" s="89" t="s">
        <v>91</v>
      </c>
    </row>
    <row r="27" spans="1:36">
      <c r="A27" s="86">
        <v>21</v>
      </c>
      <c r="B27" s="89" t="s">
        <v>95</v>
      </c>
      <c r="C27" s="103">
        <f>C26/C7</f>
        <v>3.6161794260622847E-2</v>
      </c>
      <c r="D27" s="103">
        <f>D26/D7</f>
        <v>3.6255473114083239E-2</v>
      </c>
      <c r="E27" s="103">
        <f t="shared" ref="E27:G27" si="21">E26/E7</f>
        <v>0.10331612757903237</v>
      </c>
      <c r="F27" s="103" t="e">
        <f t="shared" si="21"/>
        <v>#DIV/0!</v>
      </c>
      <c r="G27" s="103" t="e">
        <f t="shared" si="21"/>
        <v>#DIV/0!</v>
      </c>
      <c r="H27" s="103">
        <f>H26/H7</f>
        <v>5.4741556634216183E-2</v>
      </c>
      <c r="I27" s="2"/>
      <c r="J27" s="2"/>
      <c r="K27" s="2"/>
      <c r="AH27" s="89" t="s">
        <v>94</v>
      </c>
      <c r="AI27" s="89" t="s">
        <v>95</v>
      </c>
    </row>
    <row r="28" spans="1:36">
      <c r="I28" s="2"/>
      <c r="J28" s="2"/>
      <c r="K28" s="2"/>
    </row>
    <row r="29" spans="1:36">
      <c r="A29" s="82" t="s">
        <v>96</v>
      </c>
      <c r="H29" s="85" t="s">
        <v>149</v>
      </c>
      <c r="I29" s="2"/>
      <c r="J29" s="2"/>
      <c r="K29" s="2"/>
      <c r="AH29" s="82" t="s">
        <v>96</v>
      </c>
    </row>
    <row r="30" spans="1:36">
      <c r="A30" s="89" t="s">
        <v>97</v>
      </c>
      <c r="B30" s="94" t="s">
        <v>98</v>
      </c>
      <c r="C30" s="100"/>
      <c r="D30" s="100"/>
      <c r="E30" s="100"/>
      <c r="F30" s="100"/>
      <c r="G30" s="100"/>
      <c r="H30" s="100"/>
      <c r="I30" s="2"/>
      <c r="J30" s="2"/>
      <c r="K30" s="2"/>
      <c r="M30" s="2"/>
      <c r="AH30" s="89" t="s">
        <v>99</v>
      </c>
      <c r="AI30" s="94" t="s">
        <v>98</v>
      </c>
    </row>
    <row r="31" spans="1:36">
      <c r="A31" s="86">
        <v>1</v>
      </c>
      <c r="B31" s="97" t="s">
        <v>100</v>
      </c>
      <c r="C31" s="104">
        <f>销量!C8</f>
        <v>1630</v>
      </c>
      <c r="D31" s="104">
        <f>销量!D8</f>
        <v>1620</v>
      </c>
      <c r="E31" s="104">
        <f>销量!E8</f>
        <v>620</v>
      </c>
      <c r="F31" s="104">
        <f>销量!F8</f>
        <v>0</v>
      </c>
      <c r="G31" s="104">
        <f>销量!G8</f>
        <v>0</v>
      </c>
      <c r="H31" s="100"/>
      <c r="I31" s="2"/>
      <c r="J31" s="2"/>
      <c r="K31" s="2"/>
      <c r="M31" s="2"/>
      <c r="AH31" s="89" t="s">
        <v>55</v>
      </c>
      <c r="AI31" s="89" t="s">
        <v>100</v>
      </c>
    </row>
    <row r="32" spans="1:36">
      <c r="A32" s="86">
        <v>2</v>
      </c>
      <c r="B32" s="89" t="s">
        <v>150</v>
      </c>
      <c r="C32" s="92">
        <f>C9/C6</f>
        <v>1487.6569900000002</v>
      </c>
      <c r="D32" s="92">
        <f t="shared" ref="D32:G32" si="22">D9/D6</f>
        <v>1478.53026</v>
      </c>
      <c r="E32" s="92">
        <f t="shared" si="22"/>
        <v>565.85726</v>
      </c>
      <c r="F32" s="92" t="e">
        <f t="shared" si="22"/>
        <v>#DIV/0!</v>
      </c>
      <c r="G32" s="92" t="e">
        <f t="shared" si="22"/>
        <v>#DIV/0!</v>
      </c>
      <c r="H32" s="100"/>
      <c r="I32" s="2"/>
      <c r="J32" s="2"/>
      <c r="K32" s="2"/>
      <c r="L32" s="2"/>
      <c r="M32" s="2"/>
      <c r="N32" s="2"/>
      <c r="O32" s="2"/>
      <c r="AH32" s="89"/>
      <c r="AI32" s="89"/>
    </row>
    <row r="33" spans="1:35">
      <c r="A33" s="86">
        <v>3</v>
      </c>
      <c r="B33" s="97" t="s">
        <v>101</v>
      </c>
      <c r="C33" s="92">
        <f>材料成本!D26</f>
        <v>1169.9754315943353</v>
      </c>
      <c r="D33" s="92">
        <f>材料成本!E26</f>
        <v>1162.6175935943354</v>
      </c>
      <c r="E33" s="92">
        <f>材料成本!F26</f>
        <v>421.98668733999995</v>
      </c>
      <c r="F33" s="92">
        <f>材料成本!G26</f>
        <v>0</v>
      </c>
      <c r="G33" s="92">
        <f>材料成本!H26</f>
        <v>0</v>
      </c>
      <c r="H33" s="100"/>
      <c r="J33" s="2"/>
      <c r="K33" s="2"/>
      <c r="L33" s="2"/>
      <c r="M33" s="2"/>
      <c r="N33" s="2"/>
      <c r="O33" s="2"/>
      <c r="AH33" s="89" t="s">
        <v>57</v>
      </c>
      <c r="AI33" s="89" t="s">
        <v>101</v>
      </c>
    </row>
    <row r="34" spans="1:35" ht="17.25" customHeight="1">
      <c r="A34" s="86">
        <v>4</v>
      </c>
      <c r="B34" s="89" t="s">
        <v>103</v>
      </c>
      <c r="C34" s="105">
        <f>C32-C33</f>
        <v>317.68155840566487</v>
      </c>
      <c r="D34" s="105">
        <f>D32-D33</f>
        <v>315.9126664056646</v>
      </c>
      <c r="E34" s="105">
        <f t="shared" ref="E34:G34" si="23">E32-E33</f>
        <v>143.87057266000005</v>
      </c>
      <c r="F34" s="105" t="e">
        <f t="shared" si="23"/>
        <v>#DIV/0!</v>
      </c>
      <c r="G34" s="105" t="e">
        <f t="shared" si="23"/>
        <v>#DIV/0!</v>
      </c>
      <c r="H34" s="100"/>
      <c r="J34" s="2"/>
      <c r="K34" s="2"/>
      <c r="L34" s="2"/>
      <c r="M34" s="2"/>
      <c r="N34" s="2"/>
      <c r="O34" s="2"/>
      <c r="AH34" s="89" t="s">
        <v>102</v>
      </c>
      <c r="AI34" s="89" t="s">
        <v>103</v>
      </c>
    </row>
    <row r="35" spans="1:35">
      <c r="A35" s="89" t="s">
        <v>99</v>
      </c>
      <c r="B35" s="94" t="s">
        <v>9</v>
      </c>
      <c r="C35" s="100"/>
      <c r="D35" s="100"/>
      <c r="E35" s="100"/>
      <c r="F35" s="100"/>
      <c r="G35" s="100"/>
      <c r="H35" s="100"/>
      <c r="I35" s="2"/>
      <c r="J35" s="2"/>
      <c r="K35" s="2"/>
      <c r="L35" s="2"/>
      <c r="M35" s="2"/>
      <c r="N35" s="2"/>
      <c r="O35" s="2"/>
      <c r="P35" s="2"/>
      <c r="Q35" s="2"/>
      <c r="R35" s="2"/>
      <c r="AH35" s="89" t="s">
        <v>105</v>
      </c>
      <c r="AI35" s="94" t="s">
        <v>9</v>
      </c>
    </row>
    <row r="36" spans="1:35">
      <c r="A36" s="86">
        <v>1</v>
      </c>
      <c r="B36" s="89" t="s">
        <v>106</v>
      </c>
      <c r="C36" s="98">
        <f>'2025年'!C36</f>
        <v>20.048999999999999</v>
      </c>
      <c r="D36" s="98">
        <f>'2025年'!D36</f>
        <v>19.926000000000002</v>
      </c>
      <c r="E36" s="98">
        <f>'2025年'!E36</f>
        <v>5.5164589799999995</v>
      </c>
      <c r="F36" s="98">
        <f>'2025年'!F36</f>
        <v>0</v>
      </c>
      <c r="G36" s="98">
        <f>'2025年'!G36</f>
        <v>0</v>
      </c>
      <c r="H36" s="104"/>
      <c r="I36" s="2"/>
      <c r="J36" s="2"/>
      <c r="K36" s="2"/>
      <c r="L36" s="2"/>
      <c r="M36" s="2"/>
      <c r="N36" s="2"/>
      <c r="O36" s="2"/>
      <c r="P36" s="2"/>
      <c r="Q36" s="2"/>
      <c r="R36" s="2"/>
      <c r="AH36" s="89" t="s">
        <v>102</v>
      </c>
      <c r="AI36" s="89" t="s">
        <v>106</v>
      </c>
    </row>
    <row r="37" spans="1:35">
      <c r="A37" s="86">
        <v>2</v>
      </c>
      <c r="B37" s="89" t="s">
        <v>107</v>
      </c>
      <c r="C37" s="98">
        <f>'2025年'!C37</f>
        <v>18.093</v>
      </c>
      <c r="D37" s="98">
        <f>'2025年'!D37</f>
        <v>17.981999999999999</v>
      </c>
      <c r="E37" s="98">
        <f>'2025年'!E37</f>
        <v>4.9782678599999999</v>
      </c>
      <c r="F37" s="98">
        <f>'2025年'!F37</f>
        <v>0</v>
      </c>
      <c r="G37" s="98">
        <f>'2025年'!G37</f>
        <v>0</v>
      </c>
      <c r="H37" s="104"/>
      <c r="I37" s="2"/>
      <c r="J37" s="2"/>
      <c r="K37" s="2"/>
      <c r="L37" s="2"/>
      <c r="M37" s="2"/>
      <c r="N37" s="2"/>
      <c r="O37" s="2"/>
      <c r="P37" s="2"/>
      <c r="Q37" s="2"/>
      <c r="R37" s="2"/>
      <c r="AH37" s="89" t="s">
        <v>60</v>
      </c>
      <c r="AI37" s="89" t="s">
        <v>107</v>
      </c>
    </row>
    <row r="38" spans="1:35">
      <c r="A38" s="86">
        <v>3</v>
      </c>
      <c r="B38" s="89" t="s">
        <v>108</v>
      </c>
      <c r="C38" s="98">
        <f>'2025年'!C38</f>
        <v>26.080000000000002</v>
      </c>
      <c r="D38" s="98">
        <f>'2025年'!D38</f>
        <v>25.92</v>
      </c>
      <c r="E38" s="98">
        <f>'2025年'!E38</f>
        <v>7.1758815999999994</v>
      </c>
      <c r="F38" s="98">
        <f>'2025年'!F38</f>
        <v>0</v>
      </c>
      <c r="G38" s="98">
        <f>'2025年'!G38</f>
        <v>0</v>
      </c>
      <c r="H38" s="104"/>
      <c r="I38" s="2"/>
      <c r="J38" s="2"/>
      <c r="K38" s="2"/>
      <c r="L38" s="2"/>
      <c r="M38" s="2"/>
      <c r="N38" s="2"/>
      <c r="O38" s="2"/>
      <c r="P38" s="2"/>
      <c r="Q38" s="2"/>
      <c r="R38" s="2"/>
      <c r="AH38" s="89" t="s">
        <v>66</v>
      </c>
      <c r="AI38" s="89" t="s">
        <v>108</v>
      </c>
    </row>
    <row r="39" spans="1:35">
      <c r="A39" s="89" t="s">
        <v>105</v>
      </c>
      <c r="B39" s="94" t="s">
        <v>110</v>
      </c>
      <c r="C39" s="100"/>
      <c r="D39" s="100"/>
      <c r="E39" s="100"/>
      <c r="F39" s="100"/>
      <c r="G39" s="100"/>
      <c r="H39" s="100"/>
      <c r="AH39" s="89" t="s">
        <v>109</v>
      </c>
      <c r="AI39" s="94" t="s">
        <v>110</v>
      </c>
    </row>
    <row r="40" spans="1:35">
      <c r="A40" s="86">
        <v>1</v>
      </c>
      <c r="B40" s="89" t="s">
        <v>111</v>
      </c>
      <c r="C40" s="100">
        <f>C34-C36-C37-C38</f>
        <v>253.45955840566486</v>
      </c>
      <c r="D40" s="100">
        <f>D34-D36-D37-D38</f>
        <v>252.08466640566456</v>
      </c>
      <c r="E40" s="100">
        <f t="shared" ref="E40:G40" si="24">E34-E36-E37-E38</f>
        <v>126.19996422000006</v>
      </c>
      <c r="F40" s="100" t="e">
        <f t="shared" si="24"/>
        <v>#DIV/0!</v>
      </c>
      <c r="G40" s="100" t="e">
        <f t="shared" si="24"/>
        <v>#DIV/0!</v>
      </c>
      <c r="H40" s="100"/>
      <c r="AH40" s="89" t="s">
        <v>55</v>
      </c>
      <c r="AI40" s="89" t="s">
        <v>111</v>
      </c>
    </row>
    <row r="41" spans="1:35">
      <c r="A41" s="86">
        <v>2</v>
      </c>
      <c r="B41" s="89" t="s">
        <v>112</v>
      </c>
      <c r="C41" s="100"/>
      <c r="D41" s="100"/>
      <c r="E41" s="100"/>
      <c r="F41" s="100"/>
      <c r="G41" s="100"/>
      <c r="H41" s="100"/>
      <c r="AH41" s="89" t="s">
        <v>57</v>
      </c>
      <c r="AI41" s="89" t="s">
        <v>112</v>
      </c>
    </row>
    <row r="42" spans="1:35">
      <c r="A42" s="89" t="s">
        <v>109</v>
      </c>
      <c r="B42" s="94" t="s">
        <v>114</v>
      </c>
      <c r="C42" s="100"/>
      <c r="D42" s="100"/>
      <c r="E42" s="100"/>
      <c r="F42" s="100"/>
      <c r="G42" s="100"/>
      <c r="H42" s="100"/>
      <c r="AH42" s="89" t="s">
        <v>113</v>
      </c>
      <c r="AI42" s="94" t="s">
        <v>114</v>
      </c>
    </row>
    <row r="43" spans="1:35">
      <c r="A43" s="86">
        <v>1</v>
      </c>
      <c r="B43" s="101" t="s">
        <v>115</v>
      </c>
      <c r="C43" s="98">
        <f>'2025年'!C43</f>
        <v>59.658000000000001</v>
      </c>
      <c r="D43" s="98">
        <f>'2025年'!D43</f>
        <v>59.292000000000002</v>
      </c>
      <c r="E43" s="98">
        <f>'2025年'!E43</f>
        <v>16.41482916</v>
      </c>
      <c r="F43" s="98">
        <f>'2025年'!F43</f>
        <v>0</v>
      </c>
      <c r="G43" s="98">
        <f>'2025年'!G43</f>
        <v>0</v>
      </c>
      <c r="H43" s="100"/>
      <c r="AH43" s="89" t="s">
        <v>55</v>
      </c>
      <c r="AI43" s="89" t="s">
        <v>115</v>
      </c>
    </row>
    <row r="44" spans="1:35">
      <c r="A44" s="86">
        <v>2</v>
      </c>
      <c r="B44" s="101" t="s">
        <v>116</v>
      </c>
      <c r="C44" s="98">
        <f>'2025年'!C44</f>
        <v>13.691999999999998</v>
      </c>
      <c r="D44" s="98">
        <f>'2025年'!D44</f>
        <v>13.607999999999999</v>
      </c>
      <c r="E44" s="98">
        <f>'2025年'!E44</f>
        <v>3.7673378399999997</v>
      </c>
      <c r="F44" s="98">
        <f>'2025年'!F44</f>
        <v>0</v>
      </c>
      <c r="G44" s="98">
        <f>'2025年'!G44</f>
        <v>0</v>
      </c>
      <c r="H44" s="100"/>
      <c r="AH44" s="89" t="s">
        <v>57</v>
      </c>
      <c r="AI44" s="89" t="s">
        <v>116</v>
      </c>
    </row>
    <row r="45" spans="1:35">
      <c r="A45" s="86">
        <v>3</v>
      </c>
      <c r="B45" s="101" t="s">
        <v>117</v>
      </c>
      <c r="C45" s="98">
        <f>'2025年'!C45</f>
        <v>52.649000000000001</v>
      </c>
      <c r="D45" s="98">
        <f>'2025年'!D45</f>
        <v>52.326000000000001</v>
      </c>
      <c r="E45" s="98">
        <f>'2025年'!E45</f>
        <v>14.486310980000001</v>
      </c>
      <c r="F45" s="98">
        <f>'2025年'!F45</f>
        <v>0</v>
      </c>
      <c r="G45" s="98">
        <f>'2025年'!G45</f>
        <v>0</v>
      </c>
      <c r="H45" s="100"/>
      <c r="AH45" s="89" t="s">
        <v>102</v>
      </c>
      <c r="AI45" s="89" t="s">
        <v>117</v>
      </c>
    </row>
    <row r="46" spans="1:35" s="84" customFormat="1">
      <c r="A46" s="86">
        <v>4</v>
      </c>
      <c r="B46" s="101" t="s">
        <v>118</v>
      </c>
      <c r="C46" s="106">
        <f>C21/C6</f>
        <v>0.25</v>
      </c>
      <c r="D46" s="106">
        <f>D21/D6</f>
        <v>0.25</v>
      </c>
      <c r="E46" s="106">
        <f t="shared" ref="E46:G46" si="25">E21/E6</f>
        <v>0.25</v>
      </c>
      <c r="F46" s="106" t="e">
        <f t="shared" si="25"/>
        <v>#DIV/0!</v>
      </c>
      <c r="G46" s="106" t="e">
        <f t="shared" si="25"/>
        <v>#DIV/0!</v>
      </c>
      <c r="H46" s="106"/>
      <c r="AH46" s="101" t="s">
        <v>62</v>
      </c>
      <c r="AI46" s="101" t="s">
        <v>120</v>
      </c>
    </row>
    <row r="47" spans="1:35" s="84" customFormat="1">
      <c r="A47" s="86">
        <v>5</v>
      </c>
      <c r="B47" s="101" t="s">
        <v>120</v>
      </c>
      <c r="C47" s="98">
        <f>'2025年'!C47</f>
        <v>57.864999999999995</v>
      </c>
      <c r="D47" s="98">
        <f>'2025年'!D47</f>
        <v>57.51</v>
      </c>
      <c r="E47" s="98">
        <f>'2025年'!E47</f>
        <v>15.921487299999997</v>
      </c>
      <c r="F47" s="98">
        <f>'2025年'!F47</f>
        <v>0</v>
      </c>
      <c r="G47" s="98">
        <f>'2025年'!G47</f>
        <v>0</v>
      </c>
      <c r="H47" s="106"/>
      <c r="AH47" s="101" t="s">
        <v>62</v>
      </c>
      <c r="AI47" s="101" t="s">
        <v>120</v>
      </c>
    </row>
    <row r="48" spans="1:35">
      <c r="A48" s="89" t="s">
        <v>113</v>
      </c>
      <c r="B48" s="94" t="s">
        <v>131</v>
      </c>
      <c r="C48" s="100">
        <f>C40-C43-C44-C45-C47-C46</f>
        <v>69.345558405664875</v>
      </c>
      <c r="D48" s="100">
        <f>D40-D43-D44-D45-D47-D46</f>
        <v>69.098666405664574</v>
      </c>
      <c r="E48" s="100">
        <f t="shared" ref="E48:G48" si="26">E40-E43-E44-E45-E47-E46</f>
        <v>75.359998940000068</v>
      </c>
      <c r="F48" s="100" t="e">
        <f t="shared" si="26"/>
        <v>#DIV/0!</v>
      </c>
      <c r="G48" s="100" t="e">
        <f t="shared" si="26"/>
        <v>#DIV/0!</v>
      </c>
      <c r="H48" s="100"/>
      <c r="AH48" s="89" t="s">
        <v>130</v>
      </c>
      <c r="AI48" s="94" t="s">
        <v>131</v>
      </c>
    </row>
    <row r="51" spans="2:13">
      <c r="C51" s="107"/>
      <c r="D51" s="107"/>
      <c r="E51" s="107"/>
      <c r="F51" s="107"/>
      <c r="G51" s="107"/>
    </row>
    <row r="54" spans="2:13">
      <c r="B54" s="2"/>
      <c r="C54" s="108"/>
      <c r="D54" s="108"/>
      <c r="E54" s="108"/>
      <c r="F54" s="108"/>
      <c r="G54" s="108"/>
      <c r="H54" s="108"/>
      <c r="I54" s="2"/>
      <c r="J54" s="2"/>
      <c r="K54" s="2"/>
      <c r="L54" s="2"/>
      <c r="M54" s="2"/>
    </row>
    <row r="55" spans="2:13">
      <c r="B55" s="2"/>
      <c r="C55" s="108"/>
      <c r="D55" s="108"/>
      <c r="E55" s="108"/>
      <c r="F55" s="108"/>
      <c r="G55" s="108"/>
      <c r="H55" s="108"/>
      <c r="I55" s="2"/>
      <c r="J55" s="2"/>
      <c r="K55" s="2"/>
      <c r="L55" s="2"/>
      <c r="M55" s="2"/>
    </row>
    <row r="56" spans="2:13">
      <c r="B56" s="2"/>
      <c r="C56" s="108"/>
      <c r="D56" s="108"/>
      <c r="E56" s="108"/>
      <c r="F56" s="108"/>
      <c r="G56" s="108"/>
      <c r="H56" s="108"/>
      <c r="I56" s="2"/>
      <c r="J56" s="2"/>
      <c r="K56" s="2"/>
      <c r="L56" s="2"/>
      <c r="M56" s="2"/>
    </row>
    <row r="57" spans="2:13">
      <c r="B57" s="2"/>
      <c r="C57" s="108"/>
      <c r="D57" s="108"/>
      <c r="E57" s="108"/>
      <c r="F57" s="108"/>
      <c r="G57" s="108"/>
      <c r="H57" s="108"/>
      <c r="I57" s="2"/>
      <c r="J57" s="2"/>
      <c r="K57" s="2"/>
      <c r="L57" s="2"/>
      <c r="M57" s="2"/>
    </row>
    <row r="58" spans="2:13">
      <c r="B58" s="2"/>
      <c r="C58" s="108"/>
      <c r="D58" s="108"/>
      <c r="E58" s="108"/>
      <c r="F58" s="108"/>
      <c r="G58" s="108"/>
      <c r="H58" s="108"/>
      <c r="I58" s="2"/>
      <c r="J58" s="2"/>
      <c r="K58" s="2"/>
      <c r="L58" s="2"/>
      <c r="M58" s="2"/>
    </row>
    <row r="59" spans="2:13">
      <c r="B59" s="2"/>
      <c r="C59" s="108"/>
      <c r="D59" s="108"/>
      <c r="E59" s="108"/>
      <c r="F59" s="108"/>
      <c r="G59" s="108"/>
      <c r="H59" s="108"/>
      <c r="I59" s="2"/>
      <c r="J59" s="2"/>
      <c r="K59" s="2"/>
      <c r="L59" s="2"/>
      <c r="M59" s="2"/>
    </row>
    <row r="60" spans="2:13">
      <c r="B60" s="2"/>
      <c r="C60" s="108"/>
      <c r="D60" s="108"/>
      <c r="E60" s="108"/>
      <c r="F60" s="108"/>
      <c r="G60" s="108"/>
      <c r="H60" s="108"/>
      <c r="I60" s="2"/>
      <c r="J60" s="2"/>
      <c r="K60" s="2"/>
      <c r="L60" s="2"/>
      <c r="M60" s="2"/>
    </row>
    <row r="61" spans="2:13">
      <c r="B61" s="2"/>
      <c r="C61" s="108"/>
      <c r="D61" s="108"/>
      <c r="E61" s="108"/>
      <c r="F61" s="108"/>
      <c r="G61" s="108"/>
      <c r="H61" s="108"/>
      <c r="I61" s="2"/>
      <c r="J61" s="2"/>
      <c r="K61" s="2"/>
      <c r="L61" s="2"/>
      <c r="M61" s="2"/>
    </row>
    <row r="62" spans="2:13">
      <c r="B62" s="2"/>
      <c r="C62" s="108"/>
      <c r="D62" s="108"/>
      <c r="E62" s="108"/>
      <c r="F62" s="108"/>
      <c r="G62" s="108"/>
      <c r="H62" s="108"/>
      <c r="I62" s="2"/>
      <c r="J62" s="2"/>
      <c r="K62" s="2"/>
      <c r="L62" s="2"/>
      <c r="M62" s="2"/>
    </row>
    <row r="63" spans="2:13">
      <c r="B63" s="2"/>
      <c r="C63" s="108"/>
      <c r="D63" s="108"/>
      <c r="E63" s="108"/>
      <c r="F63" s="108"/>
      <c r="G63" s="108"/>
      <c r="H63" s="108"/>
      <c r="I63" s="2"/>
      <c r="J63" s="2"/>
      <c r="K63" s="2"/>
      <c r="L63" s="2"/>
      <c r="M63" s="2"/>
    </row>
    <row r="64" spans="2:13">
      <c r="B64" s="2"/>
      <c r="C64" s="108"/>
      <c r="D64" s="108"/>
      <c r="E64" s="108"/>
      <c r="F64" s="108"/>
      <c r="G64" s="108"/>
      <c r="H64" s="108"/>
      <c r="I64" s="2"/>
      <c r="J64" s="2"/>
      <c r="K64" s="2"/>
      <c r="L64" s="2"/>
      <c r="M64" s="2"/>
    </row>
    <row r="65" spans="2:13">
      <c r="B65" s="2"/>
      <c r="C65" s="108"/>
      <c r="D65" s="108"/>
      <c r="E65" s="108"/>
      <c r="F65" s="108"/>
      <c r="G65" s="108"/>
      <c r="H65" s="108"/>
      <c r="I65" s="2"/>
      <c r="J65" s="2"/>
      <c r="K65" s="2"/>
      <c r="L65" s="2"/>
      <c r="M65" s="2"/>
    </row>
    <row r="66" spans="2:13">
      <c r="B66" s="2"/>
      <c r="C66" s="108"/>
      <c r="D66" s="108"/>
      <c r="E66" s="108"/>
      <c r="F66" s="108"/>
      <c r="G66" s="108"/>
      <c r="H66" s="108"/>
      <c r="I66" s="2"/>
      <c r="J66" s="2"/>
      <c r="K66" s="2"/>
      <c r="L66" s="2"/>
      <c r="M66" s="2"/>
    </row>
    <row r="67" spans="2:13">
      <c r="B67" s="2"/>
      <c r="C67" s="108"/>
      <c r="D67" s="108"/>
      <c r="E67" s="108"/>
      <c r="F67" s="108"/>
      <c r="G67" s="108"/>
      <c r="H67" s="108"/>
      <c r="I67" s="2"/>
    </row>
    <row r="68" spans="2:13">
      <c r="B68" s="2"/>
      <c r="C68" s="108"/>
      <c r="D68" s="108"/>
      <c r="E68" s="108"/>
      <c r="F68" s="108"/>
      <c r="G68" s="108"/>
      <c r="H68" s="108"/>
      <c r="I68" s="2"/>
    </row>
    <row r="69" spans="2:13">
      <c r="B69" s="2"/>
      <c r="C69" s="108"/>
      <c r="D69" s="108"/>
      <c r="E69" s="108"/>
      <c r="F69" s="108"/>
      <c r="G69" s="108"/>
      <c r="H69" s="108"/>
      <c r="I69" s="2"/>
    </row>
    <row r="70" spans="2:13">
      <c r="B70" s="2"/>
      <c r="C70" s="108"/>
      <c r="D70" s="108"/>
      <c r="E70" s="108"/>
      <c r="F70" s="108"/>
      <c r="G70" s="108"/>
      <c r="H70" s="108"/>
      <c r="I70" s="2"/>
    </row>
    <row r="71" spans="2:13">
      <c r="B71" s="2"/>
      <c r="C71" s="108"/>
      <c r="D71" s="108"/>
      <c r="E71" s="108"/>
      <c r="F71" s="108"/>
      <c r="G71" s="108"/>
      <c r="H71" s="108"/>
      <c r="I71" s="2"/>
    </row>
    <row r="72" spans="2:13">
      <c r="B72" s="2"/>
      <c r="C72" s="108"/>
      <c r="D72" s="108"/>
      <c r="E72" s="108"/>
      <c r="F72" s="108"/>
      <c r="G72" s="108"/>
      <c r="H72" s="108"/>
      <c r="I72" s="2"/>
    </row>
    <row r="73" spans="2:13">
      <c r="B73" s="2"/>
      <c r="C73" s="108"/>
      <c r="D73" s="108"/>
      <c r="E73" s="108"/>
      <c r="F73" s="108"/>
      <c r="G73" s="108"/>
      <c r="H73" s="108"/>
      <c r="I73" s="2"/>
    </row>
    <row r="74" spans="2:13">
      <c r="B74" s="2"/>
      <c r="C74" s="108"/>
      <c r="D74" s="108"/>
      <c r="E74" s="108"/>
      <c r="F74" s="108"/>
      <c r="G74" s="108"/>
      <c r="H74" s="108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zoomScale="90" zoomScaleNormal="90" workbookViewId="0">
      <selection activeCell="G21" sqref="G21"/>
    </sheetView>
  </sheetViews>
  <sheetFormatPr defaultColWidth="9" defaultRowHeight="16.5"/>
  <cols>
    <col min="1" max="1" width="5.125" style="82" customWidth="1"/>
    <col min="2" max="2" width="17.5" style="82" customWidth="1"/>
    <col min="3" max="7" width="14.375" style="85" customWidth="1"/>
    <col min="8" max="8" width="18.75" style="85" customWidth="1"/>
    <col min="9" max="9" width="12.375" style="82" customWidth="1"/>
    <col min="10" max="10" width="10.125" style="82" customWidth="1"/>
    <col min="11" max="17" width="9" style="82" customWidth="1"/>
    <col min="18" max="33" width="9" style="82"/>
    <col min="34" max="34" width="4.375" style="82" customWidth="1"/>
    <col min="35" max="35" width="13.875" style="82" customWidth="1"/>
    <col min="36" max="16384" width="9" style="82"/>
  </cols>
  <sheetData>
    <row r="1" spans="1:36">
      <c r="A1" s="206" t="s">
        <v>141</v>
      </c>
      <c r="B1" s="206"/>
      <c r="C1" s="210" t="s">
        <v>263</v>
      </c>
      <c r="D1" s="211"/>
      <c r="E1" s="211"/>
      <c r="F1" s="211"/>
      <c r="G1" s="211"/>
      <c r="H1" s="212"/>
    </row>
    <row r="2" spans="1:36">
      <c r="A2" s="206" t="s">
        <v>142</v>
      </c>
      <c r="B2" s="206"/>
      <c r="C2" s="213" t="str">
        <f>'2025年'!$C$2</f>
        <v>一汽解放汽车有限公司</v>
      </c>
      <c r="D2" s="213"/>
      <c r="E2" s="213"/>
      <c r="F2" s="213"/>
      <c r="G2" s="213"/>
      <c r="H2" s="213"/>
    </row>
    <row r="3" spans="1:36">
      <c r="A3" s="206" t="s">
        <v>143</v>
      </c>
      <c r="B3" s="206"/>
      <c r="C3" s="87" t="str">
        <f>'2025年'!C3</f>
        <v>驾驶员总成</v>
      </c>
      <c r="D3" s="87" t="str">
        <f>'2025年'!D3</f>
        <v>驾驶员总成</v>
      </c>
      <c r="E3" s="87" t="str">
        <f>'2025年'!E3</f>
        <v>前座总成</v>
      </c>
      <c r="F3" s="87">
        <f>'2025年'!F3</f>
        <v>0</v>
      </c>
      <c r="G3" s="87">
        <f>'2025年'!G3</f>
        <v>0</v>
      </c>
      <c r="H3" s="207" t="s">
        <v>51</v>
      </c>
    </row>
    <row r="4" spans="1:36">
      <c r="A4" s="206" t="s">
        <v>144</v>
      </c>
      <c r="B4" s="206"/>
      <c r="C4" s="87" t="str">
        <f>'2025年'!C4</f>
        <v>6800010MH13J/A</v>
      </c>
      <c r="D4" s="87" t="str">
        <f>'2025年'!D4</f>
        <v>6800010NH13J/A</v>
      </c>
      <c r="E4" s="87" t="str">
        <f>'2025年'!E4</f>
        <v>6900010TH13J/A</v>
      </c>
      <c r="F4" s="87">
        <f>'2025年'!F4</f>
        <v>0</v>
      </c>
      <c r="G4" s="87">
        <f>'2025年'!G4</f>
        <v>0</v>
      </c>
      <c r="H4" s="208"/>
    </row>
    <row r="5" spans="1:36" ht="42.75">
      <c r="A5" s="206" t="s">
        <v>145</v>
      </c>
      <c r="B5" s="206"/>
      <c r="C5" s="88" t="str">
        <f>'2025年'!C5</f>
        <v>可变阻尼、高度调节、单扶手、三点式安全带、</v>
      </c>
      <c r="D5" s="88" t="str">
        <f>'2025年'!D5</f>
        <v>可变阻尼、高度调节、单扶手、三点式安全带、联管螺母</v>
      </c>
      <c r="E5" s="88" t="str">
        <f>'2025年'!E5</f>
        <v>管梁副驾带安全带</v>
      </c>
      <c r="F5" s="88">
        <f>'2025年'!F5</f>
        <v>0</v>
      </c>
      <c r="G5" s="88">
        <f>'2025年'!G5</f>
        <v>0</v>
      </c>
      <c r="H5" s="209"/>
      <c r="AJ5" s="82" t="s">
        <v>52</v>
      </c>
    </row>
    <row r="6" spans="1:36">
      <c r="A6" s="89" t="s">
        <v>18</v>
      </c>
      <c r="B6" s="90" t="s">
        <v>146</v>
      </c>
      <c r="C6" s="91">
        <f>销量!C13</f>
        <v>2000</v>
      </c>
      <c r="D6" s="91">
        <f>销量!D13</f>
        <v>2000</v>
      </c>
      <c r="E6" s="91">
        <f>销量!E13</f>
        <v>4000</v>
      </c>
      <c r="F6" s="91">
        <f>销量!F13</f>
        <v>0</v>
      </c>
      <c r="G6" s="91">
        <f>销量!G13</f>
        <v>0</v>
      </c>
      <c r="H6" s="92">
        <f>+SUM(C6:G6)</f>
        <v>8000</v>
      </c>
      <c r="AH6" s="89" t="s">
        <v>18</v>
      </c>
      <c r="AI6" s="90" t="s">
        <v>3</v>
      </c>
      <c r="AJ6" s="82" t="s">
        <v>53</v>
      </c>
    </row>
    <row r="7" spans="1:36">
      <c r="A7" s="86">
        <v>1</v>
      </c>
      <c r="B7" s="90" t="s">
        <v>54</v>
      </c>
      <c r="C7" s="92">
        <f>C6*销量!C8</f>
        <v>3260000</v>
      </c>
      <c r="D7" s="92">
        <f>D6*销量!D8</f>
        <v>3240000</v>
      </c>
      <c r="E7" s="92">
        <f>E6*销量!E8</f>
        <v>2480000</v>
      </c>
      <c r="F7" s="92">
        <f>F6*销量!F8</f>
        <v>0</v>
      </c>
      <c r="G7" s="92">
        <f>G6*销量!G8</f>
        <v>0</v>
      </c>
      <c r="H7" s="92">
        <f t="shared" ref="H7:H13" si="0">+SUM(C7:G7)</f>
        <v>8980000</v>
      </c>
      <c r="I7" s="85"/>
      <c r="AH7" s="89" t="s">
        <v>55</v>
      </c>
      <c r="AI7" s="90" t="s">
        <v>54</v>
      </c>
      <c r="AJ7" s="82" t="s">
        <v>53</v>
      </c>
    </row>
    <row r="8" spans="1:36">
      <c r="A8" s="86">
        <v>2</v>
      </c>
      <c r="B8" s="86" t="s">
        <v>56</v>
      </c>
      <c r="C8" s="92">
        <f>C7*(1-销量!$K$10)</f>
        <v>373945.43940000021</v>
      </c>
      <c r="D8" s="92">
        <f>D7*(1-销量!$K$10)</f>
        <v>371651.29560000025</v>
      </c>
      <c r="E8" s="92">
        <f>E7*(1-销量!$K$10)</f>
        <v>284473.83120000019</v>
      </c>
      <c r="F8" s="92">
        <f>F7*(1-销量!$K$10)</f>
        <v>0</v>
      </c>
      <c r="G8" s="92">
        <f>G7*(1-销量!$K$10)</f>
        <v>0</v>
      </c>
      <c r="H8" s="92">
        <f t="shared" si="0"/>
        <v>1030070.5662000007</v>
      </c>
      <c r="I8" s="93"/>
      <c r="AH8" s="89" t="s">
        <v>57</v>
      </c>
      <c r="AI8" s="86" t="s">
        <v>58</v>
      </c>
      <c r="AJ8" s="82" t="s">
        <v>53</v>
      </c>
    </row>
    <row r="9" spans="1:36">
      <c r="A9" s="86">
        <v>3</v>
      </c>
      <c r="B9" s="90" t="s">
        <v>59</v>
      </c>
      <c r="C9" s="92">
        <f>+C7-C8</f>
        <v>2886054.5606</v>
      </c>
      <c r="D9" s="92">
        <f>+D7-D8</f>
        <v>2868348.7043999997</v>
      </c>
      <c r="E9" s="92">
        <f t="shared" ref="E9:H9" si="1">+E7-E8</f>
        <v>2195526.1687999996</v>
      </c>
      <c r="F9" s="92">
        <f t="shared" si="1"/>
        <v>0</v>
      </c>
      <c r="G9" s="92">
        <f t="shared" si="1"/>
        <v>0</v>
      </c>
      <c r="H9" s="92">
        <f t="shared" si="1"/>
        <v>7949929.4337999988</v>
      </c>
      <c r="AH9" s="89" t="s">
        <v>60</v>
      </c>
      <c r="AI9" s="90" t="s">
        <v>59</v>
      </c>
      <c r="AJ9" s="82" t="s">
        <v>61</v>
      </c>
    </row>
    <row r="10" spans="1:36">
      <c r="A10" s="86">
        <v>4</v>
      </c>
      <c r="B10" s="89" t="s">
        <v>63</v>
      </c>
      <c r="C10" s="92">
        <f>C6*C33</f>
        <v>2339950.8631886705</v>
      </c>
      <c r="D10" s="92">
        <f>D6*D33</f>
        <v>2325235.187188671</v>
      </c>
      <c r="E10" s="92">
        <f t="shared" ref="E10:G10" si="2">E6*E33</f>
        <v>1687946.7493599998</v>
      </c>
      <c r="F10" s="92">
        <f t="shared" si="2"/>
        <v>0</v>
      </c>
      <c r="G10" s="92">
        <f t="shared" si="2"/>
        <v>0</v>
      </c>
      <c r="H10" s="92">
        <f t="shared" si="0"/>
        <v>6353132.7997373408</v>
      </c>
      <c r="AH10" s="89" t="s">
        <v>62</v>
      </c>
      <c r="AI10" s="89" t="s">
        <v>63</v>
      </c>
      <c r="AJ10" s="82" t="s">
        <v>64</v>
      </c>
    </row>
    <row r="11" spans="1:36">
      <c r="A11" s="86">
        <v>5</v>
      </c>
      <c r="B11" s="89" t="s">
        <v>65</v>
      </c>
      <c r="C11" s="92">
        <f>+C6*C36</f>
        <v>40098</v>
      </c>
      <c r="D11" s="92">
        <f>+D6*D36</f>
        <v>39852.000000000007</v>
      </c>
      <c r="E11" s="92">
        <f t="shared" ref="E11:G11" si="3">+E6*E36</f>
        <v>22065.835919999998</v>
      </c>
      <c r="F11" s="92">
        <f t="shared" si="3"/>
        <v>0</v>
      </c>
      <c r="G11" s="92">
        <f t="shared" si="3"/>
        <v>0</v>
      </c>
      <c r="H11" s="92">
        <f t="shared" si="0"/>
        <v>102015.83592</v>
      </c>
      <c r="AH11" s="89" t="s">
        <v>66</v>
      </c>
      <c r="AI11" s="89" t="s">
        <v>65</v>
      </c>
    </row>
    <row r="12" spans="1:36">
      <c r="A12" s="86">
        <v>6</v>
      </c>
      <c r="B12" s="89" t="s">
        <v>67</v>
      </c>
      <c r="C12" s="92">
        <f>+C6*C37</f>
        <v>36186</v>
      </c>
      <c r="D12" s="92">
        <f>+D6*D37</f>
        <v>35964</v>
      </c>
      <c r="E12" s="92">
        <f t="shared" ref="E12:G12" si="4">+E6*E37</f>
        <v>19913.07144</v>
      </c>
      <c r="F12" s="92">
        <f t="shared" si="4"/>
        <v>0</v>
      </c>
      <c r="G12" s="92">
        <f t="shared" si="4"/>
        <v>0</v>
      </c>
      <c r="H12" s="92">
        <f t="shared" si="0"/>
        <v>92063.07144</v>
      </c>
      <c r="AH12" s="89" t="s">
        <v>68</v>
      </c>
      <c r="AI12" s="89" t="s">
        <v>67</v>
      </c>
    </row>
    <row r="13" spans="1:36">
      <c r="A13" s="86">
        <v>7</v>
      </c>
      <c r="B13" s="89" t="s">
        <v>69</v>
      </c>
      <c r="C13" s="92">
        <f>+C6*C38</f>
        <v>52160.000000000007</v>
      </c>
      <c r="D13" s="92">
        <f>+D6*D38</f>
        <v>51840</v>
      </c>
      <c r="E13" s="92">
        <f t="shared" ref="E13:G13" si="5">+E6*E38</f>
        <v>28703.526399999999</v>
      </c>
      <c r="F13" s="92">
        <f t="shared" si="5"/>
        <v>0</v>
      </c>
      <c r="G13" s="92">
        <f t="shared" si="5"/>
        <v>0</v>
      </c>
      <c r="H13" s="92">
        <f t="shared" si="0"/>
        <v>132703.5264</v>
      </c>
      <c r="AH13" s="89" t="s">
        <v>70</v>
      </c>
      <c r="AI13" s="89" t="s">
        <v>69</v>
      </c>
      <c r="AJ13" s="82" t="s">
        <v>53</v>
      </c>
    </row>
    <row r="14" spans="1:36">
      <c r="A14" s="86">
        <v>8</v>
      </c>
      <c r="B14" s="94" t="s">
        <v>71</v>
      </c>
      <c r="C14" s="92">
        <f>SUM(C11:C13)</f>
        <v>128444</v>
      </c>
      <c r="D14" s="92">
        <f>SUM(D11:D13)</f>
        <v>127656</v>
      </c>
      <c r="E14" s="92">
        <f t="shared" ref="E14:H14" si="6">SUM(E11:E13)</f>
        <v>70682.43376</v>
      </c>
      <c r="F14" s="92">
        <f t="shared" si="6"/>
        <v>0</v>
      </c>
      <c r="G14" s="92">
        <f t="shared" si="6"/>
        <v>0</v>
      </c>
      <c r="H14" s="92">
        <f t="shared" si="6"/>
        <v>326782.43376000004</v>
      </c>
      <c r="AH14" s="89" t="s">
        <v>72</v>
      </c>
      <c r="AI14" s="94" t="s">
        <v>71</v>
      </c>
    </row>
    <row r="15" spans="1:36">
      <c r="A15" s="86">
        <v>9</v>
      </c>
      <c r="B15" s="94" t="s">
        <v>73</v>
      </c>
      <c r="C15" s="92">
        <f>+C9-C10-C14</f>
        <v>417659.69741132949</v>
      </c>
      <c r="D15" s="92">
        <f>+D9-D10-D14</f>
        <v>415457.51721132873</v>
      </c>
      <c r="E15" s="92">
        <f t="shared" ref="E15:H15" si="7">+E9-E10-E14</f>
        <v>436896.98567999987</v>
      </c>
      <c r="F15" s="92">
        <f t="shared" si="7"/>
        <v>0</v>
      </c>
      <c r="G15" s="92">
        <f t="shared" si="7"/>
        <v>0</v>
      </c>
      <c r="H15" s="92">
        <f t="shared" si="7"/>
        <v>1270014.2003026581</v>
      </c>
      <c r="AH15" s="89" t="s">
        <v>74</v>
      </c>
      <c r="AI15" s="94" t="s">
        <v>73</v>
      </c>
    </row>
    <row r="16" spans="1:36">
      <c r="A16" s="86">
        <v>10</v>
      </c>
      <c r="B16" s="89" t="s">
        <v>75</v>
      </c>
      <c r="C16" s="95">
        <f>+C15/C9</f>
        <v>0.14471649396832595</v>
      </c>
      <c r="D16" s="95">
        <f>+D15/D9</f>
        <v>0.14484205374821538</v>
      </c>
      <c r="E16" s="95">
        <f t="shared" ref="E16:G16" si="8">+E15/E9</f>
        <v>0.19899420552968994</v>
      </c>
      <c r="F16" s="95" t="e">
        <f t="shared" si="8"/>
        <v>#DIV/0!</v>
      </c>
      <c r="G16" s="95" t="e">
        <f t="shared" si="8"/>
        <v>#DIV/0!</v>
      </c>
      <c r="H16" s="95">
        <f>+H15/H9</f>
        <v>0.15975163187022179</v>
      </c>
      <c r="I16" s="96"/>
      <c r="J16" s="96"/>
      <c r="K16" s="96"/>
      <c r="AH16" s="89" t="s">
        <v>76</v>
      </c>
      <c r="AI16" s="89" t="s">
        <v>75</v>
      </c>
    </row>
    <row r="17" spans="1:36">
      <c r="A17" s="86">
        <v>11</v>
      </c>
      <c r="B17" s="89" t="s">
        <v>77</v>
      </c>
      <c r="C17" s="92">
        <f>C6*C43+C18</f>
        <v>119316</v>
      </c>
      <c r="D17" s="92">
        <f>D6*D43+D18</f>
        <v>118584</v>
      </c>
      <c r="E17" s="92">
        <f t="shared" ref="E17:G17" si="9">E6*E43+E18</f>
        <v>65659.316640000005</v>
      </c>
      <c r="F17" s="92">
        <f t="shared" si="9"/>
        <v>0</v>
      </c>
      <c r="G17" s="92">
        <f t="shared" si="9"/>
        <v>0</v>
      </c>
      <c r="H17" s="92">
        <f t="shared" ref="H17" si="10">+SUM(C17:G17)</f>
        <v>303559.31663999998</v>
      </c>
      <c r="I17" s="93"/>
      <c r="AH17" s="89" t="s">
        <v>78</v>
      </c>
      <c r="AI17" s="89" t="s">
        <v>77</v>
      </c>
    </row>
    <row r="18" spans="1:36" s="83" customFormat="1">
      <c r="A18" s="86">
        <v>12</v>
      </c>
      <c r="B18" s="97" t="s">
        <v>147</v>
      </c>
      <c r="C18" s="98">
        <f>$H$18/$H$6*C6</f>
        <v>0</v>
      </c>
      <c r="D18" s="98">
        <f>$H$18/$H$6*D6</f>
        <v>0</v>
      </c>
      <c r="E18" s="98">
        <f t="shared" ref="E18:G18" si="11">$H$18/$H$6*E6</f>
        <v>0</v>
      </c>
      <c r="F18" s="98">
        <f t="shared" si="11"/>
        <v>0</v>
      </c>
      <c r="G18" s="98">
        <f t="shared" si="11"/>
        <v>0</v>
      </c>
      <c r="H18" s="92">
        <f>项目投资!H26</f>
        <v>0</v>
      </c>
      <c r="I18" s="99" t="s">
        <v>148</v>
      </c>
      <c r="J18" s="99"/>
      <c r="K18" s="99"/>
    </row>
    <row r="19" spans="1:36">
      <c r="A19" s="86">
        <v>13</v>
      </c>
      <c r="B19" s="89" t="s">
        <v>79</v>
      </c>
      <c r="C19" s="92">
        <f>C6*C44</f>
        <v>27383.999999999996</v>
      </c>
      <c r="D19" s="92">
        <f>D6*D44</f>
        <v>27215.999999999996</v>
      </c>
      <c r="E19" s="92">
        <f t="shared" ref="E19:G19" si="12">E6*E44</f>
        <v>15069.351359999999</v>
      </c>
      <c r="F19" s="92">
        <f t="shared" si="12"/>
        <v>0</v>
      </c>
      <c r="G19" s="92">
        <f t="shared" si="12"/>
        <v>0</v>
      </c>
      <c r="H19" s="92">
        <f t="shared" ref="H19:H20" si="13">+SUM(C19:G19)</f>
        <v>69669.351359999986</v>
      </c>
      <c r="I19" s="83"/>
      <c r="AH19" s="89" t="s">
        <v>80</v>
      </c>
      <c r="AI19" s="89" t="s">
        <v>79</v>
      </c>
      <c r="AJ19" s="82" t="s">
        <v>53</v>
      </c>
    </row>
    <row r="20" spans="1:36">
      <c r="A20" s="86">
        <v>14</v>
      </c>
      <c r="B20" s="89" t="s">
        <v>81</v>
      </c>
      <c r="C20" s="92">
        <f>C6*C45</f>
        <v>105298</v>
      </c>
      <c r="D20" s="92">
        <f>D6*D45</f>
        <v>104652</v>
      </c>
      <c r="E20" s="92">
        <f t="shared" ref="E20:G20" si="14">E6*E45</f>
        <v>57945.243920000001</v>
      </c>
      <c r="F20" s="92">
        <f t="shared" si="14"/>
        <v>0</v>
      </c>
      <c r="G20" s="92">
        <f t="shared" si="14"/>
        <v>0</v>
      </c>
      <c r="H20" s="92">
        <f t="shared" si="13"/>
        <v>267895.24391999998</v>
      </c>
      <c r="AH20" s="89" t="s">
        <v>82</v>
      </c>
      <c r="AI20" s="89" t="s">
        <v>81</v>
      </c>
    </row>
    <row r="21" spans="1:36">
      <c r="A21" s="86">
        <v>15</v>
      </c>
      <c r="B21" s="89" t="s">
        <v>83</v>
      </c>
      <c r="C21" s="100">
        <f>$H$21/$H$6*C6</f>
        <v>500</v>
      </c>
      <c r="D21" s="100">
        <f>$H$21/$H$6*D6</f>
        <v>500</v>
      </c>
      <c r="E21" s="100">
        <f t="shared" ref="E21:G21" si="15">$H$21/$H$6*E6</f>
        <v>1000</v>
      </c>
      <c r="F21" s="100">
        <f t="shared" si="15"/>
        <v>0</v>
      </c>
      <c r="G21" s="100">
        <f t="shared" si="15"/>
        <v>0</v>
      </c>
      <c r="H21" s="92">
        <f>项目投资!H27</f>
        <v>2000</v>
      </c>
      <c r="AH21" s="89"/>
      <c r="AI21" s="89"/>
    </row>
    <row r="22" spans="1:36">
      <c r="A22" s="86">
        <v>16</v>
      </c>
      <c r="B22" s="89" t="s">
        <v>84</v>
      </c>
      <c r="C22" s="92">
        <f>C6*C47</f>
        <v>115729.99999999999</v>
      </c>
      <c r="D22" s="92">
        <f>D6*D47</f>
        <v>115020</v>
      </c>
      <c r="E22" s="92">
        <f t="shared" ref="E22:G22" si="16">E6*E47</f>
        <v>63685.949199999988</v>
      </c>
      <c r="F22" s="92">
        <f t="shared" si="16"/>
        <v>0</v>
      </c>
      <c r="G22" s="92">
        <f t="shared" si="16"/>
        <v>0</v>
      </c>
      <c r="H22" s="92">
        <f t="shared" ref="H22" si="17">+SUM(C22:G22)</f>
        <v>294435.94919999997</v>
      </c>
      <c r="AH22" s="89" t="s">
        <v>85</v>
      </c>
      <c r="AI22" s="89" t="s">
        <v>84</v>
      </c>
    </row>
    <row r="23" spans="1:36">
      <c r="A23" s="86">
        <v>17</v>
      </c>
      <c r="B23" s="94" t="s">
        <v>86</v>
      </c>
      <c r="C23" s="100">
        <f>+C22+C21+C20+C19+C17</f>
        <v>368228</v>
      </c>
      <c r="D23" s="100">
        <f>+D22+D21+D20+D19+D17</f>
        <v>365972</v>
      </c>
      <c r="E23" s="100">
        <f t="shared" ref="E23:G23" si="18">+E22+E21+E20+E19+E17</f>
        <v>203359.86111999999</v>
      </c>
      <c r="F23" s="100">
        <f t="shared" si="18"/>
        <v>0</v>
      </c>
      <c r="G23" s="100">
        <f t="shared" si="18"/>
        <v>0</v>
      </c>
      <c r="H23" s="100">
        <f>+H22+H21+H20+H19+H17</f>
        <v>937559.8611199999</v>
      </c>
      <c r="AH23" s="89" t="s">
        <v>87</v>
      </c>
      <c r="AI23" s="94" t="s">
        <v>86</v>
      </c>
    </row>
    <row r="24" spans="1:36">
      <c r="A24" s="86">
        <v>18</v>
      </c>
      <c r="B24" s="101" t="s">
        <v>88</v>
      </c>
      <c r="C24" s="100">
        <f>+C15-C23</f>
        <v>49431.697411329485</v>
      </c>
      <c r="D24" s="100">
        <f>+D15-D23</f>
        <v>49485.517211328726</v>
      </c>
      <c r="E24" s="100">
        <f t="shared" ref="E24:G24" si="19">+E15-E23</f>
        <v>233537.12455999988</v>
      </c>
      <c r="F24" s="100">
        <f t="shared" si="19"/>
        <v>0</v>
      </c>
      <c r="G24" s="100">
        <f t="shared" si="19"/>
        <v>0</v>
      </c>
      <c r="H24" s="100">
        <f>+H15-H23</f>
        <v>332454.33918265824</v>
      </c>
      <c r="J24" s="102"/>
      <c r="AH24" s="89" t="s">
        <v>89</v>
      </c>
      <c r="AI24" s="89" t="s">
        <v>88</v>
      </c>
    </row>
    <row r="25" spans="1:36">
      <c r="A25" s="86">
        <v>19</v>
      </c>
      <c r="B25" s="89" t="s">
        <v>277</v>
      </c>
      <c r="C25" s="100">
        <f>IF(C24&lt;0,0,C24*0.15)</f>
        <v>7414.7546116994226</v>
      </c>
      <c r="D25" s="100">
        <f t="shared" ref="D25:H25" si="20">IF(D24&lt;0,0,D24*0.15)</f>
        <v>7422.8275816993082</v>
      </c>
      <c r="E25" s="100">
        <f t="shared" ref="E25:G25" si="21">IF(E24&lt;0,0,E24*0.15)</f>
        <v>35030.568683999983</v>
      </c>
      <c r="F25" s="100">
        <f t="shared" si="21"/>
        <v>0</v>
      </c>
      <c r="G25" s="100">
        <f t="shared" si="21"/>
        <v>0</v>
      </c>
      <c r="H25" s="100">
        <f t="shared" si="20"/>
        <v>49868.150877398737</v>
      </c>
      <c r="I25" s="2"/>
      <c r="J25" s="2"/>
      <c r="K25" s="2"/>
      <c r="AH25" s="89" t="s">
        <v>90</v>
      </c>
      <c r="AI25" s="89" t="s">
        <v>35</v>
      </c>
    </row>
    <row r="26" spans="1:36">
      <c r="A26" s="86">
        <v>20</v>
      </c>
      <c r="B26" s="89" t="s">
        <v>91</v>
      </c>
      <c r="C26" s="100">
        <f>C24-C25</f>
        <v>42016.942799630066</v>
      </c>
      <c r="D26" s="100">
        <f>D24-D25</f>
        <v>42062.689629629414</v>
      </c>
      <c r="E26" s="100">
        <f t="shared" ref="E26:H26" si="22">E24-E25</f>
        <v>198506.55587599991</v>
      </c>
      <c r="F26" s="100">
        <f t="shared" si="22"/>
        <v>0</v>
      </c>
      <c r="G26" s="100">
        <f t="shared" si="22"/>
        <v>0</v>
      </c>
      <c r="H26" s="100">
        <f t="shared" si="22"/>
        <v>282586.18830525951</v>
      </c>
      <c r="I26" s="2"/>
      <c r="J26" s="2"/>
      <c r="K26" s="2"/>
      <c r="AH26" s="89" t="s">
        <v>92</v>
      </c>
      <c r="AI26" s="89" t="s">
        <v>91</v>
      </c>
    </row>
    <row r="27" spans="1:36">
      <c r="A27" s="86">
        <v>21</v>
      </c>
      <c r="B27" s="89" t="s">
        <v>95</v>
      </c>
      <c r="C27" s="103">
        <f>C26/C7</f>
        <v>1.288863276062272E-2</v>
      </c>
      <c r="D27" s="103">
        <f>D26/D7</f>
        <v>1.2982311614083152E-2</v>
      </c>
      <c r="E27" s="103">
        <f t="shared" ref="E27:G27" si="23">E26/E7</f>
        <v>8.0042966079032218E-2</v>
      </c>
      <c r="F27" s="103" t="e">
        <f t="shared" si="23"/>
        <v>#DIV/0!</v>
      </c>
      <c r="G27" s="103" t="e">
        <f t="shared" si="23"/>
        <v>#DIV/0!</v>
      </c>
      <c r="H27" s="103">
        <f>H26/H7</f>
        <v>3.1468395134215982E-2</v>
      </c>
      <c r="I27" s="2"/>
      <c r="J27" s="2"/>
      <c r="K27" s="2"/>
      <c r="AH27" s="89" t="s">
        <v>94</v>
      </c>
      <c r="AI27" s="89" t="s">
        <v>95</v>
      </c>
    </row>
    <row r="28" spans="1:36">
      <c r="I28" s="2"/>
      <c r="J28" s="2"/>
      <c r="K28" s="2"/>
    </row>
    <row r="29" spans="1:36">
      <c r="A29" s="82" t="s">
        <v>96</v>
      </c>
      <c r="H29" s="85" t="s">
        <v>149</v>
      </c>
      <c r="I29" s="2"/>
      <c r="J29" s="2"/>
      <c r="K29" s="2"/>
      <c r="AH29" s="82" t="s">
        <v>96</v>
      </c>
    </row>
    <row r="30" spans="1:36" ht="21" customHeight="1">
      <c r="A30" s="89" t="s">
        <v>97</v>
      </c>
      <c r="B30" s="94" t="s">
        <v>98</v>
      </c>
      <c r="C30" s="100"/>
      <c r="D30" s="100"/>
      <c r="E30" s="100"/>
      <c r="F30" s="100"/>
      <c r="G30" s="100"/>
      <c r="H30" s="100"/>
      <c r="I30" s="2"/>
      <c r="J30" s="2"/>
      <c r="K30" s="2"/>
      <c r="M30" s="2"/>
      <c r="AH30" s="89" t="s">
        <v>99</v>
      </c>
      <c r="AI30" s="94" t="s">
        <v>98</v>
      </c>
    </row>
    <row r="31" spans="1:36">
      <c r="A31" s="86">
        <v>1</v>
      </c>
      <c r="B31" s="97" t="s">
        <v>100</v>
      </c>
      <c r="C31" s="104">
        <f>销量!C8</f>
        <v>1630</v>
      </c>
      <c r="D31" s="104">
        <f>销量!D8</f>
        <v>1620</v>
      </c>
      <c r="E31" s="104">
        <f>销量!E8</f>
        <v>620</v>
      </c>
      <c r="F31" s="104">
        <f>销量!F8</f>
        <v>0</v>
      </c>
      <c r="G31" s="104">
        <f>销量!G8</f>
        <v>0</v>
      </c>
      <c r="H31" s="100"/>
      <c r="I31" s="2"/>
      <c r="J31" s="2"/>
      <c r="K31" s="2"/>
      <c r="M31" s="2"/>
      <c r="AH31" s="89" t="s">
        <v>55</v>
      </c>
      <c r="AI31" s="89" t="s">
        <v>100</v>
      </c>
    </row>
    <row r="32" spans="1:36">
      <c r="A32" s="86">
        <v>2</v>
      </c>
      <c r="B32" s="89" t="s">
        <v>150</v>
      </c>
      <c r="C32" s="92">
        <f>C9/C6</f>
        <v>1443.0272803</v>
      </c>
      <c r="D32" s="92">
        <f t="shared" ref="D32:G32" si="24">D9/D6</f>
        <v>1434.1743521999999</v>
      </c>
      <c r="E32" s="92">
        <f t="shared" si="24"/>
        <v>548.8815421999999</v>
      </c>
      <c r="F32" s="92" t="e">
        <f t="shared" si="24"/>
        <v>#DIV/0!</v>
      </c>
      <c r="G32" s="92" t="e">
        <f t="shared" si="24"/>
        <v>#DIV/0!</v>
      </c>
      <c r="H32" s="100"/>
      <c r="I32" s="2"/>
      <c r="J32" s="2"/>
      <c r="K32" s="2"/>
      <c r="L32" s="2"/>
      <c r="M32" s="2"/>
      <c r="N32" s="2"/>
      <c r="O32" s="2"/>
      <c r="AH32" s="89"/>
      <c r="AI32" s="89"/>
    </row>
    <row r="33" spans="1:35">
      <c r="A33" s="86">
        <v>3</v>
      </c>
      <c r="B33" s="97" t="s">
        <v>101</v>
      </c>
      <c r="C33" s="92">
        <f>材料成本!D26</f>
        <v>1169.9754315943353</v>
      </c>
      <c r="D33" s="92">
        <f>材料成本!E26</f>
        <v>1162.6175935943354</v>
      </c>
      <c r="E33" s="92">
        <f>材料成本!F26</f>
        <v>421.98668733999995</v>
      </c>
      <c r="F33" s="92">
        <f>材料成本!G26</f>
        <v>0</v>
      </c>
      <c r="G33" s="92">
        <f>材料成本!H26</f>
        <v>0</v>
      </c>
      <c r="H33" s="100"/>
      <c r="J33" s="2"/>
      <c r="K33" s="2"/>
      <c r="L33" s="2"/>
      <c r="M33" s="2"/>
      <c r="N33" s="2"/>
      <c r="O33" s="2"/>
      <c r="AH33" s="89" t="s">
        <v>57</v>
      </c>
      <c r="AI33" s="89" t="s">
        <v>101</v>
      </c>
    </row>
    <row r="34" spans="1:35" ht="17.25" customHeight="1">
      <c r="A34" s="86">
        <v>4</v>
      </c>
      <c r="B34" s="89" t="s">
        <v>103</v>
      </c>
      <c r="C34" s="105">
        <f>C32-C33</f>
        <v>273.05184870566472</v>
      </c>
      <c r="D34" s="105">
        <f>D32-D33</f>
        <v>271.55675860566453</v>
      </c>
      <c r="E34" s="105">
        <f t="shared" ref="E34:G34" si="25">E32-E33</f>
        <v>126.89485485999995</v>
      </c>
      <c r="F34" s="105" t="e">
        <f t="shared" si="25"/>
        <v>#DIV/0!</v>
      </c>
      <c r="G34" s="105" t="e">
        <f t="shared" si="25"/>
        <v>#DIV/0!</v>
      </c>
      <c r="H34" s="100"/>
      <c r="J34" s="2"/>
      <c r="K34" s="2"/>
      <c r="L34" s="2"/>
      <c r="M34" s="2"/>
      <c r="N34" s="2"/>
      <c r="O34" s="2"/>
      <c r="AH34" s="89" t="s">
        <v>102</v>
      </c>
      <c r="AI34" s="89" t="s">
        <v>103</v>
      </c>
    </row>
    <row r="35" spans="1:35">
      <c r="A35" s="89" t="s">
        <v>99</v>
      </c>
      <c r="B35" s="94" t="s">
        <v>9</v>
      </c>
      <c r="C35" s="100"/>
      <c r="D35" s="100"/>
      <c r="E35" s="100"/>
      <c r="F35" s="100"/>
      <c r="G35" s="100"/>
      <c r="H35" s="100"/>
      <c r="I35" s="2"/>
      <c r="J35" s="2"/>
      <c r="K35" s="2"/>
      <c r="L35" s="2"/>
      <c r="M35" s="2"/>
      <c r="N35" s="2"/>
      <c r="O35" s="2"/>
      <c r="P35" s="2"/>
      <c r="Q35" s="2"/>
      <c r="R35" s="2"/>
      <c r="AH35" s="89" t="s">
        <v>105</v>
      </c>
      <c r="AI35" s="94" t="s">
        <v>9</v>
      </c>
    </row>
    <row r="36" spans="1:35">
      <c r="A36" s="86">
        <v>1</v>
      </c>
      <c r="B36" s="89" t="s">
        <v>106</v>
      </c>
      <c r="C36" s="98">
        <f>'2025年'!C36</f>
        <v>20.048999999999999</v>
      </c>
      <c r="D36" s="98">
        <f>'2025年'!D36</f>
        <v>19.926000000000002</v>
      </c>
      <c r="E36" s="98">
        <f>'2025年'!E36</f>
        <v>5.5164589799999995</v>
      </c>
      <c r="F36" s="98">
        <f>'2025年'!F36</f>
        <v>0</v>
      </c>
      <c r="G36" s="98">
        <f>'2025年'!G36</f>
        <v>0</v>
      </c>
      <c r="H36" s="104"/>
      <c r="I36" s="2"/>
      <c r="J36" s="2"/>
      <c r="K36" s="2"/>
      <c r="L36" s="2"/>
      <c r="M36" s="2"/>
      <c r="N36" s="2"/>
      <c r="O36" s="2"/>
      <c r="P36" s="2"/>
      <c r="Q36" s="2"/>
      <c r="R36" s="2"/>
      <c r="AH36" s="89" t="s">
        <v>102</v>
      </c>
      <c r="AI36" s="89" t="s">
        <v>106</v>
      </c>
    </row>
    <row r="37" spans="1:35">
      <c r="A37" s="86">
        <v>2</v>
      </c>
      <c r="B37" s="89" t="s">
        <v>107</v>
      </c>
      <c r="C37" s="98">
        <f>'2025年'!C37</f>
        <v>18.093</v>
      </c>
      <c r="D37" s="98">
        <f>'2025年'!D37</f>
        <v>17.981999999999999</v>
      </c>
      <c r="E37" s="98">
        <f>'2025年'!E37</f>
        <v>4.9782678599999999</v>
      </c>
      <c r="F37" s="98">
        <f>'2025年'!F37</f>
        <v>0</v>
      </c>
      <c r="G37" s="98">
        <f>'2025年'!G37</f>
        <v>0</v>
      </c>
      <c r="H37" s="104"/>
      <c r="I37" s="2"/>
      <c r="J37" s="2"/>
      <c r="K37" s="2"/>
      <c r="L37" s="2"/>
      <c r="M37" s="2"/>
      <c r="N37" s="2"/>
      <c r="O37" s="2"/>
      <c r="P37" s="2"/>
      <c r="Q37" s="2"/>
      <c r="R37" s="2"/>
      <c r="AH37" s="89" t="s">
        <v>60</v>
      </c>
      <c r="AI37" s="89" t="s">
        <v>107</v>
      </c>
    </row>
    <row r="38" spans="1:35">
      <c r="A38" s="86">
        <v>3</v>
      </c>
      <c r="B38" s="89" t="s">
        <v>108</v>
      </c>
      <c r="C38" s="98">
        <f>'2025年'!C38</f>
        <v>26.080000000000002</v>
      </c>
      <c r="D38" s="98">
        <f>'2025年'!D38</f>
        <v>25.92</v>
      </c>
      <c r="E38" s="98">
        <f>'2025年'!E38</f>
        <v>7.1758815999999994</v>
      </c>
      <c r="F38" s="98">
        <f>'2025年'!F38</f>
        <v>0</v>
      </c>
      <c r="G38" s="98">
        <f>'2025年'!G38</f>
        <v>0</v>
      </c>
      <c r="H38" s="104"/>
      <c r="I38" s="2"/>
      <c r="J38" s="2"/>
      <c r="K38" s="2"/>
      <c r="L38" s="2"/>
      <c r="M38" s="2"/>
      <c r="N38" s="2"/>
      <c r="O38" s="2"/>
      <c r="P38" s="2"/>
      <c r="Q38" s="2"/>
      <c r="R38" s="2"/>
      <c r="AH38" s="89" t="s">
        <v>66</v>
      </c>
      <c r="AI38" s="89" t="s">
        <v>108</v>
      </c>
    </row>
    <row r="39" spans="1:35">
      <c r="A39" s="89" t="s">
        <v>105</v>
      </c>
      <c r="B39" s="94" t="s">
        <v>110</v>
      </c>
      <c r="C39" s="100"/>
      <c r="D39" s="100"/>
      <c r="E39" s="100"/>
      <c r="F39" s="100"/>
      <c r="G39" s="100"/>
      <c r="H39" s="100"/>
      <c r="AH39" s="89" t="s">
        <v>109</v>
      </c>
      <c r="AI39" s="94" t="s">
        <v>110</v>
      </c>
    </row>
    <row r="40" spans="1:35">
      <c r="A40" s="86">
        <v>1</v>
      </c>
      <c r="B40" s="89" t="s">
        <v>111</v>
      </c>
      <c r="C40" s="100">
        <f>C34-C36-C37-C38</f>
        <v>208.82984870566472</v>
      </c>
      <c r="D40" s="100">
        <f>D34-D36-D37-D38</f>
        <v>207.72875860566455</v>
      </c>
      <c r="E40" s="100">
        <f t="shared" ref="E40:G40" si="26">E34-E36-E37-E38</f>
        <v>109.22424641999996</v>
      </c>
      <c r="F40" s="100" t="e">
        <f t="shared" si="26"/>
        <v>#DIV/0!</v>
      </c>
      <c r="G40" s="100" t="e">
        <f t="shared" si="26"/>
        <v>#DIV/0!</v>
      </c>
      <c r="H40" s="100"/>
      <c r="AH40" s="89" t="s">
        <v>55</v>
      </c>
      <c r="AI40" s="89" t="s">
        <v>111</v>
      </c>
    </row>
    <row r="41" spans="1:35">
      <c r="A41" s="86">
        <v>2</v>
      </c>
      <c r="B41" s="89" t="s">
        <v>112</v>
      </c>
      <c r="C41" s="100"/>
      <c r="D41" s="100"/>
      <c r="E41" s="100"/>
      <c r="F41" s="100"/>
      <c r="G41" s="100"/>
      <c r="H41" s="100"/>
      <c r="AH41" s="89" t="s">
        <v>57</v>
      </c>
      <c r="AI41" s="89" t="s">
        <v>112</v>
      </c>
    </row>
    <row r="42" spans="1:35">
      <c r="A42" s="89" t="s">
        <v>109</v>
      </c>
      <c r="B42" s="94" t="s">
        <v>114</v>
      </c>
      <c r="C42" s="100"/>
      <c r="D42" s="100"/>
      <c r="E42" s="100"/>
      <c r="F42" s="100"/>
      <c r="G42" s="100"/>
      <c r="H42" s="100"/>
      <c r="AH42" s="89" t="s">
        <v>113</v>
      </c>
      <c r="AI42" s="94" t="s">
        <v>114</v>
      </c>
    </row>
    <row r="43" spans="1:35">
      <c r="A43" s="86">
        <v>1</v>
      </c>
      <c r="B43" s="101" t="s">
        <v>115</v>
      </c>
      <c r="C43" s="98">
        <f>'2025年'!C43</f>
        <v>59.658000000000001</v>
      </c>
      <c r="D43" s="98">
        <f>'2025年'!D43</f>
        <v>59.292000000000002</v>
      </c>
      <c r="E43" s="98">
        <f>'2025年'!E43</f>
        <v>16.41482916</v>
      </c>
      <c r="F43" s="98">
        <f>'2025年'!F43</f>
        <v>0</v>
      </c>
      <c r="G43" s="98">
        <f>'2025年'!G43</f>
        <v>0</v>
      </c>
      <c r="H43" s="100"/>
      <c r="AH43" s="89" t="s">
        <v>55</v>
      </c>
      <c r="AI43" s="89" t="s">
        <v>115</v>
      </c>
    </row>
    <row r="44" spans="1:35">
      <c r="A44" s="86">
        <v>2</v>
      </c>
      <c r="B44" s="101" t="s">
        <v>116</v>
      </c>
      <c r="C44" s="98">
        <f>'2025年'!C44</f>
        <v>13.691999999999998</v>
      </c>
      <c r="D44" s="98">
        <f>'2025年'!D44</f>
        <v>13.607999999999999</v>
      </c>
      <c r="E44" s="98">
        <f>'2025年'!E44</f>
        <v>3.7673378399999997</v>
      </c>
      <c r="F44" s="98">
        <f>'2025年'!F44</f>
        <v>0</v>
      </c>
      <c r="G44" s="98">
        <f>'2025年'!G44</f>
        <v>0</v>
      </c>
      <c r="H44" s="100"/>
      <c r="AH44" s="89" t="s">
        <v>57</v>
      </c>
      <c r="AI44" s="89" t="s">
        <v>116</v>
      </c>
    </row>
    <row r="45" spans="1:35">
      <c r="A45" s="86">
        <v>3</v>
      </c>
      <c r="B45" s="101" t="s">
        <v>117</v>
      </c>
      <c r="C45" s="98">
        <f>'2025年'!C45</f>
        <v>52.649000000000001</v>
      </c>
      <c r="D45" s="98">
        <f>'2025年'!D45</f>
        <v>52.326000000000001</v>
      </c>
      <c r="E45" s="98">
        <f>'2025年'!E45</f>
        <v>14.486310980000001</v>
      </c>
      <c r="F45" s="98">
        <f>'2025年'!F45</f>
        <v>0</v>
      </c>
      <c r="G45" s="98">
        <f>'2025年'!G45</f>
        <v>0</v>
      </c>
      <c r="H45" s="100"/>
      <c r="AH45" s="89" t="s">
        <v>102</v>
      </c>
      <c r="AI45" s="89" t="s">
        <v>117</v>
      </c>
    </row>
    <row r="46" spans="1:35" s="84" customFormat="1">
      <c r="A46" s="86">
        <v>4</v>
      </c>
      <c r="B46" s="101" t="s">
        <v>118</v>
      </c>
      <c r="C46" s="106">
        <f>C21/C6</f>
        <v>0.25</v>
      </c>
      <c r="D46" s="106">
        <f>D21/D6</f>
        <v>0.25</v>
      </c>
      <c r="E46" s="106">
        <f t="shared" ref="E46:G46" si="27">E21/E6</f>
        <v>0.25</v>
      </c>
      <c r="F46" s="106" t="e">
        <f t="shared" si="27"/>
        <v>#DIV/0!</v>
      </c>
      <c r="G46" s="106" t="e">
        <f t="shared" si="27"/>
        <v>#DIV/0!</v>
      </c>
      <c r="H46" s="106"/>
      <c r="AH46" s="101" t="s">
        <v>62</v>
      </c>
      <c r="AI46" s="101" t="s">
        <v>120</v>
      </c>
    </row>
    <row r="47" spans="1:35" s="84" customFormat="1">
      <c r="A47" s="86">
        <v>5</v>
      </c>
      <c r="B47" s="101" t="s">
        <v>120</v>
      </c>
      <c r="C47" s="98">
        <f>'2025年'!C47</f>
        <v>57.864999999999995</v>
      </c>
      <c r="D47" s="98">
        <f>'2025年'!D47</f>
        <v>57.51</v>
      </c>
      <c r="E47" s="98">
        <f>'2025年'!E47</f>
        <v>15.921487299999997</v>
      </c>
      <c r="F47" s="98">
        <f>'2025年'!F47</f>
        <v>0</v>
      </c>
      <c r="G47" s="98">
        <f>'2025年'!G47</f>
        <v>0</v>
      </c>
      <c r="H47" s="106"/>
      <c r="AH47" s="101" t="s">
        <v>62</v>
      </c>
      <c r="AI47" s="101" t="s">
        <v>120</v>
      </c>
    </row>
    <row r="48" spans="1:35">
      <c r="A48" s="89" t="s">
        <v>113</v>
      </c>
      <c r="B48" s="94" t="s">
        <v>131</v>
      </c>
      <c r="C48" s="100">
        <f>C40-C43-C44-C45-C47-C46</f>
        <v>24.715848705664726</v>
      </c>
      <c r="D48" s="100">
        <f>D40-D43-D44-D45-D47-D46</f>
        <v>24.742758605664555</v>
      </c>
      <c r="E48" s="100">
        <f t="shared" ref="E48:G48" si="28">E40-E43-E44-E45-E47-E46</f>
        <v>58.38428113999997</v>
      </c>
      <c r="F48" s="100" t="e">
        <f t="shared" si="28"/>
        <v>#DIV/0!</v>
      </c>
      <c r="G48" s="100" t="e">
        <f t="shared" si="28"/>
        <v>#DIV/0!</v>
      </c>
      <c r="H48" s="100"/>
      <c r="AH48" s="89" t="s">
        <v>130</v>
      </c>
      <c r="AI48" s="94" t="s">
        <v>131</v>
      </c>
    </row>
    <row r="51" spans="2:13">
      <c r="C51" s="107"/>
      <c r="D51" s="107"/>
      <c r="E51" s="107"/>
      <c r="F51" s="107"/>
      <c r="G51" s="107"/>
    </row>
    <row r="54" spans="2:13">
      <c r="B54" s="2"/>
      <c r="C54" s="108"/>
      <c r="D54" s="108"/>
      <c r="E54" s="108"/>
      <c r="F54" s="108"/>
      <c r="G54" s="108"/>
      <c r="H54" s="108"/>
      <c r="I54" s="2"/>
      <c r="J54" s="2"/>
      <c r="K54" s="2"/>
      <c r="L54" s="2"/>
      <c r="M54" s="2"/>
    </row>
    <row r="55" spans="2:13">
      <c r="B55" s="2"/>
      <c r="C55" s="108"/>
      <c r="D55" s="108"/>
      <c r="E55" s="108"/>
      <c r="F55" s="108"/>
      <c r="G55" s="108"/>
      <c r="H55" s="108"/>
      <c r="I55" s="2"/>
      <c r="J55" s="2"/>
      <c r="K55" s="2"/>
      <c r="L55" s="2"/>
      <c r="M55" s="2"/>
    </row>
    <row r="56" spans="2:13">
      <c r="B56" s="2"/>
      <c r="C56" s="108"/>
      <c r="D56" s="108"/>
      <c r="E56" s="108"/>
      <c r="F56" s="108"/>
      <c r="G56" s="108"/>
      <c r="H56" s="108"/>
      <c r="I56" s="2"/>
      <c r="J56" s="2"/>
      <c r="K56" s="2"/>
      <c r="L56" s="2"/>
      <c r="M56" s="2"/>
    </row>
    <row r="57" spans="2:13">
      <c r="B57" s="2"/>
      <c r="C57" s="108"/>
      <c r="D57" s="108"/>
      <c r="E57" s="108"/>
      <c r="F57" s="108"/>
      <c r="G57" s="108"/>
      <c r="H57" s="108"/>
      <c r="I57" s="2"/>
      <c r="J57" s="2"/>
      <c r="K57" s="2"/>
      <c r="L57" s="2"/>
      <c r="M57" s="2"/>
    </row>
    <row r="58" spans="2:13">
      <c r="B58" s="2"/>
      <c r="C58" s="108"/>
      <c r="D58" s="108"/>
      <c r="E58" s="108"/>
      <c r="F58" s="108"/>
      <c r="G58" s="108"/>
      <c r="H58" s="108"/>
      <c r="I58" s="2"/>
      <c r="J58" s="2"/>
      <c r="K58" s="2"/>
      <c r="L58" s="2"/>
      <c r="M58" s="2"/>
    </row>
    <row r="59" spans="2:13">
      <c r="B59" s="2"/>
      <c r="C59" s="108"/>
      <c r="D59" s="108"/>
      <c r="E59" s="108"/>
      <c r="F59" s="108"/>
      <c r="G59" s="108"/>
      <c r="H59" s="108"/>
      <c r="I59" s="2"/>
      <c r="J59" s="2"/>
      <c r="K59" s="2"/>
      <c r="L59" s="2"/>
      <c r="M59" s="2"/>
    </row>
    <row r="60" spans="2:13">
      <c r="B60" s="2"/>
      <c r="C60" s="108"/>
      <c r="D60" s="108"/>
      <c r="E60" s="108"/>
      <c r="F60" s="108"/>
      <c r="G60" s="108"/>
      <c r="H60" s="108"/>
      <c r="I60" s="2"/>
      <c r="J60" s="2"/>
      <c r="K60" s="2"/>
      <c r="L60" s="2"/>
      <c r="M60" s="2"/>
    </row>
    <row r="61" spans="2:13">
      <c r="B61" s="2"/>
      <c r="C61" s="108"/>
      <c r="D61" s="108"/>
      <c r="E61" s="108"/>
      <c r="F61" s="108"/>
      <c r="G61" s="108"/>
      <c r="H61" s="108"/>
      <c r="I61" s="2"/>
      <c r="J61" s="2"/>
      <c r="K61" s="2"/>
      <c r="L61" s="2"/>
      <c r="M61" s="2"/>
    </row>
    <row r="62" spans="2:13">
      <c r="B62" s="2"/>
      <c r="C62" s="108"/>
      <c r="D62" s="108"/>
      <c r="E62" s="108"/>
      <c r="F62" s="108"/>
      <c r="G62" s="108"/>
      <c r="H62" s="108"/>
      <c r="I62" s="2"/>
      <c r="J62" s="2"/>
      <c r="K62" s="2"/>
      <c r="L62" s="2"/>
      <c r="M62" s="2"/>
    </row>
    <row r="63" spans="2:13">
      <c r="B63" s="2"/>
      <c r="C63" s="108"/>
      <c r="D63" s="108"/>
      <c r="E63" s="108"/>
      <c r="F63" s="108"/>
      <c r="G63" s="108"/>
      <c r="H63" s="108"/>
      <c r="I63" s="2"/>
      <c r="J63" s="2"/>
      <c r="K63" s="2"/>
      <c r="L63" s="2"/>
      <c r="M63" s="2"/>
    </row>
    <row r="64" spans="2:13">
      <c r="B64" s="2"/>
      <c r="C64" s="108"/>
      <c r="D64" s="108"/>
      <c r="E64" s="108"/>
      <c r="F64" s="108"/>
      <c r="G64" s="108"/>
      <c r="H64" s="108"/>
      <c r="I64" s="2"/>
      <c r="J64" s="2"/>
      <c r="K64" s="2"/>
      <c r="L64" s="2"/>
      <c r="M64" s="2"/>
    </row>
    <row r="65" spans="2:13">
      <c r="B65" s="2"/>
      <c r="C65" s="108"/>
      <c r="D65" s="108"/>
      <c r="E65" s="108"/>
      <c r="F65" s="108"/>
      <c r="G65" s="108"/>
      <c r="H65" s="108"/>
      <c r="I65" s="2"/>
      <c r="J65" s="2"/>
      <c r="K65" s="2"/>
      <c r="L65" s="2"/>
      <c r="M65" s="2"/>
    </row>
    <row r="66" spans="2:13">
      <c r="B66" s="2"/>
      <c r="C66" s="108"/>
      <c r="D66" s="108"/>
      <c r="E66" s="108"/>
      <c r="F66" s="108"/>
      <c r="G66" s="108"/>
      <c r="H66" s="108"/>
      <c r="I66" s="2"/>
      <c r="J66" s="2"/>
      <c r="K66" s="2"/>
      <c r="L66" s="2"/>
      <c r="M66" s="2"/>
    </row>
    <row r="67" spans="2:13">
      <c r="B67" s="2"/>
      <c r="C67" s="108"/>
      <c r="D67" s="108"/>
      <c r="E67" s="108"/>
      <c r="F67" s="108"/>
      <c r="G67" s="108"/>
      <c r="H67" s="108"/>
      <c r="I67" s="2"/>
    </row>
    <row r="68" spans="2:13">
      <c r="B68" s="2"/>
      <c r="C68" s="108"/>
      <c r="D68" s="108"/>
      <c r="E68" s="108"/>
      <c r="F68" s="108"/>
      <c r="G68" s="108"/>
      <c r="H68" s="108"/>
      <c r="I68" s="2"/>
    </row>
    <row r="69" spans="2:13">
      <c r="B69" s="2"/>
      <c r="C69" s="108"/>
      <c r="D69" s="108"/>
      <c r="E69" s="108"/>
      <c r="F69" s="108"/>
      <c r="G69" s="108"/>
      <c r="H69" s="108"/>
      <c r="I69" s="2"/>
    </row>
    <row r="70" spans="2:13">
      <c r="B70" s="2"/>
      <c r="C70" s="108"/>
      <c r="D70" s="108"/>
      <c r="E70" s="108"/>
      <c r="F70" s="108"/>
      <c r="G70" s="108"/>
      <c r="H70" s="108"/>
      <c r="I70" s="2"/>
    </row>
    <row r="71" spans="2:13">
      <c r="B71" s="2"/>
      <c r="C71" s="108"/>
      <c r="D71" s="108"/>
      <c r="E71" s="108"/>
      <c r="F71" s="108"/>
      <c r="G71" s="108"/>
      <c r="H71" s="108"/>
      <c r="I71" s="2"/>
    </row>
    <row r="72" spans="2:13">
      <c r="B72" s="2"/>
      <c r="C72" s="108"/>
      <c r="D72" s="108"/>
      <c r="E72" s="108"/>
      <c r="F72" s="108"/>
      <c r="G72" s="108"/>
      <c r="H72" s="108"/>
      <c r="I72" s="2"/>
    </row>
    <row r="73" spans="2:13">
      <c r="B73" s="2"/>
      <c r="C73" s="108"/>
      <c r="D73" s="108"/>
      <c r="E73" s="108"/>
      <c r="F73" s="108"/>
      <c r="G73" s="108"/>
      <c r="H73" s="108"/>
      <c r="I73" s="2"/>
    </row>
    <row r="74" spans="2:13">
      <c r="B74" s="2"/>
      <c r="C74" s="108"/>
      <c r="D74" s="108"/>
      <c r="E74" s="108"/>
      <c r="F74" s="108"/>
      <c r="G74" s="108"/>
      <c r="H74" s="108"/>
      <c r="I74" s="2"/>
    </row>
  </sheetData>
  <mergeCells count="8">
    <mergeCell ref="A4:B4"/>
    <mergeCell ref="A5:B5"/>
    <mergeCell ref="H3:H5"/>
    <mergeCell ref="A1:B1"/>
    <mergeCell ref="C1:H1"/>
    <mergeCell ref="A2:B2"/>
    <mergeCell ref="C2:H2"/>
    <mergeCell ref="A3:B3"/>
  </mergeCells>
  <phoneticPr fontId="4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G35" sqref="G35"/>
    </sheetView>
  </sheetViews>
  <sheetFormatPr defaultColWidth="9" defaultRowHeight="13.5"/>
  <cols>
    <col min="1" max="1" width="19.5" customWidth="1"/>
    <col min="2" max="2" width="14.875" style="55" customWidth="1"/>
    <col min="3" max="3" width="9.25" customWidth="1"/>
    <col min="4" max="4" width="15.5" customWidth="1"/>
    <col min="5" max="5" width="14.875" customWidth="1"/>
    <col min="6" max="6" width="15.5" customWidth="1"/>
    <col min="7" max="7" width="15.125" customWidth="1"/>
    <col min="8" max="8" width="13" customWidth="1"/>
    <col min="9" max="9" width="14.875" customWidth="1"/>
    <col min="10" max="10" width="13" customWidth="1"/>
    <col min="11" max="11" width="15.625"/>
    <col min="12" max="12" width="12.5"/>
  </cols>
  <sheetData>
    <row r="1" spans="1:12" ht="41.25" customHeight="1">
      <c r="A1" s="214" t="s">
        <v>151</v>
      </c>
      <c r="B1" s="214"/>
      <c r="C1" s="214"/>
      <c r="E1" s="215" t="s">
        <v>260</v>
      </c>
      <c r="F1" s="216"/>
      <c r="G1" s="216"/>
      <c r="H1" s="217"/>
    </row>
    <row r="2" spans="1:12" ht="23.45" customHeight="1">
      <c r="A2" s="56" t="s">
        <v>1</v>
      </c>
      <c r="B2" s="57" t="s">
        <v>152</v>
      </c>
      <c r="C2" s="58" t="s">
        <v>153</v>
      </c>
      <c r="E2" s="59" t="s">
        <v>154</v>
      </c>
      <c r="F2" s="59" t="s">
        <v>1</v>
      </c>
      <c r="G2" s="60" t="s">
        <v>155</v>
      </c>
      <c r="H2" s="59" t="s">
        <v>153</v>
      </c>
    </row>
    <row r="3" spans="1:12" ht="15.75" customHeight="1">
      <c r="A3" s="61" t="s">
        <v>156</v>
      </c>
      <c r="B3" s="62"/>
      <c r="C3" s="63"/>
      <c r="E3" s="222" t="s">
        <v>157</v>
      </c>
      <c r="F3" s="64" t="s">
        <v>158</v>
      </c>
      <c r="G3" s="65"/>
      <c r="H3" s="64"/>
    </row>
    <row r="4" spans="1:12" ht="15.75" customHeight="1">
      <c r="A4" s="61" t="s">
        <v>159</v>
      </c>
      <c r="B4" s="62"/>
      <c r="C4" s="66"/>
      <c r="E4" s="223"/>
      <c r="F4" s="64" t="s">
        <v>160</v>
      </c>
      <c r="G4" s="65"/>
      <c r="H4" s="64"/>
    </row>
    <row r="5" spans="1:12" ht="15.75" customHeight="1">
      <c r="A5" s="61" t="s">
        <v>161</v>
      </c>
      <c r="B5" s="67">
        <f>SUM(G3:G4)</f>
        <v>0</v>
      </c>
      <c r="C5" s="63"/>
      <c r="E5" s="224" t="s">
        <v>162</v>
      </c>
      <c r="F5" s="68" t="s">
        <v>163</v>
      </c>
      <c r="G5" s="65"/>
      <c r="H5" s="68"/>
    </row>
    <row r="6" spans="1:12" ht="15.75" customHeight="1">
      <c r="A6" s="61" t="s">
        <v>164</v>
      </c>
      <c r="B6" s="62"/>
      <c r="C6" s="63"/>
      <c r="E6" s="225"/>
      <c r="F6" s="68" t="s">
        <v>165</v>
      </c>
      <c r="G6" s="65"/>
      <c r="H6" s="185"/>
      <c r="J6">
        <v>10000</v>
      </c>
    </row>
    <row r="7" spans="1:12" ht="15.75" customHeight="1">
      <c r="A7" s="69" t="s">
        <v>166</v>
      </c>
      <c r="B7" s="67">
        <f>SUM(B3:B6)</f>
        <v>0</v>
      </c>
      <c r="C7" s="63"/>
      <c r="E7" s="225"/>
      <c r="F7" s="68" t="s">
        <v>167</v>
      </c>
      <c r="G7" s="65"/>
      <c r="H7" s="185"/>
    </row>
    <row r="8" spans="1:12" ht="15.75" customHeight="1">
      <c r="A8" s="70" t="s">
        <v>168</v>
      </c>
      <c r="B8" s="67">
        <f>SUM(G5:G12)</f>
        <v>0</v>
      </c>
      <c r="C8" s="71"/>
      <c r="E8" s="225"/>
      <c r="F8" s="68" t="s">
        <v>169</v>
      </c>
      <c r="G8" s="65"/>
      <c r="H8" s="185"/>
    </row>
    <row r="9" spans="1:12" ht="15.75" customHeight="1">
      <c r="A9" s="61" t="s">
        <v>170</v>
      </c>
      <c r="B9" s="67">
        <f>SUM(G13:G21)</f>
        <v>1</v>
      </c>
      <c r="C9" s="63"/>
      <c r="E9" s="225"/>
      <c r="F9" s="64" t="s">
        <v>171</v>
      </c>
      <c r="G9" s="65"/>
      <c r="H9" s="185"/>
    </row>
    <row r="10" spans="1:12" ht="15.75" customHeight="1">
      <c r="A10" s="66" t="s">
        <v>51</v>
      </c>
      <c r="B10" s="67">
        <f>B7+B8+B9</f>
        <v>1</v>
      </c>
      <c r="C10" s="63"/>
      <c r="E10" s="225"/>
      <c r="F10" s="64" t="s">
        <v>172</v>
      </c>
      <c r="G10" s="72"/>
      <c r="H10" s="185"/>
    </row>
    <row r="11" spans="1:12" ht="15.75" customHeight="1">
      <c r="E11" s="225"/>
      <c r="F11" s="64" t="s">
        <v>173</v>
      </c>
      <c r="G11" s="72"/>
      <c r="H11" s="185"/>
    </row>
    <row r="12" spans="1:12" ht="15.75" customHeight="1">
      <c r="E12" s="226"/>
      <c r="F12" s="64" t="s">
        <v>174</v>
      </c>
      <c r="G12" s="65"/>
      <c r="H12" s="185"/>
      <c r="K12" t="s">
        <v>28</v>
      </c>
    </row>
    <row r="13" spans="1:12" ht="15.75" customHeight="1">
      <c r="E13" s="222" t="s">
        <v>83</v>
      </c>
      <c r="F13" s="64" t="s">
        <v>175</v>
      </c>
      <c r="G13" s="65">
        <v>0</v>
      </c>
      <c r="H13" s="186"/>
    </row>
    <row r="14" spans="1:12" ht="15.75" customHeight="1">
      <c r="E14" s="223"/>
      <c r="F14" s="64" t="s">
        <v>176</v>
      </c>
      <c r="G14" s="65">
        <v>0.1</v>
      </c>
      <c r="H14" s="188"/>
      <c r="K14">
        <v>1000</v>
      </c>
      <c r="L14">
        <f>K14/10000</f>
        <v>0.1</v>
      </c>
    </row>
    <row r="15" spans="1:12" ht="15.75" customHeight="1">
      <c r="E15" s="223"/>
      <c r="F15" s="64" t="s">
        <v>177</v>
      </c>
      <c r="G15" s="65">
        <v>0.1</v>
      </c>
      <c r="H15" s="188"/>
      <c r="K15">
        <v>1000</v>
      </c>
      <c r="L15">
        <f t="shared" ref="L15:L19" si="0">K15/10000</f>
        <v>0.1</v>
      </c>
    </row>
    <row r="16" spans="1:12" ht="15.75" customHeight="1">
      <c r="E16" s="223"/>
      <c r="F16" s="64" t="s">
        <v>178</v>
      </c>
      <c r="G16" s="65">
        <v>0.1</v>
      </c>
      <c r="H16" s="188"/>
      <c r="K16">
        <v>1000</v>
      </c>
      <c r="L16">
        <f t="shared" si="0"/>
        <v>0.1</v>
      </c>
    </row>
    <row r="17" spans="1:12" ht="15.75" customHeight="1">
      <c r="E17" s="223"/>
      <c r="F17" s="64" t="s">
        <v>179</v>
      </c>
      <c r="G17" s="65">
        <v>0</v>
      </c>
      <c r="H17" s="186"/>
      <c r="L17">
        <f t="shared" si="0"/>
        <v>0</v>
      </c>
    </row>
    <row r="18" spans="1:12" ht="15.75" customHeight="1">
      <c r="E18" s="223"/>
      <c r="F18" s="64" t="s">
        <v>180</v>
      </c>
      <c r="G18" s="65">
        <v>0.2</v>
      </c>
      <c r="H18" s="187"/>
      <c r="K18">
        <v>2000</v>
      </c>
      <c r="L18">
        <f t="shared" si="0"/>
        <v>0.2</v>
      </c>
    </row>
    <row r="19" spans="1:12" ht="15.75" customHeight="1">
      <c r="E19" s="223"/>
      <c r="F19" s="64" t="s">
        <v>181</v>
      </c>
      <c r="G19" s="65">
        <v>0.5</v>
      </c>
      <c r="H19" s="187"/>
      <c r="I19" s="193"/>
      <c r="K19">
        <v>5000</v>
      </c>
      <c r="L19">
        <f t="shared" si="0"/>
        <v>0.5</v>
      </c>
    </row>
    <row r="20" spans="1:12" ht="15.75" customHeight="1">
      <c r="E20" s="223"/>
      <c r="F20" s="64" t="s">
        <v>182</v>
      </c>
      <c r="G20" s="65"/>
      <c r="H20" s="64"/>
    </row>
    <row r="21" spans="1:12" ht="15.75" customHeight="1">
      <c r="E21" s="227"/>
      <c r="F21" s="64" t="s">
        <v>36</v>
      </c>
      <c r="G21" s="65">
        <v>0</v>
      </c>
      <c r="H21" s="64"/>
    </row>
    <row r="22" spans="1:12" ht="21.75" customHeight="1">
      <c r="E22" s="59" t="s">
        <v>51</v>
      </c>
      <c r="F22" s="64"/>
      <c r="G22" s="60">
        <f>SUM(G3:G21)</f>
        <v>1</v>
      </c>
      <c r="H22" s="73"/>
    </row>
    <row r="23" spans="1:12" ht="30.75" customHeight="1">
      <c r="E23" s="218" t="s">
        <v>183</v>
      </c>
      <c r="F23" s="218"/>
      <c r="G23" s="218"/>
      <c r="H23" s="218"/>
    </row>
    <row r="25" spans="1:12" ht="17.25">
      <c r="A25" s="74" t="s">
        <v>1</v>
      </c>
      <c r="B25" s="74" t="s">
        <v>152</v>
      </c>
      <c r="C25" s="74" t="s">
        <v>184</v>
      </c>
      <c r="D25" s="75" t="s">
        <v>275</v>
      </c>
      <c r="E25" s="75" t="s">
        <v>49</v>
      </c>
      <c r="F25" s="75" t="s">
        <v>50</v>
      </c>
      <c r="G25" s="75" t="s">
        <v>185</v>
      </c>
      <c r="H25" s="75" t="s">
        <v>186</v>
      </c>
      <c r="I25" s="75" t="s">
        <v>187</v>
      </c>
      <c r="J25" s="75" t="s">
        <v>262</v>
      </c>
      <c r="K25" s="75" t="s">
        <v>51</v>
      </c>
      <c r="L25" s="80" t="s">
        <v>188</v>
      </c>
    </row>
    <row r="26" spans="1:12" ht="16.5">
      <c r="A26" s="76" t="s">
        <v>147</v>
      </c>
      <c r="B26" s="77">
        <f>(B5+B8)*10000</f>
        <v>0</v>
      </c>
      <c r="C26" s="78">
        <v>0.05</v>
      </c>
      <c r="D26" s="79">
        <f>B26*(1-C26)/5</f>
        <v>0</v>
      </c>
      <c r="E26" s="79">
        <f t="shared" ref="E26:H26" si="1">D26</f>
        <v>0</v>
      </c>
      <c r="F26" s="79">
        <f t="shared" si="1"/>
        <v>0</v>
      </c>
      <c r="G26" s="79">
        <f t="shared" si="1"/>
        <v>0</v>
      </c>
      <c r="H26" s="79">
        <f t="shared" si="1"/>
        <v>0</v>
      </c>
      <c r="I26" s="79"/>
      <c r="J26" s="79"/>
      <c r="K26" s="79">
        <f>SUM(D26:J26)</f>
        <v>0</v>
      </c>
      <c r="L26" s="79">
        <f>B26*0.05</f>
        <v>0</v>
      </c>
    </row>
    <row r="27" spans="1:12" ht="16.5">
      <c r="A27" s="76" t="s">
        <v>189</v>
      </c>
      <c r="B27" s="77">
        <f>B9*10000</f>
        <v>10000</v>
      </c>
      <c r="C27" s="79"/>
      <c r="D27" s="79">
        <f>B27/5</f>
        <v>2000</v>
      </c>
      <c r="E27" s="79">
        <f t="shared" ref="E27:F27" si="2">D27</f>
        <v>2000</v>
      </c>
      <c r="F27" s="79">
        <f t="shared" si="2"/>
        <v>2000</v>
      </c>
      <c r="G27" s="79">
        <f>F27</f>
        <v>2000</v>
      </c>
      <c r="H27" s="79">
        <f>G27</f>
        <v>2000</v>
      </c>
      <c r="I27" s="79"/>
      <c r="J27" s="79"/>
      <c r="K27" s="79">
        <f>SUM(D27:J27)</f>
        <v>10000</v>
      </c>
      <c r="L27" s="79"/>
    </row>
    <row r="28" spans="1:12" ht="16.5">
      <c r="A28" s="219" t="s">
        <v>139</v>
      </c>
      <c r="B28" s="220"/>
      <c r="C28" s="221"/>
      <c r="D28" s="79">
        <f>SUM(D26:D27)</f>
        <v>2000</v>
      </c>
      <c r="E28" s="79">
        <f t="shared" ref="E28:K28" si="3">SUM(E26:E27)</f>
        <v>2000</v>
      </c>
      <c r="F28" s="79">
        <f t="shared" si="3"/>
        <v>2000</v>
      </c>
      <c r="G28" s="79">
        <f t="shared" si="3"/>
        <v>2000</v>
      </c>
      <c r="H28" s="79">
        <f t="shared" si="3"/>
        <v>2000</v>
      </c>
      <c r="I28" s="79">
        <f t="shared" si="3"/>
        <v>0</v>
      </c>
      <c r="J28" s="79">
        <f t="shared" si="3"/>
        <v>0</v>
      </c>
      <c r="K28" s="79">
        <f t="shared" si="3"/>
        <v>10000</v>
      </c>
      <c r="L28" s="81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项目投资</vt:lpstr>
      <vt:lpstr>销量</vt:lpstr>
      <vt:lpstr>材料成本</vt:lpstr>
      <vt:lpstr>其他</vt:lpstr>
      <vt:lpstr>标准成本</vt:lpstr>
      <vt:lpstr>'2026年'!Print_Area</vt:lpstr>
      <vt:lpstr>'2027年'!Print_Area</vt:lpstr>
      <vt:lpstr>'2028年'!Print_Area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2006-09-13T11:21:00Z</dcterms:created>
  <dcterms:modified xsi:type="dcterms:W3CDTF">2025-04-03T05:34:50Z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