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G升级座椅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5" l="1"/>
  <c r="C19" i="55"/>
  <c r="C18" i="55"/>
  <c r="D18" i="55"/>
  <c r="E18" i="55"/>
  <c r="F18" i="55"/>
  <c r="G18" i="55"/>
  <c r="H4" i="56" l="1"/>
  <c r="E31" i="59"/>
  <c r="F31" i="59"/>
  <c r="G31" i="59"/>
  <c r="H9" i="59"/>
  <c r="H7" i="59"/>
  <c r="H8" i="59"/>
  <c r="H6" i="59"/>
  <c r="E7" i="59"/>
  <c r="F7" i="59"/>
  <c r="G7" i="59"/>
  <c r="E8" i="59"/>
  <c r="F8" i="59"/>
  <c r="G8" i="59"/>
  <c r="E9" i="59"/>
  <c r="F9" i="59"/>
  <c r="F32" i="59" s="1"/>
  <c r="G9" i="59"/>
  <c r="E31" i="58"/>
  <c r="F31" i="58"/>
  <c r="G31" i="58"/>
  <c r="H9" i="58"/>
  <c r="H7" i="58"/>
  <c r="H8" i="58"/>
  <c r="H6" i="58"/>
  <c r="E7" i="58"/>
  <c r="F7" i="58"/>
  <c r="G7" i="58"/>
  <c r="E8" i="58"/>
  <c r="F8" i="58"/>
  <c r="G8" i="58"/>
  <c r="E9" i="58"/>
  <c r="F9" i="58"/>
  <c r="G9" i="58"/>
  <c r="G32" i="58" s="1"/>
  <c r="E31" i="57"/>
  <c r="F31" i="57"/>
  <c r="G31" i="57"/>
  <c r="H9" i="57"/>
  <c r="H7" i="57"/>
  <c r="H8" i="57"/>
  <c r="H6" i="57"/>
  <c r="E7" i="57"/>
  <c r="F7" i="57"/>
  <c r="G7" i="57"/>
  <c r="E8" i="57"/>
  <c r="F8" i="57"/>
  <c r="G8" i="57"/>
  <c r="E9" i="57"/>
  <c r="F9" i="57"/>
  <c r="F32" i="57" s="1"/>
  <c r="G9" i="57"/>
  <c r="G32" i="59"/>
  <c r="E32" i="59"/>
  <c r="D32" i="59"/>
  <c r="C32" i="59"/>
  <c r="F32" i="58"/>
  <c r="E32" i="58"/>
  <c r="D32" i="58"/>
  <c r="C32" i="58"/>
  <c r="G32" i="57"/>
  <c r="E32" i="57"/>
  <c r="D32" i="57"/>
  <c r="C32" i="57"/>
  <c r="G32" i="43"/>
  <c r="F32" i="43"/>
  <c r="E32" i="43"/>
  <c r="D32" i="43"/>
  <c r="C32" i="43"/>
  <c r="D32" i="61"/>
  <c r="E32" i="61"/>
  <c r="F32" i="61"/>
  <c r="G32" i="61"/>
  <c r="C32" i="61"/>
  <c r="H7" i="43"/>
  <c r="H8" i="43"/>
  <c r="H9" i="43"/>
  <c r="H6" i="43"/>
  <c r="E7" i="43"/>
  <c r="F7" i="43"/>
  <c r="G7" i="43"/>
  <c r="E8" i="43"/>
  <c r="F8" i="43"/>
  <c r="G8" i="43"/>
  <c r="G9" i="43" s="1"/>
  <c r="E9" i="43"/>
  <c r="F9" i="43"/>
  <c r="D31" i="43"/>
  <c r="E31" i="43"/>
  <c r="F31" i="43"/>
  <c r="G31" i="43"/>
  <c r="H7" i="61"/>
  <c r="H8" i="61"/>
  <c r="H9" i="61"/>
  <c r="H6" i="61"/>
  <c r="I52" i="50"/>
  <c r="I39" i="50"/>
  <c r="I26" i="50"/>
  <c r="E31" i="61"/>
  <c r="F31" i="61"/>
  <c r="G31" i="61"/>
  <c r="E3" i="59"/>
  <c r="F3" i="59"/>
  <c r="G3" i="59"/>
  <c r="E4" i="59"/>
  <c r="F4" i="59"/>
  <c r="G4" i="59"/>
  <c r="E5" i="59"/>
  <c r="F5" i="59"/>
  <c r="G5" i="59"/>
  <c r="E6" i="59"/>
  <c r="F6" i="59"/>
  <c r="G6" i="59"/>
  <c r="E3" i="58"/>
  <c r="F3" i="58"/>
  <c r="G3" i="58"/>
  <c r="E4" i="58"/>
  <c r="F4" i="58"/>
  <c r="G4" i="58"/>
  <c r="E5" i="58"/>
  <c r="F5" i="58"/>
  <c r="G5" i="58"/>
  <c r="E6" i="58"/>
  <c r="F6" i="58"/>
  <c r="G6" i="58"/>
  <c r="E3" i="57"/>
  <c r="F3" i="57"/>
  <c r="G3" i="57"/>
  <c r="E4" i="57"/>
  <c r="F4" i="57"/>
  <c r="G4" i="57"/>
  <c r="E5" i="57"/>
  <c r="F5" i="57"/>
  <c r="G5" i="57"/>
  <c r="E6" i="57"/>
  <c r="F6" i="57"/>
  <c r="G6" i="57"/>
  <c r="E3" i="43"/>
  <c r="F3" i="43"/>
  <c r="G3" i="43"/>
  <c r="E4" i="43"/>
  <c r="F4" i="43"/>
  <c r="G4" i="43"/>
  <c r="E5" i="43"/>
  <c r="F5" i="43"/>
  <c r="G5" i="43"/>
  <c r="E6" i="43"/>
  <c r="F6" i="43"/>
  <c r="G6" i="43"/>
  <c r="F4" i="53"/>
  <c r="G4" i="53"/>
  <c r="H4" i="53"/>
  <c r="F5" i="53"/>
  <c r="G5" i="53"/>
  <c r="H5" i="53"/>
  <c r="E9" i="61"/>
  <c r="F9" i="61"/>
  <c r="G9" i="61"/>
  <c r="G7" i="61"/>
  <c r="D3" i="61"/>
  <c r="E3" i="61"/>
  <c r="F3" i="61"/>
  <c r="G3" i="61"/>
  <c r="D4" i="61"/>
  <c r="E4" i="61"/>
  <c r="F4" i="61"/>
  <c r="G4" i="61"/>
  <c r="D5" i="61"/>
  <c r="E5" i="61"/>
  <c r="F5" i="61"/>
  <c r="G5" i="61"/>
  <c r="D6" i="61"/>
  <c r="E6" i="61"/>
  <c r="E7" i="61" s="1"/>
  <c r="F6" i="61"/>
  <c r="F7" i="61" s="1"/>
  <c r="G6" i="61"/>
  <c r="D28" i="56" l="1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19" i="55" s="1"/>
  <c r="F20" i="55" s="1"/>
  <c r="F24" i="53"/>
  <c r="E24" i="53"/>
  <c r="E25" i="53" s="1"/>
  <c r="D24" i="53"/>
  <c r="D25" i="53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K7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D31" i="61"/>
  <c r="C31" i="61"/>
  <c r="C6" i="61"/>
  <c r="C4" i="56" s="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33" i="43" l="1"/>
  <c r="D34" i="43" s="1"/>
  <c r="E26" i="53"/>
  <c r="E27" i="53" s="1"/>
  <c r="E28" i="53" s="1"/>
  <c r="G19" i="55"/>
  <c r="G20" i="55" s="1"/>
  <c r="G33" i="61"/>
  <c r="H25" i="53"/>
  <c r="E33" i="61"/>
  <c r="F25" i="53"/>
  <c r="C33" i="43"/>
  <c r="C34" i="43" s="1"/>
  <c r="D26" i="53"/>
  <c r="D27" i="53" s="1"/>
  <c r="D28" i="53" s="1"/>
  <c r="G25" i="5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34" i="61"/>
  <c r="D19" i="55"/>
  <c r="D20" i="55" s="1"/>
  <c r="F4" i="56"/>
  <c r="H16" i="55"/>
  <c r="C33" i="57"/>
  <c r="C34" i="57" s="1"/>
  <c r="C33" i="61"/>
  <c r="C34" i="61" s="1"/>
  <c r="M14" i="36"/>
  <c r="G17" i="36"/>
  <c r="G19" i="36" s="1"/>
  <c r="M7" i="36"/>
  <c r="K10" i="36"/>
  <c r="E17" i="36"/>
  <c r="E19" i="36" s="1"/>
  <c r="K17" i="36"/>
  <c r="K19" i="36" s="1"/>
  <c r="M5" i="36"/>
  <c r="C10" i="36"/>
  <c r="D33" i="57"/>
  <c r="D10" i="57" s="1"/>
  <c r="C33" i="59"/>
  <c r="C34" i="59" s="1"/>
  <c r="C33" i="58"/>
  <c r="C10" i="58" s="1"/>
  <c r="E19" i="55"/>
  <c r="E20" i="55" s="1"/>
  <c r="E11" i="50"/>
  <c r="E8" i="50"/>
  <c r="C45" i="61" s="1"/>
  <c r="G4" i="56"/>
  <c r="C37" i="61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C10" i="61"/>
  <c r="D10" i="61"/>
  <c r="D7" i="59"/>
  <c r="C7" i="59"/>
  <c r="C7" i="58"/>
  <c r="D7" i="58"/>
  <c r="E4" i="56"/>
  <c r="C7" i="57"/>
  <c r="D7" i="57"/>
  <c r="D4" i="56"/>
  <c r="D7" i="43"/>
  <c r="D10" i="43"/>
  <c r="C7" i="43"/>
  <c r="C10" i="43" l="1"/>
  <c r="E10" i="61"/>
  <c r="E34" i="61"/>
  <c r="E40" i="61" s="1"/>
  <c r="F10" i="61"/>
  <c r="F34" i="61"/>
  <c r="G33" i="43"/>
  <c r="H26" i="53"/>
  <c r="G33" i="57"/>
  <c r="G26" i="53"/>
  <c r="F33" i="57"/>
  <c r="F33" i="43"/>
  <c r="E33" i="57"/>
  <c r="F26" i="53"/>
  <c r="E33" i="43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D34" i="57"/>
  <c r="H18" i="55"/>
  <c r="C10" i="57"/>
  <c r="C10" i="59"/>
  <c r="C34" i="58"/>
  <c r="C17" i="36"/>
  <c r="M10" i="36"/>
  <c r="D33" i="58"/>
  <c r="D33" i="59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C8" i="58"/>
  <c r="F5" i="56"/>
  <c r="D8" i="58"/>
  <c r="D9" i="58" s="1"/>
  <c r="E5" i="56"/>
  <c r="C8" i="57"/>
  <c r="C9" i="57" s="1"/>
  <c r="D8" i="57"/>
  <c r="D9" i="57" s="1"/>
  <c r="C8" i="43"/>
  <c r="D5" i="56"/>
  <c r="D8" i="43"/>
  <c r="D9" i="43" s="1"/>
  <c r="E18" i="43" l="1"/>
  <c r="F18" i="43"/>
  <c r="F17" i="43" s="1"/>
  <c r="F23" i="43" s="1"/>
  <c r="G18" i="43"/>
  <c r="G17" i="43" s="1"/>
  <c r="G23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27" i="53"/>
  <c r="F28" i="53" s="1"/>
  <c r="E33" i="58"/>
  <c r="E33" i="59"/>
  <c r="F10" i="57"/>
  <c r="F34" i="57"/>
  <c r="F40" i="57" s="1"/>
  <c r="G33" i="59"/>
  <c r="H27" i="53"/>
  <c r="H28" i="53" s="1"/>
  <c r="G33" i="58"/>
  <c r="H13" i="61"/>
  <c r="C11" i="56" s="1"/>
  <c r="C37" i="56" s="1"/>
  <c r="E34" i="57"/>
  <c r="E40" i="57" s="1"/>
  <c r="E10" i="57"/>
  <c r="G27" i="53"/>
  <c r="G28" i="53" s="1"/>
  <c r="F33" i="58"/>
  <c r="F33" i="59"/>
  <c r="G10" i="43"/>
  <c r="G34" i="43"/>
  <c r="G40" i="43" s="1"/>
  <c r="G48" i="43" s="1"/>
  <c r="H12" i="57"/>
  <c r="E10" i="56" s="1"/>
  <c r="E36" i="56" s="1"/>
  <c r="H12" i="59"/>
  <c r="G10" i="56" s="1"/>
  <c r="G36" i="56" s="1"/>
  <c r="H13" i="43"/>
  <c r="E10" i="43"/>
  <c r="E34" i="43"/>
  <c r="E40" i="43" s="1"/>
  <c r="F10" i="43"/>
  <c r="F34" i="43"/>
  <c r="F40" i="43" s="1"/>
  <c r="F48" i="43" s="1"/>
  <c r="G10" i="57"/>
  <c r="H10" i="57" s="1"/>
  <c r="G34" i="57"/>
  <c r="G40" i="57" s="1"/>
  <c r="H12" i="58"/>
  <c r="F11" i="43"/>
  <c r="F14" i="43" s="1"/>
  <c r="F15" i="43" s="1"/>
  <c r="F16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5" i="43" s="1"/>
  <c r="G16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E15" i="57" s="1"/>
  <c r="H20" i="43"/>
  <c r="D18" i="56" s="1"/>
  <c r="D44" i="56" s="1"/>
  <c r="D6" i="56"/>
  <c r="D7" i="56" s="1"/>
  <c r="J11" i="55"/>
  <c r="K10" i="55"/>
  <c r="D11" i="56"/>
  <c r="D37" i="56" s="1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H19" i="61" s="1"/>
  <c r="C44" i="57"/>
  <c r="C19" i="57" s="1"/>
  <c r="C44" i="59"/>
  <c r="C19" i="59" s="1"/>
  <c r="H19" i="59" s="1"/>
  <c r="C44" i="43"/>
  <c r="C19" i="43" s="1"/>
  <c r="H19" i="43" s="1"/>
  <c r="C44" i="58"/>
  <c r="C19" i="58" s="1"/>
  <c r="C22" i="61"/>
  <c r="H22" i="61" s="1"/>
  <c r="C47" i="59"/>
  <c r="C22" i="59" s="1"/>
  <c r="H22" i="59" s="1"/>
  <c r="C47" i="57"/>
  <c r="C22" i="57" s="1"/>
  <c r="H22" i="57" s="1"/>
  <c r="C47" i="58"/>
  <c r="C22" i="58" s="1"/>
  <c r="H22" i="58" s="1"/>
  <c r="C47" i="43"/>
  <c r="C22" i="43" s="1"/>
  <c r="H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34" i="59"/>
  <c r="D10" i="59"/>
  <c r="F6" i="56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7" i="56"/>
  <c r="C9" i="58"/>
  <c r="E7" i="56"/>
  <c r="E6" i="56"/>
  <c r="H5" i="56"/>
  <c r="C9" i="43"/>
  <c r="H10" i="43" l="1"/>
  <c r="D8" i="56" s="1"/>
  <c r="D31" i="56" s="1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D17" i="43"/>
  <c r="H19" i="58"/>
  <c r="F17" i="56" s="1"/>
  <c r="F43" i="56" s="1"/>
  <c r="G17" i="56"/>
  <c r="G43" i="56" s="1"/>
  <c r="D40" i="43"/>
  <c r="F24" i="43"/>
  <c r="F25" i="43" s="1"/>
  <c r="F26" i="43" s="1"/>
  <c r="F27" i="43" s="1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C17" i="56"/>
  <c r="C43" i="56" s="1"/>
  <c r="F10" i="59"/>
  <c r="F15" i="59" s="1"/>
  <c r="F34" i="59"/>
  <c r="F40" i="59" s="1"/>
  <c r="E14" i="59"/>
  <c r="D20" i="56"/>
  <c r="D46" i="56" s="1"/>
  <c r="D17" i="56"/>
  <c r="D43" i="56" s="1"/>
  <c r="G14" i="57"/>
  <c r="G15" i="57" s="1"/>
  <c r="G16" i="57" s="1"/>
  <c r="E8" i="56"/>
  <c r="E31" i="56" s="1"/>
  <c r="E14" i="58"/>
  <c r="F10" i="56"/>
  <c r="F36" i="56" s="1"/>
  <c r="E16" i="57"/>
  <c r="E14" i="43"/>
  <c r="E15" i="43" s="1"/>
  <c r="F14" i="57"/>
  <c r="F15" i="57" s="1"/>
  <c r="F16" i="57" s="1"/>
  <c r="G24" i="43"/>
  <c r="G25" i="43" s="1"/>
  <c r="G26" i="43" s="1"/>
  <c r="G27" i="43" s="1"/>
  <c r="H18" i="56"/>
  <c r="H44" i="56" s="1"/>
  <c r="D8" i="59"/>
  <c r="D9" i="59" s="1"/>
  <c r="C8" i="59"/>
  <c r="J12" i="55"/>
  <c r="K12" i="55" s="1"/>
  <c r="K11" i="55"/>
  <c r="D40" i="57"/>
  <c r="D40" i="59"/>
  <c r="E17" i="56"/>
  <c r="E43" i="56" s="1"/>
  <c r="G20" i="56"/>
  <c r="G46" i="56" s="1"/>
  <c r="C17" i="43"/>
  <c r="H17" i="43" s="1"/>
  <c r="H23" i="43" s="1"/>
  <c r="D11" i="59"/>
  <c r="D14" i="59" s="1"/>
  <c r="D15" i="59" s="1"/>
  <c r="D16" i="59" s="1"/>
  <c r="E20" i="56"/>
  <c r="E52" i="56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D23" i="43"/>
  <c r="D24" i="43" s="1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F7" i="56"/>
  <c r="E30" i="56"/>
  <c r="E32" i="56" s="1"/>
  <c r="E33" i="56" s="1"/>
  <c r="E50" i="56"/>
  <c r="D30" i="56"/>
  <c r="D51" i="56"/>
  <c r="D50" i="56"/>
  <c r="D48" i="56"/>
  <c r="E15" i="59" l="1"/>
  <c r="E16" i="59" s="1"/>
  <c r="D32" i="56"/>
  <c r="D33" i="56" s="1"/>
  <c r="C52" i="56"/>
  <c r="H10" i="58"/>
  <c r="F8" i="56" s="1"/>
  <c r="G21" i="58"/>
  <c r="E21" i="58"/>
  <c r="F21" i="58"/>
  <c r="H26" i="51"/>
  <c r="H18" i="59" s="1"/>
  <c r="H18" i="58"/>
  <c r="G46" i="57"/>
  <c r="G48" i="57" s="1"/>
  <c r="G23" i="57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G24" i="57"/>
  <c r="G25" i="57" s="1"/>
  <c r="G26" i="57" s="1"/>
  <c r="G27" i="57" s="1"/>
  <c r="C23" i="43"/>
  <c r="G6" i="56"/>
  <c r="H6" i="56" s="1"/>
  <c r="C9" i="59"/>
  <c r="G7" i="56" s="1"/>
  <c r="G52" i="56" s="1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D15" i="56"/>
  <c r="C18" i="59"/>
  <c r="C17" i="59" s="1"/>
  <c r="D18" i="59"/>
  <c r="D17" i="59" s="1"/>
  <c r="C18" i="58"/>
  <c r="C17" i="58" s="1"/>
  <c r="D18" i="58"/>
  <c r="D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48" i="56"/>
  <c r="F52" i="56"/>
  <c r="F50" i="56"/>
  <c r="C21" i="59" l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F18" i="58"/>
  <c r="F17" i="58" s="1"/>
  <c r="F23" i="58" s="1"/>
  <c r="F24" i="58" s="1"/>
  <c r="F25" i="58" s="1"/>
  <c r="F26" i="58" s="1"/>
  <c r="F27" i="58" s="1"/>
  <c r="E46" i="58"/>
  <c r="E48" i="58" s="1"/>
  <c r="E23" i="58"/>
  <c r="G21" i="59"/>
  <c r="E21" i="59"/>
  <c r="F21" i="59"/>
  <c r="G19" i="56"/>
  <c r="G18" i="59"/>
  <c r="G17" i="59" s="1"/>
  <c r="H17" i="59" s="1"/>
  <c r="E18" i="59"/>
  <c r="E17" i="59" s="1"/>
  <c r="F18" i="59"/>
  <c r="F17" i="59" s="1"/>
  <c r="G46" i="58"/>
  <c r="G48" i="58" s="1"/>
  <c r="E24" i="58"/>
  <c r="E25" i="58" s="1"/>
  <c r="E26" i="58" s="1"/>
  <c r="E27" i="58" s="1"/>
  <c r="F31" i="56"/>
  <c r="F32" i="56" s="1"/>
  <c r="F33" i="56" s="1"/>
  <c r="H8" i="56"/>
  <c r="H31" i="56" s="1"/>
  <c r="H23" i="57"/>
  <c r="G50" i="56"/>
  <c r="G30" i="56"/>
  <c r="G32" i="56" s="1"/>
  <c r="G33" i="56" s="1"/>
  <c r="G51" i="56"/>
  <c r="G48" i="56"/>
  <c r="H7" i="56"/>
  <c r="H52" i="56" s="1"/>
  <c r="F51" i="56"/>
  <c r="H50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5" i="59" s="1"/>
  <c r="D26" i="57"/>
  <c r="D27" i="57" s="1"/>
  <c r="C46" i="59"/>
  <c r="C23" i="59"/>
  <c r="C46" i="58"/>
  <c r="C23" i="58"/>
  <c r="H17" i="58" l="1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F15" i="56"/>
  <c r="H23" i="58"/>
  <c r="E42" i="56"/>
  <c r="E21" i="56"/>
  <c r="G15" i="56"/>
  <c r="H23" i="59"/>
  <c r="D26" i="59"/>
  <c r="I28" i="51"/>
  <c r="F42" i="56" l="1"/>
  <c r="F21" i="56"/>
  <c r="G42" i="56"/>
  <c r="G21" i="56"/>
  <c r="D27" i="59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G9" i="56"/>
  <c r="G12" i="56" s="1"/>
  <c r="D9" i="56"/>
  <c r="H9" i="56" s="1"/>
  <c r="H35" i="56" s="1"/>
  <c r="C24" i="59"/>
  <c r="C25" i="59" s="1"/>
  <c r="G35" i="56"/>
  <c r="G49" i="56"/>
  <c r="H24" i="43"/>
  <c r="C24" i="43"/>
  <c r="C25" i="43" s="1"/>
  <c r="C12" i="56"/>
  <c r="C35" i="56"/>
  <c r="C15" i="57"/>
  <c r="C15" i="58"/>
  <c r="C16" i="61"/>
  <c r="F35" i="56"/>
  <c r="F49" i="56"/>
  <c r="F12" i="56"/>
  <c r="G13" i="56"/>
  <c r="H16" i="59"/>
  <c r="H24" i="59"/>
  <c r="D13" i="56"/>
  <c r="E35" i="56"/>
  <c r="E49" i="56"/>
  <c r="E12" i="56"/>
  <c r="C26" i="59" l="1"/>
  <c r="C27" i="59" s="1"/>
  <c r="D49" i="56"/>
  <c r="D12" i="56"/>
  <c r="D35" i="56"/>
  <c r="H25" i="59"/>
  <c r="H26" i="59" s="1"/>
  <c r="H25" i="43"/>
  <c r="H26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D14" i="56"/>
  <c r="D39" i="56"/>
  <c r="D40" i="56" s="1"/>
  <c r="G14" i="56"/>
  <c r="G39" i="56"/>
  <c r="G40" i="56" s="1"/>
  <c r="C24" i="58"/>
  <c r="C25" i="58" s="1"/>
  <c r="C16" i="58"/>
  <c r="G23" i="56" l="1"/>
  <c r="D23" i="56"/>
  <c r="C26" i="57"/>
  <c r="H27" i="59"/>
  <c r="G24" i="56"/>
  <c r="H27" i="43"/>
  <c r="D24" i="56"/>
  <c r="H24" i="58"/>
  <c r="F13" i="56"/>
  <c r="H16" i="58"/>
  <c r="C26" i="58"/>
  <c r="C14" i="56"/>
  <c r="C39" i="56"/>
  <c r="H16" i="57"/>
  <c r="H24" i="57"/>
  <c r="E13" i="56"/>
  <c r="H25" i="58" l="1"/>
  <c r="H26" i="58" s="1"/>
  <c r="H25" i="57"/>
  <c r="H26" i="57" s="1"/>
  <c r="E14" i="56"/>
  <c r="E39" i="56"/>
  <c r="E40" i="56" s="1"/>
  <c r="H13" i="56"/>
  <c r="C27" i="58"/>
  <c r="F14" i="56"/>
  <c r="F39" i="56"/>
  <c r="F40" i="56" s="1"/>
  <c r="C27" i="57"/>
  <c r="E22" i="56"/>
  <c r="E54" i="56" s="1"/>
  <c r="F23" i="56"/>
  <c r="F22" i="56"/>
  <c r="F54" i="56" s="1"/>
  <c r="G53" i="56"/>
  <c r="G25" i="56"/>
  <c r="G60" i="56"/>
  <c r="G59" i="56" s="1"/>
  <c r="D25" i="56"/>
  <c r="D60" i="56"/>
  <c r="D59" i="56" s="1"/>
  <c r="D53" i="56"/>
  <c r="E23" i="56" l="1"/>
  <c r="H14" i="56"/>
  <c r="H39" i="56"/>
  <c r="H27" i="58"/>
  <c r="F24" i="56"/>
  <c r="E24" i="56"/>
  <c r="H27" i="57"/>
  <c r="E25" i="56" l="1"/>
  <c r="E53" i="56"/>
  <c r="E60" i="56"/>
  <c r="E59" i="56" s="1"/>
  <c r="F53" i="56"/>
  <c r="F25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/>
  <c r="H51" i="56" s="1"/>
  <c r="H45" i="56" l="1"/>
  <c r="C51" i="56"/>
  <c r="G18" i="61"/>
  <c r="G17" i="61" s="1"/>
  <c r="G23" i="61" s="1"/>
  <c r="G24" i="61" s="1"/>
  <c r="D18" i="61"/>
  <c r="D17" i="61" s="1"/>
  <c r="D23" i="61" s="1"/>
  <c r="D24" i="61" s="1"/>
  <c r="F18" i="61"/>
  <c r="F17" i="6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F27" i="61" s="1"/>
  <c r="G25" i="61"/>
  <c r="G26" i="61" s="1"/>
  <c r="G27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s="1"/>
  <c r="C27" i="61" l="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H27" i="61"/>
  <c r="C24" i="56"/>
  <c r="C25" i="56" l="1"/>
  <c r="C53" i="56"/>
  <c r="C60" i="56"/>
  <c r="C59" i="56" s="1"/>
  <c r="H54" i="56"/>
  <c r="H23" i="56"/>
  <c r="H24" i="56" s="1"/>
  <c r="H53" i="56" l="1"/>
  <c r="H25" i="56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<sst xmlns="http://schemas.openxmlformats.org/spreadsheetml/2006/main" count="1246" uniqueCount="309">
  <si>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</si>
  <si>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</si>
  <si>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</si>
  <si>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</si>
  <si>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</si>
  <si>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</si>
  <si>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</si>
  <si>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</si>
  <si>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</si>
  <si>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</si>
  <si>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</si>
  <si>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</si>
  <si>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</si>
  <si>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</si>
  <si>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</si>
  <si>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</si>
  <si>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</si>
  <si>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</si>
  <si>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</si>
  <si>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</si>
  <si>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</si>
  <si>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</si>
  <si>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</si>
  <si>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</si>
  <si>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</si>
  <si>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</si>
  <si>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</si>
  <si>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</si>
  <si>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</si>
  <si>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</si>
  <si>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</si>
  <si>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</si>
  <si>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</si>
  <si>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</si>
  <si>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</si>
  <si>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</si>
  <si>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</si>
  <si>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</si>
  <si>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</si>
  <si>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</si>
  <si>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</si>
  <si>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</si>
  <si>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</si>
  <si>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</si>
  <si>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</si>
  <si>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</si>
  <si>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</si>
  <si>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</si>
  <si>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</si>
  <si>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</si>
  <si>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</si>
  <si>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</si>
  <si>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</si>
  <si>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</si>
  <si>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</si>
  <si>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</si>
  <si>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</si>
  <si>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</si>
  <si>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</si>
  <si>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</si>
  <si>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</si>
  <si>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</si>
  <si>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</si>
  <si>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</si>
  <si>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</si>
  <si>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</si>
  <si>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</si>
  <si>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</si>
  <si>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</si>
  <si>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</si>
  <si>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</si>
  <si>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</si>
  <si>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</si>
  <si>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</si>
  <si>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</si>
  <si>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</si>
  <si>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</si>
  <si>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</si>
  <si>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</si>
  <si>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</si>
  <si>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</si>
  <si>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</si>
  <si>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</si>
  <si>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</si>
  <si>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</si>
  <si>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</si>
  <si>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</si>
  <si>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</si>
  <si>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</si>
  <si>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</si>
  <si>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</si>
  <si>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</si>
  <si>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</si>
  <si>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</si>
  <si>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</si>
  <si>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</si>
  <si>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</si>
  <si>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</si>
  <si>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</si>
  <si>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</si>
  <si>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</si>
  <si>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</si>
  <si>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</si>
  <si>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</si>
  <si>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</si>
  <si>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</si>
  <si>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</si>
  <si>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</si>
  <si>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</si>
  <si>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</si>
  <si>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</si>
  <si>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</si>
  <si>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</si>
  <si>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</si>
  <si>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</si>
  <si>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</si>
  <si>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</si>
  <si>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</si>
  <si>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</si>
  <si>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</si>
  <si>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</si>
  <si>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</si>
  <si>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</si>
  <si>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</si>
  <si>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</si>
  <si>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</si>
  <si>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</si>
  <si>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</si>
  <si>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</si>
  <si>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</si>
  <si>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</si>
  <si>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</si>
  <si>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</si>
  <si>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</si>
  <si>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</si>
  <si>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</si>
  <si>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</si>
  <si>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</si>
  <si>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</si>
  <si>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</si>
  <si>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</si>
  <si>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</si>
  <si>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</si>
  <si>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</si>
  <si>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</si>
  <si>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</si>
  <si>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</si>
  <si>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</si>
  <si>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</si>
  <si>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</si>
  <si>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</si>
  <si>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</si>
  <si>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</si>
  <si>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</si>
  <si>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</si>
  <si>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</si>
  <si>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</si>
  <si>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</si>
  <si>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</si>
  <si>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</si>
  <si>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</si>
  <si>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</si>
  <si>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</si>
  <si>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</si>
  <si>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</si>
  <si>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</si>
  <si>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</si>
  <si>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</si>
  <si>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</si>
  <si>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</si>
  <si>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</si>
  <si>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</si>
  <si>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</si>
  <si>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</si>
  <si>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</si>
  <si>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</si>
  <si>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</si>
  <si>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</si>
  <si>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</si>
  <si>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</si>
  <si>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</si>
  <si>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</si>
  <si>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</si>
  <si>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</si>
  <si>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</si>
  <si>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</si>
  <si>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</si>
  <si>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</si>
  <si>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</si>
  <si>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</si>
  <si>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</si>
  <si>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</si>
  <si>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</si>
  <si>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</si>
  <si>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</si>
  <si>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</si>
  <si>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</si>
  <si>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</si>
  <si>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</si>
  <si>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</si>
  <si>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</si>
  <si>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</si>
  <si>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</si>
  <si>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</si>
  <si>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</si>
  <si>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</si>
  <si>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</si>
  <si>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</si>
  <si>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</si>
  <si>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</si>
  <si>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</si>
  <si>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</si>
  <si>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</si>
  <si>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</si>
  <si>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</si>
  <si>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</si>
  <si>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</si>
  <si>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</si>
  <si>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</si>
  <si>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</si>
  <si>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</si>
  <si>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</si>
  <si>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</si>
  <si>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</si>
  <si>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</si>
  <si>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</si>
  <si>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</si>
  <si>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</si>
  <si>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</si>
  <si>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</si>
  <si>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</si>
  <si>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</si>
  <si>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</si>
  <si>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</si>
  <si>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</si>
  <si>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</si>
  <si>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</si>
  <si>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</si>
  <si>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</si>
  <si>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</si>
  <si>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</si>
  <si>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</si>
  <si>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</si>
  <si>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</si>
  <si>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</si>
  <si>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</si>
  <si>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</si>
  <si>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</si>
  <si>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</si>
  <si>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</si>
  <si>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</si>
  <si>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</si>
  <si>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</si>
  <si>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</si>
  <si>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</si>
  <si>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</si>
  <si>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</si>
  <si>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</si>
  <si>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</si>
  <si>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</si>
  <si>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</si>
  <si>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</si>
  <si>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</si>
  <si>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</si>
  <si>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</si>
  <si>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</si>
  <si>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</si>
  <si>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</si>
  <si>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</si>
  <si>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</si>
  <si>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</si>
  <si>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</si>
  <si>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</si>
  <si>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</si>
  <si>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</si>
  <si>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</si>
  <si>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</si>
  <si>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</si>
  <si>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</si>
  <si>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</si>
  <si>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</si>
  <si>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</si>
  <si>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</si>
  <si>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</si>
  <si>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</si>
  <si>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驾驶员总成</t>
  </si>
  <si>
    <t>前座总成</t>
  </si>
  <si>
    <t>6800010-J70-C00</t>
  </si>
  <si>
    <t>6800010AJ70-C00</t>
  </si>
  <si>
    <t>6800010BJ70-C00</t>
  </si>
  <si>
    <t>6900010-J70-C00</t>
  </si>
  <si>
    <t>6900010AJ70-C00</t>
  </si>
  <si>
    <t>可变阻尼、座盆延伸、通风加热、按摩、杯架</t>
  </si>
  <si>
    <t>可变阻尼、座盆延伸、通风加热、杯架</t>
  </si>
  <si>
    <t>可变阻尼、座盆延伸、通风、杯架</t>
  </si>
  <si>
    <t>翻折副驾</t>
  </si>
  <si>
    <t>滑轨副驾</t>
  </si>
  <si>
    <t>供应商年降：       年3 %</t>
    <phoneticPr fontId="45" type="noConversion"/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</si>
  <si>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</si>
  <si>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</si>
  <si>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</si>
  <si>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</si>
  <si>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</si>
  <si>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</si>
  <si>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</si>
  <si>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</si>
  <si>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</si>
  <si>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J6G升级座椅项目</t>
    <phoneticPr fontId="45" type="noConversion"/>
  </si>
  <si>
    <t>J6G升级座椅项目投资收益分析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</si>
</sst>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2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177" fontId="4" fillId="0" borderId="2" xfId="0" applyNumberFormat="1" applyFont="1" applyFill="1" applyBorder="1" applyAlignment="1">
      <alignment horizontal="center" wrapText="1" readingOrder="1"/>
    </xf>
    <xf numFmtId="43" fontId="2" fillId="0" borderId="0" xfId="1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3" fontId="2" fillId="0" borderId="2" xfId="0" applyNumberFormat="1" applyFont="1" applyFill="1" applyBorder="1">
      <alignment vertical="center"/>
    </xf>
    <xf numFmtId="43" fontId="2" fillId="0" borderId="2" xfId="1" applyFont="1" applyFill="1" applyBorder="1">
      <alignment vertical="center"/>
    </xf>
    <xf numFmtId="178" fontId="2" fillId="0" borderId="2" xfId="2" applyNumberFormat="1" applyFont="1" applyFill="1" applyBorder="1">
      <alignment vertical="center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3" customFormat="1" ht="35.25" customHeight="1">
      <c r="A2" s="174" t="s">
        <v>0</v>
      </c>
      <c r="B2" s="174" t="s">
        <v>1</v>
      </c>
      <c r="C2" s="174" t="s">
        <v>2</v>
      </c>
      <c r="D2" s="175"/>
    </row>
    <row r="3" spans="1:4" s="173" customFormat="1" ht="33.75" customHeight="1">
      <c r="A3" s="176">
        <v>1</v>
      </c>
      <c r="B3" s="176" t="s">
        <v>3</v>
      </c>
      <c r="C3" s="177" t="s">
        <v>4</v>
      </c>
      <c r="D3" s="175"/>
    </row>
    <row r="4" spans="1:4" s="173" customFormat="1" ht="33.75" customHeight="1">
      <c r="A4" s="176">
        <v>2</v>
      </c>
      <c r="B4" s="176" t="s">
        <v>5</v>
      </c>
      <c r="C4" s="177" t="s">
        <v>6</v>
      </c>
    </row>
    <row r="5" spans="1:4" s="173" customFormat="1" ht="33.75" customHeight="1">
      <c r="A5" s="176">
        <v>3</v>
      </c>
      <c r="B5" s="200" t="s">
        <v>7</v>
      </c>
      <c r="C5" s="178" t="s">
        <v>8</v>
      </c>
    </row>
    <row r="6" spans="1:4" s="173" customFormat="1" ht="33.75" customHeight="1">
      <c r="A6" s="176">
        <v>4</v>
      </c>
      <c r="B6" s="201"/>
      <c r="C6" s="177" t="s">
        <v>278</v>
      </c>
    </row>
    <row r="7" spans="1:4" s="173" customFormat="1" ht="33.75" customHeight="1">
      <c r="A7" s="176">
        <v>5</v>
      </c>
      <c r="B7" s="179" t="s">
        <v>9</v>
      </c>
      <c r="C7" s="177" t="s">
        <v>281</v>
      </c>
    </row>
    <row r="8" spans="1:4" s="173" customFormat="1" ht="33.75" customHeight="1">
      <c r="A8" s="176">
        <v>6</v>
      </c>
      <c r="B8" s="200" t="s">
        <v>10</v>
      </c>
      <c r="C8" s="177" t="s">
        <v>11</v>
      </c>
    </row>
    <row r="9" spans="1:4" s="173" customFormat="1" ht="33.75" customHeight="1">
      <c r="A9" s="176">
        <v>7</v>
      </c>
      <c r="B9" s="201"/>
      <c r="C9" s="177" t="s">
        <v>12</v>
      </c>
    </row>
    <row r="10" spans="1:4" s="173" customFormat="1" ht="33.75" customHeight="1">
      <c r="A10" s="176">
        <v>8</v>
      </c>
      <c r="B10" s="201"/>
      <c r="C10" s="178" t="s">
        <v>282</v>
      </c>
    </row>
    <row r="11" spans="1:4" s="173" customFormat="1" ht="33.75" customHeight="1">
      <c r="A11" s="176">
        <v>9</v>
      </c>
      <c r="B11" s="201"/>
      <c r="C11" s="177" t="s">
        <v>13</v>
      </c>
    </row>
    <row r="12" spans="1:4" s="173" customFormat="1" ht="33.75" customHeight="1">
      <c r="A12" s="176">
        <v>10</v>
      </c>
      <c r="B12" s="179" t="s">
        <v>14</v>
      </c>
      <c r="C12" s="177" t="s">
        <v>15</v>
      </c>
    </row>
    <row r="13" spans="1:4" ht="33.75" customHeight="1"/>
    <row r="14" spans="1:4" ht="33.75" customHeight="1"/>
    <row r="15" spans="1:4" ht="33.75" customHeight="1">
      <c r="C15" s="18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J19" sqref="J19"/>
    </sheetView>
  </sheetViews>
  <sheetFormatPr defaultColWidth="9" defaultRowHeight="16.5"/>
  <cols>
    <col min="1" max="1" width="14" style="43" customWidth="1"/>
    <col min="2" max="2" width="14.125" style="43" customWidth="1"/>
    <col min="3" max="7" width="14.25" style="43" customWidth="1"/>
    <col min="8" max="8" width="13.875" style="43" customWidth="1"/>
    <col min="9" max="9" width="9.25" style="43" customWidth="1"/>
    <col min="10" max="10" width="9.125" style="44" customWidth="1"/>
    <col min="11" max="11" width="9.625" style="44" customWidth="1"/>
    <col min="12" max="16384" width="9" style="43"/>
  </cols>
  <sheetData>
    <row r="1" spans="1:11" ht="29.25" customHeight="1">
      <c r="A1" s="236" t="s">
        <v>190</v>
      </c>
      <c r="B1" s="236"/>
      <c r="C1" s="236"/>
      <c r="D1" s="236"/>
      <c r="E1" s="236"/>
      <c r="F1" s="236"/>
      <c r="G1" s="236"/>
      <c r="H1" s="236"/>
    </row>
    <row r="2" spans="1:11" ht="24" customHeight="1">
      <c r="A2" s="46" t="s">
        <v>191</v>
      </c>
      <c r="E2" s="45"/>
      <c r="F2" s="45"/>
      <c r="G2" s="45"/>
      <c r="H2" s="45"/>
    </row>
    <row r="3" spans="1:11">
      <c r="C3" s="43" t="s">
        <v>192</v>
      </c>
      <c r="D3" s="198" t="s">
        <v>193</v>
      </c>
      <c r="E3" s="47">
        <v>0.03</v>
      </c>
    </row>
    <row r="5" spans="1:11" ht="45" customHeight="1">
      <c r="A5" s="229" t="s">
        <v>194</v>
      </c>
      <c r="B5" s="48" t="s">
        <v>143</v>
      </c>
      <c r="C5" s="196" t="s">
        <v>285</v>
      </c>
      <c r="D5" s="196" t="s">
        <v>285</v>
      </c>
      <c r="E5" s="196" t="s">
        <v>285</v>
      </c>
      <c r="F5" s="196" t="s">
        <v>286</v>
      </c>
      <c r="G5" s="196" t="s">
        <v>286</v>
      </c>
      <c r="H5" s="233" t="s">
        <v>51</v>
      </c>
    </row>
    <row r="6" spans="1:11" ht="31.5" customHeight="1">
      <c r="A6" s="229"/>
      <c r="B6" s="48" t="s">
        <v>144</v>
      </c>
      <c r="C6" s="197" t="s">
        <v>287</v>
      </c>
      <c r="D6" s="197" t="s">
        <v>288</v>
      </c>
      <c r="E6" s="197" t="s">
        <v>289</v>
      </c>
      <c r="F6" s="197" t="s">
        <v>290</v>
      </c>
      <c r="G6" s="197" t="s">
        <v>291</v>
      </c>
      <c r="H6" s="234"/>
      <c r="J6" s="44">
        <v>100</v>
      </c>
    </row>
    <row r="7" spans="1:11" ht="32.25" customHeight="1">
      <c r="A7" s="229"/>
      <c r="B7" s="15" t="s">
        <v>195</v>
      </c>
      <c r="C7" s="197" t="s">
        <v>292</v>
      </c>
      <c r="D7" s="197" t="s">
        <v>293</v>
      </c>
      <c r="E7" s="197" t="s">
        <v>294</v>
      </c>
      <c r="F7" s="197" t="s">
        <v>295</v>
      </c>
      <c r="G7" s="197" t="s">
        <v>296</v>
      </c>
      <c r="H7" s="235"/>
      <c r="I7" s="43">
        <v>2026</v>
      </c>
      <c r="J7" s="44">
        <f>J6*(1-$E$3)</f>
        <v>97</v>
      </c>
      <c r="K7" s="44">
        <f>J7/$J$6</f>
        <v>0.97</v>
      </c>
    </row>
    <row r="8" spans="1:11" ht="33">
      <c r="A8" s="229"/>
      <c r="B8" s="15" t="s">
        <v>196</v>
      </c>
      <c r="C8" s="197">
        <v>3297</v>
      </c>
      <c r="D8" s="197">
        <v>2172</v>
      </c>
      <c r="E8" s="197">
        <v>2071</v>
      </c>
      <c r="F8" s="197">
        <v>720.23</v>
      </c>
      <c r="G8" s="197">
        <v>820</v>
      </c>
      <c r="H8" s="49">
        <f>SUM(C8:G8)</f>
        <v>9080.23</v>
      </c>
      <c r="I8" s="43">
        <v>2027</v>
      </c>
      <c r="J8" s="44">
        <f>J7*(1-$E$3)</f>
        <v>94.09</v>
      </c>
      <c r="K8" s="44">
        <f>J8/$J$6</f>
        <v>0.94090000000000007</v>
      </c>
    </row>
    <row r="9" spans="1:11" ht="17.25">
      <c r="A9" s="230" t="s">
        <v>197</v>
      </c>
      <c r="B9" s="51" t="s">
        <v>48</v>
      </c>
      <c r="C9" s="182">
        <v>70</v>
      </c>
      <c r="D9" s="182">
        <v>3000</v>
      </c>
      <c r="E9" s="182">
        <v>2000</v>
      </c>
      <c r="F9" s="182">
        <v>3000</v>
      </c>
      <c r="G9" s="182">
        <v>2000</v>
      </c>
      <c r="H9" s="49">
        <f>SUM(C9:G9)</f>
        <v>10070</v>
      </c>
      <c r="I9" s="43">
        <v>2028</v>
      </c>
      <c r="J9" s="44">
        <f>J8*(1-E3)</f>
        <v>91.267300000000006</v>
      </c>
      <c r="K9" s="44">
        <f>J9/$J$6</f>
        <v>0.91267300000000007</v>
      </c>
    </row>
    <row r="10" spans="1:11" ht="17.25">
      <c r="A10" s="231"/>
      <c r="B10" s="51" t="s">
        <v>49</v>
      </c>
      <c r="C10" s="182">
        <v>100</v>
      </c>
      <c r="D10" s="182">
        <v>4000</v>
      </c>
      <c r="E10" s="182">
        <v>3000</v>
      </c>
      <c r="F10" s="182">
        <v>4000</v>
      </c>
      <c r="G10" s="182">
        <v>3000</v>
      </c>
      <c r="H10" s="49">
        <f t="shared" ref="H10:H15" si="0">SUM(C10:G10)</f>
        <v>14100</v>
      </c>
      <c r="I10" s="43">
        <v>2029</v>
      </c>
      <c r="J10" s="44">
        <f>J9*(1-$E$3)</f>
        <v>88.529280999999997</v>
      </c>
      <c r="K10" s="44">
        <f>J10/$J$6</f>
        <v>0.88529280999999993</v>
      </c>
    </row>
    <row r="11" spans="1:11" ht="17.25">
      <c r="A11" s="231"/>
      <c r="B11" s="51" t="s">
        <v>50</v>
      </c>
      <c r="C11" s="182">
        <v>100</v>
      </c>
      <c r="D11" s="182">
        <v>4000</v>
      </c>
      <c r="E11" s="182">
        <v>3000</v>
      </c>
      <c r="F11" s="182">
        <v>4000</v>
      </c>
      <c r="G11" s="182">
        <v>3000</v>
      </c>
      <c r="H11" s="49">
        <f t="shared" si="0"/>
        <v>14100</v>
      </c>
      <c r="I11" s="43">
        <v>2030</v>
      </c>
      <c r="J11" s="44">
        <f>J10*(1-$E$3)</f>
        <v>85.873402569999996</v>
      </c>
      <c r="K11" s="44">
        <f t="shared" ref="K11:K12" si="1">J11/$J$6</f>
        <v>0.85873402570000001</v>
      </c>
    </row>
    <row r="12" spans="1:11" ht="17.25">
      <c r="A12" s="231"/>
      <c r="B12" s="51" t="s">
        <v>185</v>
      </c>
      <c r="C12" s="182">
        <v>100</v>
      </c>
      <c r="D12" s="182">
        <v>4000</v>
      </c>
      <c r="E12" s="182">
        <v>3000</v>
      </c>
      <c r="F12" s="182">
        <v>4000</v>
      </c>
      <c r="G12" s="182">
        <v>3000</v>
      </c>
      <c r="H12" s="49">
        <f t="shared" si="0"/>
        <v>14100</v>
      </c>
      <c r="I12" s="43">
        <v>2031</v>
      </c>
      <c r="J12" s="44">
        <f>J11*(1-$E$3)</f>
        <v>83.297200492899989</v>
      </c>
      <c r="K12" s="44">
        <f t="shared" si="1"/>
        <v>0.83297200492899992</v>
      </c>
    </row>
    <row r="13" spans="1:11" ht="17.25">
      <c r="A13" s="231"/>
      <c r="B13" s="51" t="s">
        <v>186</v>
      </c>
      <c r="C13" s="182">
        <v>100</v>
      </c>
      <c r="D13" s="182">
        <v>4000</v>
      </c>
      <c r="E13" s="182">
        <v>3000</v>
      </c>
      <c r="F13" s="182">
        <v>4000</v>
      </c>
      <c r="G13" s="182">
        <v>3000</v>
      </c>
      <c r="H13" s="49">
        <f t="shared" si="0"/>
        <v>14100</v>
      </c>
    </row>
    <row r="14" spans="1:11" ht="17.25">
      <c r="A14" s="231"/>
      <c r="B14" s="51" t="s">
        <v>187</v>
      </c>
      <c r="C14" s="50"/>
      <c r="D14" s="50"/>
      <c r="E14" s="50"/>
      <c r="F14" s="50"/>
      <c r="G14" s="50"/>
      <c r="H14" s="49">
        <f t="shared" si="0"/>
        <v>0</v>
      </c>
    </row>
    <row r="15" spans="1:11" ht="17.25">
      <c r="A15" s="232"/>
      <c r="B15" s="51" t="s">
        <v>262</v>
      </c>
      <c r="C15" s="50"/>
      <c r="D15" s="50"/>
      <c r="E15" s="50"/>
      <c r="F15" s="50"/>
      <c r="G15" s="50"/>
      <c r="H15" s="49">
        <f t="shared" si="0"/>
        <v>0</v>
      </c>
    </row>
    <row r="16" spans="1:11" ht="24" customHeight="1">
      <c r="A16" s="228" t="s">
        <v>51</v>
      </c>
      <c r="B16" s="228"/>
      <c r="C16" s="52">
        <f t="shared" ref="C16:H16" si="2">SUM(C9:C15)</f>
        <v>470</v>
      </c>
      <c r="D16" s="52">
        <f t="shared" si="2"/>
        <v>19000</v>
      </c>
      <c r="E16" s="52">
        <f t="shared" si="2"/>
        <v>14000</v>
      </c>
      <c r="F16" s="52">
        <f t="shared" si="2"/>
        <v>19000</v>
      </c>
      <c r="G16" s="52">
        <f t="shared" si="2"/>
        <v>14000</v>
      </c>
      <c r="H16" s="52">
        <f t="shared" si="2"/>
        <v>66470</v>
      </c>
    </row>
    <row r="17" spans="1:8" ht="18">
      <c r="A17" s="53"/>
      <c r="B17" s="53"/>
      <c r="C17" s="54"/>
    </row>
    <row r="18" spans="1:8" ht="24.75" customHeight="1">
      <c r="B18" s="189" t="s">
        <v>198</v>
      </c>
      <c r="C18" s="190">
        <f>材料成本!D23</f>
        <v>1930.4975999999992</v>
      </c>
      <c r="D18" s="190">
        <f>材料成本!E23</f>
        <v>1575.8671922384876</v>
      </c>
      <c r="E18" s="190">
        <f>材料成本!F23</f>
        <v>1547.1871922384876</v>
      </c>
      <c r="F18" s="190">
        <f>材料成本!G23</f>
        <v>563.4226000000001</v>
      </c>
      <c r="G18" s="190">
        <f>材料成本!H23</f>
        <v>646.42960000000005</v>
      </c>
      <c r="H18" s="191">
        <f>SUM(C18:G18)</f>
        <v>6263.4041844769754</v>
      </c>
    </row>
    <row r="19" spans="1:8" ht="24.75" customHeight="1">
      <c r="B19" s="189" t="s">
        <v>98</v>
      </c>
      <c r="C19" s="190">
        <f>C8-C18</f>
        <v>1366.5024000000008</v>
      </c>
      <c r="D19" s="190">
        <f>D8-D18</f>
        <v>596.13280776151237</v>
      </c>
      <c r="E19" s="190">
        <f>E8-E18</f>
        <v>523.81280776151243</v>
      </c>
      <c r="F19" s="190">
        <f>F8-F18</f>
        <v>156.80739999999992</v>
      </c>
      <c r="G19" s="190">
        <f>G8-G18</f>
        <v>173.57039999999995</v>
      </c>
      <c r="H19" s="191">
        <f>SUM(C19:G19)</f>
        <v>2816.8258155230255</v>
      </c>
    </row>
    <row r="20" spans="1:8" ht="24.75" customHeight="1">
      <c r="B20" s="189" t="s">
        <v>199</v>
      </c>
      <c r="C20" s="192">
        <f>C19/C8</f>
        <v>0.41446842584167448</v>
      </c>
      <c r="D20" s="192">
        <f t="shared" ref="C20:H20" si="3">D19/D8</f>
        <v>0.27446261867472943</v>
      </c>
      <c r="E20" s="192">
        <f t="shared" si="3"/>
        <v>0.25292747839764002</v>
      </c>
      <c r="F20" s="192">
        <f t="shared" si="3"/>
        <v>0.2177185065881731</v>
      </c>
      <c r="G20" s="192">
        <f t="shared" si="3"/>
        <v>0.21167121951219506</v>
      </c>
      <c r="H20" s="192">
        <f t="shared" si="3"/>
        <v>0.31021524956119234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2" activePane="bottomRight" state="frozen"/>
      <selection pane="topRight"/>
      <selection pane="bottomLeft"/>
      <selection pane="bottomRight" activeCell="D26" sqref="D26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43" t="s">
        <v>7</v>
      </c>
      <c r="B1" s="243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53" t="s">
        <v>200</v>
      </c>
      <c r="B2" s="253"/>
      <c r="C2" s="253"/>
      <c r="D2" s="253"/>
      <c r="E2" s="253"/>
      <c r="F2" s="250" t="s">
        <v>297</v>
      </c>
      <c r="G2" s="251"/>
      <c r="H2" s="251"/>
      <c r="I2" s="252"/>
    </row>
    <row r="3" spans="1:12">
      <c r="A3" s="242" t="s">
        <v>18</v>
      </c>
      <c r="B3" s="242" t="s">
        <v>201</v>
      </c>
      <c r="C3" s="30" t="s">
        <v>202</v>
      </c>
      <c r="D3" s="244" t="s">
        <v>307</v>
      </c>
      <c r="E3" s="244"/>
      <c r="F3" s="29" t="s">
        <v>203</v>
      </c>
      <c r="G3" s="245"/>
      <c r="H3" s="246"/>
      <c r="I3" s="247" t="s">
        <v>153</v>
      </c>
    </row>
    <row r="4" spans="1:12">
      <c r="A4" s="242"/>
      <c r="B4" s="242"/>
      <c r="C4" s="30" t="s">
        <v>143</v>
      </c>
      <c r="D4" s="31" t="str">
        <f>销量!C5</f>
        <v>驾驶员总成</v>
      </c>
      <c r="E4" s="31" t="str">
        <f>销量!D5</f>
        <v>驾驶员总成</v>
      </c>
      <c r="F4" s="31" t="str">
        <f>销量!E5</f>
        <v>驾驶员总成</v>
      </c>
      <c r="G4" s="31" t="str">
        <f>销量!F5</f>
        <v>前座总成</v>
      </c>
      <c r="H4" s="31" t="str">
        <f>销量!G5</f>
        <v>前座总成</v>
      </c>
      <c r="I4" s="248"/>
    </row>
    <row r="5" spans="1:12" ht="28.5">
      <c r="A5" s="242"/>
      <c r="B5" s="242"/>
      <c r="C5" s="30" t="s">
        <v>144</v>
      </c>
      <c r="D5" s="31" t="str">
        <f>销量!C6</f>
        <v>6800010-J70-C00</v>
      </c>
      <c r="E5" s="31" t="str">
        <f>销量!D6</f>
        <v>6800010AJ70-C00</v>
      </c>
      <c r="F5" s="31" t="str">
        <f>销量!E6</f>
        <v>6800010BJ70-C00</v>
      </c>
      <c r="G5" s="31" t="str">
        <f>销量!F6</f>
        <v>6900010-J70-C00</v>
      </c>
      <c r="H5" s="31" t="str">
        <f>销量!G6</f>
        <v>6900010AJ70-C00</v>
      </c>
      <c r="I5" s="249"/>
    </row>
    <row r="6" spans="1:12">
      <c r="A6" s="33">
        <v>1</v>
      </c>
      <c r="B6" s="237" t="s">
        <v>204</v>
      </c>
      <c r="C6" s="238"/>
      <c r="D6" s="34"/>
      <c r="E6" s="32"/>
      <c r="F6" s="32"/>
      <c r="G6" s="32"/>
      <c r="H6" s="32"/>
      <c r="I6" s="41"/>
    </row>
    <row r="7" spans="1:12">
      <c r="A7" s="33">
        <v>2</v>
      </c>
      <c r="B7" s="237" t="s">
        <v>205</v>
      </c>
      <c r="C7" s="238"/>
      <c r="D7" s="34"/>
      <c r="E7" s="32"/>
      <c r="F7" s="32"/>
      <c r="G7" s="32"/>
      <c r="H7" s="32"/>
      <c r="I7" s="41"/>
    </row>
    <row r="8" spans="1:12">
      <c r="A8" s="33">
        <v>3</v>
      </c>
      <c r="B8" s="237" t="s">
        <v>206</v>
      </c>
      <c r="C8" s="238"/>
      <c r="D8" s="34"/>
      <c r="E8" s="34"/>
      <c r="F8" s="34"/>
      <c r="G8" s="34"/>
      <c r="H8" s="34"/>
      <c r="I8" s="41"/>
    </row>
    <row r="9" spans="1:12">
      <c r="A9" s="33">
        <v>4</v>
      </c>
      <c r="B9" s="237" t="s">
        <v>207</v>
      </c>
      <c r="C9" s="238"/>
      <c r="D9" s="34"/>
      <c r="E9" s="32"/>
      <c r="F9" s="32"/>
      <c r="G9" s="32"/>
      <c r="H9" s="32"/>
      <c r="I9" s="41"/>
    </row>
    <row r="10" spans="1:12">
      <c r="A10" s="33">
        <v>5</v>
      </c>
      <c r="B10" s="237" t="s">
        <v>208</v>
      </c>
      <c r="C10" s="238"/>
      <c r="D10" s="34"/>
      <c r="E10" s="32"/>
      <c r="F10" s="32"/>
      <c r="G10" s="32"/>
      <c r="H10" s="32"/>
      <c r="I10" s="41"/>
    </row>
    <row r="11" spans="1:12">
      <c r="A11" s="33">
        <v>6</v>
      </c>
      <c r="B11" s="237" t="s">
        <v>209</v>
      </c>
      <c r="C11" s="238"/>
      <c r="D11" s="34"/>
      <c r="E11" s="32"/>
      <c r="F11" s="32"/>
      <c r="G11" s="32"/>
      <c r="H11" s="32"/>
      <c r="I11" s="41"/>
    </row>
    <row r="12" spans="1:12">
      <c r="A12" s="33">
        <v>7</v>
      </c>
      <c r="B12" s="237" t="s">
        <v>210</v>
      </c>
      <c r="C12" s="238"/>
      <c r="D12" s="34"/>
      <c r="E12" s="32"/>
      <c r="F12" s="32"/>
      <c r="G12" s="32"/>
      <c r="H12" s="32"/>
      <c r="I12" s="41"/>
    </row>
    <row r="13" spans="1:12">
      <c r="A13" s="33">
        <v>8</v>
      </c>
      <c r="B13" s="237" t="s">
        <v>211</v>
      </c>
      <c r="C13" s="238"/>
      <c r="D13" s="34"/>
      <c r="E13" s="32"/>
      <c r="F13" s="32"/>
      <c r="G13" s="32"/>
      <c r="H13" s="32"/>
      <c r="I13" s="41"/>
    </row>
    <row r="14" spans="1:12">
      <c r="A14" s="33">
        <v>9</v>
      </c>
      <c r="B14" s="237" t="s">
        <v>212</v>
      </c>
      <c r="C14" s="238"/>
      <c r="D14" s="34"/>
      <c r="E14" s="32"/>
      <c r="F14" s="32"/>
      <c r="G14" s="32"/>
      <c r="H14" s="32"/>
      <c r="I14" s="41"/>
    </row>
    <row r="15" spans="1:12">
      <c r="A15" s="33">
        <v>10</v>
      </c>
      <c r="B15" s="237" t="s">
        <v>213</v>
      </c>
      <c r="C15" s="238"/>
      <c r="D15" s="34"/>
      <c r="E15" s="32"/>
      <c r="F15" s="32"/>
      <c r="G15" s="32"/>
      <c r="H15" s="32"/>
      <c r="I15" s="41"/>
    </row>
    <row r="16" spans="1:12">
      <c r="A16" s="33">
        <v>11</v>
      </c>
      <c r="B16" s="237" t="s">
        <v>214</v>
      </c>
      <c r="C16" s="238"/>
      <c r="D16" s="34"/>
      <c r="E16" s="32"/>
      <c r="F16" s="32"/>
      <c r="G16" s="32"/>
      <c r="H16" s="32"/>
      <c r="I16" s="41"/>
    </row>
    <row r="17" spans="1:9">
      <c r="A17" s="33">
        <v>12</v>
      </c>
      <c r="B17" s="237" t="s">
        <v>215</v>
      </c>
      <c r="C17" s="238"/>
      <c r="D17" s="34"/>
      <c r="E17" s="32"/>
      <c r="F17" s="32"/>
      <c r="G17" s="32"/>
      <c r="H17" s="32"/>
      <c r="I17" s="41"/>
    </row>
    <row r="18" spans="1:9">
      <c r="A18" s="33">
        <v>13</v>
      </c>
      <c r="B18" s="237" t="s">
        <v>216</v>
      </c>
      <c r="C18" s="238"/>
      <c r="D18" s="34"/>
      <c r="E18" s="32"/>
      <c r="F18" s="32"/>
      <c r="G18" s="32"/>
      <c r="H18" s="32"/>
      <c r="I18" s="41"/>
    </row>
    <row r="19" spans="1:9">
      <c r="A19" s="33">
        <v>14</v>
      </c>
      <c r="B19" s="237" t="s">
        <v>217</v>
      </c>
      <c r="C19" s="238"/>
      <c r="D19" s="34"/>
      <c r="E19" s="32"/>
      <c r="F19" s="32"/>
      <c r="G19" s="32"/>
      <c r="H19" s="32"/>
      <c r="I19" s="41"/>
    </row>
    <row r="20" spans="1:9">
      <c r="A20" s="33">
        <v>15</v>
      </c>
      <c r="B20" s="237" t="s">
        <v>218</v>
      </c>
      <c r="C20" s="238"/>
      <c r="D20" s="34"/>
      <c r="E20" s="32"/>
      <c r="F20" s="32"/>
      <c r="G20" s="32"/>
      <c r="H20" s="32"/>
      <c r="I20" s="41"/>
    </row>
    <row r="21" spans="1:9">
      <c r="A21" s="33">
        <v>16</v>
      </c>
      <c r="B21" s="237" t="s">
        <v>219</v>
      </c>
      <c r="C21" s="238"/>
      <c r="D21" s="34"/>
      <c r="E21" s="32"/>
      <c r="F21" s="32"/>
      <c r="G21" s="32"/>
      <c r="H21" s="32"/>
      <c r="I21" s="41"/>
    </row>
    <row r="22" spans="1:9">
      <c r="A22" s="33">
        <v>17</v>
      </c>
      <c r="B22" s="237" t="s">
        <v>36</v>
      </c>
      <c r="C22" s="238"/>
      <c r="D22" s="34"/>
      <c r="E22" s="32"/>
      <c r="F22" s="32"/>
      <c r="G22" s="32"/>
      <c r="H22" s="32"/>
      <c r="I22" s="41"/>
    </row>
    <row r="23" spans="1:9">
      <c r="A23" s="33">
        <v>18</v>
      </c>
      <c r="B23" s="237" t="s">
        <v>220</v>
      </c>
      <c r="C23" s="238"/>
      <c r="D23" s="35">
        <v>1930.4975999999992</v>
      </c>
      <c r="E23" s="35">
        <v>1575.8671922384876</v>
      </c>
      <c r="F23" s="35">
        <v>1547.1871922384876</v>
      </c>
      <c r="G23" s="36">
        <v>563.4226000000001</v>
      </c>
      <c r="H23" s="37">
        <v>646.42960000000005</v>
      </c>
      <c r="I23" s="42"/>
    </row>
    <row r="24" spans="1:9" ht="31.5" customHeight="1">
      <c r="A24" s="239" t="s">
        <v>221</v>
      </c>
      <c r="B24" s="240"/>
      <c r="C24" s="241"/>
      <c r="D24" s="38">
        <f>SUM(D6:D23)</f>
        <v>1930.4975999999992</v>
      </c>
      <c r="E24" s="38">
        <f>SUM(E6:E23)</f>
        <v>1575.8671922384876</v>
      </c>
      <c r="F24" s="38">
        <f>SUM(F6:F23)</f>
        <v>1547.1871922384876</v>
      </c>
      <c r="G24" s="38">
        <f>SUM(G6:G23)</f>
        <v>563.4226000000001</v>
      </c>
      <c r="H24" s="38">
        <f>SUM(H6:H23)</f>
        <v>646.42960000000005</v>
      </c>
      <c r="I24" s="42"/>
    </row>
    <row r="25" spans="1:9" ht="20.25" customHeight="1">
      <c r="C25" s="24" t="s">
        <v>49</v>
      </c>
      <c r="D25" s="39">
        <f>D24*0.97</f>
        <v>1872.5826719999993</v>
      </c>
      <c r="E25" s="39">
        <f t="shared" ref="E25:H28" si="0">E24*0.97</f>
        <v>1528.591176471333</v>
      </c>
      <c r="F25" s="39">
        <f t="shared" si="0"/>
        <v>1500.771576471333</v>
      </c>
      <c r="G25" s="39">
        <f t="shared" si="0"/>
        <v>546.51992200000007</v>
      </c>
      <c r="H25" s="39">
        <f t="shared" si="0"/>
        <v>627.03671200000008</v>
      </c>
    </row>
    <row r="26" spans="1:9" ht="20.25" customHeight="1">
      <c r="C26" s="24" t="s">
        <v>50</v>
      </c>
      <c r="D26" s="39">
        <f t="shared" ref="D26:D28" si="1">D25*0.97</f>
        <v>1816.4051918399994</v>
      </c>
      <c r="E26" s="39">
        <f t="shared" si="0"/>
        <v>1482.7334411771931</v>
      </c>
      <c r="F26" s="39">
        <f t="shared" si="0"/>
        <v>1455.748429177193</v>
      </c>
      <c r="G26" s="39">
        <f t="shared" si="0"/>
        <v>530.12432434000004</v>
      </c>
      <c r="H26" s="39">
        <f t="shared" si="0"/>
        <v>608.22561064000001</v>
      </c>
    </row>
    <row r="27" spans="1:9" ht="20.25" customHeight="1">
      <c r="C27" s="24" t="s">
        <v>185</v>
      </c>
      <c r="D27" s="39">
        <f t="shared" si="1"/>
        <v>1761.9130360847994</v>
      </c>
      <c r="E27" s="39">
        <f t="shared" si="0"/>
        <v>1438.2514379418772</v>
      </c>
      <c r="F27" s="39">
        <f t="shared" si="0"/>
        <v>1412.0759763018771</v>
      </c>
      <c r="G27" s="39">
        <f t="shared" si="0"/>
        <v>514.22059460980006</v>
      </c>
      <c r="H27" s="39">
        <f t="shared" si="0"/>
        <v>589.97884232080003</v>
      </c>
    </row>
    <row r="28" spans="1:9" ht="20.25" customHeight="1">
      <c r="C28" s="24" t="s">
        <v>186</v>
      </c>
      <c r="D28" s="39">
        <f t="shared" si="1"/>
        <v>1709.0556450022555</v>
      </c>
      <c r="E28" s="39">
        <f t="shared" si="0"/>
        <v>1395.1038948036207</v>
      </c>
      <c r="F28" s="39">
        <f t="shared" si="0"/>
        <v>1369.7136970128206</v>
      </c>
      <c r="G28" s="39">
        <f t="shared" si="0"/>
        <v>498.79397677150604</v>
      </c>
      <c r="H28" s="39">
        <f t="shared" si="0"/>
        <v>572.27947705117606</v>
      </c>
    </row>
    <row r="29" spans="1:9" ht="20.25" customHeight="1">
      <c r="C29" s="24" t="s">
        <v>187</v>
      </c>
    </row>
  </sheetData>
  <mergeCells count="27">
    <mergeCell ref="A1:B1"/>
    <mergeCell ref="D3:E3"/>
    <mergeCell ref="G3:H3"/>
    <mergeCell ref="I3:I5"/>
    <mergeCell ref="F2:I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E15" sqref="E15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284</v>
      </c>
      <c r="D2" s="185"/>
    </row>
    <row r="3" spans="1:4" ht="24" customHeight="1">
      <c r="A3" s="17">
        <v>2</v>
      </c>
      <c r="B3" s="18" t="s">
        <v>226</v>
      </c>
      <c r="C3" s="20" t="s">
        <v>284</v>
      </c>
      <c r="D3" s="185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85" t="s">
        <v>298</v>
      </c>
    </row>
    <row r="5" spans="1:4" ht="21" customHeight="1">
      <c r="A5" s="17">
        <v>4</v>
      </c>
      <c r="B5" s="18" t="s">
        <v>230</v>
      </c>
      <c r="C5" s="19" t="s">
        <v>299</v>
      </c>
      <c r="D5" s="185"/>
    </row>
    <row r="6" spans="1:4" ht="21" customHeight="1">
      <c r="A6" s="17">
        <v>5</v>
      </c>
      <c r="B6" s="18" t="s">
        <v>231</v>
      </c>
      <c r="C6" s="19" t="s">
        <v>300</v>
      </c>
      <c r="D6" s="185"/>
    </row>
    <row r="7" spans="1:4" ht="27.75" customHeight="1">
      <c r="A7" s="17">
        <v>6</v>
      </c>
      <c r="B7" s="17" t="s">
        <v>232</v>
      </c>
      <c r="C7" s="20" t="s">
        <v>173</v>
      </c>
      <c r="D7" s="185"/>
    </row>
    <row r="8" spans="1:4" ht="25.5" customHeight="1">
      <c r="A8" s="17">
        <v>7</v>
      </c>
      <c r="B8" s="18" t="s">
        <v>233</v>
      </c>
      <c r="C8" s="21" t="s">
        <v>234</v>
      </c>
      <c r="D8" s="185"/>
    </row>
    <row r="9" spans="1:4" ht="25.5" customHeight="1">
      <c r="A9" s="17">
        <v>8</v>
      </c>
      <c r="B9" s="17" t="s">
        <v>235</v>
      </c>
      <c r="C9" s="21" t="s">
        <v>301</v>
      </c>
      <c r="D9" s="185"/>
    </row>
    <row r="10" spans="1:4" ht="25.5" customHeight="1">
      <c r="A10" s="17">
        <v>9</v>
      </c>
      <c r="B10" s="17" t="s">
        <v>236</v>
      </c>
      <c r="C10" s="21" t="s">
        <v>302</v>
      </c>
      <c r="D10" s="185"/>
    </row>
    <row r="11" spans="1:4" ht="25.5" customHeight="1">
      <c r="A11" s="17">
        <v>10</v>
      </c>
      <c r="B11" s="17" t="s">
        <v>237</v>
      </c>
      <c r="C11" s="21" t="s">
        <v>301</v>
      </c>
      <c r="D11" s="185" t="s">
        <v>238</v>
      </c>
    </row>
    <row r="12" spans="1:4" ht="25.5" customHeight="1">
      <c r="A12" s="17">
        <v>11</v>
      </c>
      <c r="B12" s="17" t="s">
        <v>239</v>
      </c>
      <c r="C12" s="21" t="s">
        <v>301</v>
      </c>
      <c r="D12" s="185"/>
    </row>
    <row r="13" spans="1:4" ht="24" customHeight="1">
      <c r="A13" s="17">
        <v>12</v>
      </c>
      <c r="B13" s="18" t="s">
        <v>240</v>
      </c>
      <c r="C13" s="21" t="s">
        <v>241</v>
      </c>
      <c r="D13" s="185"/>
    </row>
    <row r="14" spans="1:4" ht="24" customHeight="1">
      <c r="A14" s="17">
        <v>13</v>
      </c>
      <c r="B14" s="18" t="s">
        <v>242</v>
      </c>
      <c r="C14" s="21" t="s">
        <v>303</v>
      </c>
      <c r="D14" s="185"/>
    </row>
    <row r="15" spans="1:4" ht="24" customHeight="1">
      <c r="A15" s="17">
        <v>14</v>
      </c>
      <c r="B15" s="18" t="s">
        <v>243</v>
      </c>
      <c r="C15" s="21" t="s">
        <v>304</v>
      </c>
      <c r="D15" s="185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B1" zoomScale="85" zoomScaleNormal="85" workbookViewId="0">
      <selection activeCell="K13" sqref="K13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61" t="s">
        <v>245</v>
      </c>
      <c r="H1" s="261"/>
      <c r="I1" s="15" t="str">
        <f>销量!C6</f>
        <v>6800010-J70-C00</v>
      </c>
    </row>
    <row r="2" spans="1:11" ht="39" customHeight="1">
      <c r="A2" s="260" t="s">
        <v>246</v>
      </c>
      <c r="B2" s="260"/>
      <c r="C2" s="254" t="s">
        <v>280</v>
      </c>
      <c r="D2" s="255"/>
      <c r="E2" s="255"/>
      <c r="F2" s="255"/>
      <c r="G2" s="255"/>
      <c r="H2" s="256"/>
      <c r="I2" s="3" t="s">
        <v>247</v>
      </c>
    </row>
    <row r="3" spans="1:11" ht="34.5" customHeight="1">
      <c r="A3" s="260"/>
      <c r="B3" s="260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81" t="s">
        <v>261</v>
      </c>
      <c r="I3" s="14">
        <f>销量!C8</f>
        <v>3297</v>
      </c>
      <c r="K3" s="195" t="s">
        <v>279</v>
      </c>
    </row>
    <row r="4" spans="1:11" ht="24" customHeight="1">
      <c r="A4" s="257" t="s">
        <v>254</v>
      </c>
      <c r="B4" s="257"/>
      <c r="C4" s="7"/>
      <c r="D4" s="8"/>
      <c r="E4" s="9">
        <f>$I$3*H4</f>
        <v>40.553100000000001</v>
      </c>
      <c r="F4" s="9"/>
      <c r="G4" s="9"/>
      <c r="H4" s="10">
        <v>1.23E-2</v>
      </c>
      <c r="K4" s="3">
        <v>2.93E-2</v>
      </c>
    </row>
    <row r="5" spans="1:11" ht="24" customHeight="1">
      <c r="A5" s="257" t="s">
        <v>255</v>
      </c>
      <c r="B5" s="6" t="s">
        <v>256</v>
      </c>
      <c r="C5" s="7"/>
      <c r="D5" s="8"/>
      <c r="E5" s="9">
        <f>$I$3*H5</f>
        <v>120.67020000000001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57"/>
      <c r="B6" s="6" t="s">
        <v>257</v>
      </c>
      <c r="C6" s="7"/>
      <c r="D6" s="8"/>
      <c r="E6" s="9">
        <f t="shared" ref="E6:E11" si="0">$I$3*H6</f>
        <v>36.596699999999998</v>
      </c>
      <c r="F6" s="9"/>
      <c r="G6" s="9"/>
      <c r="H6" s="10">
        <v>1.11E-2</v>
      </c>
      <c r="K6" s="3">
        <v>8.6999999999999994E-3</v>
      </c>
    </row>
    <row r="7" spans="1:11" ht="24" customHeight="1">
      <c r="A7" s="254" t="s">
        <v>258</v>
      </c>
      <c r="B7" s="256"/>
      <c r="C7" s="11"/>
      <c r="D7" s="12"/>
      <c r="E7" s="9">
        <f t="shared" si="0"/>
        <v>197.82</v>
      </c>
      <c r="F7" s="9"/>
      <c r="G7" s="9"/>
      <c r="H7" s="13">
        <f>SUM(H4:H6)</f>
        <v>0.06</v>
      </c>
      <c r="K7" s="3"/>
    </row>
    <row r="8" spans="1:11" ht="24" customHeight="1">
      <c r="A8" s="257" t="s">
        <v>81</v>
      </c>
      <c r="B8" s="257"/>
      <c r="C8" s="7"/>
      <c r="D8" s="8"/>
      <c r="E8" s="9">
        <f t="shared" si="0"/>
        <v>106.49310000000001</v>
      </c>
      <c r="F8" s="9"/>
      <c r="G8" s="9"/>
      <c r="H8" s="10">
        <v>3.2300000000000002E-2</v>
      </c>
      <c r="I8" s="3">
        <v>6.3200000000000006E-2</v>
      </c>
      <c r="J8" s="199" t="s">
        <v>306</v>
      </c>
      <c r="K8" s="3">
        <v>2.0500000000000001E-2</v>
      </c>
    </row>
    <row r="9" spans="1:11" ht="24" customHeight="1">
      <c r="A9" s="258" t="s">
        <v>259</v>
      </c>
      <c r="B9" s="6" t="s">
        <v>256</v>
      </c>
      <c r="C9" s="7"/>
      <c r="D9" s="8"/>
      <c r="E9" s="9">
        <f t="shared" si="0"/>
        <v>27.694799999999997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59"/>
      <c r="B10" s="6" t="s">
        <v>257</v>
      </c>
      <c r="C10" s="7"/>
      <c r="D10" s="8"/>
      <c r="E10" s="9">
        <f t="shared" si="0"/>
        <v>52.752000000000002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57" t="s">
        <v>84</v>
      </c>
      <c r="B11" s="257"/>
      <c r="C11" s="7"/>
      <c r="D11" s="8"/>
      <c r="E11" s="9">
        <f t="shared" si="0"/>
        <v>117.04349999999999</v>
      </c>
      <c r="F11" s="9"/>
      <c r="G11" s="9"/>
      <c r="H11" s="10">
        <v>3.5499999999999997E-2</v>
      </c>
      <c r="I11" s="3">
        <v>-1.2999999999999999E-3</v>
      </c>
      <c r="J11" s="194" t="s">
        <v>305</v>
      </c>
      <c r="K11" s="3">
        <v>4.36E-2</v>
      </c>
    </row>
    <row r="13" spans="1:11" s="1" customFormat="1" ht="18.75" customHeight="1">
      <c r="G13" s="261" t="s">
        <v>245</v>
      </c>
      <c r="H13" s="261"/>
      <c r="I13" s="15" t="str">
        <f>销量!D6</f>
        <v>6800010AJ70-C00</v>
      </c>
    </row>
    <row r="14" spans="1:11" ht="39" customHeight="1">
      <c r="A14" s="260" t="s">
        <v>246</v>
      </c>
      <c r="B14" s="260"/>
      <c r="C14" s="254" t="str">
        <f>C2</f>
        <v>长春工厂平均值</v>
      </c>
      <c r="D14" s="255"/>
      <c r="E14" s="255"/>
      <c r="F14" s="255"/>
      <c r="G14" s="255"/>
      <c r="H14" s="256"/>
      <c r="I14" s="3" t="s">
        <v>247</v>
      </c>
    </row>
    <row r="15" spans="1:11" ht="34.5" customHeight="1">
      <c r="A15" s="260"/>
      <c r="B15" s="260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2172</v>
      </c>
    </row>
    <row r="16" spans="1:11" ht="24" customHeight="1">
      <c r="A16" s="257" t="s">
        <v>254</v>
      </c>
      <c r="B16" s="257"/>
      <c r="C16" s="7"/>
      <c r="D16" s="8"/>
      <c r="E16" s="9">
        <f>$I$15*H16</f>
        <v>26.715600000000002</v>
      </c>
      <c r="F16" s="9"/>
      <c r="G16" s="9"/>
      <c r="H16" s="10">
        <f t="shared" ref="H16:H23" si="1">H4</f>
        <v>1.23E-2</v>
      </c>
    </row>
    <row r="17" spans="1:9" ht="24" customHeight="1">
      <c r="A17" s="257" t="s">
        <v>255</v>
      </c>
      <c r="B17" s="6" t="s">
        <v>256</v>
      </c>
      <c r="C17" s="7"/>
      <c r="D17" s="8"/>
      <c r="E17" s="9">
        <f t="shared" ref="E17:E23" si="2">$I$15*H17</f>
        <v>79.495199999999997</v>
      </c>
      <c r="F17" s="9"/>
      <c r="G17" s="9"/>
      <c r="H17" s="10">
        <f t="shared" si="1"/>
        <v>3.6600000000000001E-2</v>
      </c>
    </row>
    <row r="18" spans="1:9" ht="24" customHeight="1">
      <c r="A18" s="257"/>
      <c r="B18" s="6" t="s">
        <v>257</v>
      </c>
      <c r="C18" s="7"/>
      <c r="D18" s="8"/>
      <c r="E18" s="9">
        <f t="shared" si="2"/>
        <v>24.109200000000001</v>
      </c>
      <c r="F18" s="9"/>
      <c r="G18" s="9"/>
      <c r="H18" s="10">
        <f t="shared" si="1"/>
        <v>1.11E-2</v>
      </c>
    </row>
    <row r="19" spans="1:9" ht="24" customHeight="1">
      <c r="A19" s="254" t="s">
        <v>258</v>
      </c>
      <c r="B19" s="256"/>
      <c r="C19" s="11"/>
      <c r="D19" s="12"/>
      <c r="E19" s="9">
        <f t="shared" si="2"/>
        <v>130.32</v>
      </c>
      <c r="F19" s="9"/>
      <c r="G19" s="9"/>
      <c r="H19" s="13">
        <f t="shared" si="1"/>
        <v>0.06</v>
      </c>
    </row>
    <row r="20" spans="1:9" ht="24" customHeight="1">
      <c r="A20" s="257" t="s">
        <v>81</v>
      </c>
      <c r="B20" s="257"/>
      <c r="C20" s="7"/>
      <c r="D20" s="8"/>
      <c r="E20" s="9">
        <f t="shared" si="2"/>
        <v>70.155600000000007</v>
      </c>
      <c r="F20" s="9"/>
      <c r="G20" s="9"/>
      <c r="H20" s="10">
        <f t="shared" si="1"/>
        <v>3.2300000000000002E-2</v>
      </c>
    </row>
    <row r="21" spans="1:9" ht="24" customHeight="1">
      <c r="A21" s="258" t="s">
        <v>259</v>
      </c>
      <c r="B21" s="6" t="s">
        <v>256</v>
      </c>
      <c r="C21" s="7"/>
      <c r="D21" s="8"/>
      <c r="E21" s="9">
        <f t="shared" si="2"/>
        <v>18.244799999999998</v>
      </c>
      <c r="F21" s="9"/>
      <c r="G21" s="9"/>
      <c r="H21" s="10">
        <f t="shared" si="1"/>
        <v>8.3999999999999995E-3</v>
      </c>
    </row>
    <row r="22" spans="1:9" ht="24" customHeight="1">
      <c r="A22" s="259"/>
      <c r="B22" s="6" t="s">
        <v>257</v>
      </c>
      <c r="C22" s="7"/>
      <c r="D22" s="8"/>
      <c r="E22" s="9">
        <f t="shared" si="2"/>
        <v>34.752000000000002</v>
      </c>
      <c r="F22" s="9"/>
      <c r="G22" s="9"/>
      <c r="H22" s="10">
        <f t="shared" si="1"/>
        <v>1.6E-2</v>
      </c>
    </row>
    <row r="23" spans="1:9" ht="24" customHeight="1">
      <c r="A23" s="257" t="s">
        <v>84</v>
      </c>
      <c r="B23" s="257"/>
      <c r="C23" s="7"/>
      <c r="D23" s="8"/>
      <c r="E23" s="9">
        <f t="shared" si="2"/>
        <v>77.105999999999995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61" t="s">
        <v>245</v>
      </c>
      <c r="H26" s="261"/>
      <c r="I26" s="15" t="str">
        <f>销量!E6</f>
        <v>6800010BJ70-C00</v>
      </c>
    </row>
    <row r="27" spans="1:9" ht="39" customHeight="1">
      <c r="A27" s="260" t="s">
        <v>246</v>
      </c>
      <c r="B27" s="260"/>
      <c r="C27" s="254" t="str">
        <f>C2</f>
        <v>长春工厂平均值</v>
      </c>
      <c r="D27" s="255"/>
      <c r="E27" s="255"/>
      <c r="F27" s="255"/>
      <c r="G27" s="255"/>
      <c r="H27" s="256"/>
      <c r="I27" s="3" t="s">
        <v>247</v>
      </c>
    </row>
    <row r="28" spans="1:9" ht="34.5" customHeight="1">
      <c r="A28" s="260"/>
      <c r="B28" s="260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材料成本!F23</f>
        <v>1547.1871922384876</v>
      </c>
    </row>
    <row r="29" spans="1:9" ht="24" customHeight="1">
      <c r="A29" s="257" t="s">
        <v>254</v>
      </c>
      <c r="B29" s="257"/>
      <c r="C29" s="7"/>
      <c r="D29" s="8"/>
      <c r="E29" s="9">
        <f>$I$28*H29</f>
        <v>19.030402464533399</v>
      </c>
      <c r="F29" s="9"/>
      <c r="G29" s="9"/>
      <c r="H29" s="10">
        <f t="shared" ref="H29:H36" si="3">H4</f>
        <v>1.23E-2</v>
      </c>
    </row>
    <row r="30" spans="1:9" ht="24" customHeight="1">
      <c r="A30" s="257" t="s">
        <v>255</v>
      </c>
      <c r="B30" s="6" t="s">
        <v>256</v>
      </c>
      <c r="C30" s="7"/>
      <c r="D30" s="8"/>
      <c r="E30" s="9">
        <f t="shared" ref="E30:E36" si="4">$I$28*H30</f>
        <v>56.627051235928647</v>
      </c>
      <c r="F30" s="9"/>
      <c r="G30" s="9"/>
      <c r="H30" s="10">
        <f t="shared" si="3"/>
        <v>3.6600000000000001E-2</v>
      </c>
    </row>
    <row r="31" spans="1:9" ht="24" customHeight="1">
      <c r="A31" s="257"/>
      <c r="B31" s="6" t="s">
        <v>257</v>
      </c>
      <c r="C31" s="7"/>
      <c r="D31" s="8"/>
      <c r="E31" s="9">
        <f t="shared" si="4"/>
        <v>17.173777833847211</v>
      </c>
      <c r="F31" s="9"/>
      <c r="G31" s="9"/>
      <c r="H31" s="10">
        <f t="shared" si="3"/>
        <v>1.11E-2</v>
      </c>
    </row>
    <row r="32" spans="1:9" ht="24" customHeight="1">
      <c r="A32" s="254" t="s">
        <v>258</v>
      </c>
      <c r="B32" s="256"/>
      <c r="C32" s="11"/>
      <c r="D32" s="12"/>
      <c r="E32" s="9">
        <f t="shared" si="4"/>
        <v>92.831231534309254</v>
      </c>
      <c r="F32" s="9"/>
      <c r="G32" s="9"/>
      <c r="H32" s="13">
        <f t="shared" si="3"/>
        <v>0.06</v>
      </c>
    </row>
    <row r="33" spans="1:9" ht="24" customHeight="1">
      <c r="A33" s="257" t="s">
        <v>81</v>
      </c>
      <c r="B33" s="257"/>
      <c r="C33" s="7"/>
      <c r="D33" s="8"/>
      <c r="E33" s="9">
        <f t="shared" si="4"/>
        <v>49.974146309303151</v>
      </c>
      <c r="F33" s="9"/>
      <c r="G33" s="9"/>
      <c r="H33" s="10">
        <f t="shared" si="3"/>
        <v>3.2300000000000002E-2</v>
      </c>
    </row>
    <row r="34" spans="1:9" ht="24" customHeight="1">
      <c r="A34" s="258" t="s">
        <v>259</v>
      </c>
      <c r="B34" s="6" t="s">
        <v>256</v>
      </c>
      <c r="C34" s="7"/>
      <c r="D34" s="8"/>
      <c r="E34" s="9">
        <f t="shared" si="4"/>
        <v>12.996372414803295</v>
      </c>
      <c r="F34" s="9"/>
      <c r="G34" s="9"/>
      <c r="H34" s="10">
        <f t="shared" si="3"/>
        <v>8.3999999999999995E-3</v>
      </c>
    </row>
    <row r="35" spans="1:9" ht="24" customHeight="1">
      <c r="A35" s="259"/>
      <c r="B35" s="6" t="s">
        <v>257</v>
      </c>
      <c r="C35" s="7"/>
      <c r="D35" s="8"/>
      <c r="E35" s="9">
        <f t="shared" si="4"/>
        <v>24.754995075815803</v>
      </c>
      <c r="F35" s="9"/>
      <c r="G35" s="9"/>
      <c r="H35" s="10">
        <f t="shared" si="3"/>
        <v>1.6E-2</v>
      </c>
    </row>
    <row r="36" spans="1:9" ht="24" customHeight="1">
      <c r="A36" s="257" t="s">
        <v>84</v>
      </c>
      <c r="B36" s="257"/>
      <c r="C36" s="7"/>
      <c r="D36" s="8"/>
      <c r="E36" s="9">
        <f t="shared" si="4"/>
        <v>54.925145324466307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61" t="s">
        <v>245</v>
      </c>
      <c r="H39" s="261"/>
      <c r="I39" s="15" t="str">
        <f>销量!F6</f>
        <v>6900010-J70-C00</v>
      </c>
    </row>
    <row r="40" spans="1:9" ht="39" customHeight="1">
      <c r="A40" s="260" t="s">
        <v>246</v>
      </c>
      <c r="B40" s="260"/>
      <c r="C40" s="254" t="str">
        <f>C2</f>
        <v>长春工厂平均值</v>
      </c>
      <c r="D40" s="255"/>
      <c r="E40" s="255"/>
      <c r="F40" s="255"/>
      <c r="G40" s="255"/>
      <c r="H40" s="256"/>
      <c r="I40" s="3" t="s">
        <v>247</v>
      </c>
    </row>
    <row r="41" spans="1:9" ht="34.5" customHeight="1">
      <c r="A41" s="260"/>
      <c r="B41" s="260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材料成本!G23</f>
        <v>563.4226000000001</v>
      </c>
    </row>
    <row r="42" spans="1:9" ht="24" customHeight="1">
      <c r="A42" s="257" t="s">
        <v>254</v>
      </c>
      <c r="B42" s="257"/>
      <c r="C42" s="7"/>
      <c r="D42" s="8"/>
      <c r="E42" s="9">
        <f>$I$41*H42</f>
        <v>6.9300979800000011</v>
      </c>
      <c r="F42" s="9"/>
      <c r="G42" s="9"/>
      <c r="H42" s="10">
        <f t="shared" ref="H42:H49" si="5">H4</f>
        <v>1.23E-2</v>
      </c>
    </row>
    <row r="43" spans="1:9" ht="24" customHeight="1">
      <c r="A43" s="257" t="s">
        <v>255</v>
      </c>
      <c r="B43" s="6" t="s">
        <v>256</v>
      </c>
      <c r="C43" s="7"/>
      <c r="D43" s="8"/>
      <c r="E43" s="9">
        <f t="shared" ref="E43:E49" si="6">$I$41*H43</f>
        <v>20.621267160000006</v>
      </c>
      <c r="F43" s="9"/>
      <c r="G43" s="9"/>
      <c r="H43" s="10">
        <f t="shared" si="5"/>
        <v>3.6600000000000001E-2</v>
      </c>
    </row>
    <row r="44" spans="1:9" ht="24" customHeight="1">
      <c r="A44" s="257"/>
      <c r="B44" s="6" t="s">
        <v>257</v>
      </c>
      <c r="C44" s="7"/>
      <c r="D44" s="8"/>
      <c r="E44" s="9">
        <f t="shared" si="6"/>
        <v>6.2539908600000018</v>
      </c>
      <c r="F44" s="9"/>
      <c r="G44" s="9"/>
      <c r="H44" s="10">
        <f t="shared" si="5"/>
        <v>1.11E-2</v>
      </c>
    </row>
    <row r="45" spans="1:9" ht="24" customHeight="1">
      <c r="A45" s="254" t="s">
        <v>258</v>
      </c>
      <c r="B45" s="256"/>
      <c r="C45" s="11"/>
      <c r="D45" s="12"/>
      <c r="E45" s="9">
        <f t="shared" si="6"/>
        <v>33.805356000000003</v>
      </c>
      <c r="F45" s="9"/>
      <c r="G45" s="9"/>
      <c r="H45" s="13">
        <f t="shared" si="5"/>
        <v>0.06</v>
      </c>
    </row>
    <row r="46" spans="1:9" ht="24" customHeight="1">
      <c r="A46" s="257" t="s">
        <v>81</v>
      </c>
      <c r="B46" s="257"/>
      <c r="C46" s="7"/>
      <c r="D46" s="8"/>
      <c r="E46" s="9">
        <f t="shared" si="6"/>
        <v>18.198549980000006</v>
      </c>
      <c r="F46" s="9"/>
      <c r="G46" s="9"/>
      <c r="H46" s="10">
        <f t="shared" si="5"/>
        <v>3.2300000000000002E-2</v>
      </c>
    </row>
    <row r="47" spans="1:9" ht="24" customHeight="1">
      <c r="A47" s="258" t="s">
        <v>259</v>
      </c>
      <c r="B47" s="6" t="s">
        <v>256</v>
      </c>
      <c r="C47" s="7"/>
      <c r="D47" s="8"/>
      <c r="E47" s="9">
        <f t="shared" si="6"/>
        <v>4.7327498400000003</v>
      </c>
      <c r="F47" s="9"/>
      <c r="G47" s="9"/>
      <c r="H47" s="10">
        <f t="shared" si="5"/>
        <v>8.3999999999999995E-3</v>
      </c>
    </row>
    <row r="48" spans="1:9" ht="24" customHeight="1">
      <c r="A48" s="259"/>
      <c r="B48" s="6" t="s">
        <v>257</v>
      </c>
      <c r="C48" s="7"/>
      <c r="D48" s="8"/>
      <c r="E48" s="9">
        <f t="shared" si="6"/>
        <v>9.0147616000000017</v>
      </c>
      <c r="F48" s="9"/>
      <c r="G48" s="9"/>
      <c r="H48" s="10">
        <f t="shared" si="5"/>
        <v>1.6E-2</v>
      </c>
    </row>
    <row r="49" spans="1:9" ht="24" customHeight="1">
      <c r="A49" s="257" t="s">
        <v>84</v>
      </c>
      <c r="B49" s="257"/>
      <c r="C49" s="7"/>
      <c r="D49" s="8"/>
      <c r="E49" s="9">
        <f t="shared" si="6"/>
        <v>20.001502300000002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61" t="s">
        <v>245</v>
      </c>
      <c r="H52" s="261"/>
      <c r="I52" s="15" t="str">
        <f>销量!G6</f>
        <v>6900010AJ70-C00</v>
      </c>
    </row>
    <row r="53" spans="1:9" ht="39" customHeight="1">
      <c r="A53" s="260" t="s">
        <v>246</v>
      </c>
      <c r="B53" s="260"/>
      <c r="C53" s="254" t="str">
        <f>C2</f>
        <v>长春工厂平均值</v>
      </c>
      <c r="D53" s="255"/>
      <c r="E53" s="255"/>
      <c r="F53" s="255"/>
      <c r="G53" s="255"/>
      <c r="H53" s="256"/>
      <c r="I53" s="3" t="s">
        <v>247</v>
      </c>
    </row>
    <row r="54" spans="1:9" ht="34.5" customHeight="1">
      <c r="A54" s="260"/>
      <c r="B54" s="260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材料成本!H23</f>
        <v>646.42960000000005</v>
      </c>
    </row>
    <row r="55" spans="1:9" ht="24" customHeight="1">
      <c r="A55" s="257" t="s">
        <v>254</v>
      </c>
      <c r="B55" s="257"/>
      <c r="C55" s="7"/>
      <c r="D55" s="8"/>
      <c r="E55" s="9">
        <f>$I$54*H55</f>
        <v>7.9510840800000011</v>
      </c>
      <c r="F55" s="9"/>
      <c r="G55" s="9"/>
      <c r="H55" s="10">
        <f t="shared" ref="H55:H62" si="7">H4</f>
        <v>1.23E-2</v>
      </c>
    </row>
    <row r="56" spans="1:9" ht="24" customHeight="1">
      <c r="A56" s="257" t="s">
        <v>255</v>
      </c>
      <c r="B56" s="6" t="s">
        <v>256</v>
      </c>
      <c r="C56" s="7"/>
      <c r="D56" s="8"/>
      <c r="E56" s="9">
        <f t="shared" ref="E56:E62" si="8">$I$54*H56</f>
        <v>23.659323360000002</v>
      </c>
      <c r="F56" s="9"/>
      <c r="G56" s="9"/>
      <c r="H56" s="10">
        <f t="shared" si="7"/>
        <v>3.6600000000000001E-2</v>
      </c>
    </row>
    <row r="57" spans="1:9" ht="24" customHeight="1">
      <c r="A57" s="257"/>
      <c r="B57" s="6" t="s">
        <v>257</v>
      </c>
      <c r="C57" s="7"/>
      <c r="D57" s="8"/>
      <c r="E57" s="9">
        <f t="shared" si="8"/>
        <v>7.1753685600000008</v>
      </c>
      <c r="F57" s="9"/>
      <c r="G57" s="9"/>
      <c r="H57" s="10">
        <f t="shared" si="7"/>
        <v>1.11E-2</v>
      </c>
    </row>
    <row r="58" spans="1:9" ht="24" customHeight="1">
      <c r="A58" s="254" t="s">
        <v>258</v>
      </c>
      <c r="B58" s="256"/>
      <c r="C58" s="11"/>
      <c r="D58" s="12"/>
      <c r="E58" s="9">
        <f t="shared" si="8"/>
        <v>38.785775999999998</v>
      </c>
      <c r="F58" s="9"/>
      <c r="G58" s="9"/>
      <c r="H58" s="13">
        <f t="shared" si="7"/>
        <v>0.06</v>
      </c>
    </row>
    <row r="59" spans="1:9" ht="24" customHeight="1">
      <c r="A59" s="257" t="s">
        <v>81</v>
      </c>
      <c r="B59" s="257"/>
      <c r="C59" s="7"/>
      <c r="D59" s="8"/>
      <c r="E59" s="9">
        <f t="shared" si="8"/>
        <v>20.879676080000003</v>
      </c>
      <c r="F59" s="9"/>
      <c r="G59" s="9"/>
      <c r="H59" s="10">
        <f t="shared" si="7"/>
        <v>3.2300000000000002E-2</v>
      </c>
    </row>
    <row r="60" spans="1:9" ht="24" customHeight="1">
      <c r="A60" s="258" t="s">
        <v>259</v>
      </c>
      <c r="B60" s="6" t="s">
        <v>256</v>
      </c>
      <c r="C60" s="7"/>
      <c r="D60" s="8"/>
      <c r="E60" s="9">
        <f t="shared" si="8"/>
        <v>5.4300086400000005</v>
      </c>
      <c r="F60" s="9"/>
      <c r="G60" s="9"/>
      <c r="H60" s="10">
        <f t="shared" si="7"/>
        <v>8.3999999999999995E-3</v>
      </c>
    </row>
    <row r="61" spans="1:9" ht="24" customHeight="1">
      <c r="A61" s="259"/>
      <c r="B61" s="6" t="s">
        <v>257</v>
      </c>
      <c r="C61" s="7"/>
      <c r="D61" s="8"/>
      <c r="E61" s="9">
        <f t="shared" si="8"/>
        <v>10.342873600000001</v>
      </c>
      <c r="F61" s="9"/>
      <c r="G61" s="9"/>
      <c r="H61" s="10">
        <f t="shared" si="7"/>
        <v>1.6E-2</v>
      </c>
    </row>
    <row r="62" spans="1:9" ht="24" customHeight="1">
      <c r="A62" s="257" t="s">
        <v>84</v>
      </c>
      <c r="B62" s="257"/>
      <c r="C62" s="7"/>
      <c r="D62" s="8"/>
      <c r="E62" s="9">
        <f t="shared" si="8"/>
        <v>22.9482508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8" customWidth="1"/>
    <col min="2" max="2" width="28.5" style="138" customWidth="1"/>
    <col min="3" max="4" width="9.125" style="138"/>
    <col min="5" max="5" width="13.875" style="138" customWidth="1"/>
    <col min="6" max="12" width="16.125" style="138" customWidth="1"/>
    <col min="13" max="13" width="10.625" style="138" customWidth="1"/>
    <col min="14" max="254" width="9.125" style="138"/>
    <col min="255" max="255" width="8" style="138" customWidth="1"/>
    <col min="256" max="256" width="28.5" style="138" customWidth="1"/>
    <col min="257" max="268" width="9.125" style="138"/>
    <col min="269" max="269" width="10.625" style="138" customWidth="1"/>
    <col min="270" max="510" width="9.125" style="138"/>
    <col min="511" max="511" width="8" style="138" customWidth="1"/>
    <col min="512" max="512" width="28.5" style="138" customWidth="1"/>
    <col min="513" max="524" width="9.125" style="138"/>
    <col min="525" max="525" width="10.625" style="138" customWidth="1"/>
    <col min="526" max="766" width="9.125" style="138"/>
    <col min="767" max="767" width="8" style="138" customWidth="1"/>
    <col min="768" max="768" width="28.5" style="138" customWidth="1"/>
    <col min="769" max="780" width="9.125" style="138"/>
    <col min="781" max="781" width="10.625" style="138" customWidth="1"/>
    <col min="782" max="1022" width="9.125" style="138"/>
    <col min="1023" max="1023" width="8" style="138" customWidth="1"/>
    <col min="1024" max="1024" width="28.5" style="138" customWidth="1"/>
    <col min="1025" max="1036" width="9.125" style="138"/>
    <col min="1037" max="1037" width="10.625" style="138" customWidth="1"/>
    <col min="1038" max="1278" width="9.125" style="138"/>
    <col min="1279" max="1279" width="8" style="138" customWidth="1"/>
    <col min="1280" max="1280" width="28.5" style="138" customWidth="1"/>
    <col min="1281" max="1292" width="9.125" style="138"/>
    <col min="1293" max="1293" width="10.625" style="138" customWidth="1"/>
    <col min="1294" max="1534" width="9.125" style="138"/>
    <col min="1535" max="1535" width="8" style="138" customWidth="1"/>
    <col min="1536" max="1536" width="28.5" style="138" customWidth="1"/>
    <col min="1537" max="1548" width="9.125" style="138"/>
    <col min="1549" max="1549" width="10.625" style="138" customWidth="1"/>
    <col min="1550" max="1790" width="9.125" style="138"/>
    <col min="1791" max="1791" width="8" style="138" customWidth="1"/>
    <col min="1792" max="1792" width="28.5" style="138" customWidth="1"/>
    <col min="1793" max="1804" width="9.125" style="138"/>
    <col min="1805" max="1805" width="10.625" style="138" customWidth="1"/>
    <col min="1806" max="2046" width="9.125" style="138"/>
    <col min="2047" max="2047" width="8" style="138" customWidth="1"/>
    <col min="2048" max="2048" width="28.5" style="138" customWidth="1"/>
    <col min="2049" max="2060" width="9.125" style="138"/>
    <col min="2061" max="2061" width="10.625" style="138" customWidth="1"/>
    <col min="2062" max="2302" width="9.125" style="138"/>
    <col min="2303" max="2303" width="8" style="138" customWidth="1"/>
    <col min="2304" max="2304" width="28.5" style="138" customWidth="1"/>
    <col min="2305" max="2316" width="9.125" style="138"/>
    <col min="2317" max="2317" width="10.625" style="138" customWidth="1"/>
    <col min="2318" max="2558" width="9.125" style="138"/>
    <col min="2559" max="2559" width="8" style="138" customWidth="1"/>
    <col min="2560" max="2560" width="28.5" style="138" customWidth="1"/>
    <col min="2561" max="2572" width="9.125" style="138"/>
    <col min="2573" max="2573" width="10.625" style="138" customWidth="1"/>
    <col min="2574" max="2814" width="9.125" style="138"/>
    <col min="2815" max="2815" width="8" style="138" customWidth="1"/>
    <col min="2816" max="2816" width="28.5" style="138" customWidth="1"/>
    <col min="2817" max="2828" width="9.125" style="138"/>
    <col min="2829" max="2829" width="10.625" style="138" customWidth="1"/>
    <col min="2830" max="3070" width="9.125" style="138"/>
    <col min="3071" max="3071" width="8" style="138" customWidth="1"/>
    <col min="3072" max="3072" width="28.5" style="138" customWidth="1"/>
    <col min="3073" max="3084" width="9.125" style="138"/>
    <col min="3085" max="3085" width="10.625" style="138" customWidth="1"/>
    <col min="3086" max="3326" width="9.125" style="138"/>
    <col min="3327" max="3327" width="8" style="138" customWidth="1"/>
    <col min="3328" max="3328" width="28.5" style="138" customWidth="1"/>
    <col min="3329" max="3340" width="9.125" style="138"/>
    <col min="3341" max="3341" width="10.625" style="138" customWidth="1"/>
    <col min="3342" max="3582" width="9.125" style="138"/>
    <col min="3583" max="3583" width="8" style="138" customWidth="1"/>
    <col min="3584" max="3584" width="28.5" style="138" customWidth="1"/>
    <col min="3585" max="3596" width="9.125" style="138"/>
    <col min="3597" max="3597" width="10.625" style="138" customWidth="1"/>
    <col min="3598" max="3838" width="9.125" style="138"/>
    <col min="3839" max="3839" width="8" style="138" customWidth="1"/>
    <col min="3840" max="3840" width="28.5" style="138" customWidth="1"/>
    <col min="3841" max="3852" width="9.125" style="138"/>
    <col min="3853" max="3853" width="10.625" style="138" customWidth="1"/>
    <col min="3854" max="4094" width="9.125" style="138"/>
    <col min="4095" max="4095" width="8" style="138" customWidth="1"/>
    <col min="4096" max="4096" width="28.5" style="138" customWidth="1"/>
    <col min="4097" max="4108" width="9.125" style="138"/>
    <col min="4109" max="4109" width="10.625" style="138" customWidth="1"/>
    <col min="4110" max="4350" width="9.125" style="138"/>
    <col min="4351" max="4351" width="8" style="138" customWidth="1"/>
    <col min="4352" max="4352" width="28.5" style="138" customWidth="1"/>
    <col min="4353" max="4364" width="9.125" style="138"/>
    <col min="4365" max="4365" width="10.625" style="138" customWidth="1"/>
    <col min="4366" max="4606" width="9.125" style="138"/>
    <col min="4607" max="4607" width="8" style="138" customWidth="1"/>
    <col min="4608" max="4608" width="28.5" style="138" customWidth="1"/>
    <col min="4609" max="4620" width="9.125" style="138"/>
    <col min="4621" max="4621" width="10.625" style="138" customWidth="1"/>
    <col min="4622" max="4862" width="9.125" style="138"/>
    <col min="4863" max="4863" width="8" style="138" customWidth="1"/>
    <col min="4864" max="4864" width="28.5" style="138" customWidth="1"/>
    <col min="4865" max="4876" width="9.125" style="138"/>
    <col min="4877" max="4877" width="10.625" style="138" customWidth="1"/>
    <col min="4878" max="5118" width="9.125" style="138"/>
    <col min="5119" max="5119" width="8" style="138" customWidth="1"/>
    <col min="5120" max="5120" width="28.5" style="138" customWidth="1"/>
    <col min="5121" max="5132" width="9.125" style="138"/>
    <col min="5133" max="5133" width="10.625" style="138" customWidth="1"/>
    <col min="5134" max="5374" width="9.125" style="138"/>
    <col min="5375" max="5375" width="8" style="138" customWidth="1"/>
    <col min="5376" max="5376" width="28.5" style="138" customWidth="1"/>
    <col min="5377" max="5388" width="9.125" style="138"/>
    <col min="5389" max="5389" width="10.625" style="138" customWidth="1"/>
    <col min="5390" max="5630" width="9.125" style="138"/>
    <col min="5631" max="5631" width="8" style="138" customWidth="1"/>
    <col min="5632" max="5632" width="28.5" style="138" customWidth="1"/>
    <col min="5633" max="5644" width="9.125" style="138"/>
    <col min="5645" max="5645" width="10.625" style="138" customWidth="1"/>
    <col min="5646" max="5886" width="9.125" style="138"/>
    <col min="5887" max="5887" width="8" style="138" customWidth="1"/>
    <col min="5888" max="5888" width="28.5" style="138" customWidth="1"/>
    <col min="5889" max="5900" width="9.125" style="138"/>
    <col min="5901" max="5901" width="10.625" style="138" customWidth="1"/>
    <col min="5902" max="6142" width="9.125" style="138"/>
    <col min="6143" max="6143" width="8" style="138" customWidth="1"/>
    <col min="6144" max="6144" width="28.5" style="138" customWidth="1"/>
    <col min="6145" max="6156" width="9.125" style="138"/>
    <col min="6157" max="6157" width="10.625" style="138" customWidth="1"/>
    <col min="6158" max="6398" width="9.125" style="138"/>
    <col min="6399" max="6399" width="8" style="138" customWidth="1"/>
    <col min="6400" max="6400" width="28.5" style="138" customWidth="1"/>
    <col min="6401" max="6412" width="9.125" style="138"/>
    <col min="6413" max="6413" width="10.625" style="138" customWidth="1"/>
    <col min="6414" max="6654" width="9.125" style="138"/>
    <col min="6655" max="6655" width="8" style="138" customWidth="1"/>
    <col min="6656" max="6656" width="28.5" style="138" customWidth="1"/>
    <col min="6657" max="6668" width="9.125" style="138"/>
    <col min="6669" max="6669" width="10.625" style="138" customWidth="1"/>
    <col min="6670" max="6910" width="9.125" style="138"/>
    <col min="6911" max="6911" width="8" style="138" customWidth="1"/>
    <col min="6912" max="6912" width="28.5" style="138" customWidth="1"/>
    <col min="6913" max="6924" width="9.125" style="138"/>
    <col min="6925" max="6925" width="10.625" style="138" customWidth="1"/>
    <col min="6926" max="7166" width="9.125" style="138"/>
    <col min="7167" max="7167" width="8" style="138" customWidth="1"/>
    <col min="7168" max="7168" width="28.5" style="138" customWidth="1"/>
    <col min="7169" max="7180" width="9.125" style="138"/>
    <col min="7181" max="7181" width="10.625" style="138" customWidth="1"/>
    <col min="7182" max="7422" width="9.125" style="138"/>
    <col min="7423" max="7423" width="8" style="138" customWidth="1"/>
    <col min="7424" max="7424" width="28.5" style="138" customWidth="1"/>
    <col min="7425" max="7436" width="9.125" style="138"/>
    <col min="7437" max="7437" width="10.625" style="138" customWidth="1"/>
    <col min="7438" max="7678" width="9.125" style="138"/>
    <col min="7679" max="7679" width="8" style="138" customWidth="1"/>
    <col min="7680" max="7680" width="28.5" style="138" customWidth="1"/>
    <col min="7681" max="7692" width="9.125" style="138"/>
    <col min="7693" max="7693" width="10.625" style="138" customWidth="1"/>
    <col min="7694" max="7934" width="9.125" style="138"/>
    <col min="7935" max="7935" width="8" style="138" customWidth="1"/>
    <col min="7936" max="7936" width="28.5" style="138" customWidth="1"/>
    <col min="7937" max="7948" width="9.125" style="138"/>
    <col min="7949" max="7949" width="10.625" style="138" customWidth="1"/>
    <col min="7950" max="8190" width="9.125" style="138"/>
    <col min="8191" max="8191" width="8" style="138" customWidth="1"/>
    <col min="8192" max="8192" width="28.5" style="138" customWidth="1"/>
    <col min="8193" max="8204" width="9.125" style="138"/>
    <col min="8205" max="8205" width="10.625" style="138" customWidth="1"/>
    <col min="8206" max="8446" width="9.125" style="138"/>
    <col min="8447" max="8447" width="8" style="138" customWidth="1"/>
    <col min="8448" max="8448" width="28.5" style="138" customWidth="1"/>
    <col min="8449" max="8460" width="9.125" style="138"/>
    <col min="8461" max="8461" width="10.625" style="138" customWidth="1"/>
    <col min="8462" max="8702" width="9.125" style="138"/>
    <col min="8703" max="8703" width="8" style="138" customWidth="1"/>
    <col min="8704" max="8704" width="28.5" style="138" customWidth="1"/>
    <col min="8705" max="8716" width="9.125" style="138"/>
    <col min="8717" max="8717" width="10.625" style="138" customWidth="1"/>
    <col min="8718" max="8958" width="9.125" style="138"/>
    <col min="8959" max="8959" width="8" style="138" customWidth="1"/>
    <col min="8960" max="8960" width="28.5" style="138" customWidth="1"/>
    <col min="8961" max="8972" width="9.125" style="138"/>
    <col min="8973" max="8973" width="10.625" style="138" customWidth="1"/>
    <col min="8974" max="9214" width="9.125" style="138"/>
    <col min="9215" max="9215" width="8" style="138" customWidth="1"/>
    <col min="9216" max="9216" width="28.5" style="138" customWidth="1"/>
    <col min="9217" max="9228" width="9.125" style="138"/>
    <col min="9229" max="9229" width="10.625" style="138" customWidth="1"/>
    <col min="9230" max="9470" width="9.125" style="138"/>
    <col min="9471" max="9471" width="8" style="138" customWidth="1"/>
    <col min="9472" max="9472" width="28.5" style="138" customWidth="1"/>
    <col min="9473" max="9484" width="9.125" style="138"/>
    <col min="9485" max="9485" width="10.625" style="138" customWidth="1"/>
    <col min="9486" max="9726" width="9.125" style="138"/>
    <col min="9727" max="9727" width="8" style="138" customWidth="1"/>
    <col min="9728" max="9728" width="28.5" style="138" customWidth="1"/>
    <col min="9729" max="9740" width="9.125" style="138"/>
    <col min="9741" max="9741" width="10.625" style="138" customWidth="1"/>
    <col min="9742" max="9982" width="9.125" style="138"/>
    <col min="9983" max="9983" width="8" style="138" customWidth="1"/>
    <col min="9984" max="9984" width="28.5" style="138" customWidth="1"/>
    <col min="9985" max="9996" width="9.125" style="138"/>
    <col min="9997" max="9997" width="10.625" style="138" customWidth="1"/>
    <col min="9998" max="10238" width="9.125" style="138"/>
    <col min="10239" max="10239" width="8" style="138" customWidth="1"/>
    <col min="10240" max="10240" width="28.5" style="138" customWidth="1"/>
    <col min="10241" max="10252" width="9.125" style="138"/>
    <col min="10253" max="10253" width="10.625" style="138" customWidth="1"/>
    <col min="10254" max="10494" width="9.125" style="138"/>
    <col min="10495" max="10495" width="8" style="138" customWidth="1"/>
    <col min="10496" max="10496" width="28.5" style="138" customWidth="1"/>
    <col min="10497" max="10508" width="9.125" style="138"/>
    <col min="10509" max="10509" width="10.625" style="138" customWidth="1"/>
    <col min="10510" max="10750" width="9.125" style="138"/>
    <col min="10751" max="10751" width="8" style="138" customWidth="1"/>
    <col min="10752" max="10752" width="28.5" style="138" customWidth="1"/>
    <col min="10753" max="10764" width="9.125" style="138"/>
    <col min="10765" max="10765" width="10.625" style="138" customWidth="1"/>
    <col min="10766" max="11006" width="9.125" style="138"/>
    <col min="11007" max="11007" width="8" style="138" customWidth="1"/>
    <col min="11008" max="11008" width="28.5" style="138" customWidth="1"/>
    <col min="11009" max="11020" width="9.125" style="138"/>
    <col min="11021" max="11021" width="10.625" style="138" customWidth="1"/>
    <col min="11022" max="11262" width="9.125" style="138"/>
    <col min="11263" max="11263" width="8" style="138" customWidth="1"/>
    <col min="11264" max="11264" width="28.5" style="138" customWidth="1"/>
    <col min="11265" max="11276" width="9.125" style="138"/>
    <col min="11277" max="11277" width="10.625" style="138" customWidth="1"/>
    <col min="11278" max="11518" width="9.125" style="138"/>
    <col min="11519" max="11519" width="8" style="138" customWidth="1"/>
    <col min="11520" max="11520" width="28.5" style="138" customWidth="1"/>
    <col min="11521" max="11532" width="9.125" style="138"/>
    <col min="11533" max="11533" width="10.625" style="138" customWidth="1"/>
    <col min="11534" max="11774" width="9.125" style="138"/>
    <col min="11775" max="11775" width="8" style="138" customWidth="1"/>
    <col min="11776" max="11776" width="28.5" style="138" customWidth="1"/>
    <col min="11777" max="11788" width="9.125" style="138"/>
    <col min="11789" max="11789" width="10.625" style="138" customWidth="1"/>
    <col min="11790" max="12030" width="9.125" style="138"/>
    <col min="12031" max="12031" width="8" style="138" customWidth="1"/>
    <col min="12032" max="12032" width="28.5" style="138" customWidth="1"/>
    <col min="12033" max="12044" width="9.125" style="138"/>
    <col min="12045" max="12045" width="10.625" style="138" customWidth="1"/>
    <col min="12046" max="12286" width="9.125" style="138"/>
    <col min="12287" max="12287" width="8" style="138" customWidth="1"/>
    <col min="12288" max="12288" width="28.5" style="138" customWidth="1"/>
    <col min="12289" max="12300" width="9.125" style="138"/>
    <col min="12301" max="12301" width="10.625" style="138" customWidth="1"/>
    <col min="12302" max="12542" width="9.125" style="138"/>
    <col min="12543" max="12543" width="8" style="138" customWidth="1"/>
    <col min="12544" max="12544" width="28.5" style="138" customWidth="1"/>
    <col min="12545" max="12556" width="9.125" style="138"/>
    <col min="12557" max="12557" width="10.625" style="138" customWidth="1"/>
    <col min="12558" max="12798" width="9.125" style="138"/>
    <col min="12799" max="12799" width="8" style="138" customWidth="1"/>
    <col min="12800" max="12800" width="28.5" style="138" customWidth="1"/>
    <col min="12801" max="12812" width="9.125" style="138"/>
    <col min="12813" max="12813" width="10.625" style="138" customWidth="1"/>
    <col min="12814" max="13054" width="9.125" style="138"/>
    <col min="13055" max="13055" width="8" style="138" customWidth="1"/>
    <col min="13056" max="13056" width="28.5" style="138" customWidth="1"/>
    <col min="13057" max="13068" width="9.125" style="138"/>
    <col min="13069" max="13069" width="10.625" style="138" customWidth="1"/>
    <col min="13070" max="13310" width="9.125" style="138"/>
    <col min="13311" max="13311" width="8" style="138" customWidth="1"/>
    <col min="13312" max="13312" width="28.5" style="138" customWidth="1"/>
    <col min="13313" max="13324" width="9.125" style="138"/>
    <col min="13325" max="13325" width="10.625" style="138" customWidth="1"/>
    <col min="13326" max="13566" width="9.125" style="138"/>
    <col min="13567" max="13567" width="8" style="138" customWidth="1"/>
    <col min="13568" max="13568" width="28.5" style="138" customWidth="1"/>
    <col min="13569" max="13580" width="9.125" style="138"/>
    <col min="13581" max="13581" width="10.625" style="138" customWidth="1"/>
    <col min="13582" max="13822" width="9.125" style="138"/>
    <col min="13823" max="13823" width="8" style="138" customWidth="1"/>
    <col min="13824" max="13824" width="28.5" style="138" customWidth="1"/>
    <col min="13825" max="13836" width="9.125" style="138"/>
    <col min="13837" max="13837" width="10.625" style="138" customWidth="1"/>
    <col min="13838" max="14078" width="9.125" style="138"/>
    <col min="14079" max="14079" width="8" style="138" customWidth="1"/>
    <col min="14080" max="14080" width="28.5" style="138" customWidth="1"/>
    <col min="14081" max="14092" width="9.125" style="138"/>
    <col min="14093" max="14093" width="10.625" style="138" customWidth="1"/>
    <col min="14094" max="14334" width="9.125" style="138"/>
    <col min="14335" max="14335" width="8" style="138" customWidth="1"/>
    <col min="14336" max="14336" width="28.5" style="138" customWidth="1"/>
    <col min="14337" max="14348" width="9.125" style="138"/>
    <col min="14349" max="14349" width="10.625" style="138" customWidth="1"/>
    <col min="14350" max="14590" width="9.125" style="138"/>
    <col min="14591" max="14591" width="8" style="138" customWidth="1"/>
    <col min="14592" max="14592" width="28.5" style="138" customWidth="1"/>
    <col min="14593" max="14604" width="9.125" style="138"/>
    <col min="14605" max="14605" width="10.625" style="138" customWidth="1"/>
    <col min="14606" max="14846" width="9.125" style="138"/>
    <col min="14847" max="14847" width="8" style="138" customWidth="1"/>
    <col min="14848" max="14848" width="28.5" style="138" customWidth="1"/>
    <col min="14849" max="14860" width="9.125" style="138"/>
    <col min="14861" max="14861" width="10.625" style="138" customWidth="1"/>
    <col min="14862" max="15102" width="9.125" style="138"/>
    <col min="15103" max="15103" width="8" style="138" customWidth="1"/>
    <col min="15104" max="15104" width="28.5" style="138" customWidth="1"/>
    <col min="15105" max="15116" width="9.125" style="138"/>
    <col min="15117" max="15117" width="10.625" style="138" customWidth="1"/>
    <col min="15118" max="15358" width="9.125" style="138"/>
    <col min="15359" max="15359" width="8" style="138" customWidth="1"/>
    <col min="15360" max="15360" width="28.5" style="138" customWidth="1"/>
    <col min="15361" max="15372" width="9.125" style="138"/>
    <col min="15373" max="15373" width="10.625" style="138" customWidth="1"/>
    <col min="15374" max="15614" width="9.125" style="138"/>
    <col min="15615" max="15615" width="8" style="138" customWidth="1"/>
    <col min="15616" max="15616" width="28.5" style="138" customWidth="1"/>
    <col min="15617" max="15628" width="9.125" style="138"/>
    <col min="15629" max="15629" width="10.625" style="138" customWidth="1"/>
    <col min="15630" max="15870" width="9.125" style="138"/>
    <col min="15871" max="15871" width="8" style="138" customWidth="1"/>
    <col min="15872" max="15872" width="28.5" style="138" customWidth="1"/>
    <col min="15873" max="15884" width="9.125" style="138"/>
    <col min="15885" max="15885" width="10.625" style="138" customWidth="1"/>
    <col min="15886" max="16126" width="9.125" style="138"/>
    <col min="16127" max="16127" width="8" style="138" customWidth="1"/>
    <col min="16128" max="16128" width="28.5" style="138" customWidth="1"/>
    <col min="16129" max="16140" width="9.125" style="138"/>
    <col min="16141" max="16141" width="10.625" style="138" customWidth="1"/>
    <col min="16142" max="16384" width="9.125" style="138"/>
  </cols>
  <sheetData>
    <row r="1" spans="1:13" ht="18.75">
      <c r="A1" s="139" t="s">
        <v>16</v>
      </c>
      <c r="B1" s="140"/>
      <c r="C1" s="141"/>
      <c r="D1" s="141"/>
      <c r="E1" s="140"/>
      <c r="F1" s="141"/>
      <c r="G1" s="141"/>
      <c r="H1" s="140"/>
      <c r="I1" s="141"/>
      <c r="J1" s="141"/>
      <c r="K1" s="141"/>
      <c r="L1" s="141"/>
      <c r="M1" s="141"/>
    </row>
    <row r="2" spans="1:13" ht="12">
      <c r="A2" s="138" t="s">
        <v>17</v>
      </c>
      <c r="B2" s="142"/>
    </row>
    <row r="3" spans="1:13" ht="16.899999999999999" customHeight="1">
      <c r="A3" s="143" t="s">
        <v>18</v>
      </c>
      <c r="B3" s="143" t="s">
        <v>19</v>
      </c>
      <c r="C3" s="202" t="s">
        <v>20</v>
      </c>
      <c r="D3" s="202"/>
      <c r="E3" s="202"/>
      <c r="F3" s="145"/>
      <c r="G3" s="146"/>
      <c r="H3" s="147"/>
      <c r="I3" s="147"/>
      <c r="J3" s="147" t="s">
        <v>21</v>
      </c>
      <c r="K3" s="147"/>
      <c r="L3" s="147"/>
      <c r="M3" s="168"/>
    </row>
    <row r="4" spans="1:13" ht="16.149999999999999" customHeight="1">
      <c r="A4" s="148"/>
      <c r="B4" s="148" t="s">
        <v>22</v>
      </c>
      <c r="C4" s="144">
        <v>2017</v>
      </c>
      <c r="D4" s="144">
        <f t="shared" ref="D4:L4" si="0">C4+1</f>
        <v>2018</v>
      </c>
      <c r="E4" s="144">
        <f t="shared" si="0"/>
        <v>2019</v>
      </c>
      <c r="F4" s="144">
        <f t="shared" si="0"/>
        <v>2020</v>
      </c>
      <c r="G4" s="144">
        <f t="shared" si="0"/>
        <v>2021</v>
      </c>
      <c r="H4" s="149">
        <f t="shared" si="0"/>
        <v>2022</v>
      </c>
      <c r="I4" s="149">
        <f t="shared" si="0"/>
        <v>2023</v>
      </c>
      <c r="J4" s="149">
        <f t="shared" si="0"/>
        <v>2024</v>
      </c>
      <c r="K4" s="149">
        <f t="shared" si="0"/>
        <v>2025</v>
      </c>
      <c r="L4" s="149">
        <f t="shared" si="0"/>
        <v>2026</v>
      </c>
      <c r="M4" s="169" t="s">
        <v>23</v>
      </c>
    </row>
    <row r="5" spans="1:13" ht="15.6" customHeight="1">
      <c r="A5" s="150">
        <v>1</v>
      </c>
      <c r="B5" s="151" t="s">
        <v>24</v>
      </c>
      <c r="C5" s="152">
        <f>SUM(C6:C9)</f>
        <v>0</v>
      </c>
      <c r="D5" s="152">
        <f t="shared" ref="D5:L5" si="1">SUM(D6:D9)</f>
        <v>0</v>
      </c>
      <c r="E5" s="152" t="e">
        <f t="shared" si="1"/>
        <v>#REF!</v>
      </c>
      <c r="F5" s="152" t="e">
        <f t="shared" si="1"/>
        <v>#REF!</v>
      </c>
      <c r="G5" s="152" t="e">
        <f t="shared" si="1"/>
        <v>#REF!</v>
      </c>
      <c r="H5" s="152" t="e">
        <f t="shared" si="1"/>
        <v>#REF!</v>
      </c>
      <c r="I5" s="152" t="e">
        <f t="shared" si="1"/>
        <v>#REF!</v>
      </c>
      <c r="J5" s="152" t="e">
        <f t="shared" si="1"/>
        <v>#REF!</v>
      </c>
      <c r="K5" s="152" t="e">
        <f t="shared" si="1"/>
        <v>#REF!</v>
      </c>
      <c r="L5" s="152" t="e">
        <f t="shared" si="1"/>
        <v>#REF!</v>
      </c>
      <c r="M5" s="156" t="e">
        <f t="shared" ref="M5:M17" si="2">SUM(C5:L5)</f>
        <v>#REF!</v>
      </c>
    </row>
    <row r="6" spans="1:13" ht="15.6" customHeight="1">
      <c r="A6" s="150">
        <v>1.1000000000000001</v>
      </c>
      <c r="B6" s="153" t="s">
        <v>25</v>
      </c>
      <c r="C6" s="154"/>
      <c r="D6" s="154"/>
      <c r="E6" s="154" t="e">
        <f>#REF!</f>
        <v>#REF!</v>
      </c>
      <c r="F6" s="154" t="e">
        <f>#REF!</f>
        <v>#REF!</v>
      </c>
      <c r="G6" s="154" t="e">
        <f>#REF!</f>
        <v>#REF!</v>
      </c>
      <c r="H6" s="154" t="e">
        <f>#REF!</f>
        <v>#REF!</v>
      </c>
      <c r="I6" s="154" t="e">
        <f>#REF!</f>
        <v>#REF!</v>
      </c>
      <c r="J6" s="154" t="e">
        <f>#REF!</f>
        <v>#REF!</v>
      </c>
      <c r="K6" s="154" t="e">
        <f>#REF!</f>
        <v>#REF!</v>
      </c>
      <c r="L6" s="154" t="e">
        <f>#REF!</f>
        <v>#REF!</v>
      </c>
      <c r="M6" s="156" t="e">
        <f t="shared" si="2"/>
        <v>#REF!</v>
      </c>
    </row>
    <row r="7" spans="1:13" ht="15.6" customHeight="1">
      <c r="A7" s="150">
        <v>1.2</v>
      </c>
      <c r="B7" s="153" t="s">
        <v>26</v>
      </c>
      <c r="C7" s="154"/>
      <c r="D7" s="154"/>
      <c r="E7" s="154">
        <f>[1]折、摊!G18</f>
        <v>0</v>
      </c>
      <c r="F7" s="154">
        <f>[1]折、摊!H18</f>
        <v>0</v>
      </c>
      <c r="G7" s="154">
        <f>[1]折、摊!I18</f>
        <v>0</v>
      </c>
      <c r="H7" s="154">
        <f>[1]折、摊!J18</f>
        <v>0</v>
      </c>
      <c r="I7" s="154">
        <f>[1]折、摊!K18</f>
        <v>0</v>
      </c>
      <c r="J7" s="154">
        <f>[1]折、摊!L18</f>
        <v>0</v>
      </c>
      <c r="K7" s="154">
        <f>[1]折、摊!M18</f>
        <v>0</v>
      </c>
      <c r="L7" s="154">
        <f>[1]折、摊!N18</f>
        <v>0</v>
      </c>
      <c r="M7" s="156">
        <f t="shared" si="2"/>
        <v>0</v>
      </c>
    </row>
    <row r="8" spans="1:13" ht="15.6" customHeight="1">
      <c r="A8" s="150">
        <v>1.3</v>
      </c>
      <c r="B8" s="153" t="s">
        <v>27</v>
      </c>
      <c r="C8" s="154" t="s">
        <v>28</v>
      </c>
      <c r="D8" s="154" t="s">
        <v>28</v>
      </c>
      <c r="E8" s="154" t="s">
        <v>28</v>
      </c>
      <c r="F8" s="154" t="s">
        <v>28</v>
      </c>
      <c r="G8" s="154" t="s">
        <v>28</v>
      </c>
      <c r="H8" s="154" t="s">
        <v>28</v>
      </c>
      <c r="I8" s="154" t="s">
        <v>28</v>
      </c>
      <c r="J8" s="154" t="s">
        <v>28</v>
      </c>
      <c r="K8" s="154" t="s">
        <v>28</v>
      </c>
      <c r="L8" s="154"/>
      <c r="M8" s="156">
        <f t="shared" si="2"/>
        <v>0</v>
      </c>
    </row>
    <row r="9" spans="1:13" s="137" customFormat="1" ht="15.6" customHeight="1">
      <c r="A9" s="155">
        <v>1.4</v>
      </c>
      <c r="B9" s="156" t="s">
        <v>29</v>
      </c>
      <c r="C9" s="154" t="s">
        <v>28</v>
      </c>
      <c r="D9" s="154" t="s">
        <v>28</v>
      </c>
      <c r="E9" s="154" t="s">
        <v>28</v>
      </c>
      <c r="F9" s="154" t="s">
        <v>28</v>
      </c>
      <c r="G9" s="154" t="s">
        <v>28</v>
      </c>
      <c r="H9" s="154" t="s">
        <v>28</v>
      </c>
      <c r="I9" s="154" t="s">
        <v>28</v>
      </c>
      <c r="J9" s="154" t="s">
        <v>28</v>
      </c>
      <c r="K9" s="154" t="s">
        <v>28</v>
      </c>
      <c r="L9" s="154" t="s">
        <v>28</v>
      </c>
      <c r="M9" s="156">
        <f t="shared" si="2"/>
        <v>0</v>
      </c>
    </row>
    <row r="10" spans="1:13" ht="15.6" customHeight="1">
      <c r="A10" s="155">
        <v>2</v>
      </c>
      <c r="B10" s="151" t="s">
        <v>30</v>
      </c>
      <c r="C10" s="152">
        <f t="shared" ref="C10:L10" si="3">SUM(C11:C16)</f>
        <v>0</v>
      </c>
      <c r="D10" s="152">
        <f t="shared" si="3"/>
        <v>0</v>
      </c>
      <c r="E10" s="152">
        <f t="shared" si="3"/>
        <v>0</v>
      </c>
      <c r="F10" s="152">
        <f t="shared" si="3"/>
        <v>0</v>
      </c>
      <c r="G10" s="152">
        <f t="shared" si="3"/>
        <v>0</v>
      </c>
      <c r="H10" s="152">
        <f t="shared" si="3"/>
        <v>0</v>
      </c>
      <c r="I10" s="152">
        <f t="shared" si="3"/>
        <v>0</v>
      </c>
      <c r="J10" s="152">
        <f t="shared" si="3"/>
        <v>0</v>
      </c>
      <c r="K10" s="152">
        <f t="shared" si="3"/>
        <v>0</v>
      </c>
      <c r="L10" s="152">
        <f t="shared" si="3"/>
        <v>0</v>
      </c>
      <c r="M10" s="156">
        <f t="shared" si="2"/>
        <v>0</v>
      </c>
    </row>
    <row r="11" spans="1:13" ht="15" customHeight="1">
      <c r="A11" s="150">
        <v>2.1</v>
      </c>
      <c r="B11" s="150" t="s">
        <v>31</v>
      </c>
      <c r="C11" s="154">
        <f>([1]计划!C6-[1]计划!C7)</f>
        <v>0</v>
      </c>
      <c r="D11" s="154">
        <f>([1]计划!D6-[1]计划!D7)</f>
        <v>0</v>
      </c>
      <c r="E11" s="154">
        <f>([1]计划!E6-[1]计划!E7)</f>
        <v>0</v>
      </c>
      <c r="F11" s="154">
        <f>([1]计划!F6-[1]计划!F7)</f>
        <v>0</v>
      </c>
      <c r="G11" s="154">
        <f>([1]计划!G6-[1]计划!G7)</f>
        <v>0</v>
      </c>
      <c r="H11" s="154">
        <f>([1]计划!H6-[1]计划!H7)</f>
        <v>0</v>
      </c>
      <c r="I11" s="154">
        <f>([1]计划!I6-[1]计划!I7)</f>
        <v>0</v>
      </c>
      <c r="J11" s="154">
        <f>([1]计划!J6-[1]计划!J7)</f>
        <v>0</v>
      </c>
      <c r="K11" s="154">
        <f>([1]计划!K6-[1]计划!K7)</f>
        <v>0</v>
      </c>
      <c r="L11" s="154">
        <f>([1]计划!L6-[1]计划!L7)</f>
        <v>0</v>
      </c>
      <c r="M11" s="156">
        <f t="shared" si="2"/>
        <v>0</v>
      </c>
    </row>
    <row r="12" spans="1:13" s="137" customFormat="1" ht="15" customHeight="1">
      <c r="A12" s="150">
        <v>2.2000000000000002</v>
      </c>
      <c r="B12" s="156" t="s">
        <v>32</v>
      </c>
      <c r="C12" s="154">
        <f>[1]计划!C8</f>
        <v>0</v>
      </c>
      <c r="D12" s="154">
        <f>[1]计划!D8</f>
        <v>0</v>
      </c>
      <c r="E12" s="154">
        <f>[1]计划!E8</f>
        <v>0</v>
      </c>
      <c r="F12" s="154">
        <f>[1]计划!F8</f>
        <v>0</v>
      </c>
      <c r="G12" s="154">
        <f>[1]计划!G8</f>
        <v>0</v>
      </c>
      <c r="H12" s="154">
        <f>[1]计划!H8</f>
        <v>0</v>
      </c>
      <c r="I12" s="154">
        <f>[1]计划!I8</f>
        <v>0</v>
      </c>
      <c r="J12" s="154">
        <f>[1]计划!J8</f>
        <v>0</v>
      </c>
      <c r="K12" s="154">
        <f>[1]计划!K8</f>
        <v>0</v>
      </c>
      <c r="L12" s="154">
        <f>[1]计划!L8</f>
        <v>0</v>
      </c>
      <c r="M12" s="156">
        <f t="shared" si="2"/>
        <v>0</v>
      </c>
    </row>
    <row r="13" spans="1:13" ht="15" customHeight="1">
      <c r="A13" s="150">
        <v>2.2999999999999998</v>
      </c>
      <c r="B13" s="153" t="s">
        <v>33</v>
      </c>
      <c r="C13" s="154">
        <f>[1]总成本!C22</f>
        <v>0</v>
      </c>
      <c r="D13" s="154">
        <f>[1]总成本!D22</f>
        <v>0</v>
      </c>
      <c r="E13" s="154">
        <f>[1]总成本!E22</f>
        <v>0</v>
      </c>
      <c r="F13" s="154">
        <f>[1]总成本!F22</f>
        <v>0</v>
      </c>
      <c r="G13" s="154">
        <f>[1]总成本!G22</f>
        <v>0</v>
      </c>
      <c r="H13" s="154">
        <f>[1]总成本!H22</f>
        <v>0</v>
      </c>
      <c r="I13" s="154">
        <f>[1]总成本!I22</f>
        <v>0</v>
      </c>
      <c r="J13" s="154">
        <f>[1]总成本!J22</f>
        <v>0</v>
      </c>
      <c r="K13" s="154">
        <f>[1]总成本!K22</f>
        <v>0</v>
      </c>
      <c r="L13" s="154">
        <f>[1]总成本!L22</f>
        <v>0</v>
      </c>
      <c r="M13" s="156">
        <f t="shared" si="2"/>
        <v>0</v>
      </c>
    </row>
    <row r="14" spans="1:13" ht="15" customHeight="1">
      <c r="A14" s="150">
        <v>2.4</v>
      </c>
      <c r="B14" s="153" t="s">
        <v>34</v>
      </c>
      <c r="C14" s="154">
        <f>[1]价格!D15</f>
        <v>0</v>
      </c>
      <c r="D14" s="154">
        <f>[1]价格!E15</f>
        <v>0</v>
      </c>
      <c r="E14" s="154">
        <f>[1]价格!F15</f>
        <v>0</v>
      </c>
      <c r="F14" s="154">
        <f>[1]价格!G15</f>
        <v>0</v>
      </c>
      <c r="G14" s="154">
        <f>[1]价格!H15</f>
        <v>0</v>
      </c>
      <c r="H14" s="154">
        <f>[1]价格!I15</f>
        <v>0</v>
      </c>
      <c r="I14" s="154">
        <f>[1]价格!J15</f>
        <v>0</v>
      </c>
      <c r="J14" s="154">
        <f>[1]价格!K15</f>
        <v>0</v>
      </c>
      <c r="K14" s="154">
        <f>[1]价格!L15</f>
        <v>0</v>
      </c>
      <c r="L14" s="154">
        <f>[1]价格!M15</f>
        <v>0</v>
      </c>
      <c r="M14" s="156">
        <f t="shared" si="2"/>
        <v>0</v>
      </c>
    </row>
    <row r="15" spans="1:13" ht="15" customHeight="1">
      <c r="A15" s="150">
        <v>2.5</v>
      </c>
      <c r="B15" s="153" t="s">
        <v>35</v>
      </c>
      <c r="C15" s="154">
        <f>[1]利润!C13</f>
        <v>0</v>
      </c>
      <c r="D15" s="154">
        <f>[1]利润!D13</f>
        <v>0</v>
      </c>
      <c r="E15" s="154">
        <f>[1]利润!E13</f>
        <v>0</v>
      </c>
      <c r="F15" s="154">
        <f>[1]利润!F13</f>
        <v>0</v>
      </c>
      <c r="G15" s="154">
        <f>[1]利润!G13</f>
        <v>0</v>
      </c>
      <c r="H15" s="154">
        <f>[1]利润!H13</f>
        <v>0</v>
      </c>
      <c r="I15" s="154">
        <f>[1]利润!I13</f>
        <v>0</v>
      </c>
      <c r="J15" s="154">
        <f>[1]利润!J13</f>
        <v>0</v>
      </c>
      <c r="K15" s="154">
        <f>[1]利润!K13</f>
        <v>0</v>
      </c>
      <c r="L15" s="154">
        <f>[1]利润!L13</f>
        <v>0</v>
      </c>
      <c r="M15" s="156">
        <f t="shared" si="2"/>
        <v>0</v>
      </c>
    </row>
    <row r="16" spans="1:13" ht="15" customHeight="1">
      <c r="A16" s="150">
        <v>2.6</v>
      </c>
      <c r="B16" s="153" t="s">
        <v>36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6">
        <f t="shared" si="2"/>
        <v>0</v>
      </c>
    </row>
    <row r="17" spans="1:18" ht="12">
      <c r="A17" s="150">
        <v>3</v>
      </c>
      <c r="B17" s="151" t="s">
        <v>37</v>
      </c>
      <c r="C17" s="152">
        <f t="shared" ref="C17:L17" si="4">C5-C10</f>
        <v>0</v>
      </c>
      <c r="D17" s="152">
        <f t="shared" si="4"/>
        <v>0</v>
      </c>
      <c r="E17" s="152" t="e">
        <f t="shared" si="4"/>
        <v>#REF!</v>
      </c>
      <c r="F17" s="152" t="e">
        <f t="shared" si="4"/>
        <v>#REF!</v>
      </c>
      <c r="G17" s="152" t="e">
        <f t="shared" si="4"/>
        <v>#REF!</v>
      </c>
      <c r="H17" s="152" t="e">
        <f t="shared" si="4"/>
        <v>#REF!</v>
      </c>
      <c r="I17" s="152" t="e">
        <f t="shared" si="4"/>
        <v>#REF!</v>
      </c>
      <c r="J17" s="152" t="e">
        <f t="shared" si="4"/>
        <v>#REF!</v>
      </c>
      <c r="K17" s="152" t="e">
        <f t="shared" si="4"/>
        <v>#REF!</v>
      </c>
      <c r="L17" s="152" t="e">
        <f t="shared" si="4"/>
        <v>#REF!</v>
      </c>
      <c r="M17" s="156" t="e">
        <f t="shared" si="2"/>
        <v>#REF!</v>
      </c>
    </row>
    <row r="18" spans="1:18" ht="12">
      <c r="A18" s="157">
        <v>4</v>
      </c>
      <c r="B18" s="153" t="s">
        <v>38</v>
      </c>
      <c r="C18" s="154">
        <f>C17</f>
        <v>0</v>
      </c>
      <c r="D18" s="154">
        <f t="shared" ref="D18:L18" si="5">C18+D17</f>
        <v>0</v>
      </c>
      <c r="E18" s="154" t="e">
        <f t="shared" si="5"/>
        <v>#REF!</v>
      </c>
      <c r="F18" s="154" t="e">
        <f t="shared" si="5"/>
        <v>#REF!</v>
      </c>
      <c r="G18" s="154" t="e">
        <f t="shared" si="5"/>
        <v>#REF!</v>
      </c>
      <c r="H18" s="154" t="e">
        <f t="shared" si="5"/>
        <v>#REF!</v>
      </c>
      <c r="I18" s="154" t="e">
        <f t="shared" si="5"/>
        <v>#REF!</v>
      </c>
      <c r="J18" s="154" t="e">
        <f t="shared" si="5"/>
        <v>#REF!</v>
      </c>
      <c r="K18" s="154" t="e">
        <f t="shared" si="5"/>
        <v>#REF!</v>
      </c>
      <c r="L18" s="154" t="e">
        <f t="shared" si="5"/>
        <v>#REF!</v>
      </c>
      <c r="M18" s="153" t="s">
        <v>28</v>
      </c>
    </row>
    <row r="19" spans="1:18" s="137" customFormat="1" ht="12">
      <c r="A19" s="157">
        <v>5</v>
      </c>
      <c r="B19" s="153" t="s">
        <v>39</v>
      </c>
      <c r="C19" s="154">
        <f t="shared" ref="C19:L19" si="6">C17+C15</f>
        <v>0</v>
      </c>
      <c r="D19" s="154">
        <f t="shared" si="6"/>
        <v>0</v>
      </c>
      <c r="E19" s="154" t="e">
        <f t="shared" si="6"/>
        <v>#REF!</v>
      </c>
      <c r="F19" s="154" t="e">
        <f t="shared" si="6"/>
        <v>#REF!</v>
      </c>
      <c r="G19" s="154" t="e">
        <f t="shared" si="6"/>
        <v>#REF!</v>
      </c>
      <c r="H19" s="154" t="e">
        <f t="shared" si="6"/>
        <v>#REF!</v>
      </c>
      <c r="I19" s="154" t="e">
        <f t="shared" si="6"/>
        <v>#REF!</v>
      </c>
      <c r="J19" s="154" t="e">
        <f t="shared" si="6"/>
        <v>#REF!</v>
      </c>
      <c r="K19" s="154" t="e">
        <f t="shared" si="6"/>
        <v>#REF!</v>
      </c>
      <c r="L19" s="154" t="e">
        <f t="shared" si="6"/>
        <v>#REF!</v>
      </c>
      <c r="M19" s="156" t="e">
        <f>SUM(C19:L19)</f>
        <v>#REF!</v>
      </c>
    </row>
    <row r="20" spans="1:18" s="137" customFormat="1" ht="12">
      <c r="A20" s="150">
        <v>6</v>
      </c>
      <c r="B20" s="153" t="s">
        <v>40</v>
      </c>
      <c r="C20" s="154">
        <f>C19</f>
        <v>0</v>
      </c>
      <c r="D20" s="154">
        <f t="shared" ref="D20:L20" si="7">C20+D19</f>
        <v>0</v>
      </c>
      <c r="E20" s="154" t="e">
        <f t="shared" si="7"/>
        <v>#REF!</v>
      </c>
      <c r="F20" s="154" t="e">
        <f t="shared" si="7"/>
        <v>#REF!</v>
      </c>
      <c r="G20" s="154" t="e">
        <f t="shared" si="7"/>
        <v>#REF!</v>
      </c>
      <c r="H20" s="154" t="e">
        <f t="shared" si="7"/>
        <v>#REF!</v>
      </c>
      <c r="I20" s="154" t="e">
        <f t="shared" si="7"/>
        <v>#REF!</v>
      </c>
      <c r="J20" s="154" t="e">
        <f t="shared" si="7"/>
        <v>#REF!</v>
      </c>
      <c r="K20" s="154" t="e">
        <f t="shared" si="7"/>
        <v>#REF!</v>
      </c>
      <c r="L20" s="154" t="e">
        <f t="shared" si="7"/>
        <v>#REF!</v>
      </c>
      <c r="M20" s="153" t="s">
        <v>28</v>
      </c>
    </row>
    <row r="21" spans="1:18" ht="12">
      <c r="A21" s="158"/>
      <c r="B21" s="159" t="s">
        <v>41</v>
      </c>
      <c r="C21" s="159"/>
      <c r="D21" s="159"/>
      <c r="E21" s="159" t="s">
        <v>42</v>
      </c>
      <c r="F21" s="159"/>
      <c r="G21" s="159"/>
      <c r="H21" s="159"/>
      <c r="I21" s="159" t="s">
        <v>43</v>
      </c>
      <c r="J21" s="159"/>
      <c r="K21" s="159"/>
      <c r="L21" s="159"/>
      <c r="M21" s="170"/>
    </row>
    <row r="22" spans="1:18" ht="12">
      <c r="A22" s="160"/>
      <c r="B22" s="161" t="s">
        <v>44</v>
      </c>
      <c r="C22" s="161"/>
      <c r="D22" s="162" t="s">
        <v>45</v>
      </c>
      <c r="E22" s="163" t="e">
        <f>IRR(C17:L17,0.15)</f>
        <v>#VALUE!</v>
      </c>
      <c r="F22" s="161"/>
      <c r="G22" s="161"/>
      <c r="H22" s="161"/>
      <c r="I22" s="163" t="e">
        <f>IRR(C19:L19,0.15)</f>
        <v>#VALUE!</v>
      </c>
      <c r="J22" s="161"/>
      <c r="K22" s="161"/>
      <c r="L22" s="161"/>
      <c r="M22" s="171"/>
    </row>
    <row r="23" spans="1:18" ht="12">
      <c r="A23" s="160"/>
      <c r="B23" s="161" t="s">
        <v>46</v>
      </c>
      <c r="C23" s="161"/>
      <c r="D23" s="161"/>
      <c r="E23" s="164" t="e">
        <f>NPV(0.12,C17:L17)</f>
        <v>#REF!</v>
      </c>
      <c r="F23" s="161"/>
      <c r="G23" s="161"/>
      <c r="H23" s="161"/>
      <c r="I23" s="164" t="e">
        <f>NPV(0.12,C19:L19)</f>
        <v>#REF!</v>
      </c>
      <c r="J23" s="161"/>
      <c r="K23" s="161"/>
      <c r="L23" s="161"/>
      <c r="M23" s="171"/>
      <c r="R23" s="138">
        <f>30.9-29.82</f>
        <v>1.08</v>
      </c>
    </row>
    <row r="24" spans="1:18" ht="12">
      <c r="A24" s="165"/>
      <c r="B24" s="166" t="s">
        <v>47</v>
      </c>
      <c r="C24" s="166"/>
      <c r="D24" s="166"/>
      <c r="E24" s="167" t="e">
        <f>6-H18/I17</f>
        <v>#REF!</v>
      </c>
      <c r="F24" s="166"/>
      <c r="G24" s="166"/>
      <c r="H24" s="166"/>
      <c r="I24" s="167" t="e">
        <f>6-H20/I19</f>
        <v>#REF!</v>
      </c>
      <c r="J24" s="166"/>
      <c r="K24" s="166"/>
      <c r="L24" s="166"/>
      <c r="M24" s="17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J24" sqref="J24"/>
    </sheetView>
  </sheetViews>
  <sheetFormatPr defaultColWidth="9" defaultRowHeight="16.5"/>
  <cols>
    <col min="1" max="1" width="5.125" style="112" customWidth="1"/>
    <col min="2" max="2" width="19.625" style="112" customWidth="1"/>
    <col min="3" max="3" width="12.5" style="112" customWidth="1"/>
    <col min="4" max="7" width="12.5" style="113" customWidth="1"/>
    <col min="8" max="8" width="16.5" style="113" customWidth="1"/>
    <col min="9" max="34" width="9" style="112"/>
    <col min="35" max="35" width="4.375" style="112" customWidth="1"/>
    <col min="36" max="36" width="13.875" style="112" customWidth="1"/>
    <col min="37" max="16384" width="9" style="112"/>
  </cols>
  <sheetData>
    <row r="1" spans="1:37" ht="36.75" customHeight="1">
      <c r="A1" s="205" t="s">
        <v>308</v>
      </c>
      <c r="B1" s="205"/>
      <c r="C1" s="205"/>
      <c r="D1" s="205"/>
      <c r="E1" s="205"/>
      <c r="F1" s="205"/>
      <c r="G1" s="205"/>
      <c r="H1" s="205"/>
    </row>
    <row r="2" spans="1:37" ht="22.5" customHeight="1">
      <c r="B2" s="183"/>
      <c r="C2" s="183"/>
      <c r="D2" s="183"/>
      <c r="E2" s="183"/>
      <c r="F2" s="183"/>
      <c r="G2" s="183" t="s">
        <v>273</v>
      </c>
      <c r="H2" s="183"/>
    </row>
    <row r="3" spans="1:37" ht="21.75" customHeight="1">
      <c r="A3" s="203" t="s">
        <v>18</v>
      </c>
      <c r="B3" s="114" t="s">
        <v>1</v>
      </c>
      <c r="C3" s="114" t="s">
        <v>268</v>
      </c>
      <c r="D3" s="114" t="s">
        <v>269</v>
      </c>
      <c r="E3" s="114" t="s">
        <v>270</v>
      </c>
      <c r="F3" s="114" t="s">
        <v>271</v>
      </c>
      <c r="G3" s="114" t="s">
        <v>272</v>
      </c>
      <c r="H3" s="133" t="s">
        <v>51</v>
      </c>
      <c r="AK3" s="112" t="s">
        <v>52</v>
      </c>
    </row>
    <row r="4" spans="1:37" s="82" customFormat="1" ht="15.75" customHeight="1">
      <c r="A4" s="204"/>
      <c r="B4" s="90" t="s">
        <v>3</v>
      </c>
      <c r="C4" s="115">
        <f>'2025年'!H6</f>
        <v>10070</v>
      </c>
      <c r="D4" s="115">
        <f>'2026年'!H6</f>
        <v>14100</v>
      </c>
      <c r="E4" s="115">
        <f>'2027年'!H6</f>
        <v>14100</v>
      </c>
      <c r="F4" s="115">
        <f>'2028年'!H6</f>
        <v>14100</v>
      </c>
      <c r="G4" s="115">
        <f>'2029年'!H6</f>
        <v>14100</v>
      </c>
      <c r="H4" s="115">
        <f t="shared" ref="H4:H11" si="0">SUM(C4:G4)</f>
        <v>66470</v>
      </c>
      <c r="AI4" s="89" t="s">
        <v>18</v>
      </c>
      <c r="AJ4" s="90" t="s">
        <v>3</v>
      </c>
      <c r="AK4" s="82" t="s">
        <v>53</v>
      </c>
    </row>
    <row r="5" spans="1:37" s="82" customFormat="1" ht="15.75" customHeight="1">
      <c r="A5" s="86">
        <v>1</v>
      </c>
      <c r="B5" s="90" t="s">
        <v>54</v>
      </c>
      <c r="C5" s="115">
        <f>'2025年'!H7</f>
        <v>14689480</v>
      </c>
      <c r="D5" s="115">
        <f>'2026年'!H7</f>
        <v>20571620</v>
      </c>
      <c r="E5" s="115">
        <f>'2027年'!H7</f>
        <v>20571620</v>
      </c>
      <c r="F5" s="115">
        <f>'2028年'!H7</f>
        <v>20571620</v>
      </c>
      <c r="G5" s="115">
        <f>'2029年'!H7</f>
        <v>20571620</v>
      </c>
      <c r="H5" s="115">
        <f t="shared" si="0"/>
        <v>96975960</v>
      </c>
      <c r="AI5" s="89" t="s">
        <v>55</v>
      </c>
      <c r="AJ5" s="90" t="s">
        <v>54</v>
      </c>
      <c r="AK5" s="82" t="s">
        <v>53</v>
      </c>
    </row>
    <row r="6" spans="1:37" s="82" customFormat="1" ht="15.75" customHeight="1">
      <c r="A6" s="86">
        <v>2</v>
      </c>
      <c r="B6" s="86" t="s">
        <v>56</v>
      </c>
      <c r="C6" s="115">
        <f>'2025年'!H8</f>
        <v>0</v>
      </c>
      <c r="D6" s="115">
        <f>'2026年'!H8</f>
        <v>617148.60000000056</v>
      </c>
      <c r="E6" s="115">
        <f>'2027年'!H8</f>
        <v>1215782.7419999985</v>
      </c>
      <c r="F6" s="115">
        <f>'2028年'!H8</f>
        <v>1796457.8597399986</v>
      </c>
      <c r="G6" s="115">
        <f>'2029年'!H8</f>
        <v>2359712.7239478016</v>
      </c>
      <c r="H6" s="115">
        <f t="shared" si="0"/>
        <v>5989101.9256877992</v>
      </c>
      <c r="AI6" s="89" t="s">
        <v>57</v>
      </c>
      <c r="AJ6" s="86" t="s">
        <v>58</v>
      </c>
      <c r="AK6" s="82" t="s">
        <v>53</v>
      </c>
    </row>
    <row r="7" spans="1:37" s="82" customFormat="1" ht="15.75" customHeight="1">
      <c r="A7" s="86">
        <v>3</v>
      </c>
      <c r="B7" s="90" t="s">
        <v>59</v>
      </c>
      <c r="C7" s="116">
        <f>'2025年'!H9</f>
        <v>14689480</v>
      </c>
      <c r="D7" s="116">
        <f>D5-D6</f>
        <v>19954471.399999999</v>
      </c>
      <c r="E7" s="116">
        <f>'2027年'!H9</f>
        <v>19355837.257999998</v>
      </c>
      <c r="F7" s="115">
        <f>'2028年'!H9</f>
        <v>18775162.14026</v>
      </c>
      <c r="G7" s="115">
        <f>'2029年'!H9</f>
        <v>18211907.276052199</v>
      </c>
      <c r="H7" s="115">
        <f t="shared" si="0"/>
        <v>90986858.07431218</v>
      </c>
      <c r="AI7" s="89" t="s">
        <v>60</v>
      </c>
      <c r="AJ7" s="90" t="s">
        <v>59</v>
      </c>
      <c r="AK7" s="82" t="s">
        <v>61</v>
      </c>
    </row>
    <row r="8" spans="1:37" s="82" customFormat="1" ht="15.75" customHeight="1">
      <c r="A8" s="86">
        <v>4</v>
      </c>
      <c r="B8" s="89" t="s">
        <v>274</v>
      </c>
      <c r="C8" s="115">
        <f>'2025年'!H10</f>
        <v>10940237.793192439</v>
      </c>
      <c r="D8" s="115">
        <f>'2026年'!H10</f>
        <v>14871127.526499331</v>
      </c>
      <c r="E8" s="116">
        <f>'2027年'!H10</f>
        <v>14871127.526499331</v>
      </c>
      <c r="F8" s="115">
        <f>'2028年'!H10</f>
        <v>14424993.700704349</v>
      </c>
      <c r="G8" s="115">
        <f>'2029年'!H10</f>
        <v>14424993.700704349</v>
      </c>
      <c r="H8" s="115">
        <f t="shared" si="0"/>
        <v>69532480.247599795</v>
      </c>
      <c r="AI8" s="89" t="s">
        <v>62</v>
      </c>
      <c r="AJ8" s="89" t="s">
        <v>63</v>
      </c>
      <c r="AK8" s="82" t="s">
        <v>64</v>
      </c>
    </row>
    <row r="9" spans="1:37" s="82" customFormat="1" ht="15.75" customHeight="1">
      <c r="A9" s="86">
        <v>5</v>
      </c>
      <c r="B9" s="89" t="s">
        <v>65</v>
      </c>
      <c r="C9" s="115">
        <f>'2025年'!H11</f>
        <v>157738.7840290668</v>
      </c>
      <c r="D9" s="115">
        <f>'2026年'!H11</f>
        <v>219582.56155360022</v>
      </c>
      <c r="E9" s="116">
        <f>'2027年'!H11</f>
        <v>219582.56155360022</v>
      </c>
      <c r="F9" s="115">
        <f>'2028年'!H11</f>
        <v>219582.56155360022</v>
      </c>
      <c r="G9" s="115">
        <f>'2029年'!H11</f>
        <v>219582.56155360022</v>
      </c>
      <c r="H9" s="115">
        <f t="shared" si="0"/>
        <v>1036069.0302434678</v>
      </c>
      <c r="AI9" s="89" t="s">
        <v>66</v>
      </c>
      <c r="AJ9" s="89" t="s">
        <v>65</v>
      </c>
    </row>
    <row r="10" spans="1:37" s="82" customFormat="1" ht="15.75" customHeight="1">
      <c r="A10" s="86">
        <v>6</v>
      </c>
      <c r="B10" s="89" t="s">
        <v>67</v>
      </c>
      <c r="C10" s="115">
        <f>'2025年'!H12</f>
        <v>142349.63436769444</v>
      </c>
      <c r="D10" s="115">
        <f>'2026年'!H12</f>
        <v>198159.87262154164</v>
      </c>
      <c r="E10" s="116">
        <f>'2027年'!H12</f>
        <v>198159.87262154164</v>
      </c>
      <c r="F10" s="115">
        <f>'2028年'!H12</f>
        <v>198159.87262154164</v>
      </c>
      <c r="G10" s="115">
        <f>'2029年'!H12</f>
        <v>198159.87262154164</v>
      </c>
      <c r="H10" s="115">
        <f t="shared" si="0"/>
        <v>934989.12485386094</v>
      </c>
      <c r="AI10" s="89" t="s">
        <v>68</v>
      </c>
      <c r="AJ10" s="89" t="s">
        <v>67</v>
      </c>
    </row>
    <row r="11" spans="1:37" s="82" customFormat="1" ht="15.75" customHeight="1">
      <c r="A11" s="86">
        <v>7</v>
      </c>
      <c r="B11" s="89" t="s">
        <v>69</v>
      </c>
      <c r="C11" s="115">
        <f>'2025年'!H13</f>
        <v>205188.66215163161</v>
      </c>
      <c r="D11" s="115">
        <f>'2026年'!H13</f>
        <v>285635.85242744739</v>
      </c>
      <c r="E11" s="116">
        <f>'2027年'!H13</f>
        <v>285635.85242744739</v>
      </c>
      <c r="F11" s="115">
        <f>'2028年'!H13</f>
        <v>285635.85242744739</v>
      </c>
      <c r="G11" s="115">
        <f>'2029年'!H13</f>
        <v>285635.85242744739</v>
      </c>
      <c r="H11" s="115">
        <f t="shared" si="0"/>
        <v>1347732.0718614212</v>
      </c>
      <c r="AI11" s="89" t="s">
        <v>70</v>
      </c>
      <c r="AJ11" s="89" t="s">
        <v>69</v>
      </c>
      <c r="AK11" s="82" t="s">
        <v>53</v>
      </c>
    </row>
    <row r="12" spans="1:37" s="82" customFormat="1" ht="15.75" customHeight="1">
      <c r="A12" s="86">
        <v>8</v>
      </c>
      <c r="B12" s="117" t="s">
        <v>71</v>
      </c>
      <c r="C12" s="118">
        <f>SUM(C9:C11)</f>
        <v>505277.08054839284</v>
      </c>
      <c r="D12" s="118">
        <f t="shared" ref="D12:H12" si="1">SUM(D9:D11)</f>
        <v>703378.2866025893</v>
      </c>
      <c r="E12" s="118">
        <f t="shared" si="1"/>
        <v>703378.2866025893</v>
      </c>
      <c r="F12" s="118">
        <f t="shared" si="1"/>
        <v>703378.2866025893</v>
      </c>
      <c r="G12" s="118">
        <f t="shared" si="1"/>
        <v>703378.2866025893</v>
      </c>
      <c r="H12" s="118">
        <f t="shared" si="1"/>
        <v>3318790.2269587498</v>
      </c>
      <c r="AI12" s="89" t="s">
        <v>72</v>
      </c>
      <c r="AJ12" s="94" t="s">
        <v>71</v>
      </c>
    </row>
    <row r="13" spans="1:37" s="82" customFormat="1" ht="15.75" customHeight="1">
      <c r="A13" s="86">
        <v>9</v>
      </c>
      <c r="B13" s="119" t="s">
        <v>73</v>
      </c>
      <c r="C13" s="115">
        <f>'2025年'!H15</f>
        <v>3243965.1262591686</v>
      </c>
      <c r="D13" s="115">
        <f>'2026年'!H15</f>
        <v>4379965.5868980782</v>
      </c>
      <c r="E13" s="116">
        <f>'2027年'!H15</f>
        <v>3781331.4448980773</v>
      </c>
      <c r="F13" s="115">
        <f>'2028年'!H15</f>
        <v>3646790.1529530613</v>
      </c>
      <c r="G13" s="115">
        <f>'2029年'!H15</f>
        <v>3083535.2887452608</v>
      </c>
      <c r="H13" s="115">
        <f>SUM(C13:G13)</f>
        <v>18135587.599753648</v>
      </c>
      <c r="J13" s="112"/>
      <c r="K13" s="112"/>
      <c r="L13" s="112"/>
      <c r="M13" s="112"/>
      <c r="N13" s="112"/>
      <c r="O13" s="112"/>
      <c r="AI13" s="89" t="s">
        <v>74</v>
      </c>
      <c r="AJ13" s="94" t="s">
        <v>73</v>
      </c>
    </row>
    <row r="14" spans="1:37" ht="15.75" customHeight="1">
      <c r="A14" s="86">
        <v>10</v>
      </c>
      <c r="B14" s="120" t="s">
        <v>75</v>
      </c>
      <c r="C14" s="121">
        <f t="shared" ref="C14:G14" si="2">+C13/C7</f>
        <v>0.22083594015984015</v>
      </c>
      <c r="D14" s="121">
        <f t="shared" si="2"/>
        <v>0.21949795106564829</v>
      </c>
      <c r="E14" s="121">
        <f t="shared" si="2"/>
        <v>0.19535871243881264</v>
      </c>
      <c r="F14" s="121">
        <f t="shared" si="2"/>
        <v>0.19423481542847332</v>
      </c>
      <c r="G14" s="121">
        <f t="shared" si="2"/>
        <v>0.1693142427097663</v>
      </c>
      <c r="H14" s="121">
        <f>+H13/H7</f>
        <v>0.19932095671378908</v>
      </c>
      <c r="AI14" s="120" t="s">
        <v>76</v>
      </c>
      <c r="AJ14" s="120" t="s">
        <v>75</v>
      </c>
    </row>
    <row r="15" spans="1:37" ht="15.75" customHeight="1">
      <c r="A15" s="86">
        <v>11</v>
      </c>
      <c r="B15" s="120" t="s">
        <v>77</v>
      </c>
      <c r="C15" s="115">
        <f>'2025年'!H17</f>
        <v>556769.0646718574</v>
      </c>
      <c r="D15" s="115">
        <f>'2026年'!H17</f>
        <v>740792.0124277859</v>
      </c>
      <c r="E15" s="116">
        <f>'2027年'!H17</f>
        <v>740792.0124277859</v>
      </c>
      <c r="F15" s="115">
        <f>'2028年'!H17</f>
        <v>740792.0124277859</v>
      </c>
      <c r="G15" s="115">
        <f>'2029年'!H17</f>
        <v>740792.0124277859</v>
      </c>
      <c r="H15" s="115">
        <f>SUM(C15:G15)</f>
        <v>3519937.1143830009</v>
      </c>
      <c r="AI15" s="120" t="s">
        <v>78</v>
      </c>
      <c r="AJ15" s="120" t="s">
        <v>77</v>
      </c>
    </row>
    <row r="16" spans="1:37" ht="15.75" hidden="1" customHeight="1">
      <c r="A16" s="86"/>
      <c r="B16" s="120"/>
      <c r="C16" s="115"/>
      <c r="D16" s="115"/>
      <c r="E16" s="115"/>
      <c r="F16" s="115"/>
      <c r="G16" s="115"/>
      <c r="H16" s="115">
        <f>SUM(D16:F16)</f>
        <v>0</v>
      </c>
      <c r="AI16" s="120"/>
      <c r="AJ16" s="120"/>
    </row>
    <row r="17" spans="1:37" ht="15.75" customHeight="1">
      <c r="A17" s="86">
        <v>12</v>
      </c>
      <c r="B17" s="120" t="s">
        <v>79</v>
      </c>
      <c r="C17" s="122">
        <f>'2025年'!H19</f>
        <v>107724.04762960658</v>
      </c>
      <c r="D17" s="122">
        <f>'2026年'!H19</f>
        <v>149958.82252440989</v>
      </c>
      <c r="E17" s="122">
        <f>'2027年'!H19</f>
        <v>149958.82252440989</v>
      </c>
      <c r="F17" s="115">
        <f>'2028年'!H19</f>
        <v>149958.82252440989</v>
      </c>
      <c r="G17" s="115">
        <f>'2029年'!H19</f>
        <v>149958.82252440989</v>
      </c>
      <c r="H17" s="115">
        <f>SUM(C17:G17)</f>
        <v>707559.33772724611</v>
      </c>
      <c r="P17" s="93"/>
      <c r="AI17" s="120" t="s">
        <v>80</v>
      </c>
      <c r="AJ17" s="120" t="s">
        <v>79</v>
      </c>
      <c r="AK17" s="112" t="s">
        <v>53</v>
      </c>
    </row>
    <row r="18" spans="1:37" ht="15.75" customHeight="1">
      <c r="A18" s="86">
        <v>13</v>
      </c>
      <c r="B18" s="120" t="s">
        <v>81</v>
      </c>
      <c r="C18" s="122">
        <f>'2025年'!H20</f>
        <v>414224.61171860632</v>
      </c>
      <c r="D18" s="122">
        <f>'2026年'!H20</f>
        <v>576627.3770879095</v>
      </c>
      <c r="E18" s="122">
        <f>'2027年'!H20</f>
        <v>576627.3770879095</v>
      </c>
      <c r="F18" s="115">
        <f>'2028年'!H20</f>
        <v>576627.3770879095</v>
      </c>
      <c r="G18" s="115">
        <f>'2029年'!H20</f>
        <v>576627.3770879095</v>
      </c>
      <c r="H18" s="115">
        <f>SUM(C18:G18)</f>
        <v>2720734.1200702442</v>
      </c>
      <c r="AI18" s="120" t="s">
        <v>82</v>
      </c>
      <c r="AJ18" s="120" t="s">
        <v>81</v>
      </c>
    </row>
    <row r="19" spans="1:37" s="84" customFormat="1" ht="15.75" customHeight="1">
      <c r="A19" s="86">
        <v>14</v>
      </c>
      <c r="B19" s="101" t="s">
        <v>83</v>
      </c>
      <c r="C19" s="123">
        <f>'2025年'!H21</f>
        <v>3600</v>
      </c>
      <c r="D19" s="123">
        <f>'2026年'!H21</f>
        <v>3600</v>
      </c>
      <c r="E19" s="123">
        <f>'2027年'!H21</f>
        <v>3600</v>
      </c>
      <c r="F19" s="123">
        <f>'2028年'!H21</f>
        <v>3600</v>
      </c>
      <c r="G19" s="115">
        <f>'2029年'!H21</f>
        <v>3600</v>
      </c>
      <c r="H19" s="115">
        <f>SUM(C19:G19)</f>
        <v>18000</v>
      </c>
      <c r="AI19" s="101"/>
      <c r="AJ19" s="101"/>
    </row>
    <row r="20" spans="1:37" s="82" customFormat="1" ht="15.75" customHeight="1">
      <c r="A20" s="86">
        <v>15</v>
      </c>
      <c r="B20" s="89" t="s">
        <v>84</v>
      </c>
      <c r="C20" s="122">
        <f>'2025年'!H22</f>
        <v>455262.34414893267</v>
      </c>
      <c r="D20" s="122">
        <f>'2026年'!H22</f>
        <v>633754.54757339892</v>
      </c>
      <c r="E20" s="122">
        <f>'2027年'!H22</f>
        <v>633754.54757339892</v>
      </c>
      <c r="F20" s="115">
        <f>'2028年'!H22</f>
        <v>633754.54757339892</v>
      </c>
      <c r="G20" s="115">
        <f>'2029年'!H22</f>
        <v>633754.54757339892</v>
      </c>
      <c r="H20" s="115">
        <f>SUM(C20:G20)</f>
        <v>2990280.5344425282</v>
      </c>
      <c r="AI20" s="89" t="s">
        <v>85</v>
      </c>
      <c r="AJ20" s="89" t="s">
        <v>84</v>
      </c>
    </row>
    <row r="21" spans="1:37" s="110" customFormat="1" ht="15.75" customHeight="1">
      <c r="A21" s="86">
        <v>16</v>
      </c>
      <c r="B21" s="124" t="s">
        <v>86</v>
      </c>
      <c r="C21" s="118">
        <f t="shared" ref="C21:G21" si="3">+C20+C19+C18+C17+C15</f>
        <v>1537580.0681690029</v>
      </c>
      <c r="D21" s="118">
        <f t="shared" si="3"/>
        <v>2104732.7596135046</v>
      </c>
      <c r="E21" s="118">
        <f t="shared" si="3"/>
        <v>2104732.7596135046</v>
      </c>
      <c r="F21" s="118">
        <f t="shared" si="3"/>
        <v>2104732.7596135046</v>
      </c>
      <c r="G21" s="118">
        <f t="shared" si="3"/>
        <v>2104732.7596135046</v>
      </c>
      <c r="H21" s="118">
        <f>+H20+H19+H18+H17+H15</f>
        <v>9956511.10662302</v>
      </c>
      <c r="AI21" s="134" t="s">
        <v>87</v>
      </c>
      <c r="AJ21" s="135" t="s">
        <v>86</v>
      </c>
    </row>
    <row r="22" spans="1:37" ht="15.75" customHeight="1">
      <c r="A22" s="86">
        <v>17</v>
      </c>
      <c r="B22" s="120" t="s">
        <v>88</v>
      </c>
      <c r="C22" s="123">
        <f>'2025年'!H24</f>
        <v>1706385.0580901657</v>
      </c>
      <c r="D22" s="125">
        <f>'2026年'!H24</f>
        <v>2275232.8272845736</v>
      </c>
      <c r="E22" s="125">
        <f>'2027年'!H24</f>
        <v>1676598.6852845731</v>
      </c>
      <c r="F22" s="115">
        <f>'2028年'!H24</f>
        <v>1542057.3933395566</v>
      </c>
      <c r="G22" s="115">
        <f>'2029年'!H24</f>
        <v>978802.52913175616</v>
      </c>
      <c r="H22" s="115">
        <f>SUM(C22:G22)</f>
        <v>8179076.4931306252</v>
      </c>
      <c r="AI22" s="120" t="s">
        <v>89</v>
      </c>
      <c r="AJ22" s="120" t="s">
        <v>88</v>
      </c>
    </row>
    <row r="23" spans="1:37" ht="15.75" customHeight="1">
      <c r="A23" s="86">
        <v>18</v>
      </c>
      <c r="B23" s="120" t="s">
        <v>35</v>
      </c>
      <c r="C23" s="123">
        <f>'2025年'!H25</f>
        <v>255957.75871352485</v>
      </c>
      <c r="D23" s="125">
        <f>'2026年'!H25</f>
        <v>341284.92409268604</v>
      </c>
      <c r="E23" s="125">
        <f>'2027年'!H25</f>
        <v>251489.80279268595</v>
      </c>
      <c r="F23" s="115">
        <f>'2028年'!H25</f>
        <v>231308.6090009335</v>
      </c>
      <c r="G23" s="115">
        <f>'2029年'!H25</f>
        <v>146820.37936976342</v>
      </c>
      <c r="H23" s="115">
        <f t="shared" ref="H23" si="4">IF(H22&lt;0,0,H22*0.15)</f>
        <v>1226861.4739695936</v>
      </c>
      <c r="AI23" s="120" t="s">
        <v>90</v>
      </c>
      <c r="AJ23" s="120" t="s">
        <v>35</v>
      </c>
    </row>
    <row r="24" spans="1:37" ht="15.75" customHeight="1">
      <c r="A24" s="86">
        <v>19</v>
      </c>
      <c r="B24" s="120" t="s">
        <v>91</v>
      </c>
      <c r="C24" s="123">
        <f>'2025年'!H26</f>
        <v>1450427.2993766414</v>
      </c>
      <c r="D24" s="125">
        <f>'2026年'!H26</f>
        <v>1933947.9031918875</v>
      </c>
      <c r="E24" s="125">
        <f>'2027年'!H26</f>
        <v>1425108.8824918871</v>
      </c>
      <c r="F24" s="115">
        <f>'2028年'!H26</f>
        <v>1310748.7843386231</v>
      </c>
      <c r="G24" s="115">
        <f>'2029年'!H26</f>
        <v>831982.14976199274</v>
      </c>
      <c r="H24" s="115">
        <f>H22-H23</f>
        <v>6952215.0191610316</v>
      </c>
      <c r="AI24" s="120" t="s">
        <v>92</v>
      </c>
      <c r="AJ24" s="120" t="s">
        <v>91</v>
      </c>
    </row>
    <row r="25" spans="1:37" ht="15.75" customHeight="1">
      <c r="A25" s="86">
        <v>20</v>
      </c>
      <c r="B25" s="120" t="s">
        <v>93</v>
      </c>
      <c r="C25" s="126">
        <f>C24/C5</f>
        <v>9.8739186096215889E-2</v>
      </c>
      <c r="D25" s="126">
        <f t="shared" ref="D25:H25" si="5">D24/D5</f>
        <v>9.4010481585401998E-2</v>
      </c>
      <c r="E25" s="126">
        <f t="shared" si="5"/>
        <v>6.9275481585401977E-2</v>
      </c>
      <c r="F25" s="126">
        <f t="shared" si="5"/>
        <v>6.3716361878093361E-2</v>
      </c>
      <c r="G25" s="126">
        <f t="shared" si="5"/>
        <v>4.0443200378093354E-2</v>
      </c>
      <c r="H25" s="126">
        <f t="shared" si="5"/>
        <v>7.1690087101597466E-2</v>
      </c>
      <c r="AI25" s="136" t="s">
        <v>94</v>
      </c>
      <c r="AJ25" s="136" t="s">
        <v>95</v>
      </c>
    </row>
    <row r="26" spans="1:37" s="111" customFormat="1" ht="15.75" customHeight="1">
      <c r="D26" s="127"/>
      <c r="E26" s="127"/>
      <c r="F26" s="127"/>
      <c r="G26" s="127"/>
      <c r="H26" s="127"/>
    </row>
    <row r="27" spans="1:37" s="111" customFormat="1" ht="15.75" customHeight="1">
      <c r="A27" s="111" t="s">
        <v>96</v>
      </c>
      <c r="D27" s="128"/>
      <c r="E27" s="128"/>
      <c r="F27" s="128"/>
      <c r="G27" s="128"/>
      <c r="H27" s="128"/>
      <c r="AI27" s="111" t="s">
        <v>96</v>
      </c>
    </row>
    <row r="28" spans="1:37" ht="25.5" customHeight="1">
      <c r="A28" s="120" t="s">
        <v>18</v>
      </c>
      <c r="B28" s="184" t="s">
        <v>1</v>
      </c>
      <c r="C28" s="114" t="str">
        <f>C3</f>
        <v>2025年</v>
      </c>
      <c r="D28" s="114" t="str">
        <f t="shared" ref="D28:G28" si="6">D3</f>
        <v>2026年</v>
      </c>
      <c r="E28" s="114" t="str">
        <f t="shared" si="6"/>
        <v>2027年</v>
      </c>
      <c r="F28" s="114" t="str">
        <f t="shared" si="6"/>
        <v>2028年</v>
      </c>
      <c r="G28" s="114" t="str">
        <f t="shared" si="6"/>
        <v>2029年</v>
      </c>
      <c r="H28" s="133" t="s">
        <v>51</v>
      </c>
      <c r="AK28" s="112" t="s">
        <v>52</v>
      </c>
    </row>
    <row r="29" spans="1:37" s="82" customFormat="1" ht="15.75" customHeight="1">
      <c r="A29" s="89" t="s">
        <v>97</v>
      </c>
      <c r="B29" s="94" t="s">
        <v>98</v>
      </c>
      <c r="C29" s="94"/>
      <c r="D29" s="100"/>
      <c r="E29" s="100"/>
      <c r="F29" s="100"/>
      <c r="G29" s="100"/>
      <c r="H29" s="100"/>
      <c r="AI29" s="89" t="s">
        <v>99</v>
      </c>
      <c r="AJ29" s="94" t="s">
        <v>98</v>
      </c>
    </row>
    <row r="30" spans="1:37" s="82" customFormat="1" ht="15.75" customHeight="1">
      <c r="A30" s="89" t="s">
        <v>55</v>
      </c>
      <c r="B30" s="89" t="s">
        <v>100</v>
      </c>
      <c r="C30" s="92">
        <f>+C7/C4</f>
        <v>1458.7368421052631</v>
      </c>
      <c r="D30" s="92">
        <f t="shared" ref="D30:H30" si="7">+D7/D4</f>
        <v>1415.2107375886524</v>
      </c>
      <c r="E30" s="92">
        <f t="shared" si="7"/>
        <v>1372.7544154609927</v>
      </c>
      <c r="F30" s="92">
        <f t="shared" si="7"/>
        <v>1331.5717829971632</v>
      </c>
      <c r="G30" s="92">
        <f t="shared" si="7"/>
        <v>1291.6246295072481</v>
      </c>
      <c r="H30" s="92">
        <f t="shared" si="7"/>
        <v>1368.8409519228551</v>
      </c>
      <c r="AI30" s="89" t="s">
        <v>55</v>
      </c>
      <c r="AJ30" s="89" t="s">
        <v>100</v>
      </c>
    </row>
    <row r="31" spans="1:37" s="82" customFormat="1" ht="15.75" customHeight="1">
      <c r="A31" s="89" t="s">
        <v>57</v>
      </c>
      <c r="B31" s="89" t="s">
        <v>101</v>
      </c>
      <c r="C31" s="92">
        <f>+C8/C4</f>
        <v>1086.4188473875311</v>
      </c>
      <c r="D31" s="92">
        <f t="shared" ref="D31:H31" si="8">+D8/D4</f>
        <v>1054.6898954964065</v>
      </c>
      <c r="E31" s="92">
        <f t="shared" si="8"/>
        <v>1054.6898954964065</v>
      </c>
      <c r="F31" s="92">
        <f t="shared" si="8"/>
        <v>1023.0491986315142</v>
      </c>
      <c r="G31" s="92">
        <f t="shared" si="8"/>
        <v>1023.0491986315142</v>
      </c>
      <c r="H31" s="92">
        <f t="shared" si="8"/>
        <v>1046.0731194162749</v>
      </c>
      <c r="AI31" s="89" t="s">
        <v>57</v>
      </c>
      <c r="AJ31" s="89" t="s">
        <v>101</v>
      </c>
    </row>
    <row r="32" spans="1:37" s="82" customFormat="1" ht="15.75" customHeight="1">
      <c r="A32" s="89" t="s">
        <v>102</v>
      </c>
      <c r="B32" s="89" t="s">
        <v>103</v>
      </c>
      <c r="C32" s="100">
        <f>C30-C31</f>
        <v>372.31799471773206</v>
      </c>
      <c r="D32" s="100">
        <f t="shared" ref="D32:H32" si="9">D30-D31</f>
        <v>360.52084209224586</v>
      </c>
      <c r="E32" s="100">
        <f t="shared" si="9"/>
        <v>318.06451996458622</v>
      </c>
      <c r="F32" s="100">
        <f t="shared" si="9"/>
        <v>308.52258436564898</v>
      </c>
      <c r="G32" s="100">
        <f t="shared" si="9"/>
        <v>268.5754308757339</v>
      </c>
      <c r="H32" s="100">
        <f t="shared" si="9"/>
        <v>322.76783250658013</v>
      </c>
      <c r="AI32" s="89" t="s">
        <v>102</v>
      </c>
      <c r="AJ32" s="89" t="s">
        <v>103</v>
      </c>
    </row>
    <row r="33" spans="1:36" s="82" customFormat="1" ht="15.75" customHeight="1">
      <c r="A33" s="89">
        <v>3.1</v>
      </c>
      <c r="B33" s="89" t="s">
        <v>104</v>
      </c>
      <c r="C33" s="95">
        <f>C32/C30</f>
        <v>0.25523314690564691</v>
      </c>
      <c r="D33" s="95">
        <f t="shared" ref="D33:H33" si="10">D32/D30</f>
        <v>0.25474710763326291</v>
      </c>
      <c r="E33" s="95">
        <f t="shared" si="10"/>
        <v>0.23169804910645661</v>
      </c>
      <c r="F33" s="95">
        <f t="shared" si="10"/>
        <v>0.23169804910645683</v>
      </c>
      <c r="G33" s="95">
        <f t="shared" si="10"/>
        <v>0.20793613309943992</v>
      </c>
      <c r="H33" s="95">
        <f t="shared" si="10"/>
        <v>0.23579644666034993</v>
      </c>
      <c r="AI33" s="89"/>
      <c r="AJ33" s="89"/>
    </row>
    <row r="34" spans="1:36" s="82" customFormat="1" ht="15.75" customHeight="1">
      <c r="A34" s="89" t="s">
        <v>99</v>
      </c>
      <c r="B34" s="94" t="s">
        <v>9</v>
      </c>
      <c r="C34" s="100"/>
      <c r="D34" s="100"/>
      <c r="E34" s="100"/>
      <c r="F34" s="100"/>
      <c r="G34" s="100"/>
      <c r="H34" s="100"/>
      <c r="AI34" s="89" t="s">
        <v>105</v>
      </c>
      <c r="AJ34" s="94" t="s">
        <v>9</v>
      </c>
    </row>
    <row r="35" spans="1:36" s="82" customFormat="1" ht="15.75" customHeight="1">
      <c r="A35" s="89" t="s">
        <v>55</v>
      </c>
      <c r="B35" s="101" t="s">
        <v>106</v>
      </c>
      <c r="C35" s="92">
        <f>+C9/C4</f>
        <v>15.664228801297597</v>
      </c>
      <c r="D35" s="92">
        <f t="shared" ref="D35:H35" si="11">+D9/D4</f>
        <v>15.573231315858171</v>
      </c>
      <c r="E35" s="92">
        <f t="shared" si="11"/>
        <v>15.573231315858171</v>
      </c>
      <c r="F35" s="92">
        <f t="shared" si="11"/>
        <v>15.573231315858171</v>
      </c>
      <c r="G35" s="92">
        <f t="shared" si="11"/>
        <v>15.573231315858171</v>
      </c>
      <c r="H35" s="92">
        <f t="shared" si="11"/>
        <v>15.587017154257074</v>
      </c>
      <c r="AI35" s="89" t="s">
        <v>102</v>
      </c>
      <c r="AJ35" s="89" t="s">
        <v>106</v>
      </c>
    </row>
    <row r="36" spans="1:36" s="82" customFormat="1" ht="15.75" customHeight="1">
      <c r="A36" s="89" t="s">
        <v>57</v>
      </c>
      <c r="B36" s="101" t="s">
        <v>107</v>
      </c>
      <c r="C36" s="92">
        <f>+C10/C4</f>
        <v>14.136011357268563</v>
      </c>
      <c r="D36" s="92">
        <f t="shared" ref="D36:H36" si="12">+D10/D4</f>
        <v>14.053891675286641</v>
      </c>
      <c r="E36" s="92">
        <f t="shared" si="12"/>
        <v>14.053891675286641</v>
      </c>
      <c r="F36" s="92">
        <f t="shared" si="12"/>
        <v>14.053891675286641</v>
      </c>
      <c r="G36" s="92">
        <f t="shared" si="12"/>
        <v>14.053891675286641</v>
      </c>
      <c r="H36" s="92">
        <f t="shared" si="12"/>
        <v>14.066332553841747</v>
      </c>
      <c r="AI36" s="89" t="s">
        <v>60</v>
      </c>
      <c r="AJ36" s="89" t="s">
        <v>107</v>
      </c>
    </row>
    <row r="37" spans="1:36" s="82" customFormat="1" ht="15.75" customHeight="1">
      <c r="A37" s="89" t="s">
        <v>102</v>
      </c>
      <c r="B37" s="101" t="s">
        <v>108</v>
      </c>
      <c r="C37" s="92">
        <f>+C11/C4</f>
        <v>20.376232587053785</v>
      </c>
      <c r="D37" s="92">
        <f t="shared" ref="D37:H37" si="13">+D11/D4</f>
        <v>20.257861874287048</v>
      </c>
      <c r="E37" s="92">
        <f t="shared" si="13"/>
        <v>20.257861874287048</v>
      </c>
      <c r="F37" s="92">
        <f t="shared" si="13"/>
        <v>20.257861874287048</v>
      </c>
      <c r="G37" s="92">
        <f t="shared" si="13"/>
        <v>20.257861874287048</v>
      </c>
      <c r="H37" s="92">
        <f t="shared" si="13"/>
        <v>20.27579467220432</v>
      </c>
      <c r="AI37" s="89" t="s">
        <v>66</v>
      </c>
      <c r="AJ37" s="89" t="s">
        <v>108</v>
      </c>
    </row>
    <row r="38" spans="1:36" s="82" customFormat="1" ht="15.75" customHeight="1">
      <c r="A38" s="89" t="s">
        <v>109</v>
      </c>
      <c r="B38" s="119" t="s">
        <v>110</v>
      </c>
      <c r="C38" s="92"/>
      <c r="D38" s="92"/>
      <c r="E38" s="92"/>
      <c r="F38" s="92"/>
      <c r="G38" s="92"/>
      <c r="H38" s="92"/>
      <c r="AI38" s="89" t="s">
        <v>109</v>
      </c>
      <c r="AJ38" s="94" t="s">
        <v>110</v>
      </c>
    </row>
    <row r="39" spans="1:36" s="82" customFormat="1">
      <c r="A39" s="89" t="s">
        <v>55</v>
      </c>
      <c r="B39" s="101" t="s">
        <v>276</v>
      </c>
      <c r="C39" s="92">
        <f>+C13/C4</f>
        <v>322.14152197211206</v>
      </c>
      <c r="D39" s="92">
        <f t="shared" ref="D39:H39" si="14">+D13/D4</f>
        <v>310.63585722681404</v>
      </c>
      <c r="E39" s="92">
        <f t="shared" si="14"/>
        <v>268.17953509915441</v>
      </c>
      <c r="F39" s="92">
        <f t="shared" si="14"/>
        <v>258.63759950021711</v>
      </c>
      <c r="G39" s="92">
        <f t="shared" si="14"/>
        <v>218.6904460103022</v>
      </c>
      <c r="H39" s="92">
        <f t="shared" si="14"/>
        <v>272.83868812627725</v>
      </c>
      <c r="AI39" s="89" t="s">
        <v>55</v>
      </c>
      <c r="AJ39" s="89" t="s">
        <v>111</v>
      </c>
    </row>
    <row r="40" spans="1:36" s="82" customFormat="1" ht="15.75" customHeight="1">
      <c r="A40" s="89" t="s">
        <v>57</v>
      </c>
      <c r="B40" s="101" t="s">
        <v>112</v>
      </c>
      <c r="C40" s="115">
        <f>+C21/C39</f>
        <v>4772.9956037834572</v>
      </c>
      <c r="D40" s="115">
        <f t="shared" ref="D40:H40" si="15">+D21/D39</f>
        <v>6775.5628033524536</v>
      </c>
      <c r="E40" s="115">
        <f t="shared" si="15"/>
        <v>7848.2228662053531</v>
      </c>
      <c r="F40" s="115">
        <f t="shared" si="15"/>
        <v>8137.7679180468031</v>
      </c>
      <c r="G40" s="115">
        <f t="shared" si="15"/>
        <v>9624.255645417421</v>
      </c>
      <c r="H40" s="115">
        <f t="shared" si="15"/>
        <v>36492.299442573458</v>
      </c>
      <c r="AI40" s="89" t="s">
        <v>57</v>
      </c>
      <c r="AJ40" s="89" t="s">
        <v>112</v>
      </c>
    </row>
    <row r="41" spans="1:36" s="82" customFormat="1" ht="15.75" customHeight="1">
      <c r="A41" s="89" t="s">
        <v>113</v>
      </c>
      <c r="B41" s="94" t="s">
        <v>114</v>
      </c>
      <c r="C41" s="100"/>
      <c r="D41" s="100"/>
      <c r="E41" s="100"/>
      <c r="F41" s="100"/>
      <c r="G41" s="100"/>
      <c r="H41" s="100"/>
      <c r="AI41" s="89" t="s">
        <v>113</v>
      </c>
      <c r="AJ41" s="94" t="s">
        <v>114</v>
      </c>
    </row>
    <row r="42" spans="1:36" s="82" customFormat="1" ht="15.75" customHeight="1">
      <c r="A42" s="89" t="s">
        <v>55</v>
      </c>
      <c r="B42" s="89" t="s">
        <v>115</v>
      </c>
      <c r="C42" s="100">
        <f>+C15/C4</f>
        <v>55.289877325904406</v>
      </c>
      <c r="D42" s="100">
        <f t="shared" ref="D42:H42" si="16">+D15/D4</f>
        <v>52.538440597715315</v>
      </c>
      <c r="E42" s="100">
        <f t="shared" si="16"/>
        <v>52.538440597715315</v>
      </c>
      <c r="F42" s="100">
        <f t="shared" si="16"/>
        <v>52.538440597715315</v>
      </c>
      <c r="G42" s="100">
        <f t="shared" si="16"/>
        <v>52.538440597715315</v>
      </c>
      <c r="H42" s="100">
        <f t="shared" si="16"/>
        <v>52.955274776335202</v>
      </c>
      <c r="AI42" s="89" t="s">
        <v>55</v>
      </c>
      <c r="AJ42" s="89" t="s">
        <v>115</v>
      </c>
    </row>
    <row r="43" spans="1:36" s="82" customFormat="1" ht="15.75" customHeight="1">
      <c r="A43" s="89" t="s">
        <v>57</v>
      </c>
      <c r="B43" s="89" t="s">
        <v>116</v>
      </c>
      <c r="C43" s="100">
        <f>+C17/C4</f>
        <v>10.697522108203234</v>
      </c>
      <c r="D43" s="100">
        <f t="shared" ref="D43:H43" si="17">+D17/D4</f>
        <v>10.635377484000701</v>
      </c>
      <c r="E43" s="100">
        <f t="shared" si="17"/>
        <v>10.635377484000701</v>
      </c>
      <c r="F43" s="100">
        <f t="shared" si="17"/>
        <v>10.635377484000701</v>
      </c>
      <c r="G43" s="100">
        <f t="shared" si="17"/>
        <v>10.635377484000701</v>
      </c>
      <c r="H43" s="100">
        <f t="shared" si="17"/>
        <v>10.644792202907269</v>
      </c>
      <c r="AI43" s="89" t="s">
        <v>57</v>
      </c>
      <c r="AJ43" s="89" t="s">
        <v>116</v>
      </c>
    </row>
    <row r="44" spans="1:36" s="82" customFormat="1" ht="15.75" customHeight="1">
      <c r="A44" s="89" t="s">
        <v>102</v>
      </c>
      <c r="B44" s="89" t="s">
        <v>117</v>
      </c>
      <c r="C44" s="100">
        <f>+C18/C4</f>
        <v>41.134519535114826</v>
      </c>
      <c r="D44" s="100">
        <f t="shared" ref="D44:H44" si="18">+D18/D4</f>
        <v>40.895558658716986</v>
      </c>
      <c r="E44" s="100">
        <f t="shared" si="18"/>
        <v>40.895558658716986</v>
      </c>
      <c r="F44" s="100">
        <f t="shared" si="18"/>
        <v>40.895558658716986</v>
      </c>
      <c r="G44" s="100">
        <f t="shared" si="18"/>
        <v>40.895558658716986</v>
      </c>
      <c r="H44" s="100">
        <f t="shared" si="18"/>
        <v>40.931760494512474</v>
      </c>
      <c r="AI44" s="89" t="s">
        <v>102</v>
      </c>
      <c r="AJ44" s="89" t="s">
        <v>117</v>
      </c>
    </row>
    <row r="45" spans="1:36" s="82" customFormat="1" ht="15.75" customHeight="1">
      <c r="A45" s="89" t="s">
        <v>60</v>
      </c>
      <c r="B45" s="89" t="s">
        <v>118</v>
      </c>
      <c r="C45" s="100">
        <f>C19/C4</f>
        <v>0.35749751737835156</v>
      </c>
      <c r="D45" s="100">
        <f t="shared" ref="D45:H45" si="19">D19/D4</f>
        <v>0.25531914893617019</v>
      </c>
      <c r="E45" s="100">
        <f t="shared" si="19"/>
        <v>0.25531914893617019</v>
      </c>
      <c r="F45" s="100">
        <f t="shared" si="19"/>
        <v>0.25531914893617019</v>
      </c>
      <c r="G45" s="100">
        <f t="shared" si="19"/>
        <v>0.25531914893617019</v>
      </c>
      <c r="H45" s="100">
        <f t="shared" si="19"/>
        <v>0.27079885662704978</v>
      </c>
      <c r="AI45" s="89" t="s">
        <v>60</v>
      </c>
      <c r="AJ45" s="89" t="s">
        <v>119</v>
      </c>
    </row>
    <row r="46" spans="1:36" s="82" customFormat="1" ht="15.75" customHeight="1">
      <c r="A46" s="89" t="s">
        <v>62</v>
      </c>
      <c r="B46" s="89" t="s">
        <v>120</v>
      </c>
      <c r="C46" s="100">
        <f>C20/C4</f>
        <v>45.209766052525588</v>
      </c>
      <c r="D46" s="100">
        <f t="shared" ref="D46:H46" si="20">D20/D4</f>
        <v>44.947131033574394</v>
      </c>
      <c r="E46" s="100">
        <f t="shared" si="20"/>
        <v>44.947131033574394</v>
      </c>
      <c r="F46" s="100">
        <f t="shared" si="20"/>
        <v>44.947131033574394</v>
      </c>
      <c r="G46" s="100">
        <f t="shared" si="20"/>
        <v>44.947131033574394</v>
      </c>
      <c r="H46" s="100">
        <f t="shared" si="20"/>
        <v>44.986919428953335</v>
      </c>
      <c r="AI46" s="89" t="s">
        <v>62</v>
      </c>
      <c r="AJ46" s="89" t="s">
        <v>120</v>
      </c>
    </row>
    <row r="47" spans="1:36" s="82" customFormat="1" ht="15.75" customHeight="1">
      <c r="A47" s="89" t="s">
        <v>121</v>
      </c>
      <c r="B47" s="94" t="s">
        <v>122</v>
      </c>
      <c r="C47" s="100"/>
      <c r="D47" s="100"/>
      <c r="E47" s="100"/>
      <c r="F47" s="100"/>
      <c r="G47" s="100"/>
      <c r="H47" s="100"/>
      <c r="AI47" s="89" t="s">
        <v>121</v>
      </c>
      <c r="AJ47" s="94" t="s">
        <v>122</v>
      </c>
    </row>
    <row r="48" spans="1:36" s="82" customFormat="1" ht="15.75" customHeight="1">
      <c r="A48" s="89" t="s">
        <v>55</v>
      </c>
      <c r="B48" s="89" t="s">
        <v>123</v>
      </c>
      <c r="C48" s="103">
        <f>+(C11+C17)/C7</f>
        <v>2.1301823466946288E-2</v>
      </c>
      <c r="D48" s="103">
        <f t="shared" ref="D48:H48" si="21">+(D11+D17)/D7</f>
        <v>2.1829426909893354E-2</v>
      </c>
      <c r="E48" s="103">
        <f t="shared" si="21"/>
        <v>2.2504563824632326E-2</v>
      </c>
      <c r="F48" s="103">
        <f t="shared" si="21"/>
        <v>2.3200581262507552E-2</v>
      </c>
      <c r="G48" s="103">
        <f t="shared" si="21"/>
        <v>2.3918125012894382E-2</v>
      </c>
      <c r="H48" s="103">
        <f t="shared" si="21"/>
        <v>2.2588882098885515E-2</v>
      </c>
      <c r="AI48" s="89" t="s">
        <v>55</v>
      </c>
      <c r="AJ48" s="89" t="s">
        <v>123</v>
      </c>
    </row>
    <row r="49" spans="1:36" s="82" customFormat="1" ht="15.75" customHeight="1">
      <c r="A49" s="89" t="s">
        <v>57</v>
      </c>
      <c r="B49" s="89" t="s">
        <v>124</v>
      </c>
      <c r="C49" s="103">
        <f>+(C9+C10+C15)/C7</f>
        <v>5.8331369324756133E-2</v>
      </c>
      <c r="D49" s="103">
        <f t="shared" ref="D49:H49" si="22">+(D9+D10+D15)/D7</f>
        <v>5.805888932757837E-2</v>
      </c>
      <c r="E49" s="103">
        <f t="shared" si="22"/>
        <v>5.9854525079977704E-2</v>
      </c>
      <c r="F49" s="103">
        <f t="shared" si="22"/>
        <v>6.1705695958739898E-2</v>
      </c>
      <c r="G49" s="103">
        <f t="shared" si="22"/>
        <v>6.3614119545092676E-2</v>
      </c>
      <c r="H49" s="103">
        <f t="shared" si="22"/>
        <v>6.034932281094528E-2</v>
      </c>
      <c r="AI49" s="89" t="s">
        <v>57</v>
      </c>
      <c r="AJ49" s="89" t="s">
        <v>124</v>
      </c>
    </row>
    <row r="50" spans="1:36" s="82" customFormat="1" ht="15.75" customHeight="1">
      <c r="A50" s="89" t="s">
        <v>102</v>
      </c>
      <c r="B50" s="89" t="s">
        <v>125</v>
      </c>
      <c r="C50" s="103">
        <f>+C18/C7</f>
        <v>2.8198725327146117E-2</v>
      </c>
      <c r="D50" s="103">
        <f t="shared" ref="D50:H50" si="23">+D18/D7</f>
        <v>2.8897151196293255E-2</v>
      </c>
      <c r="E50" s="103">
        <f t="shared" si="23"/>
        <v>2.9790877521951812E-2</v>
      </c>
      <c r="F50" s="103">
        <f t="shared" si="23"/>
        <v>3.0712244867991553E-2</v>
      </c>
      <c r="G50" s="103">
        <f t="shared" si="23"/>
        <v>3.1662108111331501E-2</v>
      </c>
      <c r="H50" s="103">
        <f t="shared" si="23"/>
        <v>2.9902495565327956E-2</v>
      </c>
      <c r="AI50" s="89" t="s">
        <v>102</v>
      </c>
      <c r="AJ50" s="89" t="s">
        <v>125</v>
      </c>
    </row>
    <row r="51" spans="1:36" s="82" customFormat="1" ht="15.75" customHeight="1">
      <c r="A51" s="89" t="s">
        <v>60</v>
      </c>
      <c r="B51" s="89" t="s">
        <v>126</v>
      </c>
      <c r="C51" s="103">
        <f>+C19/C7</f>
        <v>2.4507334500608599E-4</v>
      </c>
      <c r="D51" s="103">
        <f t="shared" ref="D51:H51" si="24">+D19/D7</f>
        <v>1.8041069231230049E-4</v>
      </c>
      <c r="E51" s="103">
        <f t="shared" si="24"/>
        <v>1.8599040444567064E-4</v>
      </c>
      <c r="F51" s="103">
        <f t="shared" si="24"/>
        <v>1.917426849955367E-4</v>
      </c>
      <c r="G51" s="103">
        <f t="shared" si="24"/>
        <v>1.9767287112941931E-4</v>
      </c>
      <c r="H51" s="103">
        <f t="shared" si="24"/>
        <v>1.9783076788187107E-4</v>
      </c>
      <c r="AI51" s="89" t="s">
        <v>60</v>
      </c>
      <c r="AJ51" s="89" t="s">
        <v>126</v>
      </c>
    </row>
    <row r="52" spans="1:36" s="82" customFormat="1" ht="15.75" customHeight="1">
      <c r="A52" s="89" t="s">
        <v>62</v>
      </c>
      <c r="B52" s="89" t="s">
        <v>127</v>
      </c>
      <c r="C52" s="103">
        <f>+C20/C7</f>
        <v>3.0992407093303007E-2</v>
      </c>
      <c r="D52" s="103">
        <f t="shared" ref="D52:H52" si="25">+D20/D7</f>
        <v>3.1760026856607136E-2</v>
      </c>
      <c r="E52" s="103">
        <f t="shared" si="25"/>
        <v>3.2742295728460963E-2</v>
      </c>
      <c r="F52" s="103">
        <f t="shared" si="25"/>
        <v>3.3754944049959754E-2</v>
      </c>
      <c r="G52" s="103">
        <f t="shared" si="25"/>
        <v>3.4798911391711089E-2</v>
      </c>
      <c r="H52" s="103">
        <f t="shared" si="25"/>
        <v>3.2864971906165399E-2</v>
      </c>
      <c r="AI52" s="89" t="s">
        <v>62</v>
      </c>
      <c r="AJ52" s="89" t="s">
        <v>127</v>
      </c>
    </row>
    <row r="53" spans="1:36" s="82" customFormat="1" ht="15.75" customHeight="1">
      <c r="A53" s="89" t="s">
        <v>66</v>
      </c>
      <c r="B53" s="89" t="s">
        <v>128</v>
      </c>
      <c r="C53" s="103">
        <f>+C24/C7</f>
        <v>9.8739186096215889E-2</v>
      </c>
      <c r="D53" s="103">
        <f t="shared" ref="D53:H53" si="26">+D24/D7</f>
        <v>9.6918022252991759E-2</v>
      </c>
      <c r="E53" s="103">
        <f t="shared" si="26"/>
        <v>7.3626827064939934E-2</v>
      </c>
      <c r="F53" s="103">
        <f t="shared" si="26"/>
        <v>6.9812914239923141E-2</v>
      </c>
      <c r="G53" s="103">
        <f t="shared" si="26"/>
        <v>4.568341674218878E-2</v>
      </c>
      <c r="H53" s="103">
        <f t="shared" si="26"/>
        <v>7.6409001984472438E-2</v>
      </c>
      <c r="AI53" s="89" t="s">
        <v>66</v>
      </c>
      <c r="AJ53" s="89" t="s">
        <v>129</v>
      </c>
    </row>
    <row r="54" spans="1:36" s="82" customFormat="1" ht="15.75" customHeight="1">
      <c r="A54" s="89" t="s">
        <v>130</v>
      </c>
      <c r="B54" s="94" t="s">
        <v>131</v>
      </c>
      <c r="C54" s="100">
        <f>+C22/C4</f>
        <v>169.45233943298567</v>
      </c>
      <c r="D54" s="100">
        <f t="shared" ref="D54:H54" si="27">+D22/D4</f>
        <v>161.36403030387046</v>
      </c>
      <c r="E54" s="100">
        <f t="shared" si="27"/>
        <v>118.90770817621086</v>
      </c>
      <c r="F54" s="100">
        <f t="shared" si="27"/>
        <v>109.36577257727352</v>
      </c>
      <c r="G54" s="100">
        <f t="shared" si="27"/>
        <v>69.418619087358593</v>
      </c>
      <c r="H54" s="100">
        <f t="shared" si="27"/>
        <v>123.04914236694185</v>
      </c>
      <c r="AI54" s="89" t="s">
        <v>130</v>
      </c>
      <c r="AJ54" s="94" t="s">
        <v>131</v>
      </c>
    </row>
    <row r="55" spans="1:36" s="82" customFormat="1" ht="32.25" customHeight="1">
      <c r="A55" s="89" t="s">
        <v>132</v>
      </c>
      <c r="B55" s="129" t="s">
        <v>133</v>
      </c>
      <c r="C55" s="129"/>
      <c r="D55" s="100"/>
      <c r="E55" s="100"/>
      <c r="F55" s="100"/>
      <c r="G55" s="100"/>
      <c r="H55" s="100"/>
      <c r="AI55" s="89"/>
      <c r="AJ55" s="94"/>
    </row>
    <row r="56" spans="1:36" s="82" customFormat="1" ht="15.75" customHeight="1">
      <c r="A56" s="89" t="s">
        <v>55</v>
      </c>
      <c r="B56" s="89" t="s">
        <v>134</v>
      </c>
      <c r="C56" s="100">
        <f>C57+C58</f>
        <v>478000</v>
      </c>
      <c r="D56" s="100"/>
      <c r="E56" s="100"/>
      <c r="F56" s="100"/>
      <c r="G56" s="100"/>
      <c r="H56" s="100"/>
    </row>
    <row r="57" spans="1:36" s="82" customFormat="1" ht="15.75" customHeight="1">
      <c r="A57" s="89">
        <v>1.1000000000000001</v>
      </c>
      <c r="B57" s="130" t="s">
        <v>135</v>
      </c>
      <c r="C57" s="100">
        <f>项目投资!B27</f>
        <v>18000</v>
      </c>
      <c r="D57" s="100"/>
      <c r="E57" s="100"/>
      <c r="F57" s="100"/>
      <c r="G57" s="100"/>
      <c r="H57" s="100"/>
    </row>
    <row r="58" spans="1:36" s="82" customFormat="1" ht="15.75" customHeight="1">
      <c r="A58" s="89">
        <v>1.2</v>
      </c>
      <c r="B58" s="89" t="s">
        <v>136</v>
      </c>
      <c r="C58" s="100">
        <f>项目投资!B26</f>
        <v>460000</v>
      </c>
      <c r="D58" s="100"/>
      <c r="E58" s="100"/>
      <c r="F58" s="100"/>
      <c r="G58" s="100"/>
      <c r="H58" s="100"/>
    </row>
    <row r="59" spans="1:36" ht="15.75" customHeight="1">
      <c r="A59" s="120" t="s">
        <v>57</v>
      </c>
      <c r="B59" s="120" t="s">
        <v>137</v>
      </c>
      <c r="C59" s="131">
        <f>C60+C61</f>
        <v>1450427.2993766414</v>
      </c>
      <c r="D59" s="131">
        <f t="shared" ref="D59:H59" si="28">D60+D61</f>
        <v>1933947.9031918875</v>
      </c>
      <c r="E59" s="131">
        <f t="shared" si="28"/>
        <v>1425108.8824918871</v>
      </c>
      <c r="F59" s="131">
        <f t="shared" si="28"/>
        <v>1310748.7843386231</v>
      </c>
      <c r="G59" s="131">
        <f t="shared" si="28"/>
        <v>831982.14976199274</v>
      </c>
      <c r="H59" s="131">
        <f t="shared" si="28"/>
        <v>6952215.0191610316</v>
      </c>
    </row>
    <row r="60" spans="1:36" ht="15.75" customHeight="1">
      <c r="A60" s="120" t="s">
        <v>102</v>
      </c>
      <c r="B60" s="120" t="s">
        <v>138</v>
      </c>
      <c r="C60" s="131">
        <f>C24</f>
        <v>1450427.2993766414</v>
      </c>
      <c r="D60" s="131">
        <f t="shared" ref="D60:H60" si="29">D24</f>
        <v>1933947.9031918875</v>
      </c>
      <c r="E60" s="131">
        <f t="shared" si="29"/>
        <v>1425108.8824918871</v>
      </c>
      <c r="F60" s="131">
        <f t="shared" si="29"/>
        <v>1310748.7843386231</v>
      </c>
      <c r="G60" s="131">
        <f t="shared" si="29"/>
        <v>831982.14976199274</v>
      </c>
      <c r="H60" s="131">
        <f t="shared" si="29"/>
        <v>6952215.0191610316</v>
      </c>
    </row>
    <row r="61" spans="1:36" ht="15.75" customHeight="1">
      <c r="A61" s="120" t="s">
        <v>60</v>
      </c>
      <c r="B61" s="120" t="s">
        <v>139</v>
      </c>
      <c r="C61" s="120"/>
      <c r="D61" s="131">
        <f>'[2]2023年'!I18</f>
        <v>0</v>
      </c>
      <c r="E61" s="131"/>
      <c r="F61" s="131"/>
      <c r="G61" s="131"/>
      <c r="H61" s="131">
        <f>[2]项目投资!G26</f>
        <v>0</v>
      </c>
    </row>
    <row r="62" spans="1:36" ht="15.75" customHeight="1">
      <c r="A62" s="120" t="s">
        <v>62</v>
      </c>
      <c r="B62" s="120" t="s">
        <v>140</v>
      </c>
      <c r="C62" s="120"/>
      <c r="D62" s="132"/>
      <c r="E62" s="132"/>
      <c r="F62" s="132"/>
      <c r="G62" s="132"/>
      <c r="H62" s="13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1" width="9" style="82"/>
    <col min="32" max="32" width="4.375" style="82" customWidth="1"/>
    <col min="33" max="33" width="13.875" style="82" customWidth="1"/>
    <col min="34" max="16384" width="9" style="82"/>
  </cols>
  <sheetData>
    <row r="1" spans="1:34">
      <c r="A1" s="206" t="s">
        <v>141</v>
      </c>
      <c r="B1" s="206"/>
      <c r="C1" s="210" t="s">
        <v>267</v>
      </c>
      <c r="D1" s="211"/>
      <c r="E1" s="211"/>
      <c r="F1" s="211"/>
      <c r="G1" s="211"/>
      <c r="H1" s="212"/>
    </row>
    <row r="2" spans="1:34">
      <c r="A2" s="206" t="s">
        <v>142</v>
      </c>
      <c r="B2" s="206"/>
      <c r="C2" s="213" t="s">
        <v>283</v>
      </c>
      <c r="D2" s="213"/>
      <c r="E2" s="213"/>
      <c r="F2" s="213"/>
      <c r="G2" s="213"/>
      <c r="H2" s="213"/>
    </row>
    <row r="3" spans="1:34">
      <c r="A3" s="206" t="s">
        <v>143</v>
      </c>
      <c r="B3" s="206"/>
      <c r="C3" s="87" t="str">
        <f>销量!C5</f>
        <v>驾驶员总成</v>
      </c>
      <c r="D3" s="87" t="str">
        <f>销量!D5</f>
        <v>驾驶员总成</v>
      </c>
      <c r="E3" s="87" t="str">
        <f>销量!E5</f>
        <v>驾驶员总成</v>
      </c>
      <c r="F3" s="87" t="str">
        <f>销量!F5</f>
        <v>前座总成</v>
      </c>
      <c r="G3" s="87" t="str">
        <f>销量!G5</f>
        <v>前座总成</v>
      </c>
      <c r="H3" s="207" t="s">
        <v>51</v>
      </c>
    </row>
    <row r="4" spans="1:34">
      <c r="A4" s="206" t="s">
        <v>144</v>
      </c>
      <c r="B4" s="206"/>
      <c r="C4" s="87" t="str">
        <f>销量!C6</f>
        <v>6800010-J70-C00</v>
      </c>
      <c r="D4" s="87" t="str">
        <f>销量!D6</f>
        <v>6800010AJ70-C00</v>
      </c>
      <c r="E4" s="87" t="str">
        <f>销量!E6</f>
        <v>6800010BJ70-C00</v>
      </c>
      <c r="F4" s="87" t="str">
        <f>销量!F6</f>
        <v>6900010-J70-C00</v>
      </c>
      <c r="G4" s="87" t="str">
        <f>销量!G6</f>
        <v>6900010AJ70-C00</v>
      </c>
      <c r="H4" s="208"/>
    </row>
    <row r="5" spans="1:34" ht="31.5" customHeight="1">
      <c r="A5" s="206" t="s">
        <v>145</v>
      </c>
      <c r="B5" s="206"/>
      <c r="C5" s="88" t="str">
        <f>销量!C7</f>
        <v>可变阻尼、座盆延伸、通风加热、按摩、杯架</v>
      </c>
      <c r="D5" s="88" t="str">
        <f>销量!D7</f>
        <v>可变阻尼、座盆延伸、通风加热、杯架</v>
      </c>
      <c r="E5" s="88" t="str">
        <f>销量!E7</f>
        <v>可变阻尼、座盆延伸、通风、杯架</v>
      </c>
      <c r="F5" s="88" t="str">
        <f>销量!F7</f>
        <v>翻折副驾</v>
      </c>
      <c r="G5" s="88" t="str">
        <f>销量!G7</f>
        <v>滑轨副驾</v>
      </c>
      <c r="H5" s="209"/>
      <c r="AH5" s="82" t="s">
        <v>52</v>
      </c>
    </row>
    <row r="6" spans="1:34" ht="17.25">
      <c r="A6" s="89" t="s">
        <v>18</v>
      </c>
      <c r="B6" s="90" t="s">
        <v>146</v>
      </c>
      <c r="C6" s="109">
        <f>销量!C9</f>
        <v>70</v>
      </c>
      <c r="D6" s="109">
        <f>销量!D9</f>
        <v>3000</v>
      </c>
      <c r="E6" s="109">
        <f>销量!E9</f>
        <v>2000</v>
      </c>
      <c r="F6" s="109">
        <f>销量!F9</f>
        <v>3000</v>
      </c>
      <c r="G6" s="109">
        <f>销量!G9</f>
        <v>2000</v>
      </c>
      <c r="H6" s="92">
        <f>+SUM(C6:G6)</f>
        <v>10070</v>
      </c>
      <c r="AF6" s="89" t="s">
        <v>18</v>
      </c>
      <c r="AG6" s="90" t="s">
        <v>3</v>
      </c>
      <c r="AH6" s="82" t="s">
        <v>53</v>
      </c>
    </row>
    <row r="7" spans="1:34">
      <c r="A7" s="86">
        <v>1</v>
      </c>
      <c r="B7" s="90" t="s">
        <v>54</v>
      </c>
      <c r="C7" s="92">
        <f>C6*销量!C8</f>
        <v>230790</v>
      </c>
      <c r="D7" s="92">
        <f>D6*销量!D8</f>
        <v>6516000</v>
      </c>
      <c r="E7" s="92">
        <f>E6*销量!E8</f>
        <v>4142000</v>
      </c>
      <c r="F7" s="92">
        <f>F6*销量!F8</f>
        <v>2160690</v>
      </c>
      <c r="G7" s="92">
        <f>G6*销量!G8</f>
        <v>1640000</v>
      </c>
      <c r="H7" s="92">
        <f t="shared" ref="H7:H26" si="0">+SUM(C7:G7)</f>
        <v>14689480</v>
      </c>
      <c r="I7" s="85"/>
      <c r="AF7" s="89" t="s">
        <v>55</v>
      </c>
      <c r="AG7" s="90" t="s">
        <v>54</v>
      </c>
      <c r="AH7" s="82" t="s">
        <v>53</v>
      </c>
    </row>
    <row r="8" spans="1:34">
      <c r="A8" s="86">
        <v>2</v>
      </c>
      <c r="B8" s="86" t="s">
        <v>56</v>
      </c>
      <c r="C8" s="92"/>
      <c r="D8" s="92"/>
      <c r="E8" s="92"/>
      <c r="F8" s="92"/>
      <c r="G8" s="92"/>
      <c r="H8" s="92">
        <f t="shared" si="0"/>
        <v>0</v>
      </c>
      <c r="I8" s="93"/>
      <c r="AF8" s="89" t="s">
        <v>57</v>
      </c>
      <c r="AG8" s="86" t="s">
        <v>58</v>
      </c>
      <c r="AH8" s="82" t="s">
        <v>53</v>
      </c>
    </row>
    <row r="9" spans="1:34">
      <c r="A9" s="86">
        <v>3</v>
      </c>
      <c r="B9" s="90" t="s">
        <v>59</v>
      </c>
      <c r="C9" s="92">
        <f>+C7-C8</f>
        <v>230790</v>
      </c>
      <c r="D9" s="92">
        <f>+D7-D8</f>
        <v>6516000</v>
      </c>
      <c r="E9" s="92">
        <f t="shared" ref="E9:G9" si="1">+E7-E8</f>
        <v>4142000</v>
      </c>
      <c r="F9" s="92">
        <f t="shared" si="1"/>
        <v>2160690</v>
      </c>
      <c r="G9" s="92">
        <f t="shared" si="1"/>
        <v>1640000</v>
      </c>
      <c r="H9" s="92">
        <f t="shared" si="0"/>
        <v>14689480</v>
      </c>
      <c r="AF9" s="89" t="s">
        <v>60</v>
      </c>
      <c r="AG9" s="90" t="s">
        <v>59</v>
      </c>
      <c r="AH9" s="82" t="s">
        <v>61</v>
      </c>
    </row>
    <row r="10" spans="1:34">
      <c r="A10" s="86">
        <v>4</v>
      </c>
      <c r="B10" s="89" t="s">
        <v>63</v>
      </c>
      <c r="C10" s="92">
        <f>C6*C33</f>
        <v>135134.83199999994</v>
      </c>
      <c r="D10" s="92">
        <f>D6*D33</f>
        <v>4727601.5767154628</v>
      </c>
      <c r="E10" s="92">
        <f t="shared" ref="E10:G10" si="2">E6*E33</f>
        <v>3094374.3844769751</v>
      </c>
      <c r="F10" s="92">
        <f t="shared" si="2"/>
        <v>1690267.8000000003</v>
      </c>
      <c r="G10" s="92">
        <f t="shared" si="2"/>
        <v>1292859.2000000002</v>
      </c>
      <c r="H10" s="92">
        <f t="shared" si="0"/>
        <v>10940237.793192439</v>
      </c>
      <c r="AF10" s="89" t="s">
        <v>62</v>
      </c>
      <c r="AG10" s="89" t="s">
        <v>63</v>
      </c>
      <c r="AH10" s="82" t="s">
        <v>64</v>
      </c>
    </row>
    <row r="11" spans="1:34">
      <c r="A11" s="86">
        <v>5</v>
      </c>
      <c r="B11" s="89" t="s">
        <v>65</v>
      </c>
      <c r="C11" s="92">
        <f>+C6*C36</f>
        <v>2838.7170000000001</v>
      </c>
      <c r="D11" s="92">
        <f>+D6*D36</f>
        <v>80146.8</v>
      </c>
      <c r="E11" s="92">
        <f t="shared" ref="E11:G11" si="3">+E6*E36</f>
        <v>38060.804929066799</v>
      </c>
      <c r="F11" s="92">
        <f t="shared" si="3"/>
        <v>20790.293940000003</v>
      </c>
      <c r="G11" s="92">
        <f t="shared" si="3"/>
        <v>15902.168160000003</v>
      </c>
      <c r="H11" s="92">
        <f t="shared" si="0"/>
        <v>157738.7840290668</v>
      </c>
      <c r="AF11" s="89" t="s">
        <v>66</v>
      </c>
      <c r="AG11" s="89" t="s">
        <v>65</v>
      </c>
    </row>
    <row r="12" spans="1:34">
      <c r="A12" s="86">
        <v>6</v>
      </c>
      <c r="B12" s="89" t="s">
        <v>67</v>
      </c>
      <c r="C12" s="92">
        <f>+C6*C37</f>
        <v>2561.7689999999998</v>
      </c>
      <c r="D12" s="92">
        <f>+D6*D37</f>
        <v>72327.600000000006</v>
      </c>
      <c r="E12" s="92">
        <f t="shared" ref="E12:G12" si="4">+E6*E37</f>
        <v>34347.555667694425</v>
      </c>
      <c r="F12" s="92">
        <f t="shared" si="4"/>
        <v>18761.972580000005</v>
      </c>
      <c r="G12" s="92">
        <f t="shared" si="4"/>
        <v>14350.737120000002</v>
      </c>
      <c r="H12" s="92">
        <f t="shared" si="0"/>
        <v>142349.63436769444</v>
      </c>
      <c r="AF12" s="89" t="s">
        <v>68</v>
      </c>
      <c r="AG12" s="89" t="s">
        <v>67</v>
      </c>
    </row>
    <row r="13" spans="1:34">
      <c r="A13" s="86">
        <v>7</v>
      </c>
      <c r="B13" s="89" t="s">
        <v>69</v>
      </c>
      <c r="C13" s="92">
        <f>+C6*C38</f>
        <v>3692.6400000000003</v>
      </c>
      <c r="D13" s="92">
        <f>+D6*D38</f>
        <v>104256.00000000001</v>
      </c>
      <c r="E13" s="92">
        <f t="shared" ref="E13:G13" si="5">+E6*E38</f>
        <v>49509.990151631602</v>
      </c>
      <c r="F13" s="92">
        <f t="shared" si="5"/>
        <v>27044.284800000005</v>
      </c>
      <c r="G13" s="92">
        <f t="shared" si="5"/>
        <v>20685.747200000002</v>
      </c>
      <c r="H13" s="92">
        <f t="shared" si="0"/>
        <v>205188.66215163161</v>
      </c>
      <c r="AF13" s="89" t="s">
        <v>70</v>
      </c>
      <c r="AG13" s="89" t="s">
        <v>69</v>
      </c>
      <c r="AH13" s="82" t="s">
        <v>53</v>
      </c>
    </row>
    <row r="14" spans="1:34">
      <c r="A14" s="86">
        <v>8</v>
      </c>
      <c r="B14" s="94" t="s">
        <v>71</v>
      </c>
      <c r="C14" s="92">
        <f>SUM(C11:C13)</f>
        <v>9093.1260000000002</v>
      </c>
      <c r="D14" s="92">
        <f>SUM(D11:D13)</f>
        <v>256730.40000000002</v>
      </c>
      <c r="E14" s="92">
        <f t="shared" ref="E14:F14" si="6">SUM(E11:E13)</f>
        <v>121918.35074839283</v>
      </c>
      <c r="F14" s="92">
        <f t="shared" si="6"/>
        <v>66596.551320000013</v>
      </c>
      <c r="G14" s="92">
        <f>SUM(G11:G13)</f>
        <v>50938.652480000004</v>
      </c>
      <c r="H14" s="92">
        <f>SUM(H11:H13)</f>
        <v>505277.08054839284</v>
      </c>
      <c r="AF14" s="89" t="s">
        <v>72</v>
      </c>
      <c r="AG14" s="94" t="s">
        <v>71</v>
      </c>
    </row>
    <row r="15" spans="1:34">
      <c r="A15" s="86">
        <v>9</v>
      </c>
      <c r="B15" s="94" t="s">
        <v>73</v>
      </c>
      <c r="C15" s="92">
        <f>+C9-C10-C14</f>
        <v>86562.042000000059</v>
      </c>
      <c r="D15" s="92">
        <f>+D9-D10-D14</f>
        <v>1531668.0232845373</v>
      </c>
      <c r="E15" s="92">
        <f t="shared" ref="E15:H15" si="7">+E9-E10-E14</f>
        <v>925707.26477463206</v>
      </c>
      <c r="F15" s="92">
        <f t="shared" si="7"/>
        <v>403825.64867999969</v>
      </c>
      <c r="G15" s="92">
        <f t="shared" si="7"/>
        <v>296202.14751999982</v>
      </c>
      <c r="H15" s="92">
        <f t="shared" si="7"/>
        <v>3243965.1262591686</v>
      </c>
      <c r="AF15" s="89" t="s">
        <v>74</v>
      </c>
      <c r="AG15" s="94" t="s">
        <v>73</v>
      </c>
    </row>
    <row r="16" spans="1:34">
      <c r="A16" s="86">
        <v>10</v>
      </c>
      <c r="B16" s="89" t="s">
        <v>75</v>
      </c>
      <c r="C16" s="95">
        <f>+C15/C9</f>
        <v>0.37506842584167449</v>
      </c>
      <c r="D16" s="95">
        <f>+D15/D9</f>
        <v>0.23506261867472947</v>
      </c>
      <c r="E16" s="95">
        <f t="shared" ref="E16:G16" si="8">+E15/E9</f>
        <v>0.22349282104650703</v>
      </c>
      <c r="F16" s="95">
        <f t="shared" si="8"/>
        <v>0.1868966157477471</v>
      </c>
      <c r="G16" s="95">
        <f t="shared" si="8"/>
        <v>0.1806110655609755</v>
      </c>
      <c r="H16" s="95">
        <f>+H15/H9</f>
        <v>0.22083594015984015</v>
      </c>
      <c r="AF16" s="89" t="s">
        <v>76</v>
      </c>
      <c r="AG16" s="89" t="s">
        <v>75</v>
      </c>
    </row>
    <row r="17" spans="1:34">
      <c r="A17" s="86">
        <v>11</v>
      </c>
      <c r="B17" s="89" t="s">
        <v>77</v>
      </c>
      <c r="C17" s="92">
        <f>C6*C43+C18</f>
        <v>9054.4611698113222</v>
      </c>
      <c r="D17" s="92">
        <f>D6*D43+D18</f>
        <v>264523.3358490566</v>
      </c>
      <c r="E17" s="92">
        <f t="shared" ref="E17:G17" si="9">E6*E43+E18</f>
        <v>130612.59303789503</v>
      </c>
      <c r="F17" s="92">
        <f t="shared" si="9"/>
        <v>87901.53732905662</v>
      </c>
      <c r="G17" s="92">
        <f t="shared" si="9"/>
        <v>64677.137286037745</v>
      </c>
      <c r="H17" s="92">
        <f t="shared" si="0"/>
        <v>556769.0646718574</v>
      </c>
      <c r="I17" s="93"/>
      <c r="AF17" s="89" t="s">
        <v>78</v>
      </c>
      <c r="AG17" s="89" t="s">
        <v>77</v>
      </c>
    </row>
    <row r="18" spans="1:34" s="83" customFormat="1">
      <c r="A18" s="86">
        <v>12</v>
      </c>
      <c r="B18" s="97" t="s">
        <v>147</v>
      </c>
      <c r="C18" s="98">
        <f>$H$18/$H$6*C6</f>
        <v>607.54716981132083</v>
      </c>
      <c r="D18" s="98">
        <f>$H$18/$H$6*D6</f>
        <v>26037.735849056608</v>
      </c>
      <c r="E18" s="98">
        <f t="shared" ref="E18:G18" si="10">$H$18/$H$6*E6</f>
        <v>17358.490566037737</v>
      </c>
      <c r="F18" s="98">
        <f t="shared" si="10"/>
        <v>26037.735849056608</v>
      </c>
      <c r="G18" s="98">
        <f t="shared" si="10"/>
        <v>17358.490566037737</v>
      </c>
      <c r="H18" s="92">
        <f>项目投资!D26</f>
        <v>87400</v>
      </c>
      <c r="I18" s="99" t="s">
        <v>148</v>
      </c>
      <c r="J18" s="99"/>
      <c r="K18" s="99"/>
    </row>
    <row r="19" spans="1:34">
      <c r="A19" s="86">
        <v>13</v>
      </c>
      <c r="B19" s="89" t="s">
        <v>79</v>
      </c>
      <c r="C19" s="92">
        <f>C6*C44</f>
        <v>1938.6359999999997</v>
      </c>
      <c r="D19" s="92">
        <f>D6*D44</f>
        <v>54734.399999999994</v>
      </c>
      <c r="E19" s="92">
        <f t="shared" ref="E19:G19" si="11">E6*E44</f>
        <v>25992.744829606589</v>
      </c>
      <c r="F19" s="92">
        <f t="shared" si="11"/>
        <v>14198.249520000001</v>
      </c>
      <c r="G19" s="92">
        <f t="shared" si="11"/>
        <v>10860.017280000002</v>
      </c>
      <c r="H19" s="92">
        <f t="shared" si="0"/>
        <v>107724.04762960658</v>
      </c>
      <c r="I19" s="83"/>
      <c r="AF19" s="89" t="s">
        <v>80</v>
      </c>
      <c r="AG19" s="89" t="s">
        <v>79</v>
      </c>
      <c r="AH19" s="82" t="s">
        <v>53</v>
      </c>
    </row>
    <row r="20" spans="1:34">
      <c r="A20" s="86">
        <v>14</v>
      </c>
      <c r="B20" s="89" t="s">
        <v>81</v>
      </c>
      <c r="C20" s="92">
        <f>C6*C45</f>
        <v>7454.5170000000007</v>
      </c>
      <c r="D20" s="92">
        <f>D6*D45</f>
        <v>210466.80000000002</v>
      </c>
      <c r="E20" s="92">
        <f t="shared" ref="E20:G20" si="12">E6*E45</f>
        <v>99948.292618606298</v>
      </c>
      <c r="F20" s="92">
        <f t="shared" si="12"/>
        <v>54595.649940000018</v>
      </c>
      <c r="G20" s="92">
        <f t="shared" si="12"/>
        <v>41759.352160000009</v>
      </c>
      <c r="H20" s="92">
        <f t="shared" si="0"/>
        <v>414224.61171860632</v>
      </c>
      <c r="AF20" s="89" t="s">
        <v>82</v>
      </c>
      <c r="AG20" s="89" t="s">
        <v>81</v>
      </c>
    </row>
    <row r="21" spans="1:34">
      <c r="A21" s="86">
        <v>15</v>
      </c>
      <c r="B21" s="89" t="s">
        <v>83</v>
      </c>
      <c r="C21" s="100">
        <f>$H$21/$H$6*C6</f>
        <v>25.024826216484609</v>
      </c>
      <c r="D21" s="100">
        <f>$H$21/$H$6*D6</f>
        <v>1072.4925521350547</v>
      </c>
      <c r="E21" s="100">
        <f t="shared" ref="E21:G21" si="13">$H$21/$H$6*E6</f>
        <v>714.99503475670315</v>
      </c>
      <c r="F21" s="100">
        <f t="shared" si="13"/>
        <v>1072.4925521350547</v>
      </c>
      <c r="G21" s="100">
        <f t="shared" si="13"/>
        <v>714.99503475670315</v>
      </c>
      <c r="H21" s="92">
        <f>项目投资!D27</f>
        <v>3600</v>
      </c>
      <c r="AF21" s="89"/>
      <c r="AG21" s="89"/>
    </row>
    <row r="22" spans="1:34">
      <c r="A22" s="86">
        <v>16</v>
      </c>
      <c r="B22" s="89" t="s">
        <v>84</v>
      </c>
      <c r="C22" s="92">
        <f>C6*C47</f>
        <v>8193.0450000000001</v>
      </c>
      <c r="D22" s="92">
        <f>D6*D47</f>
        <v>231317.99999999997</v>
      </c>
      <c r="E22" s="92">
        <f t="shared" ref="E22:G22" si="14">E6*E47</f>
        <v>109850.29064893261</v>
      </c>
      <c r="F22" s="92">
        <f t="shared" si="14"/>
        <v>60004.506900000008</v>
      </c>
      <c r="G22" s="92">
        <f t="shared" si="14"/>
        <v>45896.501600000003</v>
      </c>
      <c r="H22" s="92">
        <f t="shared" si="0"/>
        <v>455262.34414893267</v>
      </c>
      <c r="AF22" s="89" t="s">
        <v>85</v>
      </c>
      <c r="AG22" s="89" t="s">
        <v>84</v>
      </c>
    </row>
    <row r="23" spans="1:34">
      <c r="A23" s="86">
        <v>17</v>
      </c>
      <c r="B23" s="94" t="s">
        <v>86</v>
      </c>
      <c r="C23" s="100">
        <f>+C22+C21+C20+C19+C17</f>
        <v>26665.683996027805</v>
      </c>
      <c r="D23" s="100">
        <f>+D22+D21+D20+D19+D17</f>
        <v>762115.0284011917</v>
      </c>
      <c r="E23" s="100">
        <f t="shared" ref="E23:G23" si="15">+E22+E21+E20+E19+E17</f>
        <v>367118.91616979724</v>
      </c>
      <c r="F23" s="100">
        <f t="shared" si="15"/>
        <v>217772.4362411917</v>
      </c>
      <c r="G23" s="100">
        <f t="shared" si="15"/>
        <v>163908.00336079445</v>
      </c>
      <c r="H23" s="100">
        <f>+H22+H21+H20+H19+H17</f>
        <v>1537580.0681690029</v>
      </c>
      <c r="AF23" s="89" t="s">
        <v>87</v>
      </c>
      <c r="AG23" s="94" t="s">
        <v>86</v>
      </c>
    </row>
    <row r="24" spans="1:34">
      <c r="A24" s="86">
        <v>18</v>
      </c>
      <c r="B24" s="101" t="s">
        <v>88</v>
      </c>
      <c r="C24" s="100">
        <f>+C15-C23</f>
        <v>59896.358003972258</v>
      </c>
      <c r="D24" s="100">
        <f>+D15-D23</f>
        <v>769552.99488334556</v>
      </c>
      <c r="E24" s="100">
        <f t="shared" ref="E24:G24" si="16">+E15-E23</f>
        <v>558588.34860483487</v>
      </c>
      <c r="F24" s="100">
        <f t="shared" si="16"/>
        <v>186053.212438808</v>
      </c>
      <c r="G24" s="100">
        <f t="shared" si="16"/>
        <v>132294.14415920537</v>
      </c>
      <c r="H24" s="100">
        <f>+H15-H23</f>
        <v>1706385.0580901657</v>
      </c>
      <c r="J24" s="102"/>
      <c r="AF24" s="89" t="s">
        <v>89</v>
      </c>
      <c r="AG24" s="89" t="s">
        <v>88</v>
      </c>
    </row>
    <row r="25" spans="1:34">
      <c r="A25" s="86">
        <v>19</v>
      </c>
      <c r="B25" s="89" t="s">
        <v>277</v>
      </c>
      <c r="C25" s="100">
        <f>IF(C24&lt;0,0,C24*0.15)</f>
        <v>8984.4537005958391</v>
      </c>
      <c r="D25" s="100">
        <f t="shared" ref="D25:H25" si="17">IF(D24&lt;0,0,D24*0.15)</f>
        <v>115432.94923250184</v>
      </c>
      <c r="E25" s="100">
        <f t="shared" ref="E25:G25" si="18">IF(E24&lt;0,0,E24*0.15)</f>
        <v>83788.252290725228</v>
      </c>
      <c r="F25" s="100">
        <f t="shared" si="18"/>
        <v>27907.981865821199</v>
      </c>
      <c r="G25" s="100">
        <f t="shared" si="18"/>
        <v>19844.121623880805</v>
      </c>
      <c r="H25" s="100">
        <f t="shared" si="17"/>
        <v>255957.75871352485</v>
      </c>
      <c r="I25" s="2"/>
      <c r="J25" s="2"/>
      <c r="K25" s="2"/>
      <c r="AF25" s="89" t="s">
        <v>90</v>
      </c>
      <c r="AG25" s="89" t="s">
        <v>35</v>
      </c>
    </row>
    <row r="26" spans="1:34">
      <c r="A26" s="86">
        <v>20</v>
      </c>
      <c r="B26" s="89" t="s">
        <v>91</v>
      </c>
      <c r="C26" s="100">
        <f>C24-C25</f>
        <v>50911.904303376417</v>
      </c>
      <c r="D26" s="100">
        <f>D24-D25</f>
        <v>654120.04565084376</v>
      </c>
      <c r="E26" s="100">
        <f t="shared" ref="E26:G26" si="19">E24-E25</f>
        <v>474800.09631410963</v>
      </c>
      <c r="F26" s="100">
        <f t="shared" si="19"/>
        <v>158145.23057298679</v>
      </c>
      <c r="G26" s="100">
        <f t="shared" si="19"/>
        <v>112450.02253532456</v>
      </c>
      <c r="H26" s="92">
        <f t="shared" si="0"/>
        <v>1450427.2993766414</v>
      </c>
      <c r="I26" s="2"/>
      <c r="J26" s="2"/>
      <c r="K26" s="2"/>
      <c r="AF26" s="89" t="s">
        <v>92</v>
      </c>
      <c r="AG26" s="89" t="s">
        <v>91</v>
      </c>
    </row>
    <row r="27" spans="1:34">
      <c r="A27" s="86">
        <v>21</v>
      </c>
      <c r="B27" s="89" t="s">
        <v>95</v>
      </c>
      <c r="C27" s="103">
        <f>C26/C7</f>
        <v>0.22059839812546653</v>
      </c>
      <c r="D27" s="103">
        <f>D26/D7</f>
        <v>0.10038674733745301</v>
      </c>
      <c r="E27" s="103">
        <f t="shared" ref="E27:G27" si="20">E26/E7</f>
        <v>0.11463063648336785</v>
      </c>
      <c r="F27" s="103">
        <f t="shared" si="20"/>
        <v>7.319200374555665E-2</v>
      </c>
      <c r="G27" s="103">
        <f t="shared" si="20"/>
        <v>6.8567086911783273E-2</v>
      </c>
      <c r="H27" s="103">
        <f>H26/H7</f>
        <v>9.8739186096215889E-2</v>
      </c>
      <c r="I27" s="2"/>
      <c r="J27" s="2"/>
      <c r="K27" s="2"/>
      <c r="AF27" s="89" t="s">
        <v>94</v>
      </c>
      <c r="AG27" s="89" t="s">
        <v>95</v>
      </c>
    </row>
    <row r="28" spans="1:34">
      <c r="I28" s="2"/>
      <c r="J28" s="2"/>
      <c r="K28" s="2"/>
    </row>
    <row r="29" spans="1:34">
      <c r="A29" s="82" t="s">
        <v>96</v>
      </c>
      <c r="H29" s="85" t="s">
        <v>149</v>
      </c>
      <c r="I29" s="2"/>
      <c r="J29" s="2"/>
      <c r="K29" s="2"/>
      <c r="AF29" s="82" t="s">
        <v>96</v>
      </c>
    </row>
    <row r="30" spans="1:34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F30" s="89" t="s">
        <v>99</v>
      </c>
      <c r="AG30" s="94" t="s">
        <v>98</v>
      </c>
    </row>
    <row r="31" spans="1:34">
      <c r="A31" s="86">
        <v>1</v>
      </c>
      <c r="B31" s="97" t="s">
        <v>100</v>
      </c>
      <c r="C31" s="104">
        <f>销量!C8</f>
        <v>3297</v>
      </c>
      <c r="D31" s="104">
        <f>销量!D8</f>
        <v>2172</v>
      </c>
      <c r="E31" s="104">
        <f>销量!E8</f>
        <v>2071</v>
      </c>
      <c r="F31" s="104">
        <f>销量!F8</f>
        <v>720.23</v>
      </c>
      <c r="G31" s="104">
        <f>销量!G8</f>
        <v>820</v>
      </c>
      <c r="H31" s="100"/>
      <c r="I31" s="2"/>
      <c r="J31" s="2"/>
      <c r="K31" s="2"/>
      <c r="M31" s="2"/>
      <c r="AF31" s="89" t="s">
        <v>55</v>
      </c>
      <c r="AG31" s="89" t="s">
        <v>100</v>
      </c>
    </row>
    <row r="32" spans="1:34">
      <c r="A32" s="86">
        <v>2</v>
      </c>
      <c r="B32" s="89" t="s">
        <v>150</v>
      </c>
      <c r="C32" s="92">
        <f>C9/C6</f>
        <v>3297</v>
      </c>
      <c r="D32" s="92">
        <f t="shared" ref="D32:G32" si="21">D9/D6</f>
        <v>2172</v>
      </c>
      <c r="E32" s="92">
        <f t="shared" si="21"/>
        <v>2071</v>
      </c>
      <c r="F32" s="92">
        <f t="shared" si="21"/>
        <v>720.23</v>
      </c>
      <c r="G32" s="92">
        <f t="shared" si="21"/>
        <v>820</v>
      </c>
      <c r="H32" s="100"/>
      <c r="I32" s="2"/>
      <c r="J32" s="2"/>
      <c r="K32" s="2"/>
      <c r="L32" s="2"/>
      <c r="M32" s="2"/>
      <c r="N32" s="2"/>
      <c r="O32" s="2"/>
      <c r="AF32" s="89"/>
      <c r="AG32" s="89"/>
    </row>
    <row r="33" spans="1:33">
      <c r="A33" s="86">
        <v>3</v>
      </c>
      <c r="B33" s="97" t="s">
        <v>101</v>
      </c>
      <c r="C33" s="92">
        <f>材料成本!D24</f>
        <v>1930.4975999999992</v>
      </c>
      <c r="D33" s="92">
        <f>材料成本!E24</f>
        <v>1575.8671922384876</v>
      </c>
      <c r="E33" s="92">
        <f>材料成本!F24</f>
        <v>1547.1871922384876</v>
      </c>
      <c r="F33" s="92">
        <f>材料成本!G24</f>
        <v>563.4226000000001</v>
      </c>
      <c r="G33" s="92">
        <f>材料成本!H24</f>
        <v>646.42960000000005</v>
      </c>
      <c r="H33" s="100"/>
      <c r="J33" s="2"/>
      <c r="K33" s="2"/>
      <c r="L33" s="2"/>
      <c r="M33" s="2"/>
      <c r="N33" s="2"/>
      <c r="O33" s="2"/>
      <c r="AF33" s="89" t="s">
        <v>57</v>
      </c>
      <c r="AG33" s="89" t="s">
        <v>101</v>
      </c>
    </row>
    <row r="34" spans="1:33" ht="17.25" customHeight="1">
      <c r="A34" s="86">
        <v>4</v>
      </c>
      <c r="B34" s="89" t="s">
        <v>103</v>
      </c>
      <c r="C34" s="105">
        <f>C32-C33</f>
        <v>1366.5024000000008</v>
      </c>
      <c r="D34" s="105">
        <f>D32-D33</f>
        <v>596.13280776151237</v>
      </c>
      <c r="E34" s="105">
        <f t="shared" ref="E34:G34" si="22">E32-E33</f>
        <v>523.81280776151243</v>
      </c>
      <c r="F34" s="105">
        <f t="shared" si="22"/>
        <v>156.80739999999992</v>
      </c>
      <c r="G34" s="105">
        <f t="shared" si="22"/>
        <v>173.57039999999995</v>
      </c>
      <c r="H34" s="100"/>
      <c r="J34" s="2"/>
      <c r="K34" s="2"/>
      <c r="L34" s="2"/>
      <c r="M34" s="2"/>
      <c r="N34" s="2"/>
      <c r="O34" s="2"/>
      <c r="AF34" s="89" t="s">
        <v>102</v>
      </c>
      <c r="AG34" s="89" t="s">
        <v>103</v>
      </c>
    </row>
    <row r="35" spans="1:33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F35" s="89" t="s">
        <v>105</v>
      </c>
      <c r="AG35" s="94" t="s">
        <v>9</v>
      </c>
    </row>
    <row r="36" spans="1:33">
      <c r="A36" s="86">
        <v>1</v>
      </c>
      <c r="B36" s="89" t="s">
        <v>106</v>
      </c>
      <c r="C36" s="98">
        <f>标准成本!E4</f>
        <v>40.553100000000001</v>
      </c>
      <c r="D36" s="98">
        <f>标准成本!E16</f>
        <v>26.715600000000002</v>
      </c>
      <c r="E36" s="98">
        <f>标准成本!E29</f>
        <v>19.030402464533399</v>
      </c>
      <c r="F36" s="98">
        <f>标准成本!E42</f>
        <v>6.9300979800000011</v>
      </c>
      <c r="G36" s="98">
        <f>标准成本!E55</f>
        <v>7.9510840800000011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F36" s="89" t="s">
        <v>102</v>
      </c>
      <c r="AG36" s="89" t="s">
        <v>106</v>
      </c>
    </row>
    <row r="37" spans="1:33">
      <c r="A37" s="86">
        <v>2</v>
      </c>
      <c r="B37" s="89" t="s">
        <v>107</v>
      </c>
      <c r="C37" s="98">
        <f>标准成本!E6</f>
        <v>36.596699999999998</v>
      </c>
      <c r="D37" s="98">
        <f>标准成本!E18</f>
        <v>24.109200000000001</v>
      </c>
      <c r="E37" s="98">
        <f>标准成本!E31</f>
        <v>17.173777833847211</v>
      </c>
      <c r="F37" s="98">
        <f>标准成本!E44</f>
        <v>6.2539908600000018</v>
      </c>
      <c r="G37" s="98">
        <f>标准成本!E57</f>
        <v>7.1753685600000008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F37" s="89" t="s">
        <v>60</v>
      </c>
      <c r="AG37" s="89" t="s">
        <v>107</v>
      </c>
    </row>
    <row r="38" spans="1:33">
      <c r="A38" s="86">
        <v>3</v>
      </c>
      <c r="B38" s="89" t="s">
        <v>108</v>
      </c>
      <c r="C38" s="98">
        <f>标准成本!E10</f>
        <v>52.752000000000002</v>
      </c>
      <c r="D38" s="98">
        <f>标准成本!E22</f>
        <v>34.752000000000002</v>
      </c>
      <c r="E38" s="98">
        <f>标准成本!E35</f>
        <v>24.754995075815803</v>
      </c>
      <c r="F38" s="98">
        <f>标准成本!E48</f>
        <v>9.0147616000000017</v>
      </c>
      <c r="G38" s="98">
        <f>标准成本!E61</f>
        <v>10.342873600000001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F38" s="89" t="s">
        <v>66</v>
      </c>
      <c r="AG38" s="89" t="s">
        <v>108</v>
      </c>
    </row>
    <row r="39" spans="1:33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F39" s="89" t="s">
        <v>109</v>
      </c>
      <c r="AG39" s="94" t="s">
        <v>110</v>
      </c>
    </row>
    <row r="40" spans="1:33">
      <c r="A40" s="86">
        <v>1</v>
      </c>
      <c r="B40" s="89" t="s">
        <v>111</v>
      </c>
      <c r="C40" s="100">
        <f>C34-C36-C37-C38</f>
        <v>1236.6006000000007</v>
      </c>
      <c r="D40" s="100">
        <f>D34-D36-D37-D38</f>
        <v>510.55600776151238</v>
      </c>
      <c r="E40" s="100">
        <f t="shared" ref="E40:G40" si="23">E34-E36-E37-E38</f>
        <v>462.853632387316</v>
      </c>
      <c r="F40" s="100">
        <f t="shared" si="23"/>
        <v>134.60854955999989</v>
      </c>
      <c r="G40" s="100">
        <f t="shared" si="23"/>
        <v>148.10107375999996</v>
      </c>
      <c r="H40" s="100"/>
      <c r="AF40" s="89" t="s">
        <v>55</v>
      </c>
      <c r="AG40" s="89" t="s">
        <v>111</v>
      </c>
    </row>
    <row r="41" spans="1:33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F41" s="89" t="s">
        <v>57</v>
      </c>
      <c r="AG41" s="89" t="s">
        <v>112</v>
      </c>
    </row>
    <row r="42" spans="1:33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F42" s="89" t="s">
        <v>113</v>
      </c>
      <c r="AG42" s="94" t="s">
        <v>114</v>
      </c>
    </row>
    <row r="43" spans="1:33">
      <c r="A43" s="86">
        <v>1</v>
      </c>
      <c r="B43" s="101" t="s">
        <v>115</v>
      </c>
      <c r="C43" s="98">
        <f>标准成本!E5</f>
        <v>120.67020000000001</v>
      </c>
      <c r="D43" s="98">
        <f>标准成本!E17</f>
        <v>79.495199999999997</v>
      </c>
      <c r="E43" s="98">
        <f>标准成本!E30</f>
        <v>56.627051235928647</v>
      </c>
      <c r="F43" s="98">
        <f>标准成本!E43</f>
        <v>20.621267160000006</v>
      </c>
      <c r="G43" s="98">
        <f>标准成本!E56</f>
        <v>23.659323360000002</v>
      </c>
      <c r="H43" s="100"/>
      <c r="AF43" s="89" t="s">
        <v>55</v>
      </c>
      <c r="AG43" s="89" t="s">
        <v>115</v>
      </c>
    </row>
    <row r="44" spans="1:33">
      <c r="A44" s="86">
        <v>2</v>
      </c>
      <c r="B44" s="101" t="s">
        <v>116</v>
      </c>
      <c r="C44" s="98">
        <f>标准成本!E9</f>
        <v>27.694799999999997</v>
      </c>
      <c r="D44" s="98">
        <f>标准成本!E21</f>
        <v>18.244799999999998</v>
      </c>
      <c r="E44" s="98">
        <f>标准成本!E34</f>
        <v>12.996372414803295</v>
      </c>
      <c r="F44" s="98">
        <f>标准成本!E47</f>
        <v>4.7327498400000003</v>
      </c>
      <c r="G44" s="98">
        <f>标准成本!E60</f>
        <v>5.4300086400000005</v>
      </c>
      <c r="H44" s="100"/>
      <c r="AF44" s="89" t="s">
        <v>57</v>
      </c>
      <c r="AG44" s="89" t="s">
        <v>116</v>
      </c>
    </row>
    <row r="45" spans="1:33">
      <c r="A45" s="86">
        <v>3</v>
      </c>
      <c r="B45" s="101" t="s">
        <v>117</v>
      </c>
      <c r="C45" s="98">
        <f>标准成本!E8</f>
        <v>106.49310000000001</v>
      </c>
      <c r="D45" s="98">
        <f>标准成本!E20</f>
        <v>70.155600000000007</v>
      </c>
      <c r="E45" s="98">
        <f>标准成本!E33</f>
        <v>49.974146309303151</v>
      </c>
      <c r="F45" s="98">
        <f>标准成本!E46</f>
        <v>18.198549980000006</v>
      </c>
      <c r="G45" s="98">
        <f>标准成本!E59</f>
        <v>20.879676080000003</v>
      </c>
      <c r="H45" s="100"/>
      <c r="AF45" s="89" t="s">
        <v>102</v>
      </c>
      <c r="AG45" s="89" t="s">
        <v>117</v>
      </c>
    </row>
    <row r="46" spans="1:33" s="84" customFormat="1">
      <c r="A46" s="86">
        <v>4</v>
      </c>
      <c r="B46" s="101" t="s">
        <v>118</v>
      </c>
      <c r="C46" s="106">
        <f>C21/C6</f>
        <v>0.35749751737835156</v>
      </c>
      <c r="D46" s="106">
        <f>D21/D6</f>
        <v>0.35749751737835156</v>
      </c>
      <c r="E46" s="106">
        <f t="shared" ref="E46:G46" si="24">E21/E6</f>
        <v>0.35749751737835156</v>
      </c>
      <c r="F46" s="106">
        <f t="shared" si="24"/>
        <v>0.35749751737835156</v>
      </c>
      <c r="G46" s="106">
        <f t="shared" si="24"/>
        <v>0.35749751737835156</v>
      </c>
      <c r="H46" s="106"/>
      <c r="AF46" s="101" t="s">
        <v>62</v>
      </c>
      <c r="AG46" s="101" t="s">
        <v>120</v>
      </c>
    </row>
    <row r="47" spans="1:33" s="84" customFormat="1">
      <c r="A47" s="86">
        <v>5</v>
      </c>
      <c r="B47" s="101" t="s">
        <v>120</v>
      </c>
      <c r="C47" s="98">
        <f>标准成本!E11</f>
        <v>117.04349999999999</v>
      </c>
      <c r="D47" s="98">
        <f>标准成本!E23</f>
        <v>77.105999999999995</v>
      </c>
      <c r="E47" s="98">
        <f>标准成本!E36</f>
        <v>54.925145324466307</v>
      </c>
      <c r="F47" s="98">
        <f>标准成本!E49</f>
        <v>20.001502300000002</v>
      </c>
      <c r="G47" s="98">
        <f>标准成本!E62</f>
        <v>22.9482508</v>
      </c>
      <c r="H47" s="106"/>
      <c r="AF47" s="101" t="s">
        <v>62</v>
      </c>
      <c r="AG47" s="101" t="s">
        <v>120</v>
      </c>
    </row>
    <row r="48" spans="1:33">
      <c r="A48" s="89" t="s">
        <v>113</v>
      </c>
      <c r="B48" s="94" t="s">
        <v>131</v>
      </c>
      <c r="C48" s="100">
        <f>C40-C43-C44-C45-C47-C46</f>
        <v>864.34150248262233</v>
      </c>
      <c r="D48" s="100">
        <f>D40-D43-D44-D45-D47-D46</f>
        <v>265.19691024413402</v>
      </c>
      <c r="E48" s="100">
        <f t="shared" ref="E48:G48" si="25">E40-E43-E44-E45-E47-E46</f>
        <v>287.9734195854362</v>
      </c>
      <c r="F48" s="100">
        <f t="shared" si="25"/>
        <v>70.696982762621531</v>
      </c>
      <c r="G48" s="100">
        <f t="shared" si="25"/>
        <v>74.826317362621609</v>
      </c>
      <c r="H48" s="100"/>
      <c r="AF48" s="89" t="s">
        <v>130</v>
      </c>
      <c r="AG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266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驾驶员总成</v>
      </c>
      <c r="F3" s="87" t="str">
        <f>'2025年'!F3</f>
        <v>前座总成</v>
      </c>
      <c r="G3" s="87" t="str">
        <f>'2025年'!G3</f>
        <v>前座总成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6800010-J70-C00</v>
      </c>
      <c r="D4" s="87" t="str">
        <f>'2025年'!D4</f>
        <v>6800010AJ70-C00</v>
      </c>
      <c r="E4" s="87" t="str">
        <f>'2025年'!E4</f>
        <v>6800010BJ70-C00</v>
      </c>
      <c r="F4" s="87" t="str">
        <f>'2025年'!F4</f>
        <v>6900010-J70-C00</v>
      </c>
      <c r="G4" s="87" t="str">
        <f>'2025年'!G4</f>
        <v>6900010AJ70-C00</v>
      </c>
      <c r="H4" s="208"/>
    </row>
    <row r="5" spans="1:36" ht="42.75">
      <c r="A5" s="206" t="s">
        <v>145</v>
      </c>
      <c r="B5" s="206"/>
      <c r="C5" s="88" t="str">
        <f>'2025年'!C5</f>
        <v>可变阻尼、座盆延伸、通风加热、按摩、杯架</v>
      </c>
      <c r="D5" s="88" t="str">
        <f>'2025年'!D5</f>
        <v>可变阻尼、座盆延伸、通风加热、杯架</v>
      </c>
      <c r="E5" s="88" t="str">
        <f>'2025年'!E5</f>
        <v>可变阻尼、座盆延伸、通风、杯架</v>
      </c>
      <c r="F5" s="88" t="str">
        <f>'2025年'!F5</f>
        <v>翻折副驾</v>
      </c>
      <c r="G5" s="88" t="str">
        <f>'2025年'!G5</f>
        <v>滑轨副驾</v>
      </c>
      <c r="H5" s="209"/>
      <c r="AJ5" s="82" t="s">
        <v>52</v>
      </c>
    </row>
    <row r="6" spans="1:36" ht="17.25">
      <c r="A6" s="89" t="s">
        <v>18</v>
      </c>
      <c r="B6" s="90" t="s">
        <v>146</v>
      </c>
      <c r="C6" s="109">
        <f>销量!C10</f>
        <v>100</v>
      </c>
      <c r="D6" s="109">
        <f>销量!D10</f>
        <v>4000</v>
      </c>
      <c r="E6" s="109">
        <f>销量!E10</f>
        <v>3000</v>
      </c>
      <c r="F6" s="109">
        <f>销量!F10</f>
        <v>4000</v>
      </c>
      <c r="G6" s="109">
        <f>销量!G10</f>
        <v>3000</v>
      </c>
      <c r="H6" s="92">
        <f>+SUM(C6:G6)</f>
        <v>14100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329700</v>
      </c>
      <c r="D7" s="92">
        <f>D6*销量!D8</f>
        <v>8688000</v>
      </c>
      <c r="E7" s="92">
        <f>E6*销量!E8</f>
        <v>6213000</v>
      </c>
      <c r="F7" s="92">
        <f>F6*销量!F8</f>
        <v>2880920</v>
      </c>
      <c r="G7" s="92">
        <f>G6*销量!G8</f>
        <v>2460000</v>
      </c>
      <c r="H7" s="92">
        <f t="shared" ref="H7:H13" si="0">+SUM(C7:G7)</f>
        <v>20571620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C7*(1-销量!$K$7)</f>
        <v>9891.0000000000091</v>
      </c>
      <c r="D8" s="92">
        <f>D7*(1-销量!$K$7)</f>
        <v>260640.00000000023</v>
      </c>
      <c r="E8" s="92">
        <f>E7*(1-销量!$K$7)</f>
        <v>186390.00000000017</v>
      </c>
      <c r="F8" s="92">
        <f>F7*(1-销量!$K$7)</f>
        <v>86427.600000000079</v>
      </c>
      <c r="G8" s="92">
        <f>G7*(1-销量!$K$7)</f>
        <v>73800.000000000073</v>
      </c>
      <c r="H8" s="92">
        <f t="shared" si="0"/>
        <v>617148.60000000056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319809</v>
      </c>
      <c r="D9" s="92">
        <f>+D7-D8</f>
        <v>8427360</v>
      </c>
      <c r="E9" s="92">
        <f t="shared" ref="E9:G9" si="1">+E7-E8</f>
        <v>6026610</v>
      </c>
      <c r="F9" s="92">
        <f t="shared" si="1"/>
        <v>2794492.4</v>
      </c>
      <c r="G9" s="92">
        <f t="shared" si="1"/>
        <v>2386200</v>
      </c>
      <c r="H9" s="92">
        <f t="shared" si="0"/>
        <v>19954471.399999999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187258.26719999994</v>
      </c>
      <c r="D10" s="92">
        <f>D6*D33</f>
        <v>6114364.7058853321</v>
      </c>
      <c r="E10" s="92">
        <f t="shared" ref="E10:G10" si="2">E6*E33</f>
        <v>4502314.7294139992</v>
      </c>
      <c r="F10" s="92">
        <f t="shared" si="2"/>
        <v>2186079.6880000001</v>
      </c>
      <c r="G10" s="92">
        <f t="shared" si="2"/>
        <v>1881110.1360000002</v>
      </c>
      <c r="H10" s="92">
        <f t="shared" si="0"/>
        <v>14871127.526499331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4055.31</v>
      </c>
      <c r="D11" s="92">
        <f>+D6*D36</f>
        <v>106862.40000000001</v>
      </c>
      <c r="E11" s="92">
        <f t="shared" ref="E11:G11" si="3">+E6*E36</f>
        <v>57091.207393600198</v>
      </c>
      <c r="F11" s="92">
        <f t="shared" si="3"/>
        <v>27720.391920000005</v>
      </c>
      <c r="G11" s="92">
        <f t="shared" si="3"/>
        <v>23853.252240000002</v>
      </c>
      <c r="H11" s="92">
        <f t="shared" si="0"/>
        <v>219582.56155360022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3659.67</v>
      </c>
      <c r="D12" s="92">
        <f>+D6*D37</f>
        <v>96436.800000000003</v>
      </c>
      <c r="E12" s="92">
        <f t="shared" ref="E12:G12" si="4">+E6*E37</f>
        <v>51521.333501541631</v>
      </c>
      <c r="F12" s="92">
        <f t="shared" si="4"/>
        <v>25015.963440000007</v>
      </c>
      <c r="G12" s="92">
        <f t="shared" si="4"/>
        <v>21526.105680000001</v>
      </c>
      <c r="H12" s="92">
        <f t="shared" si="0"/>
        <v>198159.87262154164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5275.2</v>
      </c>
      <c r="D13" s="92">
        <f>+D6*D38</f>
        <v>139008</v>
      </c>
      <c r="E13" s="92">
        <f t="shared" ref="E13:G13" si="5">+E6*E38</f>
        <v>74264.985227447411</v>
      </c>
      <c r="F13" s="92">
        <f t="shared" si="5"/>
        <v>36059.046400000007</v>
      </c>
      <c r="G13" s="92">
        <f t="shared" si="5"/>
        <v>31028.620800000001</v>
      </c>
      <c r="H13" s="92">
        <f t="shared" si="0"/>
        <v>285635.85242744739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12990.18</v>
      </c>
      <c r="D14" s="92">
        <f>SUM(D11:D13)</f>
        <v>342307.2</v>
      </c>
      <c r="E14" s="92">
        <f t="shared" ref="E14:H14" si="6">SUM(E11:E13)</f>
        <v>182877.52612258925</v>
      </c>
      <c r="F14" s="92">
        <f t="shared" si="6"/>
        <v>88795.401760000022</v>
      </c>
      <c r="G14" s="92">
        <f t="shared" si="6"/>
        <v>76407.978719999999</v>
      </c>
      <c r="H14" s="92">
        <f t="shared" si="6"/>
        <v>703378.2866025893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119560.55280000006</v>
      </c>
      <c r="D15" s="92">
        <f>+D9-D10-D14</f>
        <v>1970688.094114668</v>
      </c>
      <c r="E15" s="92">
        <f t="shared" ref="E15:H15" si="7">+E9-E10-E14</f>
        <v>1341417.7444634116</v>
      </c>
      <c r="F15" s="92">
        <f t="shared" si="7"/>
        <v>519617.31023999979</v>
      </c>
      <c r="G15" s="92">
        <f t="shared" si="7"/>
        <v>428681.88527999981</v>
      </c>
      <c r="H15" s="92">
        <f t="shared" si="7"/>
        <v>4379965.5868980782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0.3738498691406435</v>
      </c>
      <c r="D16" s="95">
        <f>+D15/D9</f>
        <v>0.23384406197369853</v>
      </c>
      <c r="E16" s="95">
        <f t="shared" ref="E16:G16" si="8">+E15/E9</f>
        <v>0.22258247081915233</v>
      </c>
      <c r="F16" s="95">
        <f t="shared" si="8"/>
        <v>0.18594336139185771</v>
      </c>
      <c r="G16" s="95">
        <f t="shared" si="8"/>
        <v>0.17965044224289659</v>
      </c>
      <c r="H16" s="95">
        <f>+H15/H9</f>
        <v>0.21949795106564829</v>
      </c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12686.87815602837</v>
      </c>
      <c r="D17" s="92">
        <f>D6*D43+D18</f>
        <v>342775.12624113471</v>
      </c>
      <c r="E17" s="92">
        <f t="shared" ref="E17:G17" si="9">E6*E43+E18</f>
        <v>188476.898388637</v>
      </c>
      <c r="F17" s="92">
        <f t="shared" si="9"/>
        <v>107279.39488113478</v>
      </c>
      <c r="G17" s="92">
        <f t="shared" si="9"/>
        <v>89573.714760851057</v>
      </c>
      <c r="H17" s="92">
        <f>+SUM(C17:G17)</f>
        <v>740792.0124277859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619.85815602836874</v>
      </c>
      <c r="D18" s="98">
        <f>$H$18/$H$6*D6</f>
        <v>24794.32624113475</v>
      </c>
      <c r="E18" s="98">
        <f t="shared" ref="E18:G18" si="10">$H$18/$H$6*E6</f>
        <v>18595.744680851065</v>
      </c>
      <c r="F18" s="98">
        <f t="shared" si="10"/>
        <v>24794.32624113475</v>
      </c>
      <c r="G18" s="98">
        <f t="shared" si="10"/>
        <v>18595.744680851065</v>
      </c>
      <c r="H18" s="92">
        <f>项目投资!E26</f>
        <v>87400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2769.4799999999996</v>
      </c>
      <c r="D19" s="92">
        <f>D6*D44</f>
        <v>72979.199999999997</v>
      </c>
      <c r="E19" s="92">
        <f t="shared" ref="E19:G19" si="11">E6*E44</f>
        <v>38989.117244409885</v>
      </c>
      <c r="F19" s="92">
        <f t="shared" si="11"/>
        <v>18930.999360000002</v>
      </c>
      <c r="G19" s="92">
        <f t="shared" si="11"/>
        <v>16290.025920000002</v>
      </c>
      <c r="H19" s="92">
        <f t="shared" ref="H19:H20" si="12">+SUM(C19:G19)</f>
        <v>149958.82252440989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10649.310000000001</v>
      </c>
      <c r="D20" s="92">
        <f>D6*D45</f>
        <v>280622.40000000002</v>
      </c>
      <c r="E20" s="92">
        <f t="shared" ref="E20:G20" si="13">E6*E45</f>
        <v>149922.43892790945</v>
      </c>
      <c r="F20" s="92">
        <f t="shared" si="13"/>
        <v>72794.199920000028</v>
      </c>
      <c r="G20" s="92">
        <f t="shared" si="13"/>
        <v>62639.028240000007</v>
      </c>
      <c r="H20" s="92">
        <f t="shared" si="12"/>
        <v>576627.3770879095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25.531914893617021</v>
      </c>
      <c r="D21" s="100">
        <f>$H$21/$H$6*D6</f>
        <v>1021.2765957446808</v>
      </c>
      <c r="E21" s="100">
        <f t="shared" ref="E21:G21" si="14">$H$21/$H$6*E6</f>
        <v>765.95744680851055</v>
      </c>
      <c r="F21" s="100">
        <f t="shared" si="14"/>
        <v>1021.2765957446808</v>
      </c>
      <c r="G21" s="100">
        <f t="shared" si="14"/>
        <v>765.95744680851055</v>
      </c>
      <c r="H21" s="92">
        <f>项目投资!E27</f>
        <v>3600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11704.349999999999</v>
      </c>
      <c r="D22" s="92">
        <f>D6*D47</f>
        <v>308424</v>
      </c>
      <c r="E22" s="92">
        <f t="shared" ref="E22:G22" si="15">E6*E47</f>
        <v>164775.43597339891</v>
      </c>
      <c r="F22" s="92">
        <f t="shared" si="15"/>
        <v>80006.009200000015</v>
      </c>
      <c r="G22" s="92">
        <f t="shared" si="15"/>
        <v>68844.752399999998</v>
      </c>
      <c r="H22" s="92">
        <f>+SUM(C22:G22)</f>
        <v>633754.54757339892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37835.550070921985</v>
      </c>
      <c r="D23" s="100">
        <f>+D22+D21+D20+D19+D17</f>
        <v>1005822.0028368793</v>
      </c>
      <c r="E23" s="100">
        <f t="shared" ref="E23:G23" si="16">+E22+E21+E20+E19+E17</f>
        <v>542929.84798116377</v>
      </c>
      <c r="F23" s="100">
        <f t="shared" si="16"/>
        <v>280031.87995687954</v>
      </c>
      <c r="G23" s="100">
        <f t="shared" si="16"/>
        <v>238113.47876765957</v>
      </c>
      <c r="H23" s="100">
        <f>+H22+H21+H20+H19+H17</f>
        <v>2104732.7596135046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81725.002729078085</v>
      </c>
      <c r="D24" s="100">
        <f>+D15-D23</f>
        <v>964866.09127778863</v>
      </c>
      <c r="E24" s="100">
        <f t="shared" ref="E24:G24" si="17">+E15-E23</f>
        <v>798487.89648224786</v>
      </c>
      <c r="F24" s="100">
        <f t="shared" si="17"/>
        <v>239585.43028312025</v>
      </c>
      <c r="G24" s="100">
        <f t="shared" si="17"/>
        <v>190568.40651234024</v>
      </c>
      <c r="H24" s="100">
        <f>+H15-H23</f>
        <v>2275232.8272845736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12258.750409361712</v>
      </c>
      <c r="D25" s="100">
        <f t="shared" ref="D25:H25" si="18">IF(D24&lt;0,0,D24*0.15)</f>
        <v>144729.91369166828</v>
      </c>
      <c r="E25" s="100">
        <f t="shared" ref="E25:G25" si="19">IF(E24&lt;0,0,E24*0.15)</f>
        <v>119773.18447233718</v>
      </c>
      <c r="F25" s="100">
        <f t="shared" si="19"/>
        <v>35937.814542468033</v>
      </c>
      <c r="G25" s="100">
        <f t="shared" si="19"/>
        <v>28585.260976851034</v>
      </c>
      <c r="H25" s="100">
        <f t="shared" si="18"/>
        <v>341284.92409268604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69466.252319716368</v>
      </c>
      <c r="D26" s="100">
        <f>D24-D25</f>
        <v>820136.17758612032</v>
      </c>
      <c r="E26" s="100">
        <f t="shared" ref="E26:G26" si="20">E24-E25</f>
        <v>678714.71200991073</v>
      </c>
      <c r="F26" s="100">
        <f t="shared" si="20"/>
        <v>203647.61574065223</v>
      </c>
      <c r="G26" s="100">
        <f t="shared" si="20"/>
        <v>161983.1455354892</v>
      </c>
      <c r="H26" s="100">
        <f>H24-H25</f>
        <v>1933947.9031918875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0.2106953361228886</v>
      </c>
      <c r="D27" s="103">
        <f>D26/D7</f>
        <v>9.4398731305953082E-2</v>
      </c>
      <c r="E27" s="103">
        <f t="shared" ref="E27:G27" si="21">E26/E7</f>
        <v>0.10924106100272182</v>
      </c>
      <c r="F27" s="103">
        <f t="shared" si="21"/>
        <v>7.0688396672122872E-2</v>
      </c>
      <c r="G27" s="103">
        <f t="shared" si="21"/>
        <v>6.5846807128247642E-2</v>
      </c>
      <c r="H27" s="103">
        <f>H26/H7</f>
        <v>9.4010481585401998E-2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3297</v>
      </c>
      <c r="D31" s="104">
        <f>销量!D8</f>
        <v>2172</v>
      </c>
      <c r="E31" s="104">
        <f>销量!E8</f>
        <v>2071</v>
      </c>
      <c r="F31" s="104">
        <f>销量!F8</f>
        <v>720.23</v>
      </c>
      <c r="G31" s="104">
        <f>销量!G8</f>
        <v>820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3198.09</v>
      </c>
      <c r="D32" s="92">
        <f t="shared" ref="D32:G32" si="22">D9/D6</f>
        <v>2106.84</v>
      </c>
      <c r="E32" s="92">
        <f t="shared" si="22"/>
        <v>2008.87</v>
      </c>
      <c r="F32" s="92">
        <f t="shared" si="22"/>
        <v>698.62310000000002</v>
      </c>
      <c r="G32" s="92">
        <f t="shared" si="22"/>
        <v>795.4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材料成本!D25</f>
        <v>1872.5826719999993</v>
      </c>
      <c r="D33" s="92">
        <f>材料成本!E25</f>
        <v>1528.591176471333</v>
      </c>
      <c r="E33" s="92">
        <f>材料成本!F25</f>
        <v>1500.771576471333</v>
      </c>
      <c r="F33" s="92">
        <f>材料成本!G25</f>
        <v>546.51992200000007</v>
      </c>
      <c r="G33" s="92">
        <f>材料成本!H25</f>
        <v>627.03671200000008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1325.5073280000008</v>
      </c>
      <c r="D34" s="105">
        <f t="shared" ref="D34:G34" si="23">D32-D33</f>
        <v>578.24882352866712</v>
      </c>
      <c r="E34" s="105">
        <f t="shared" si="23"/>
        <v>508.0984235286669</v>
      </c>
      <c r="F34" s="105">
        <f t="shared" si="23"/>
        <v>152.10317799999996</v>
      </c>
      <c r="G34" s="105">
        <f t="shared" si="23"/>
        <v>168.3632879999999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40.553100000000001</v>
      </c>
      <c r="D36" s="98">
        <f>'2025年'!D36</f>
        <v>26.715600000000002</v>
      </c>
      <c r="E36" s="98">
        <f>'2025年'!E36</f>
        <v>19.030402464533399</v>
      </c>
      <c r="F36" s="98">
        <f>'2025年'!F36</f>
        <v>6.9300979800000011</v>
      </c>
      <c r="G36" s="98">
        <f>'2025年'!G36</f>
        <v>7.9510840800000011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36.596699999999998</v>
      </c>
      <c r="D37" s="98">
        <f>'2025年'!D37</f>
        <v>24.109200000000001</v>
      </c>
      <c r="E37" s="98">
        <f>'2025年'!E37</f>
        <v>17.173777833847211</v>
      </c>
      <c r="F37" s="98">
        <f>'2025年'!F37</f>
        <v>6.2539908600000018</v>
      </c>
      <c r="G37" s="98">
        <f>'2025年'!G37</f>
        <v>7.1753685600000008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52.752000000000002</v>
      </c>
      <c r="D38" s="98">
        <f>'2025年'!D38</f>
        <v>34.752000000000002</v>
      </c>
      <c r="E38" s="98">
        <f>'2025年'!E38</f>
        <v>24.754995075815803</v>
      </c>
      <c r="F38" s="98">
        <f>'2025年'!F38</f>
        <v>9.0147616000000017</v>
      </c>
      <c r="G38" s="98">
        <f>'2025年'!G38</f>
        <v>10.342873600000001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1195.6055280000007</v>
      </c>
      <c r="D40" s="100">
        <f>D34-D36-D37-D38</f>
        <v>492.67202352866713</v>
      </c>
      <c r="E40" s="100">
        <f t="shared" ref="E40:G40" si="24">E34-E36-E37-E38</f>
        <v>447.13924815447047</v>
      </c>
      <c r="F40" s="100">
        <f t="shared" si="24"/>
        <v>129.90432755999993</v>
      </c>
      <c r="G40" s="100">
        <f t="shared" si="24"/>
        <v>142.89396175999991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120.67020000000001</v>
      </c>
      <c r="D43" s="98">
        <f>'2025年'!D43</f>
        <v>79.495199999999997</v>
      </c>
      <c r="E43" s="98">
        <f>'2025年'!E43</f>
        <v>56.627051235928647</v>
      </c>
      <c r="F43" s="98">
        <f>'2025年'!F43</f>
        <v>20.621267160000006</v>
      </c>
      <c r="G43" s="98">
        <f>'2025年'!G43</f>
        <v>23.659323360000002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27.694799999999997</v>
      </c>
      <c r="D44" s="98">
        <f>'2025年'!D44</f>
        <v>18.244799999999998</v>
      </c>
      <c r="E44" s="98">
        <f>'2025年'!E44</f>
        <v>12.996372414803295</v>
      </c>
      <c r="F44" s="98">
        <f>'2025年'!F44</f>
        <v>4.7327498400000003</v>
      </c>
      <c r="G44" s="98">
        <f>'2025年'!G44</f>
        <v>5.4300086400000005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106.49310000000001</v>
      </c>
      <c r="D45" s="98">
        <f>'2025年'!D45</f>
        <v>70.155600000000007</v>
      </c>
      <c r="E45" s="98">
        <f>'2025年'!E45</f>
        <v>49.974146309303151</v>
      </c>
      <c r="F45" s="98">
        <f>'2025年'!F45</f>
        <v>18.198549980000006</v>
      </c>
      <c r="G45" s="98">
        <f>'2025年'!G45</f>
        <v>20.879676080000003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0.25531914893617019</v>
      </c>
      <c r="D46" s="106">
        <f>D21/D6</f>
        <v>0.25531914893617019</v>
      </c>
      <c r="E46" s="106">
        <f t="shared" ref="E46:G46" si="25">E21/E6</f>
        <v>0.25531914893617019</v>
      </c>
      <c r="F46" s="106">
        <f t="shared" si="25"/>
        <v>0.25531914893617019</v>
      </c>
      <c r="G46" s="106">
        <f t="shared" si="25"/>
        <v>0.25531914893617019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117.04349999999999</v>
      </c>
      <c r="D47" s="98">
        <f>'2025年'!D47</f>
        <v>77.105999999999995</v>
      </c>
      <c r="E47" s="98">
        <f>'2025年'!E47</f>
        <v>54.925145324466307</v>
      </c>
      <c r="F47" s="98">
        <f>'2025年'!F47</f>
        <v>20.001502300000002</v>
      </c>
      <c r="G47" s="98">
        <f>'2025年'!G47</f>
        <v>22.9482508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823.44860885106448</v>
      </c>
      <c r="D48" s="100">
        <f>D40-D43-D44-D45-D47-D46</f>
        <v>247.41510437973096</v>
      </c>
      <c r="E48" s="100">
        <f t="shared" ref="E48:G48" si="26">E40-E43-E44-E45-E47-E46</f>
        <v>272.36121372103287</v>
      </c>
      <c r="F48" s="100">
        <f t="shared" si="26"/>
        <v>66.094939131063754</v>
      </c>
      <c r="G48" s="100">
        <f t="shared" si="26"/>
        <v>69.721383731063739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3" width="15.375" style="85" customWidth="1"/>
    <col min="4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265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驾驶员总成</v>
      </c>
      <c r="F3" s="87" t="str">
        <f>'2025年'!F3</f>
        <v>前座总成</v>
      </c>
      <c r="G3" s="87" t="str">
        <f>'2025年'!G3</f>
        <v>前座总成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6800010-J70-C00</v>
      </c>
      <c r="D4" s="87" t="str">
        <f>'2025年'!D4</f>
        <v>6800010AJ70-C00</v>
      </c>
      <c r="E4" s="87" t="str">
        <f>'2025年'!E4</f>
        <v>6800010BJ70-C00</v>
      </c>
      <c r="F4" s="87" t="str">
        <f>'2025年'!F4</f>
        <v>6900010-J70-C00</v>
      </c>
      <c r="G4" s="87" t="str">
        <f>'2025年'!G4</f>
        <v>6900010AJ70-C00</v>
      </c>
      <c r="H4" s="208"/>
    </row>
    <row r="5" spans="1:36" ht="42.75">
      <c r="A5" s="206" t="s">
        <v>145</v>
      </c>
      <c r="B5" s="206"/>
      <c r="C5" s="88" t="str">
        <f>'2025年'!C5</f>
        <v>可变阻尼、座盆延伸、通风加热、按摩、杯架</v>
      </c>
      <c r="D5" s="88" t="str">
        <f>'2025年'!D5</f>
        <v>可变阻尼、座盆延伸、通风加热、杯架</v>
      </c>
      <c r="E5" s="88" t="str">
        <f>'2025年'!E5</f>
        <v>可变阻尼、座盆延伸、通风、杯架</v>
      </c>
      <c r="F5" s="88" t="str">
        <f>'2025年'!F5</f>
        <v>翻折副驾</v>
      </c>
      <c r="G5" s="88" t="str">
        <f>'2025年'!G5</f>
        <v>滑轨副驾</v>
      </c>
      <c r="H5" s="209"/>
      <c r="AJ5" s="82" t="s">
        <v>52</v>
      </c>
    </row>
    <row r="6" spans="1:36">
      <c r="A6" s="89" t="s">
        <v>18</v>
      </c>
      <c r="B6" s="90" t="s">
        <v>146</v>
      </c>
      <c r="C6" s="91">
        <f>销量!C11</f>
        <v>100</v>
      </c>
      <c r="D6" s="91">
        <f>销量!D11</f>
        <v>4000</v>
      </c>
      <c r="E6" s="91">
        <f>销量!E11</f>
        <v>3000</v>
      </c>
      <c r="F6" s="91">
        <f>销量!F11</f>
        <v>4000</v>
      </c>
      <c r="G6" s="91">
        <f>销量!G11</f>
        <v>3000</v>
      </c>
      <c r="H6" s="92">
        <f>+SUM(C6:G6)</f>
        <v>14100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329700</v>
      </c>
      <c r="D7" s="92">
        <f>D6*销量!D8</f>
        <v>8688000</v>
      </c>
      <c r="E7" s="92">
        <f>E6*销量!E8</f>
        <v>6213000</v>
      </c>
      <c r="F7" s="92">
        <f>F6*销量!F8</f>
        <v>2880920</v>
      </c>
      <c r="G7" s="92">
        <f>G6*销量!G8</f>
        <v>2460000</v>
      </c>
      <c r="H7" s="92">
        <f t="shared" ref="H7:H13" si="0">+SUM(C7:G7)</f>
        <v>20571620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C7*(1-销量!$K$8)</f>
        <v>19485.269999999979</v>
      </c>
      <c r="D8" s="92">
        <f>D7*(1-销量!$K$8)</f>
        <v>513460.79999999941</v>
      </c>
      <c r="E8" s="92">
        <f>E7*(1-销量!$K$8)</f>
        <v>367188.29999999958</v>
      </c>
      <c r="F8" s="92">
        <f>F7*(1-销量!$K$8)</f>
        <v>170262.3719999998</v>
      </c>
      <c r="G8" s="92">
        <f>G7*(1-销量!$K$8)</f>
        <v>145385.99999999983</v>
      </c>
      <c r="H8" s="92">
        <f t="shared" si="0"/>
        <v>1215782.7419999985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310214.73000000004</v>
      </c>
      <c r="D9" s="92">
        <f>+D7-D8</f>
        <v>8174539.2000000002</v>
      </c>
      <c r="E9" s="92">
        <f t="shared" ref="E9:G9" si="1">+E7-E8</f>
        <v>5845811.7000000002</v>
      </c>
      <c r="F9" s="92">
        <f t="shared" si="1"/>
        <v>2710657.628</v>
      </c>
      <c r="G9" s="92">
        <f t="shared" si="1"/>
        <v>2314614</v>
      </c>
      <c r="H9" s="92">
        <f t="shared" si="0"/>
        <v>19355837.257999998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187258.26719999994</v>
      </c>
      <c r="D10" s="92">
        <f>D6*D33</f>
        <v>6114364.7058853321</v>
      </c>
      <c r="E10" s="92">
        <f t="shared" ref="E10:G10" si="2">E6*E33</f>
        <v>4502314.7294139992</v>
      </c>
      <c r="F10" s="92">
        <f t="shared" si="2"/>
        <v>2186079.6880000001</v>
      </c>
      <c r="G10" s="92">
        <f t="shared" si="2"/>
        <v>1881110.1360000002</v>
      </c>
      <c r="H10" s="92">
        <f t="shared" si="0"/>
        <v>14871127.526499331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4055.31</v>
      </c>
      <c r="D11" s="92">
        <f>+D6*D36</f>
        <v>106862.40000000001</v>
      </c>
      <c r="E11" s="92">
        <f t="shared" ref="E11:G11" si="3">+E6*E36</f>
        <v>57091.207393600198</v>
      </c>
      <c r="F11" s="92">
        <f t="shared" si="3"/>
        <v>27720.391920000005</v>
      </c>
      <c r="G11" s="92">
        <f t="shared" si="3"/>
        <v>23853.252240000002</v>
      </c>
      <c r="H11" s="92">
        <f t="shared" si="0"/>
        <v>219582.56155360022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3659.67</v>
      </c>
      <c r="D12" s="92">
        <f>+D6*D37</f>
        <v>96436.800000000003</v>
      </c>
      <c r="E12" s="92">
        <f t="shared" ref="E12:G12" si="4">+E6*E37</f>
        <v>51521.333501541631</v>
      </c>
      <c r="F12" s="92">
        <f t="shared" si="4"/>
        <v>25015.963440000007</v>
      </c>
      <c r="G12" s="92">
        <f t="shared" si="4"/>
        <v>21526.105680000001</v>
      </c>
      <c r="H12" s="92">
        <f t="shared" si="0"/>
        <v>198159.87262154164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5275.2</v>
      </c>
      <c r="D13" s="92">
        <f>+D6*D38</f>
        <v>139008</v>
      </c>
      <c r="E13" s="92">
        <f t="shared" ref="E13:G13" si="5">+E6*E38</f>
        <v>74264.985227447411</v>
      </c>
      <c r="F13" s="92">
        <f t="shared" si="5"/>
        <v>36059.046400000007</v>
      </c>
      <c r="G13" s="92">
        <f t="shared" si="5"/>
        <v>31028.620800000001</v>
      </c>
      <c r="H13" s="92">
        <f t="shared" si="0"/>
        <v>285635.85242744739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12990.18</v>
      </c>
      <c r="D14" s="92">
        <f>SUM(D11:D13)</f>
        <v>342307.2</v>
      </c>
      <c r="E14" s="92">
        <f t="shared" ref="E14:H14" si="6">SUM(E11:E13)</f>
        <v>182877.52612258925</v>
      </c>
      <c r="F14" s="92">
        <f t="shared" si="6"/>
        <v>88795.401760000022</v>
      </c>
      <c r="G14" s="92">
        <f t="shared" si="6"/>
        <v>76407.978719999999</v>
      </c>
      <c r="H14" s="92">
        <f t="shared" si="6"/>
        <v>703378.2866025893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109966.2828000001</v>
      </c>
      <c r="D15" s="92">
        <f>+D9-D10-D14</f>
        <v>1717867.2941146682</v>
      </c>
      <c r="E15" s="92">
        <f t="shared" ref="E15:H15" si="7">+E9-E10-E14</f>
        <v>1160619.4444634118</v>
      </c>
      <c r="F15" s="92">
        <f t="shared" si="7"/>
        <v>435782.53823999991</v>
      </c>
      <c r="G15" s="92">
        <f t="shared" si="7"/>
        <v>357095.88527999981</v>
      </c>
      <c r="H15" s="92">
        <f t="shared" si="7"/>
        <v>3781331.4448980773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0.35448440117592123</v>
      </c>
      <c r="D16" s="95">
        <f>+D15/D9</f>
        <v>0.21014851749865829</v>
      </c>
      <c r="E16" s="95">
        <f t="shared" ref="E16:G16" si="8">+E15/E9</f>
        <v>0.19853862971046635</v>
      </c>
      <c r="F16" s="95">
        <f t="shared" si="8"/>
        <v>0.16076635195036881</v>
      </c>
      <c r="G16" s="95">
        <f t="shared" si="8"/>
        <v>0.15427880643597586</v>
      </c>
      <c r="H16" s="95">
        <f>+H15/H9</f>
        <v>0.19535871243881264</v>
      </c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12686.87815602837</v>
      </c>
      <c r="D17" s="92">
        <f>D6*D43+D18</f>
        <v>342775.12624113471</v>
      </c>
      <c r="E17" s="92">
        <f t="shared" ref="E17:G17" si="9">E6*E43+E18</f>
        <v>188476.898388637</v>
      </c>
      <c r="F17" s="92">
        <f t="shared" si="9"/>
        <v>107279.39488113478</v>
      </c>
      <c r="G17" s="92">
        <f t="shared" si="9"/>
        <v>89573.714760851057</v>
      </c>
      <c r="H17" s="92">
        <f>+SUM(C17:G17)</f>
        <v>740792.0124277859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619.85815602836874</v>
      </c>
      <c r="D18" s="98">
        <f>$H$18/$H$6*D6</f>
        <v>24794.32624113475</v>
      </c>
      <c r="E18" s="98">
        <f t="shared" ref="E18:G18" si="10">$H$18/$H$6*E6</f>
        <v>18595.744680851065</v>
      </c>
      <c r="F18" s="98">
        <f t="shared" si="10"/>
        <v>24794.32624113475</v>
      </c>
      <c r="G18" s="98">
        <f t="shared" si="10"/>
        <v>18595.744680851065</v>
      </c>
      <c r="H18" s="92">
        <f>项目投资!F26</f>
        <v>87400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2769.4799999999996</v>
      </c>
      <c r="D19" s="92">
        <f>D6*D44</f>
        <v>72979.199999999997</v>
      </c>
      <c r="E19" s="92">
        <f t="shared" ref="E19:G19" si="11">E6*E44</f>
        <v>38989.117244409885</v>
      </c>
      <c r="F19" s="92">
        <f t="shared" si="11"/>
        <v>18930.999360000002</v>
      </c>
      <c r="G19" s="92">
        <f t="shared" si="11"/>
        <v>16290.025920000002</v>
      </c>
      <c r="H19" s="92">
        <f>+SUM(C19:G19)</f>
        <v>149958.82252440989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10649.310000000001</v>
      </c>
      <c r="D20" s="92">
        <f>D6*D45</f>
        <v>280622.40000000002</v>
      </c>
      <c r="E20" s="92">
        <f t="shared" ref="E20:G20" si="12">E6*E45</f>
        <v>149922.43892790945</v>
      </c>
      <c r="F20" s="92">
        <f t="shared" si="12"/>
        <v>72794.199920000028</v>
      </c>
      <c r="G20" s="92">
        <f t="shared" si="12"/>
        <v>62639.028240000007</v>
      </c>
      <c r="H20" s="92">
        <f>+SUM(C20:G20)</f>
        <v>576627.3770879095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25.531914893617021</v>
      </c>
      <c r="D21" s="100">
        <f>$H$21/$H$6*D6</f>
        <v>1021.2765957446808</v>
      </c>
      <c r="E21" s="100">
        <f t="shared" ref="E21:G21" si="13">$H$21/$H$6*E6</f>
        <v>765.95744680851055</v>
      </c>
      <c r="F21" s="100">
        <f t="shared" si="13"/>
        <v>1021.2765957446808</v>
      </c>
      <c r="G21" s="100">
        <f t="shared" si="13"/>
        <v>765.95744680851055</v>
      </c>
      <c r="H21" s="92">
        <f>项目投资!F27</f>
        <v>3600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11704.349999999999</v>
      </c>
      <c r="D22" s="92">
        <f>D6*D47</f>
        <v>308424</v>
      </c>
      <c r="E22" s="92">
        <f t="shared" ref="E22:G22" si="14">E6*E47</f>
        <v>164775.43597339891</v>
      </c>
      <c r="F22" s="92">
        <f t="shared" si="14"/>
        <v>80006.009200000015</v>
      </c>
      <c r="G22" s="92">
        <f t="shared" si="14"/>
        <v>68844.752399999998</v>
      </c>
      <c r="H22" s="92">
        <f t="shared" ref="H22:H23" si="15">+SUM(C22:G22)</f>
        <v>633754.54757339892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37835.550070921985</v>
      </c>
      <c r="D23" s="100">
        <f>+D22+D21+D20+D19+D17</f>
        <v>1005822.0028368793</v>
      </c>
      <c r="E23" s="100">
        <f t="shared" ref="E23:G23" si="16">+E22+E21+E20+E19+E17</f>
        <v>542929.84798116377</v>
      </c>
      <c r="F23" s="100">
        <f t="shared" si="16"/>
        <v>280031.87995687954</v>
      </c>
      <c r="G23" s="100">
        <f t="shared" si="16"/>
        <v>238113.47876765957</v>
      </c>
      <c r="H23" s="92">
        <f t="shared" si="15"/>
        <v>2104732.7596135042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72130.732729078125</v>
      </c>
      <c r="D24" s="100">
        <f>+D15-D23</f>
        <v>712045.29127778881</v>
      </c>
      <c r="E24" s="100">
        <f t="shared" ref="E24:G24" si="17">+E15-E23</f>
        <v>617689.59648224805</v>
      </c>
      <c r="F24" s="100">
        <f t="shared" si="17"/>
        <v>155750.65828312037</v>
      </c>
      <c r="G24" s="100">
        <f t="shared" si="17"/>
        <v>118982.40651234024</v>
      </c>
      <c r="H24" s="100">
        <f>+H15-H23</f>
        <v>1676598.6852845731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10819.609909361718</v>
      </c>
      <c r="D25" s="100">
        <f t="shared" ref="D25:H25" si="18">IF(D24&lt;0,0,D24*0.15)</f>
        <v>106806.79369166832</v>
      </c>
      <c r="E25" s="100">
        <f t="shared" ref="E25:G25" si="19">IF(E24&lt;0,0,E24*0.15)</f>
        <v>92653.43947233721</v>
      </c>
      <c r="F25" s="100">
        <f t="shared" si="19"/>
        <v>23362.598742468053</v>
      </c>
      <c r="G25" s="100">
        <f t="shared" si="19"/>
        <v>17847.360976851036</v>
      </c>
      <c r="H25" s="100">
        <f t="shared" si="18"/>
        <v>251489.80279268595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61311.122819716409</v>
      </c>
      <c r="D26" s="100">
        <f>D24-D25</f>
        <v>605238.4975861205</v>
      </c>
      <c r="E26" s="100">
        <f t="shared" ref="E26:H26" si="20">E24-E25</f>
        <v>525036.15700991079</v>
      </c>
      <c r="F26" s="100">
        <f t="shared" si="20"/>
        <v>132388.05954065232</v>
      </c>
      <c r="G26" s="100">
        <f t="shared" si="20"/>
        <v>101135.0455354892</v>
      </c>
      <c r="H26" s="100">
        <f t="shared" si="20"/>
        <v>1425108.8824918871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0.1859603361228887</v>
      </c>
      <c r="D27" s="103">
        <f>D26/D7</f>
        <v>6.9663731305953103E-2</v>
      </c>
      <c r="E27" s="103">
        <f t="shared" ref="E27:G27" si="21">E26/E7</f>
        <v>8.4506061002721844E-2</v>
      </c>
      <c r="F27" s="103">
        <f t="shared" si="21"/>
        <v>4.5953396672122906E-2</v>
      </c>
      <c r="G27" s="103">
        <f t="shared" si="21"/>
        <v>4.1111807128247642E-2</v>
      </c>
      <c r="H27" s="103">
        <f>H26/H7</f>
        <v>6.9275481585401977E-2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3297</v>
      </c>
      <c r="D31" s="104">
        <f>销量!D8</f>
        <v>2172</v>
      </c>
      <c r="E31" s="104">
        <f>销量!E8</f>
        <v>2071</v>
      </c>
      <c r="F31" s="104">
        <f>销量!F8</f>
        <v>720.23</v>
      </c>
      <c r="G31" s="104">
        <f>销量!G8</f>
        <v>820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3102.1473000000005</v>
      </c>
      <c r="D32" s="92">
        <f t="shared" ref="D32:G32" si="22">D9/D6</f>
        <v>2043.6348</v>
      </c>
      <c r="E32" s="92">
        <f t="shared" si="22"/>
        <v>1948.6039000000001</v>
      </c>
      <c r="F32" s="92">
        <f t="shared" si="22"/>
        <v>677.66440699999998</v>
      </c>
      <c r="G32" s="92">
        <f t="shared" si="22"/>
        <v>771.53800000000001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材料成本!D25</f>
        <v>1872.5826719999993</v>
      </c>
      <c r="D33" s="92">
        <f>材料成本!E25</f>
        <v>1528.591176471333</v>
      </c>
      <c r="E33" s="92">
        <f>材料成本!F25</f>
        <v>1500.771576471333</v>
      </c>
      <c r="F33" s="92">
        <f>材料成本!G25</f>
        <v>546.51992200000007</v>
      </c>
      <c r="G33" s="92">
        <f>材料成本!H25</f>
        <v>627.03671200000008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1229.5646280000012</v>
      </c>
      <c r="D34" s="105">
        <f>D32-D33</f>
        <v>515.04362352866701</v>
      </c>
      <c r="E34" s="105">
        <f t="shared" ref="E34:G34" si="23">E32-E33</f>
        <v>447.83232352866708</v>
      </c>
      <c r="F34" s="105">
        <f t="shared" si="23"/>
        <v>131.14448499999992</v>
      </c>
      <c r="G34" s="105">
        <f t="shared" si="23"/>
        <v>144.50128799999993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40.553100000000001</v>
      </c>
      <c r="D36" s="98">
        <f>'2025年'!D36</f>
        <v>26.715600000000002</v>
      </c>
      <c r="E36" s="98">
        <f>'2025年'!E36</f>
        <v>19.030402464533399</v>
      </c>
      <c r="F36" s="98">
        <f>'2025年'!F36</f>
        <v>6.9300979800000011</v>
      </c>
      <c r="G36" s="98">
        <f>'2025年'!G36</f>
        <v>7.9510840800000011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36.596699999999998</v>
      </c>
      <c r="D37" s="98">
        <f>'2025年'!D37</f>
        <v>24.109200000000001</v>
      </c>
      <c r="E37" s="98">
        <f>'2025年'!E37</f>
        <v>17.173777833847211</v>
      </c>
      <c r="F37" s="98">
        <f>'2025年'!F37</f>
        <v>6.2539908600000018</v>
      </c>
      <c r="G37" s="98">
        <f>'2025年'!G37</f>
        <v>7.1753685600000008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52.752000000000002</v>
      </c>
      <c r="D38" s="98">
        <f>'2025年'!D38</f>
        <v>34.752000000000002</v>
      </c>
      <c r="E38" s="98">
        <f>'2025年'!E38</f>
        <v>24.754995075815803</v>
      </c>
      <c r="F38" s="98">
        <f>'2025年'!F38</f>
        <v>9.0147616000000017</v>
      </c>
      <c r="G38" s="98">
        <f>'2025年'!G38</f>
        <v>10.342873600000001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1099.6628280000011</v>
      </c>
      <c r="D40" s="100">
        <f>D34-D36-D37-D38</f>
        <v>429.46682352866702</v>
      </c>
      <c r="E40" s="100">
        <f t="shared" ref="E40:G40" si="24">E34-E36-E37-E38</f>
        <v>386.87314815447064</v>
      </c>
      <c r="F40" s="100">
        <f t="shared" si="24"/>
        <v>108.94563455999992</v>
      </c>
      <c r="G40" s="100">
        <f t="shared" si="24"/>
        <v>119.03196175999993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120.67020000000001</v>
      </c>
      <c r="D43" s="98">
        <f>'2025年'!D43</f>
        <v>79.495199999999997</v>
      </c>
      <c r="E43" s="98">
        <f>'2025年'!E43</f>
        <v>56.627051235928647</v>
      </c>
      <c r="F43" s="98">
        <f>'2025年'!F43</f>
        <v>20.621267160000006</v>
      </c>
      <c r="G43" s="98">
        <f>'2025年'!G43</f>
        <v>23.659323360000002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27.694799999999997</v>
      </c>
      <c r="D44" s="98">
        <f>'2025年'!D44</f>
        <v>18.244799999999998</v>
      </c>
      <c r="E44" s="98">
        <f>'2025年'!E44</f>
        <v>12.996372414803295</v>
      </c>
      <c r="F44" s="98">
        <f>'2025年'!F44</f>
        <v>4.7327498400000003</v>
      </c>
      <c r="G44" s="98">
        <f>'2025年'!G44</f>
        <v>5.4300086400000005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106.49310000000001</v>
      </c>
      <c r="D45" s="98">
        <f>'2025年'!D45</f>
        <v>70.155600000000007</v>
      </c>
      <c r="E45" s="98">
        <f>'2025年'!E45</f>
        <v>49.974146309303151</v>
      </c>
      <c r="F45" s="98">
        <f>'2025年'!F45</f>
        <v>18.198549980000006</v>
      </c>
      <c r="G45" s="98">
        <f>'2025年'!G45</f>
        <v>20.879676080000003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0.25531914893617019</v>
      </c>
      <c r="D46" s="106">
        <f>D21/D6</f>
        <v>0.25531914893617019</v>
      </c>
      <c r="E46" s="106">
        <f t="shared" ref="E46:G46" si="25">E21/E6</f>
        <v>0.25531914893617019</v>
      </c>
      <c r="F46" s="106">
        <f t="shared" si="25"/>
        <v>0.25531914893617019</v>
      </c>
      <c r="G46" s="106">
        <f t="shared" si="25"/>
        <v>0.25531914893617019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117.04349999999999</v>
      </c>
      <c r="D47" s="98">
        <f>'2025年'!D47</f>
        <v>77.105999999999995</v>
      </c>
      <c r="E47" s="98">
        <f>'2025年'!E47</f>
        <v>54.925145324466307</v>
      </c>
      <c r="F47" s="98">
        <f>'2025年'!F47</f>
        <v>20.001502300000002</v>
      </c>
      <c r="G47" s="98">
        <f>'2025年'!G47</f>
        <v>22.9482508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727.50590885106487</v>
      </c>
      <c r="D48" s="100">
        <f>D40-D43-D44-D45-D47-D46</f>
        <v>184.20990437973086</v>
      </c>
      <c r="E48" s="100">
        <f t="shared" ref="E48:G48" si="26">E40-E43-E44-E45-E47-E46</f>
        <v>212.09511372103304</v>
      </c>
      <c r="F48" s="100">
        <f t="shared" si="26"/>
        <v>45.136246131063736</v>
      </c>
      <c r="G48" s="100">
        <f t="shared" si="26"/>
        <v>45.859383731063765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264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驾驶员总成</v>
      </c>
      <c r="F3" s="87" t="str">
        <f>'2025年'!F3</f>
        <v>前座总成</v>
      </c>
      <c r="G3" s="87" t="str">
        <f>'2025年'!G3</f>
        <v>前座总成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6800010-J70-C00</v>
      </c>
      <c r="D4" s="87" t="str">
        <f>'2025年'!D4</f>
        <v>6800010AJ70-C00</v>
      </c>
      <c r="E4" s="87" t="str">
        <f>'2025年'!E4</f>
        <v>6800010BJ70-C00</v>
      </c>
      <c r="F4" s="87" t="str">
        <f>'2025年'!F4</f>
        <v>6900010-J70-C00</v>
      </c>
      <c r="G4" s="87" t="str">
        <f>'2025年'!G4</f>
        <v>6900010AJ70-C00</v>
      </c>
      <c r="H4" s="208"/>
    </row>
    <row r="5" spans="1:36" ht="42.75">
      <c r="A5" s="206" t="s">
        <v>145</v>
      </c>
      <c r="B5" s="206"/>
      <c r="C5" s="88" t="str">
        <f>'2025年'!C5</f>
        <v>可变阻尼、座盆延伸、通风加热、按摩、杯架</v>
      </c>
      <c r="D5" s="88" t="str">
        <f>'2025年'!D5</f>
        <v>可变阻尼、座盆延伸、通风加热、杯架</v>
      </c>
      <c r="E5" s="88" t="str">
        <f>'2025年'!E5</f>
        <v>可变阻尼、座盆延伸、通风、杯架</v>
      </c>
      <c r="F5" s="88" t="str">
        <f>'2025年'!F5</f>
        <v>翻折副驾</v>
      </c>
      <c r="G5" s="88" t="str">
        <f>'2025年'!G5</f>
        <v>滑轨副驾</v>
      </c>
      <c r="H5" s="209"/>
      <c r="AJ5" s="82" t="s">
        <v>52</v>
      </c>
    </row>
    <row r="6" spans="1:36" ht="17.25">
      <c r="A6" s="89" t="s">
        <v>18</v>
      </c>
      <c r="B6" s="90" t="s">
        <v>146</v>
      </c>
      <c r="C6" s="109">
        <f>销量!C12</f>
        <v>100</v>
      </c>
      <c r="D6" s="109">
        <f>销量!D12</f>
        <v>4000</v>
      </c>
      <c r="E6" s="109">
        <f>销量!E12</f>
        <v>3000</v>
      </c>
      <c r="F6" s="109">
        <f>销量!F12</f>
        <v>4000</v>
      </c>
      <c r="G6" s="109">
        <f>销量!G12</f>
        <v>3000</v>
      </c>
      <c r="H6" s="92">
        <f>+SUM(C6:G6)</f>
        <v>14100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329700</v>
      </c>
      <c r="D7" s="92">
        <f>D6*销量!D8</f>
        <v>8688000</v>
      </c>
      <c r="E7" s="92">
        <f>E6*销量!E8</f>
        <v>6213000</v>
      </c>
      <c r="F7" s="92">
        <f>F6*销量!F8</f>
        <v>2880920</v>
      </c>
      <c r="G7" s="92">
        <f>G6*销量!G8</f>
        <v>2460000</v>
      </c>
      <c r="H7" s="92">
        <f t="shared" ref="H7:H13" si="0">+SUM(C7:G7)</f>
        <v>20571620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C7*(1-销量!$K$9)</f>
        <v>28791.711899999977</v>
      </c>
      <c r="D8" s="92">
        <f>D7*(1-销量!$K$9)</f>
        <v>758696.97599999944</v>
      </c>
      <c r="E8" s="92">
        <f>E7*(1-销量!$K$9)</f>
        <v>542562.65099999961</v>
      </c>
      <c r="F8" s="92">
        <f>F7*(1-销量!$K$9)</f>
        <v>251582.1008399998</v>
      </c>
      <c r="G8" s="92">
        <f>G7*(1-销量!$K$9)</f>
        <v>214824.41999999984</v>
      </c>
      <c r="H8" s="92">
        <f t="shared" si="0"/>
        <v>1796457.8597399986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300908.28810000001</v>
      </c>
      <c r="D9" s="92">
        <f>+D7-D8</f>
        <v>7929303.0240000002</v>
      </c>
      <c r="E9" s="92">
        <f t="shared" ref="E9:H9" si="1">+E7-E8</f>
        <v>5670437.3490000004</v>
      </c>
      <c r="F9" s="92">
        <f t="shared" si="1"/>
        <v>2629337.89916</v>
      </c>
      <c r="G9" s="92">
        <f t="shared" si="1"/>
        <v>2245175.58</v>
      </c>
      <c r="H9" s="92">
        <f t="shared" si="1"/>
        <v>18775162.14026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181640.51918399995</v>
      </c>
      <c r="D10" s="92">
        <f>D6*D33</f>
        <v>5930933.7647087723</v>
      </c>
      <c r="E10" s="92">
        <f t="shared" ref="E10:G10" si="2">E6*E33</f>
        <v>4367245.2875315789</v>
      </c>
      <c r="F10" s="92">
        <f t="shared" si="2"/>
        <v>2120497.2973600002</v>
      </c>
      <c r="G10" s="92">
        <f t="shared" si="2"/>
        <v>1824676.83192</v>
      </c>
      <c r="H10" s="92">
        <f t="shared" si="0"/>
        <v>14424993.700704349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4055.31</v>
      </c>
      <c r="D11" s="92">
        <f>+D6*D36</f>
        <v>106862.40000000001</v>
      </c>
      <c r="E11" s="92">
        <f t="shared" ref="E11:G11" si="3">+E6*E36</f>
        <v>57091.207393600198</v>
      </c>
      <c r="F11" s="92">
        <f t="shared" si="3"/>
        <v>27720.391920000005</v>
      </c>
      <c r="G11" s="92">
        <f t="shared" si="3"/>
        <v>23853.252240000002</v>
      </c>
      <c r="H11" s="92">
        <f t="shared" si="0"/>
        <v>219582.56155360022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3659.67</v>
      </c>
      <c r="D12" s="92">
        <f>+D6*D37</f>
        <v>96436.800000000003</v>
      </c>
      <c r="E12" s="92">
        <f t="shared" ref="E12:G12" si="4">+E6*E37</f>
        <v>51521.333501541631</v>
      </c>
      <c r="F12" s="92">
        <f t="shared" si="4"/>
        <v>25015.963440000007</v>
      </c>
      <c r="G12" s="92">
        <f t="shared" si="4"/>
        <v>21526.105680000001</v>
      </c>
      <c r="H12" s="92">
        <f t="shared" si="0"/>
        <v>198159.87262154164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5275.2</v>
      </c>
      <c r="D13" s="92">
        <f>+D6*D38</f>
        <v>139008</v>
      </c>
      <c r="E13" s="92">
        <f t="shared" ref="E13:G13" si="5">+E6*E38</f>
        <v>74264.985227447411</v>
      </c>
      <c r="F13" s="92">
        <f t="shared" si="5"/>
        <v>36059.046400000007</v>
      </c>
      <c r="G13" s="92">
        <f t="shared" si="5"/>
        <v>31028.620800000001</v>
      </c>
      <c r="H13" s="92">
        <f t="shared" si="0"/>
        <v>285635.85242744739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12990.18</v>
      </c>
      <c r="D14" s="92">
        <f>SUM(D11:D13)</f>
        <v>342307.2</v>
      </c>
      <c r="E14" s="92">
        <f t="shared" ref="E14:H14" si="6">SUM(E11:E13)</f>
        <v>182877.52612258925</v>
      </c>
      <c r="F14" s="92">
        <f t="shared" si="6"/>
        <v>88795.401760000022</v>
      </c>
      <c r="G14" s="92">
        <f t="shared" si="6"/>
        <v>76407.978719999999</v>
      </c>
      <c r="H14" s="92">
        <f t="shared" si="6"/>
        <v>703378.2866025893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106277.58891600007</v>
      </c>
      <c r="D15" s="92">
        <f>+D9-D10-D14</f>
        <v>1656062.059291228</v>
      </c>
      <c r="E15" s="92">
        <f t="shared" ref="E15:H15" si="7">+E9-E10-E14</f>
        <v>1120314.5353458324</v>
      </c>
      <c r="F15" s="92">
        <f t="shared" si="7"/>
        <v>420045.20003999979</v>
      </c>
      <c r="G15" s="92">
        <f t="shared" si="7"/>
        <v>344090.76936000003</v>
      </c>
      <c r="H15" s="92">
        <f t="shared" si="7"/>
        <v>3646790.1529530613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0.35318930424635275</v>
      </c>
      <c r="D16" s="95">
        <f>+D15/D9</f>
        <v>0.20885342056908984</v>
      </c>
      <c r="E16" s="95">
        <f t="shared" ref="E16:G16" si="8">+E15/E9</f>
        <v>0.19757109838157427</v>
      </c>
      <c r="F16" s="95">
        <f t="shared" si="8"/>
        <v>0.15975322159019292</v>
      </c>
      <c r="G16" s="95">
        <f t="shared" si="8"/>
        <v>0.15325784425287578</v>
      </c>
      <c r="H16" s="95">
        <f>+H15/H9</f>
        <v>0.19423481542847332</v>
      </c>
      <c r="I16" s="96"/>
      <c r="J16" s="96"/>
      <c r="K16" s="96"/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12686.87815602837</v>
      </c>
      <c r="D17" s="92">
        <f>D6*D43+D18</f>
        <v>342775.12624113471</v>
      </c>
      <c r="E17" s="92">
        <f t="shared" ref="E17:G17" si="9">E6*E43+E18</f>
        <v>188476.898388637</v>
      </c>
      <c r="F17" s="92">
        <f t="shared" si="9"/>
        <v>107279.39488113478</v>
      </c>
      <c r="G17" s="92">
        <f t="shared" si="9"/>
        <v>89573.714760851057</v>
      </c>
      <c r="H17" s="92">
        <f>+SUM(C17:G17)</f>
        <v>740792.0124277859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619.85815602836874</v>
      </c>
      <c r="D18" s="98">
        <f>$H$18/$H$6*D6</f>
        <v>24794.32624113475</v>
      </c>
      <c r="E18" s="98">
        <f t="shared" ref="E18:G18" si="10">$H$18/$H$6*E6</f>
        <v>18595.744680851065</v>
      </c>
      <c r="F18" s="98">
        <f t="shared" si="10"/>
        <v>24794.32624113475</v>
      </c>
      <c r="G18" s="98">
        <f t="shared" si="10"/>
        <v>18595.744680851065</v>
      </c>
      <c r="H18" s="92">
        <f>项目投资!G26</f>
        <v>87400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2769.4799999999996</v>
      </c>
      <c r="D19" s="92">
        <f>D6*D44</f>
        <v>72979.199999999997</v>
      </c>
      <c r="E19" s="92">
        <f t="shared" ref="E19:G19" si="11">E6*E44</f>
        <v>38989.117244409885</v>
      </c>
      <c r="F19" s="92">
        <f t="shared" si="11"/>
        <v>18930.999360000002</v>
      </c>
      <c r="G19" s="92">
        <f t="shared" si="11"/>
        <v>16290.025920000002</v>
      </c>
      <c r="H19" s="92">
        <f t="shared" ref="H19:H20" si="12">+SUM(C19:G19)</f>
        <v>149958.82252440989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10649.310000000001</v>
      </c>
      <c r="D20" s="92">
        <f>D6*D45</f>
        <v>280622.40000000002</v>
      </c>
      <c r="E20" s="92">
        <f t="shared" ref="E20:G20" si="13">E6*E45</f>
        <v>149922.43892790945</v>
      </c>
      <c r="F20" s="92">
        <f t="shared" si="13"/>
        <v>72794.199920000028</v>
      </c>
      <c r="G20" s="92">
        <f t="shared" si="13"/>
        <v>62639.028240000007</v>
      </c>
      <c r="H20" s="92">
        <f t="shared" si="12"/>
        <v>576627.3770879095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25.531914893617021</v>
      </c>
      <c r="D21" s="100">
        <f>$H$21/$H$6*D6</f>
        <v>1021.2765957446808</v>
      </c>
      <c r="E21" s="100">
        <f t="shared" ref="E21:G21" si="14">$H$21/$H$6*E6</f>
        <v>765.95744680851055</v>
      </c>
      <c r="F21" s="100">
        <f t="shared" si="14"/>
        <v>1021.2765957446808</v>
      </c>
      <c r="G21" s="100">
        <f t="shared" si="14"/>
        <v>765.95744680851055</v>
      </c>
      <c r="H21" s="92">
        <f>项目投资!G27</f>
        <v>3600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11704.349999999999</v>
      </c>
      <c r="D22" s="92">
        <f>D6*D47</f>
        <v>308424</v>
      </c>
      <c r="E22" s="92">
        <f t="shared" ref="E22:G22" si="15">E6*E47</f>
        <v>164775.43597339891</v>
      </c>
      <c r="F22" s="92">
        <f t="shared" si="15"/>
        <v>80006.009200000015</v>
      </c>
      <c r="G22" s="92">
        <f t="shared" si="15"/>
        <v>68844.752399999998</v>
      </c>
      <c r="H22" s="92">
        <f>+SUM(C22:G22)</f>
        <v>633754.54757339892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37835.550070921985</v>
      </c>
      <c r="D23" s="100">
        <f>+D22+D21+D20+D19+D17</f>
        <v>1005822.0028368793</v>
      </c>
      <c r="E23" s="100">
        <f t="shared" ref="E23:G23" si="16">+E22+E21+E20+E19+E17</f>
        <v>542929.84798116377</v>
      </c>
      <c r="F23" s="100">
        <f t="shared" si="16"/>
        <v>280031.87995687954</v>
      </c>
      <c r="G23" s="100">
        <f t="shared" si="16"/>
        <v>238113.47876765957</v>
      </c>
      <c r="H23" s="100">
        <f>+H22+H21+H20+H19+H17</f>
        <v>2104732.7596135046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68442.038845078088</v>
      </c>
      <c r="D24" s="100">
        <f>+D15-D23</f>
        <v>650240.05645434861</v>
      </c>
      <c r="E24" s="100">
        <f t="shared" ref="E24:G24" si="17">+E15-E23</f>
        <v>577384.68736466859</v>
      </c>
      <c r="F24" s="100">
        <f t="shared" si="17"/>
        <v>140013.32008312026</v>
      </c>
      <c r="G24" s="100">
        <f t="shared" si="17"/>
        <v>105977.29059234046</v>
      </c>
      <c r="H24" s="100">
        <f>+H15-H23</f>
        <v>1542057.3933395566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10266.305826761713</v>
      </c>
      <c r="D25" s="100">
        <f t="shared" ref="D25:H25" si="18">IF(D24&lt;0,0,D24*0.15)</f>
        <v>97536.008468152286</v>
      </c>
      <c r="E25" s="100">
        <f t="shared" ref="E25:G25" si="19">IF(E24&lt;0,0,E24*0.15)</f>
        <v>86607.703104700282</v>
      </c>
      <c r="F25" s="100">
        <f t="shared" si="19"/>
        <v>21001.998012468037</v>
      </c>
      <c r="G25" s="100">
        <f t="shared" si="19"/>
        <v>15896.593588851068</v>
      </c>
      <c r="H25" s="100">
        <f t="shared" si="18"/>
        <v>231308.6090009335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58175.733018316372</v>
      </c>
      <c r="D26" s="100">
        <f>D24-D25</f>
        <v>552704.04798619635</v>
      </c>
      <c r="E26" s="100">
        <f t="shared" ref="E26:H26" si="20">E24-E25</f>
        <v>490776.98425996827</v>
      </c>
      <c r="F26" s="100">
        <f t="shared" si="20"/>
        <v>119011.32207065221</v>
      </c>
      <c r="G26" s="100">
        <f t="shared" si="20"/>
        <v>90080.697003489389</v>
      </c>
      <c r="H26" s="100">
        <f t="shared" si="20"/>
        <v>1310748.7843386231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0.1764505096096948</v>
      </c>
      <c r="D27" s="103">
        <f>D26/D7</f>
        <v>6.3616948433033657E-2</v>
      </c>
      <c r="E27" s="103">
        <f t="shared" ref="E27:G27" si="21">E26/E7</f>
        <v>7.8991949824556304E-2</v>
      </c>
      <c r="F27" s="103">
        <f t="shared" si="21"/>
        <v>4.1310179411664399E-2</v>
      </c>
      <c r="G27" s="103">
        <f t="shared" si="21"/>
        <v>3.6618169513613574E-2</v>
      </c>
      <c r="H27" s="103">
        <f>H26/H7</f>
        <v>6.3716361878093361E-2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3297</v>
      </c>
      <c r="D31" s="104">
        <f>销量!D8</f>
        <v>2172</v>
      </c>
      <c r="E31" s="104">
        <f>销量!E8</f>
        <v>2071</v>
      </c>
      <c r="F31" s="104">
        <f>销量!F8</f>
        <v>720.23</v>
      </c>
      <c r="G31" s="104">
        <f>销量!G8</f>
        <v>820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3009.0828810000003</v>
      </c>
      <c r="D32" s="92">
        <f t="shared" ref="D32:G32" si="22">D9/D6</f>
        <v>1982.325756</v>
      </c>
      <c r="E32" s="92">
        <f t="shared" si="22"/>
        <v>1890.1457830000002</v>
      </c>
      <c r="F32" s="92">
        <f t="shared" si="22"/>
        <v>657.33447479000006</v>
      </c>
      <c r="G32" s="92">
        <f t="shared" si="22"/>
        <v>748.39186000000007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材料成本!D26</f>
        <v>1816.4051918399994</v>
      </c>
      <c r="D33" s="92">
        <f>材料成本!E26</f>
        <v>1482.7334411771931</v>
      </c>
      <c r="E33" s="92">
        <f>材料成本!F26</f>
        <v>1455.748429177193</v>
      </c>
      <c r="F33" s="92">
        <f>材料成本!G26</f>
        <v>530.12432434000004</v>
      </c>
      <c r="G33" s="92">
        <f>材料成本!H26</f>
        <v>608.22561064000001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1192.6776891600009</v>
      </c>
      <c r="D34" s="105">
        <f>D32-D33</f>
        <v>499.59231482280688</v>
      </c>
      <c r="E34" s="105">
        <f t="shared" ref="E34:G34" si="23">E32-E33</f>
        <v>434.39735382280719</v>
      </c>
      <c r="F34" s="105">
        <f t="shared" si="23"/>
        <v>127.21015045000001</v>
      </c>
      <c r="G34" s="105">
        <f t="shared" si="23"/>
        <v>140.16624936000005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40.553100000000001</v>
      </c>
      <c r="D36" s="98">
        <f>'2025年'!D36</f>
        <v>26.715600000000002</v>
      </c>
      <c r="E36" s="98">
        <f>'2025年'!E36</f>
        <v>19.030402464533399</v>
      </c>
      <c r="F36" s="98">
        <f>'2025年'!F36</f>
        <v>6.9300979800000011</v>
      </c>
      <c r="G36" s="98">
        <f>'2025年'!G36</f>
        <v>7.9510840800000011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36.596699999999998</v>
      </c>
      <c r="D37" s="98">
        <f>'2025年'!D37</f>
        <v>24.109200000000001</v>
      </c>
      <c r="E37" s="98">
        <f>'2025年'!E37</f>
        <v>17.173777833847211</v>
      </c>
      <c r="F37" s="98">
        <f>'2025年'!F37</f>
        <v>6.2539908600000018</v>
      </c>
      <c r="G37" s="98">
        <f>'2025年'!G37</f>
        <v>7.1753685600000008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52.752000000000002</v>
      </c>
      <c r="D38" s="98">
        <f>'2025年'!D38</f>
        <v>34.752000000000002</v>
      </c>
      <c r="E38" s="98">
        <f>'2025年'!E38</f>
        <v>24.754995075815803</v>
      </c>
      <c r="F38" s="98">
        <f>'2025年'!F38</f>
        <v>9.0147616000000017</v>
      </c>
      <c r="G38" s="98">
        <f>'2025年'!G38</f>
        <v>10.342873600000001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1062.7758891600008</v>
      </c>
      <c r="D40" s="100">
        <f>D34-D36-D37-D38</f>
        <v>414.01551482280689</v>
      </c>
      <c r="E40" s="100">
        <f t="shared" ref="E40:G40" si="24">E34-E36-E37-E38</f>
        <v>373.43817844861076</v>
      </c>
      <c r="F40" s="100">
        <f t="shared" si="24"/>
        <v>105.01130001000001</v>
      </c>
      <c r="G40" s="100">
        <f t="shared" si="24"/>
        <v>114.69692312000006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120.67020000000001</v>
      </c>
      <c r="D43" s="98">
        <f>'2025年'!D43</f>
        <v>79.495199999999997</v>
      </c>
      <c r="E43" s="98">
        <f>'2025年'!E43</f>
        <v>56.627051235928647</v>
      </c>
      <c r="F43" s="98">
        <f>'2025年'!F43</f>
        <v>20.621267160000006</v>
      </c>
      <c r="G43" s="98">
        <f>'2025年'!G43</f>
        <v>23.659323360000002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27.694799999999997</v>
      </c>
      <c r="D44" s="98">
        <f>'2025年'!D44</f>
        <v>18.244799999999998</v>
      </c>
      <c r="E44" s="98">
        <f>'2025年'!E44</f>
        <v>12.996372414803295</v>
      </c>
      <c r="F44" s="98">
        <f>'2025年'!F44</f>
        <v>4.7327498400000003</v>
      </c>
      <c r="G44" s="98">
        <f>'2025年'!G44</f>
        <v>5.4300086400000005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106.49310000000001</v>
      </c>
      <c r="D45" s="98">
        <f>'2025年'!D45</f>
        <v>70.155600000000007</v>
      </c>
      <c r="E45" s="98">
        <f>'2025年'!E45</f>
        <v>49.974146309303151</v>
      </c>
      <c r="F45" s="98">
        <f>'2025年'!F45</f>
        <v>18.198549980000006</v>
      </c>
      <c r="G45" s="98">
        <f>'2025年'!G45</f>
        <v>20.879676080000003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0.25531914893617019</v>
      </c>
      <c r="D46" s="106">
        <f>D21/D6</f>
        <v>0.25531914893617019</v>
      </c>
      <c r="E46" s="106">
        <f t="shared" ref="E46:G46" si="25">E21/E6</f>
        <v>0.25531914893617019</v>
      </c>
      <c r="F46" s="106">
        <f t="shared" si="25"/>
        <v>0.25531914893617019</v>
      </c>
      <c r="G46" s="106">
        <f t="shared" si="25"/>
        <v>0.25531914893617019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117.04349999999999</v>
      </c>
      <c r="D47" s="98">
        <f>'2025年'!D47</f>
        <v>77.105999999999995</v>
      </c>
      <c r="E47" s="98">
        <f>'2025年'!E47</f>
        <v>54.925145324466307</v>
      </c>
      <c r="F47" s="98">
        <f>'2025年'!F47</f>
        <v>20.001502300000002</v>
      </c>
      <c r="G47" s="98">
        <f>'2025年'!G47</f>
        <v>22.9482508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690.61897001106456</v>
      </c>
      <c r="D48" s="100">
        <f>D40-D43-D44-D45-D47-D46</f>
        <v>168.75859567387073</v>
      </c>
      <c r="E48" s="100">
        <f t="shared" ref="E48:G48" si="26">E40-E43-E44-E45-E47-E46</f>
        <v>198.66014401517316</v>
      </c>
      <c r="F48" s="100">
        <f t="shared" si="26"/>
        <v>41.201911581063833</v>
      </c>
      <c r="G48" s="100">
        <f t="shared" si="26"/>
        <v>41.524345091063886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G21" sqref="G21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263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驾驶员总成</v>
      </c>
      <c r="F3" s="87" t="str">
        <f>'2025年'!F3</f>
        <v>前座总成</v>
      </c>
      <c r="G3" s="87" t="str">
        <f>'2025年'!G3</f>
        <v>前座总成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6800010-J70-C00</v>
      </c>
      <c r="D4" s="87" t="str">
        <f>'2025年'!D4</f>
        <v>6800010AJ70-C00</v>
      </c>
      <c r="E4" s="87" t="str">
        <f>'2025年'!E4</f>
        <v>6800010BJ70-C00</v>
      </c>
      <c r="F4" s="87" t="str">
        <f>'2025年'!F4</f>
        <v>6900010-J70-C00</v>
      </c>
      <c r="G4" s="87" t="str">
        <f>'2025年'!G4</f>
        <v>6900010AJ70-C00</v>
      </c>
      <c r="H4" s="208"/>
    </row>
    <row r="5" spans="1:36" ht="42.75">
      <c r="A5" s="206" t="s">
        <v>145</v>
      </c>
      <c r="B5" s="206"/>
      <c r="C5" s="88" t="str">
        <f>'2025年'!C5</f>
        <v>可变阻尼、座盆延伸、通风加热、按摩、杯架</v>
      </c>
      <c r="D5" s="88" t="str">
        <f>'2025年'!D5</f>
        <v>可变阻尼、座盆延伸、通风加热、杯架</v>
      </c>
      <c r="E5" s="88" t="str">
        <f>'2025年'!E5</f>
        <v>可变阻尼、座盆延伸、通风、杯架</v>
      </c>
      <c r="F5" s="88" t="str">
        <f>'2025年'!F5</f>
        <v>翻折副驾</v>
      </c>
      <c r="G5" s="88" t="str">
        <f>'2025年'!G5</f>
        <v>滑轨副驾</v>
      </c>
      <c r="H5" s="209"/>
      <c r="AJ5" s="82" t="s">
        <v>52</v>
      </c>
    </row>
    <row r="6" spans="1:36">
      <c r="A6" s="89" t="s">
        <v>18</v>
      </c>
      <c r="B6" s="90" t="s">
        <v>146</v>
      </c>
      <c r="C6" s="91">
        <f>销量!C13</f>
        <v>100</v>
      </c>
      <c r="D6" s="91">
        <f>销量!D13</f>
        <v>4000</v>
      </c>
      <c r="E6" s="91">
        <f>销量!E13</f>
        <v>3000</v>
      </c>
      <c r="F6" s="91">
        <f>销量!F13</f>
        <v>4000</v>
      </c>
      <c r="G6" s="91">
        <f>销量!G13</f>
        <v>3000</v>
      </c>
      <c r="H6" s="92">
        <f>+SUM(C6:G6)</f>
        <v>14100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329700</v>
      </c>
      <c r="D7" s="92">
        <f>D6*销量!D8</f>
        <v>8688000</v>
      </c>
      <c r="E7" s="92">
        <f>E6*销量!E8</f>
        <v>6213000</v>
      </c>
      <c r="F7" s="92">
        <f>F6*销量!F8</f>
        <v>2880920</v>
      </c>
      <c r="G7" s="92">
        <f>G6*销量!G8</f>
        <v>2460000</v>
      </c>
      <c r="H7" s="92">
        <f t="shared" ref="H7:H13" si="0">+SUM(C7:G7)</f>
        <v>20571620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C7*(1-销量!$K$10)</f>
        <v>37818.960543000023</v>
      </c>
      <c r="D8" s="92">
        <f>D7*(1-销量!$K$10)</f>
        <v>996576.06672000058</v>
      </c>
      <c r="E8" s="92">
        <f>E7*(1-销量!$K$10)</f>
        <v>712675.77147000039</v>
      </c>
      <c r="F8" s="92">
        <f>F7*(1-销量!$K$10)</f>
        <v>330462.23781480017</v>
      </c>
      <c r="G8" s="92">
        <f>G7*(1-销量!$K$10)</f>
        <v>282179.68740000017</v>
      </c>
      <c r="H8" s="92">
        <f t="shared" si="0"/>
        <v>2359712.7239478016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291881.03945699998</v>
      </c>
      <c r="D9" s="92">
        <f>+D7-D8</f>
        <v>7691423.9332799995</v>
      </c>
      <c r="E9" s="92">
        <f t="shared" ref="E9:H9" si="1">+E7-E8</f>
        <v>5500324.22853</v>
      </c>
      <c r="F9" s="92">
        <f t="shared" si="1"/>
        <v>2550457.7621851997</v>
      </c>
      <c r="G9" s="92">
        <f t="shared" si="1"/>
        <v>2177820.3125999998</v>
      </c>
      <c r="H9" s="92">
        <f t="shared" si="1"/>
        <v>18211907.276052199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181640.51918399995</v>
      </c>
      <c r="D10" s="92">
        <f>D6*D33</f>
        <v>5930933.7647087723</v>
      </c>
      <c r="E10" s="92">
        <f t="shared" ref="E10:G10" si="2">E6*E33</f>
        <v>4367245.2875315789</v>
      </c>
      <c r="F10" s="92">
        <f t="shared" si="2"/>
        <v>2120497.2973600002</v>
      </c>
      <c r="G10" s="92">
        <f t="shared" si="2"/>
        <v>1824676.83192</v>
      </c>
      <c r="H10" s="92">
        <f t="shared" si="0"/>
        <v>14424993.700704349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4055.31</v>
      </c>
      <c r="D11" s="92">
        <f>+D6*D36</f>
        <v>106862.40000000001</v>
      </c>
      <c r="E11" s="92">
        <f t="shared" ref="E11:G11" si="3">+E6*E36</f>
        <v>57091.207393600198</v>
      </c>
      <c r="F11" s="92">
        <f t="shared" si="3"/>
        <v>27720.391920000005</v>
      </c>
      <c r="G11" s="92">
        <f t="shared" si="3"/>
        <v>23853.252240000002</v>
      </c>
      <c r="H11" s="92">
        <f t="shared" si="0"/>
        <v>219582.56155360022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3659.67</v>
      </c>
      <c r="D12" s="92">
        <f>+D6*D37</f>
        <v>96436.800000000003</v>
      </c>
      <c r="E12" s="92">
        <f t="shared" ref="E12:G12" si="4">+E6*E37</f>
        <v>51521.333501541631</v>
      </c>
      <c r="F12" s="92">
        <f t="shared" si="4"/>
        <v>25015.963440000007</v>
      </c>
      <c r="G12" s="92">
        <f t="shared" si="4"/>
        <v>21526.105680000001</v>
      </c>
      <c r="H12" s="92">
        <f t="shared" si="0"/>
        <v>198159.87262154164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5275.2</v>
      </c>
      <c r="D13" s="92">
        <f>+D6*D38</f>
        <v>139008</v>
      </c>
      <c r="E13" s="92">
        <f t="shared" ref="E13:G13" si="5">+E6*E38</f>
        <v>74264.985227447411</v>
      </c>
      <c r="F13" s="92">
        <f t="shared" si="5"/>
        <v>36059.046400000007</v>
      </c>
      <c r="G13" s="92">
        <f t="shared" si="5"/>
        <v>31028.620800000001</v>
      </c>
      <c r="H13" s="92">
        <f t="shared" si="0"/>
        <v>285635.85242744739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12990.18</v>
      </c>
      <c r="D14" s="92">
        <f>SUM(D11:D13)</f>
        <v>342307.2</v>
      </c>
      <c r="E14" s="92">
        <f t="shared" ref="E14:H14" si="6">SUM(E11:E13)</f>
        <v>182877.52612258925</v>
      </c>
      <c r="F14" s="92">
        <f t="shared" si="6"/>
        <v>88795.401760000022</v>
      </c>
      <c r="G14" s="92">
        <f t="shared" si="6"/>
        <v>76407.978719999999</v>
      </c>
      <c r="H14" s="92">
        <f t="shared" si="6"/>
        <v>703378.2866025893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97250.340273000038</v>
      </c>
      <c r="D15" s="92">
        <f>+D9-D10-D14</f>
        <v>1418182.9685712273</v>
      </c>
      <c r="E15" s="92">
        <f t="shared" ref="E15:H15" si="7">+E9-E10-E14</f>
        <v>950201.4148758318</v>
      </c>
      <c r="F15" s="92">
        <f t="shared" si="7"/>
        <v>341165.06306519941</v>
      </c>
      <c r="G15" s="92">
        <f t="shared" si="7"/>
        <v>276735.50195999979</v>
      </c>
      <c r="H15" s="92">
        <f t="shared" si="7"/>
        <v>3083535.2887452608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0.33318484973850793</v>
      </c>
      <c r="D16" s="95">
        <f>+D15/D9</f>
        <v>0.18438496965885545</v>
      </c>
      <c r="E16" s="95">
        <f t="shared" ref="E16:G16" si="8">+E15/E9</f>
        <v>0.17275370967172599</v>
      </c>
      <c r="F16" s="95">
        <f t="shared" si="8"/>
        <v>0.13376620782494103</v>
      </c>
      <c r="G16" s="95">
        <f t="shared" si="8"/>
        <v>0.12706994252873782</v>
      </c>
      <c r="H16" s="95">
        <f>+H15/H9</f>
        <v>0.1693142427097663</v>
      </c>
      <c r="I16" s="96"/>
      <c r="J16" s="96"/>
      <c r="K16" s="96"/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12686.87815602837</v>
      </c>
      <c r="D17" s="92">
        <f>D6*D43+D18</f>
        <v>342775.12624113471</v>
      </c>
      <c r="E17" s="92">
        <f t="shared" ref="E17:G17" si="9">E6*E43+E18</f>
        <v>188476.898388637</v>
      </c>
      <c r="F17" s="92">
        <f t="shared" si="9"/>
        <v>107279.39488113478</v>
      </c>
      <c r="G17" s="92">
        <f t="shared" si="9"/>
        <v>89573.714760851057</v>
      </c>
      <c r="H17" s="92">
        <f t="shared" ref="H17" si="10">+SUM(C17:G17)</f>
        <v>740792.0124277859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619.85815602836874</v>
      </c>
      <c r="D18" s="98">
        <f>$H$18/$H$6*D6</f>
        <v>24794.32624113475</v>
      </c>
      <c r="E18" s="98">
        <f t="shared" ref="E18:G18" si="11">$H$18/$H$6*E6</f>
        <v>18595.744680851065</v>
      </c>
      <c r="F18" s="98">
        <f t="shared" si="11"/>
        <v>24794.32624113475</v>
      </c>
      <c r="G18" s="98">
        <f t="shared" si="11"/>
        <v>18595.744680851065</v>
      </c>
      <c r="H18" s="92">
        <f>项目投资!H26</f>
        <v>87400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2769.4799999999996</v>
      </c>
      <c r="D19" s="92">
        <f>D6*D44</f>
        <v>72979.199999999997</v>
      </c>
      <c r="E19" s="92">
        <f t="shared" ref="E19:G19" si="12">E6*E44</f>
        <v>38989.117244409885</v>
      </c>
      <c r="F19" s="92">
        <f t="shared" si="12"/>
        <v>18930.999360000002</v>
      </c>
      <c r="G19" s="92">
        <f t="shared" si="12"/>
        <v>16290.025920000002</v>
      </c>
      <c r="H19" s="92">
        <f t="shared" ref="H19:H20" si="13">+SUM(C19:G19)</f>
        <v>149958.82252440989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10649.310000000001</v>
      </c>
      <c r="D20" s="92">
        <f>D6*D45</f>
        <v>280622.40000000002</v>
      </c>
      <c r="E20" s="92">
        <f t="shared" ref="E20:G20" si="14">E6*E45</f>
        <v>149922.43892790945</v>
      </c>
      <c r="F20" s="92">
        <f t="shared" si="14"/>
        <v>72794.199920000028</v>
      </c>
      <c r="G20" s="92">
        <f t="shared" si="14"/>
        <v>62639.028240000007</v>
      </c>
      <c r="H20" s="92">
        <f t="shared" si="13"/>
        <v>576627.3770879095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25.531914893617021</v>
      </c>
      <c r="D21" s="100">
        <f>$H$21/$H$6*D6</f>
        <v>1021.2765957446808</v>
      </c>
      <c r="E21" s="100">
        <f t="shared" ref="E21:G21" si="15">$H$21/$H$6*E6</f>
        <v>765.95744680851055</v>
      </c>
      <c r="F21" s="100">
        <f t="shared" si="15"/>
        <v>1021.2765957446808</v>
      </c>
      <c r="G21" s="100">
        <f t="shared" si="15"/>
        <v>765.95744680851055</v>
      </c>
      <c r="H21" s="92">
        <f>项目投资!H27</f>
        <v>3600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11704.349999999999</v>
      </c>
      <c r="D22" s="92">
        <f>D6*D47</f>
        <v>308424</v>
      </c>
      <c r="E22" s="92">
        <f t="shared" ref="E22:G22" si="16">E6*E47</f>
        <v>164775.43597339891</v>
      </c>
      <c r="F22" s="92">
        <f t="shared" si="16"/>
        <v>80006.009200000015</v>
      </c>
      <c r="G22" s="92">
        <f t="shared" si="16"/>
        <v>68844.752399999998</v>
      </c>
      <c r="H22" s="92">
        <f t="shared" ref="H22" si="17">+SUM(C22:G22)</f>
        <v>633754.54757339892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37835.550070921985</v>
      </c>
      <c r="D23" s="100">
        <f>+D22+D21+D20+D19+D17</f>
        <v>1005822.0028368793</v>
      </c>
      <c r="E23" s="100">
        <f t="shared" ref="E23:G23" si="18">+E22+E21+E20+E19+E17</f>
        <v>542929.84798116377</v>
      </c>
      <c r="F23" s="100">
        <f t="shared" si="18"/>
        <v>280031.87995687954</v>
      </c>
      <c r="G23" s="100">
        <f t="shared" si="18"/>
        <v>238113.47876765957</v>
      </c>
      <c r="H23" s="100">
        <f>+H22+H21+H20+H19+H17</f>
        <v>2104732.7596135046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59414.790202078053</v>
      </c>
      <c r="D24" s="100">
        <f>+D15-D23</f>
        <v>412360.96573434793</v>
      </c>
      <c r="E24" s="100">
        <f t="shared" ref="E24:G24" si="19">+E15-E23</f>
        <v>407271.56689466804</v>
      </c>
      <c r="F24" s="100">
        <f t="shared" si="19"/>
        <v>61133.183108319878</v>
      </c>
      <c r="G24" s="100">
        <f t="shared" si="19"/>
        <v>38622.023192340217</v>
      </c>
      <c r="H24" s="100">
        <f>+H15-H23</f>
        <v>978802.52913175616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8912.2185303117076</v>
      </c>
      <c r="D25" s="100">
        <f t="shared" ref="D25:H25" si="20">IF(D24&lt;0,0,D24*0.15)</f>
        <v>61854.144860152184</v>
      </c>
      <c r="E25" s="100">
        <f t="shared" ref="E25:G25" si="21">IF(E24&lt;0,0,E24*0.15)</f>
        <v>61090.735034200203</v>
      </c>
      <c r="F25" s="100">
        <f t="shared" si="21"/>
        <v>9169.9774662479813</v>
      </c>
      <c r="G25" s="100">
        <f t="shared" si="21"/>
        <v>5793.3034788510322</v>
      </c>
      <c r="H25" s="100">
        <f t="shared" si="20"/>
        <v>146820.37936976342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50502.571671766345</v>
      </c>
      <c r="D26" s="100">
        <f>D24-D25</f>
        <v>350506.82087419578</v>
      </c>
      <c r="E26" s="100">
        <f t="shared" ref="E26:H26" si="22">E24-E25</f>
        <v>346180.83186046785</v>
      </c>
      <c r="F26" s="100">
        <f t="shared" si="22"/>
        <v>51963.205642071895</v>
      </c>
      <c r="G26" s="100">
        <f t="shared" si="22"/>
        <v>32828.719713489183</v>
      </c>
      <c r="H26" s="100">
        <f t="shared" si="22"/>
        <v>831982.14976199274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0.15317734810969472</v>
      </c>
      <c r="D27" s="103">
        <f>D26/D7</f>
        <v>4.0343786933033587E-2</v>
      </c>
      <c r="E27" s="103">
        <f t="shared" ref="E27:G27" si="23">E26/E7</f>
        <v>5.5718788324556227E-2</v>
      </c>
      <c r="F27" s="103">
        <f t="shared" si="23"/>
        <v>1.8037017911664292E-2</v>
      </c>
      <c r="G27" s="103">
        <f t="shared" si="23"/>
        <v>1.3345008013613489E-2</v>
      </c>
      <c r="H27" s="103">
        <f>H26/H7</f>
        <v>4.0443200378093354E-2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 ht="21" customHeight="1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3297</v>
      </c>
      <c r="D31" s="104">
        <f>销量!D8</f>
        <v>2172</v>
      </c>
      <c r="E31" s="104">
        <f>销量!E8</f>
        <v>2071</v>
      </c>
      <c r="F31" s="104">
        <f>销量!F8</f>
        <v>720.23</v>
      </c>
      <c r="G31" s="104">
        <f>销量!G8</f>
        <v>820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2918.81039457</v>
      </c>
      <c r="D32" s="92">
        <f t="shared" ref="D32:G32" si="24">D9/D6</f>
        <v>1922.85598332</v>
      </c>
      <c r="E32" s="92">
        <f t="shared" si="24"/>
        <v>1833.4414095100001</v>
      </c>
      <c r="F32" s="92">
        <f t="shared" si="24"/>
        <v>637.61444054629987</v>
      </c>
      <c r="G32" s="92">
        <f t="shared" si="24"/>
        <v>725.94010419999995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材料成本!D26</f>
        <v>1816.4051918399994</v>
      </c>
      <c r="D33" s="92">
        <f>材料成本!E26</f>
        <v>1482.7334411771931</v>
      </c>
      <c r="E33" s="92">
        <f>材料成本!F26</f>
        <v>1455.748429177193</v>
      </c>
      <c r="F33" s="92">
        <f>材料成本!G26</f>
        <v>530.12432434000004</v>
      </c>
      <c r="G33" s="92">
        <f>材料成本!H26</f>
        <v>608.22561064000001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1102.4052027300006</v>
      </c>
      <c r="D34" s="105">
        <f>D32-D33</f>
        <v>440.12254214280688</v>
      </c>
      <c r="E34" s="105">
        <f t="shared" ref="E34:G34" si="25">E32-E33</f>
        <v>377.69298033280711</v>
      </c>
      <c r="F34" s="105">
        <f t="shared" si="25"/>
        <v>107.49011620629983</v>
      </c>
      <c r="G34" s="105">
        <f t="shared" si="25"/>
        <v>117.71449355999994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40.553100000000001</v>
      </c>
      <c r="D36" s="98">
        <f>'2025年'!D36</f>
        <v>26.715600000000002</v>
      </c>
      <c r="E36" s="98">
        <f>'2025年'!E36</f>
        <v>19.030402464533399</v>
      </c>
      <c r="F36" s="98">
        <f>'2025年'!F36</f>
        <v>6.9300979800000011</v>
      </c>
      <c r="G36" s="98">
        <f>'2025年'!G36</f>
        <v>7.9510840800000011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36.596699999999998</v>
      </c>
      <c r="D37" s="98">
        <f>'2025年'!D37</f>
        <v>24.109200000000001</v>
      </c>
      <c r="E37" s="98">
        <f>'2025年'!E37</f>
        <v>17.173777833847211</v>
      </c>
      <c r="F37" s="98">
        <f>'2025年'!F37</f>
        <v>6.2539908600000018</v>
      </c>
      <c r="G37" s="98">
        <f>'2025年'!G37</f>
        <v>7.1753685600000008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52.752000000000002</v>
      </c>
      <c r="D38" s="98">
        <f>'2025年'!D38</f>
        <v>34.752000000000002</v>
      </c>
      <c r="E38" s="98">
        <f>'2025年'!E38</f>
        <v>24.754995075815803</v>
      </c>
      <c r="F38" s="98">
        <f>'2025年'!F38</f>
        <v>9.0147616000000017</v>
      </c>
      <c r="G38" s="98">
        <f>'2025年'!G38</f>
        <v>10.342873600000001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972.50340273000052</v>
      </c>
      <c r="D40" s="100">
        <f>D34-D36-D37-D38</f>
        <v>354.54574214280689</v>
      </c>
      <c r="E40" s="100">
        <f t="shared" ref="E40:G40" si="26">E34-E36-E37-E38</f>
        <v>316.73380495861068</v>
      </c>
      <c r="F40" s="100">
        <f t="shared" si="26"/>
        <v>85.29126576629983</v>
      </c>
      <c r="G40" s="100">
        <f t="shared" si="26"/>
        <v>92.245167319999936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120.67020000000001</v>
      </c>
      <c r="D43" s="98">
        <f>'2025年'!D43</f>
        <v>79.495199999999997</v>
      </c>
      <c r="E43" s="98">
        <f>'2025年'!E43</f>
        <v>56.627051235928647</v>
      </c>
      <c r="F43" s="98">
        <f>'2025年'!F43</f>
        <v>20.621267160000006</v>
      </c>
      <c r="G43" s="98">
        <f>'2025年'!G43</f>
        <v>23.659323360000002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27.694799999999997</v>
      </c>
      <c r="D44" s="98">
        <f>'2025年'!D44</f>
        <v>18.244799999999998</v>
      </c>
      <c r="E44" s="98">
        <f>'2025年'!E44</f>
        <v>12.996372414803295</v>
      </c>
      <c r="F44" s="98">
        <f>'2025年'!F44</f>
        <v>4.7327498400000003</v>
      </c>
      <c r="G44" s="98">
        <f>'2025年'!G44</f>
        <v>5.4300086400000005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106.49310000000001</v>
      </c>
      <c r="D45" s="98">
        <f>'2025年'!D45</f>
        <v>70.155600000000007</v>
      </c>
      <c r="E45" s="98">
        <f>'2025年'!E45</f>
        <v>49.974146309303151</v>
      </c>
      <c r="F45" s="98">
        <f>'2025年'!F45</f>
        <v>18.198549980000006</v>
      </c>
      <c r="G45" s="98">
        <f>'2025年'!G45</f>
        <v>20.879676080000003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0.25531914893617019</v>
      </c>
      <c r="D46" s="106">
        <f>D21/D6</f>
        <v>0.25531914893617019</v>
      </c>
      <c r="E46" s="106">
        <f t="shared" ref="E46:G46" si="27">E21/E6</f>
        <v>0.25531914893617019</v>
      </c>
      <c r="F46" s="106">
        <f t="shared" si="27"/>
        <v>0.25531914893617019</v>
      </c>
      <c r="G46" s="106">
        <f t="shared" si="27"/>
        <v>0.25531914893617019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117.04349999999999</v>
      </c>
      <c r="D47" s="98">
        <f>'2025年'!D47</f>
        <v>77.105999999999995</v>
      </c>
      <c r="E47" s="98">
        <f>'2025年'!E47</f>
        <v>54.925145324466307</v>
      </c>
      <c r="F47" s="98">
        <f>'2025年'!F47</f>
        <v>20.001502300000002</v>
      </c>
      <c r="G47" s="98">
        <f>'2025年'!G47</f>
        <v>22.9482508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600.34648358106426</v>
      </c>
      <c r="D48" s="100">
        <f>D40-D43-D44-D45-D47-D46</f>
        <v>109.28882299387072</v>
      </c>
      <c r="E48" s="100">
        <f t="shared" ref="E48:G48" si="28">E40-E43-E44-E45-E47-E46</f>
        <v>141.95577052517308</v>
      </c>
      <c r="F48" s="100">
        <f t="shared" si="28"/>
        <v>21.481877337363649</v>
      </c>
      <c r="G48" s="100">
        <f t="shared" si="28"/>
        <v>19.072589291063764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32" sqref="F32"/>
    </sheetView>
  </sheetViews>
  <sheetFormatPr defaultColWidth="9" defaultRowHeight="13.5"/>
  <cols>
    <col min="1" max="1" width="19.5" customWidth="1"/>
    <col min="2" max="2" width="14.875" style="55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14" t="s">
        <v>151</v>
      </c>
      <c r="B1" s="214"/>
      <c r="C1" s="214"/>
      <c r="E1" s="215" t="s">
        <v>260</v>
      </c>
      <c r="F1" s="216"/>
      <c r="G1" s="216"/>
      <c r="H1" s="217"/>
    </row>
    <row r="2" spans="1:10" ht="23.45" customHeight="1">
      <c r="A2" s="56" t="s">
        <v>1</v>
      </c>
      <c r="B2" s="57" t="s">
        <v>152</v>
      </c>
      <c r="C2" s="58" t="s">
        <v>153</v>
      </c>
      <c r="E2" s="59" t="s">
        <v>154</v>
      </c>
      <c r="F2" s="59" t="s">
        <v>1</v>
      </c>
      <c r="G2" s="60" t="s">
        <v>155</v>
      </c>
      <c r="H2" s="59" t="s">
        <v>153</v>
      </c>
    </row>
    <row r="3" spans="1:10" ht="15.75" customHeight="1">
      <c r="A3" s="61" t="s">
        <v>156</v>
      </c>
      <c r="B3" s="62"/>
      <c r="C3" s="63"/>
      <c r="E3" s="222" t="s">
        <v>157</v>
      </c>
      <c r="F3" s="64" t="s">
        <v>158</v>
      </c>
      <c r="G3" s="65"/>
      <c r="H3" s="64"/>
    </row>
    <row r="4" spans="1:10" ht="15.75" customHeight="1">
      <c r="A4" s="61" t="s">
        <v>159</v>
      </c>
      <c r="B4" s="62"/>
      <c r="C4" s="66"/>
      <c r="E4" s="223"/>
      <c r="F4" s="64" t="s">
        <v>160</v>
      </c>
      <c r="G4" s="65"/>
      <c r="H4" s="64"/>
    </row>
    <row r="5" spans="1:10" ht="15.75" customHeight="1">
      <c r="A5" s="61" t="s">
        <v>161</v>
      </c>
      <c r="B5" s="67">
        <f>SUM(G3:G4)</f>
        <v>0</v>
      </c>
      <c r="C5" s="63"/>
      <c r="E5" s="224" t="s">
        <v>162</v>
      </c>
      <c r="F5" s="68" t="s">
        <v>163</v>
      </c>
      <c r="G5" s="65">
        <v>30</v>
      </c>
      <c r="H5" s="68"/>
    </row>
    <row r="6" spans="1:10" ht="15.75" customHeight="1">
      <c r="A6" s="61" t="s">
        <v>164</v>
      </c>
      <c r="B6" s="62"/>
      <c r="C6" s="63"/>
      <c r="E6" s="225"/>
      <c r="F6" s="68" t="s">
        <v>165</v>
      </c>
      <c r="G6" s="65">
        <v>9</v>
      </c>
      <c r="H6" s="185"/>
      <c r="J6">
        <v>10000</v>
      </c>
    </row>
    <row r="7" spans="1:10" ht="15.75" customHeight="1">
      <c r="A7" s="69" t="s">
        <v>166</v>
      </c>
      <c r="B7" s="67">
        <f>SUM(B3:B6)</f>
        <v>0</v>
      </c>
      <c r="C7" s="63"/>
      <c r="E7" s="225"/>
      <c r="F7" s="68" t="s">
        <v>167</v>
      </c>
      <c r="G7" s="65">
        <v>4</v>
      </c>
      <c r="H7" s="185"/>
    </row>
    <row r="8" spans="1:10" ht="15.75" customHeight="1">
      <c r="A8" s="70" t="s">
        <v>168</v>
      </c>
      <c r="B8" s="67">
        <f>SUM(G5:G12)</f>
        <v>46</v>
      </c>
      <c r="C8" s="71"/>
      <c r="E8" s="225"/>
      <c r="F8" s="68" t="s">
        <v>169</v>
      </c>
      <c r="G8" s="65">
        <v>0</v>
      </c>
      <c r="H8" s="185"/>
    </row>
    <row r="9" spans="1:10" ht="15.75" customHeight="1">
      <c r="A9" s="61" t="s">
        <v>170</v>
      </c>
      <c r="B9" s="67">
        <f>SUM(G13:G21)</f>
        <v>1.7999999999999998</v>
      </c>
      <c r="C9" s="63"/>
      <c r="E9" s="225"/>
      <c r="F9" s="64" t="s">
        <v>171</v>
      </c>
      <c r="G9" s="65">
        <v>3</v>
      </c>
      <c r="H9" s="185"/>
    </row>
    <row r="10" spans="1:10" ht="15.75" customHeight="1">
      <c r="A10" s="66" t="s">
        <v>51</v>
      </c>
      <c r="B10" s="67">
        <f>B7+B8+B9</f>
        <v>47.8</v>
      </c>
      <c r="C10" s="63"/>
      <c r="E10" s="225"/>
      <c r="F10" s="64" t="s">
        <v>172</v>
      </c>
      <c r="G10" s="72">
        <v>0</v>
      </c>
      <c r="H10" s="185"/>
    </row>
    <row r="11" spans="1:10" ht="15.75" customHeight="1">
      <c r="E11" s="225"/>
      <c r="F11" s="64" t="s">
        <v>173</v>
      </c>
      <c r="G11" s="72">
        <v>0</v>
      </c>
      <c r="H11" s="185"/>
    </row>
    <row r="12" spans="1:10" ht="15.75" customHeight="1">
      <c r="E12" s="226"/>
      <c r="F12" s="64" t="s">
        <v>174</v>
      </c>
      <c r="G12" s="65"/>
      <c r="H12" s="185"/>
    </row>
    <row r="13" spans="1:10" ht="15.75" customHeight="1">
      <c r="E13" s="222" t="s">
        <v>83</v>
      </c>
      <c r="F13" s="64" t="s">
        <v>175</v>
      </c>
      <c r="G13" s="65">
        <v>0</v>
      </c>
      <c r="H13" s="186"/>
    </row>
    <row r="14" spans="1:10" ht="15.75" customHeight="1">
      <c r="E14" s="223"/>
      <c r="F14" s="64" t="s">
        <v>176</v>
      </c>
      <c r="G14" s="65">
        <v>0.5</v>
      </c>
      <c r="H14" s="188"/>
    </row>
    <row r="15" spans="1:10" ht="15.75" customHeight="1">
      <c r="E15" s="223"/>
      <c r="F15" s="64" t="s">
        <v>177</v>
      </c>
      <c r="G15" s="65">
        <v>0.1</v>
      </c>
      <c r="H15" s="188"/>
    </row>
    <row r="16" spans="1:10" ht="15.75" customHeight="1">
      <c r="E16" s="223"/>
      <c r="F16" s="64" t="s">
        <v>178</v>
      </c>
      <c r="G16" s="65">
        <v>0.1</v>
      </c>
      <c r="H16" s="188"/>
    </row>
    <row r="17" spans="1:12" ht="15.75" customHeight="1">
      <c r="E17" s="223"/>
      <c r="F17" s="64" t="s">
        <v>179</v>
      </c>
      <c r="G17" s="65">
        <v>0</v>
      </c>
      <c r="H17" s="186"/>
    </row>
    <row r="18" spans="1:12" ht="15.75" customHeight="1">
      <c r="E18" s="223"/>
      <c r="F18" s="64" t="s">
        <v>180</v>
      </c>
      <c r="G18" s="65">
        <v>0.1</v>
      </c>
      <c r="H18" s="187"/>
    </row>
    <row r="19" spans="1:12" ht="15.75" customHeight="1">
      <c r="E19" s="223"/>
      <c r="F19" s="64" t="s">
        <v>181</v>
      </c>
      <c r="G19" s="65">
        <v>1</v>
      </c>
      <c r="H19" s="187"/>
      <c r="I19" s="193"/>
    </row>
    <row r="20" spans="1:12" ht="15.75" customHeight="1">
      <c r="E20" s="223"/>
      <c r="F20" s="64" t="s">
        <v>182</v>
      </c>
      <c r="G20" s="65"/>
      <c r="H20" s="64"/>
    </row>
    <row r="21" spans="1:12" ht="15.75" customHeight="1">
      <c r="E21" s="227"/>
      <c r="F21" s="64" t="s">
        <v>36</v>
      </c>
      <c r="G21" s="65">
        <v>0</v>
      </c>
      <c r="H21" s="64"/>
    </row>
    <row r="22" spans="1:12" ht="21.75" customHeight="1">
      <c r="E22" s="59" t="s">
        <v>51</v>
      </c>
      <c r="F22" s="64"/>
      <c r="G22" s="60">
        <f>SUM(G3:G21)</f>
        <v>47.800000000000004</v>
      </c>
      <c r="H22" s="73"/>
    </row>
    <row r="23" spans="1:12" ht="30.75" customHeight="1">
      <c r="E23" s="218" t="s">
        <v>183</v>
      </c>
      <c r="F23" s="218"/>
      <c r="G23" s="218"/>
      <c r="H23" s="218"/>
    </row>
    <row r="25" spans="1:12" ht="17.25">
      <c r="A25" s="74" t="s">
        <v>1</v>
      </c>
      <c r="B25" s="74" t="s">
        <v>152</v>
      </c>
      <c r="C25" s="74" t="s">
        <v>184</v>
      </c>
      <c r="D25" s="75" t="s">
        <v>275</v>
      </c>
      <c r="E25" s="75" t="s">
        <v>49</v>
      </c>
      <c r="F25" s="75" t="s">
        <v>50</v>
      </c>
      <c r="G25" s="75" t="s">
        <v>185</v>
      </c>
      <c r="H25" s="75" t="s">
        <v>186</v>
      </c>
      <c r="I25" s="75" t="s">
        <v>187</v>
      </c>
      <c r="J25" s="75" t="s">
        <v>262</v>
      </c>
      <c r="K25" s="75" t="s">
        <v>51</v>
      </c>
      <c r="L25" s="80" t="s">
        <v>188</v>
      </c>
    </row>
    <row r="26" spans="1:12" ht="16.5">
      <c r="A26" s="76" t="s">
        <v>147</v>
      </c>
      <c r="B26" s="77">
        <f>(B5+B8)*10000</f>
        <v>460000</v>
      </c>
      <c r="C26" s="78">
        <v>0.05</v>
      </c>
      <c r="D26" s="79">
        <f>B26*(1-C26)/5</f>
        <v>87400</v>
      </c>
      <c r="E26" s="79">
        <f t="shared" ref="E26:H26" si="0">D26</f>
        <v>87400</v>
      </c>
      <c r="F26" s="79">
        <f t="shared" si="0"/>
        <v>87400</v>
      </c>
      <c r="G26" s="79">
        <f t="shared" si="0"/>
        <v>87400</v>
      </c>
      <c r="H26" s="79">
        <f t="shared" si="0"/>
        <v>87400</v>
      </c>
      <c r="I26" s="79"/>
      <c r="J26" s="79"/>
      <c r="K26" s="79">
        <f>SUM(D26:J26)</f>
        <v>437000</v>
      </c>
      <c r="L26" s="79">
        <f>B26*0.05</f>
        <v>23000</v>
      </c>
    </row>
    <row r="27" spans="1:12" ht="16.5">
      <c r="A27" s="76" t="s">
        <v>189</v>
      </c>
      <c r="B27" s="77">
        <f>B9*10000</f>
        <v>18000</v>
      </c>
      <c r="C27" s="79"/>
      <c r="D27" s="79">
        <f>B27/5</f>
        <v>3600</v>
      </c>
      <c r="E27" s="79">
        <f t="shared" ref="E27:F27" si="1">D27</f>
        <v>3600</v>
      </c>
      <c r="F27" s="79">
        <f t="shared" si="1"/>
        <v>3600</v>
      </c>
      <c r="G27" s="79">
        <f>F27</f>
        <v>3600</v>
      </c>
      <c r="H27" s="79">
        <f>G27</f>
        <v>3600</v>
      </c>
      <c r="I27" s="79"/>
      <c r="J27" s="79"/>
      <c r="K27" s="79">
        <f>SUM(D27:J27)</f>
        <v>18000</v>
      </c>
      <c r="L27" s="79"/>
    </row>
    <row r="28" spans="1:12" ht="16.5">
      <c r="A28" s="219" t="s">
        <v>139</v>
      </c>
      <c r="B28" s="220"/>
      <c r="C28" s="221"/>
      <c r="D28" s="79">
        <f>SUM(D26:D27)</f>
        <v>91000</v>
      </c>
      <c r="E28" s="79">
        <f t="shared" ref="E28:K28" si="2">SUM(E26:E27)</f>
        <v>91000</v>
      </c>
      <c r="F28" s="79">
        <f t="shared" si="2"/>
        <v>91000</v>
      </c>
      <c r="G28" s="79">
        <f t="shared" si="2"/>
        <v>91000</v>
      </c>
      <c r="H28" s="79">
        <f t="shared" si="2"/>
        <v>91000</v>
      </c>
      <c r="I28" s="79">
        <f t="shared" si="2"/>
        <v>0</v>
      </c>
      <c r="J28" s="79">
        <f t="shared" si="2"/>
        <v>0</v>
      </c>
      <c r="K28" s="79">
        <f t="shared" si="2"/>
        <v>455000</v>
      </c>
      <c r="L28" s="8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2025-04-03T05:24:39Z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