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2" activeTab="8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>
      <text>
        <r>
          <rPr>
            <b/>
            <sz val="9"/>
            <rFont val="宋体"/>
            <charset val="134"/>
          </rPr>
          <t>ghrc:</t>
        </r>
        <r>
          <rPr>
            <sz val="9"/>
            <rFont val="宋体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<sst xmlns="http://schemas.openxmlformats.org/spreadsheetml/2006/main" count="1241" uniqueCount="304">
  <si>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</si>
  <si>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</si>
  <si>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</si>
  <si>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</si>
  <si>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</si>
  <si>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</si>
  <si>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</si>
  <si>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</si>
  <si>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</si>
  <si>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单台材料成本为未税价格，骨架、底支架自制。</t>
  </si>
  <si>
    <t>变动费用</t>
  </si>
  <si>
    <t>变动费用参考长春工厂2024年实际暂估。</t>
  </si>
  <si>
    <t>固定费用</t>
  </si>
  <si>
    <t>预测工厂产能满足客户订单。</t>
  </si>
  <si>
    <t>研发费用按照产销量摊销。</t>
  </si>
  <si>
    <t>财务费用按综合数据。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</si>
  <si>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</si>
  <si>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</si>
  <si>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</si>
  <si>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</si>
  <si>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</si>
  <si>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</si>
  <si>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</si>
  <si>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</si>
  <si>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</si>
  <si>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</si>
  <si>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</si>
  <si>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</si>
  <si>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</si>
  <si>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</si>
  <si>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</si>
  <si>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</si>
  <si>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</si>
  <si>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</si>
  <si>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</si>
  <si>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</si>
  <si>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</si>
  <si>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</si>
  <si>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</si>
  <si>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</si>
  <si>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</si>
  <si>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</si>
  <si>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</si>
  <si>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</si>
  <si>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</si>
  <si>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</si>
  <si>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</si>
  <si>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</si>
  <si>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</si>
  <si>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</si>
  <si>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</si>
  <si>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J6P经典版升级项目投资收益分析</t>
  </si>
  <si>
    <t>单位：未税、元</t>
  </si>
  <si>
    <r>
      <rPr>
        <b/>
        <sz val="10"/>
        <rFont val="CorpoS"/>
        <charset val="134"/>
      </rPr>
      <t>2025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</si>
  <si>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2026年</t>
    </r>
  </si>
  <si>
    <r>
      <rPr>
        <b/>
        <sz val="10"/>
        <rFont val="CorpoS"/>
        <charset val="134"/>
      </rPr>
      <t>2027年</t>
    </r>
  </si>
  <si>
    <r>
      <rPr>
        <b/>
        <sz val="10"/>
        <rFont val="CorpoS"/>
        <charset val="134"/>
      </rPr>
      <t>2028年</t>
    </r>
  </si>
  <si>
    <r>
      <rPr>
        <b/>
        <sz val="10"/>
        <rFont val="CorpoS"/>
        <charset val="134"/>
      </rPr>
      <t>2029年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</si>
  <si>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</si>
  <si>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</si>
  <si>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</si>
  <si>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</si>
  <si>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</si>
  <si>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</si>
  <si>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</si>
  <si>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</si>
  <si>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</si>
  <si>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</si>
  <si>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</si>
  <si>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</si>
  <si>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</si>
  <si>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</si>
  <si>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</si>
  <si>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</si>
  <si>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</si>
  <si>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</si>
  <si>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</si>
  <si>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</si>
  <si>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</si>
  <si>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</si>
  <si>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</si>
  <si>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</si>
  <si>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</si>
  <si>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</si>
  <si>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</si>
  <si>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</si>
  <si>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</si>
  <si>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</si>
  <si>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</si>
  <si>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</si>
  <si>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</si>
  <si>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</si>
  <si>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</si>
  <si>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</si>
  <si>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</si>
  <si>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</si>
  <si>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</si>
  <si>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</si>
  <si>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</si>
  <si>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</si>
  <si>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</si>
  <si>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</si>
  <si>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</si>
  <si>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</si>
  <si>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</si>
  <si>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</si>
  <si>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</si>
  <si>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</si>
  <si>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</si>
  <si>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</si>
  <si>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</si>
  <si>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</si>
  <si>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</si>
  <si>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</si>
  <si>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</si>
  <si>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</si>
  <si>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</si>
  <si>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</si>
  <si>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</si>
  <si>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</si>
  <si>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</si>
  <si>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</si>
  <si>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</si>
  <si>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</si>
  <si>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</si>
  <si>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</si>
  <si>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</si>
  <si>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</si>
  <si>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</si>
  <si>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</si>
  <si>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</si>
  <si>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</si>
  <si>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</si>
  <si>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</si>
  <si>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</si>
  <si>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</si>
  <si>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</si>
  <si>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</si>
  <si>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</si>
  <si>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</si>
  <si>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</si>
  <si>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</si>
  <si>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</si>
  <si>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</si>
  <si>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</si>
  <si>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</si>
  <si>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</si>
  <si>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</si>
  <si>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</si>
  <si>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</si>
  <si>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</si>
  <si>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一汽解放汽车有限公司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</si>
  <si>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</si>
  <si>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</si>
  <si>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</si>
  <si>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</si>
  <si>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</si>
  <si>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</si>
  <si>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所得税(税率15%）</t>
  </si>
  <si>
    <t>单位：元</t>
  </si>
  <si>
    <t>单件销售收入净额</t>
  </si>
  <si>
    <t xml:space="preserve">2026年  </t>
  </si>
  <si>
    <t xml:space="preserve">2027年  </t>
  </si>
  <si>
    <t xml:space="preserve">2028年  </t>
  </si>
  <si>
    <t xml:space="preserve">2029年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</si>
  <si>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</si>
  <si>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</si>
  <si>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</si>
  <si>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</si>
  <si>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</si>
  <si>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</si>
  <si>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</si>
  <si>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</si>
  <si>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</si>
  <si>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</si>
  <si>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</si>
  <si>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</si>
  <si>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</si>
  <si>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</si>
  <si>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</si>
  <si>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</si>
  <si>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</si>
  <si>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</si>
  <si>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</si>
  <si>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</si>
  <si>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</si>
  <si>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</si>
  <si>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</si>
  <si>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</si>
  <si>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</si>
  <si>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</si>
  <si>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</si>
  <si>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</si>
  <si>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</si>
  <si>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</si>
  <si>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</si>
  <si>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</si>
  <si>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</si>
  <si>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</si>
  <si>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</si>
  <si>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2025年</t>
  </si>
  <si>
    <t>2026年</t>
  </si>
  <si>
    <t>2027年</t>
  </si>
  <si>
    <t>2028年</t>
  </si>
  <si>
    <t>2029年</t>
  </si>
  <si>
    <t>2030年</t>
  </si>
  <si>
    <t>2031年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</si>
  <si>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</si>
  <si>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</si>
  <si>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</si>
  <si>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</si>
  <si>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</si>
  <si>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</si>
  <si>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</si>
  <si>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驾驶员座总成</t>
  </si>
  <si>
    <t>前座总成</t>
  </si>
  <si>
    <t>中间座总成</t>
  </si>
  <si>
    <t>6800010-J22-C00</t>
  </si>
  <si>
    <t>6900010-J22-C00</t>
  </si>
  <si>
    <t>6930010-J20-C00</t>
  </si>
  <si>
    <t>配置</t>
  </si>
  <si>
    <t>3.1平台、阻尼可调、气动升降、速降、集成安全带、坐垫延伸、</t>
  </si>
  <si>
    <t>坐垫翻折、三点式安全带</t>
  </si>
  <si>
    <t>侧翻、二点式安全带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</si>
  <si>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</si>
  <si>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</si>
  <si>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</si>
  <si>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</si>
  <si>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</si>
  <si>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</si>
  <si>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</si>
  <si>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</si>
  <si>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 xml:space="preserve"> J6P经典版升级项目</t>
  </si>
  <si>
    <t>项目编号</t>
  </si>
  <si>
    <t>ZY2431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</si>
  <si>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</si>
  <si>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</si>
  <si>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</si>
  <si>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</si>
  <si>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</si>
  <si>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</si>
  <si>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</si>
  <si>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</si>
  <si>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</si>
  <si>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</si>
  <si>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</si>
  <si>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</si>
  <si>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</si>
  <si>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</si>
  <si>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</si>
  <si>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</si>
  <si>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</si>
  <si>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</si>
  <si>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</si>
  <si>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</si>
  <si>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</si>
  <si>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</si>
  <si>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</si>
  <si>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</si>
  <si>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</si>
  <si>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</si>
  <si>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</si>
  <si>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</si>
  <si>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</si>
  <si>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</si>
  <si>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</si>
  <si>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</si>
  <si>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</si>
  <si>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</si>
  <si>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</si>
  <si>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</si>
  <si>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</si>
  <si>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</si>
  <si>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</si>
  <si>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</si>
  <si>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</si>
  <si>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</si>
  <si>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</si>
  <si>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</si>
  <si>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</si>
  <si>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</si>
  <si>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</si>
  <si>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</si>
  <si>
    <t>涂红色处为必填项</t>
  </si>
  <si>
    <t>单位：元、%、未税</t>
  </si>
  <si>
    <t>科目</t>
  </si>
  <si>
    <t>长春工厂平均值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</si>
  <si>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</si>
  <si>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</si>
  <si>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</si>
  <si>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</si>
  <si>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</si>
  <si>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</si>
  <si>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宋体"/>
        <charset val="134"/>
        <scheme val="minor"/>
      </rPr>
      <t>占收入比率</t>
    </r>
  </si>
  <si>
    <t>西安数据</t>
  </si>
  <si>
    <t>人工成本</t>
  </si>
  <si>
    <t>制造费用</t>
  </si>
  <si>
    <t>固定</t>
  </si>
  <si>
    <t>变动</t>
  </si>
  <si>
    <t>标准成本小计</t>
  </si>
  <si>
    <t>含前期房租200万</t>
  </si>
  <si>
    <t>销售费用</t>
  </si>
  <si>
    <t>账面</t>
  </si>
  <si>
    <t>综合占收入比率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</si>
</sst>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7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b/>
      <sz val="16"/>
      <color theme="1"/>
      <name val="宋体"/>
      <charset val="134"/>
      <scheme val="minor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6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19" applyNumberFormat="0" applyAlignment="0" applyProtection="0">
      <alignment vertical="center"/>
    </xf>
    <xf numFmtId="0" fontId="52" fillId="12" borderId="20" applyNumberFormat="0" applyAlignment="0" applyProtection="0">
      <alignment vertical="center"/>
    </xf>
    <xf numFmtId="0" fontId="53" fillId="12" borderId="19" applyNumberFormat="0" applyAlignment="0" applyProtection="0">
      <alignment vertical="center"/>
    </xf>
    <xf numFmtId="0" fontId="54" fillId="13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2" fillId="0" borderId="0"/>
    <xf numFmtId="0" fontId="63" fillId="0" borderId="2" applyNumberFormat="0" applyFill="0" applyBorder="0" applyAlignment="0" applyProtection="0">
      <alignment vertical="center"/>
    </xf>
    <xf numFmtId="0" fontId="2" fillId="0" borderId="0">
      <alignment vertical="center"/>
    </xf>
    <xf numFmtId="0" fontId="64" fillId="0" borderId="0"/>
    <xf numFmtId="0" fontId="65" fillId="0" borderId="0"/>
    <xf numFmtId="1" fontId="66" fillId="0" borderId="2" applyBorder="0"/>
    <xf numFmtId="43" fontId="67" fillId="0" borderId="0" applyFont="0" applyFill="0" applyBorder="0" applyAlignment="0" applyProtection="0">
      <alignment vertical="center"/>
    </xf>
    <xf numFmtId="0" fontId="64" fillId="0" borderId="0"/>
    <xf numFmtId="0" fontId="64" fillId="0" borderId="0"/>
  </cellStyleXfs>
  <cellXfs count="2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3" fontId="11" fillId="4" borderId="2" xfId="1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0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177" fontId="15" fillId="0" borderId="2" xfId="1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43" fontId="3" fillId="0" borderId="2" xfId="0" applyNumberFormat="1" applyFont="1" applyFill="1" applyBorder="1" applyAlignment="1">
      <alignment vertical="center"/>
    </xf>
    <xf numFmtId="43" fontId="3" fillId="0" borderId="2" xfId="1" applyFont="1" applyFill="1" applyBorder="1" applyAlignment="1">
      <alignment vertical="center"/>
    </xf>
    <xf numFmtId="178" fontId="3" fillId="0" borderId="2" xfId="3" applyNumberFormat="1" applyFont="1" applyFill="1" applyBorder="1" applyAlignment="1">
      <alignment vertical="center"/>
    </xf>
    <xf numFmtId="43" fontId="0" fillId="0" borderId="0" xfId="1" applyFont="1">
      <alignment vertical="center"/>
    </xf>
    <xf numFmtId="0" fontId="18" fillId="6" borderId="1" xfId="49" applyNumberFormat="1" applyFont="1" applyFill="1" applyBorder="1" applyAlignment="1" applyProtection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20" fillId="7" borderId="2" xfId="53" applyNumberFormat="1" applyFont="1" applyFill="1" applyBorder="1" applyAlignment="1">
      <alignment horizontal="center" vertical="center" wrapText="1"/>
    </xf>
    <xf numFmtId="43" fontId="20" fillId="7" borderId="2" xfId="1" applyFont="1" applyFill="1" applyBorder="1" applyAlignment="1">
      <alignment horizontal="center" vertical="center" wrapText="1"/>
    </xf>
    <xf numFmtId="0" fontId="20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21" fillId="0" borderId="2" xfId="53" applyNumberFormat="1" applyFont="1" applyFill="1" applyBorder="1" applyAlignment="1">
      <alignment horizontal="left" vertical="center"/>
    </xf>
    <xf numFmtId="43" fontId="21" fillId="4" borderId="2" xfId="1" applyFont="1" applyFill="1" applyBorder="1" applyAlignment="1">
      <alignment horizontal="center" vertical="center"/>
    </xf>
    <xf numFmtId="0" fontId="22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3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21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21" fillId="0" borderId="3" xfId="53" applyNumberFormat="1" applyFont="1" applyFill="1" applyBorder="1" applyAlignment="1">
      <alignment horizontal="center" vertical="center"/>
    </xf>
    <xf numFmtId="179" fontId="21" fillId="0" borderId="3" xfId="53" applyNumberFormat="1" applyFont="1" applyFill="1" applyBorder="1" applyAlignment="1">
      <alignment horizontal="left" vertical="center" wrapText="1"/>
    </xf>
    <xf numFmtId="0" fontId="22" fillId="6" borderId="2" xfId="49" applyNumberFormat="1" applyFont="1" applyFill="1" applyBorder="1" applyAlignment="1" applyProtection="1">
      <alignment horizontal="center" vertical="center" wrapText="1"/>
    </xf>
    <xf numFmtId="43" fontId="21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8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30" fillId="0" borderId="0" xfId="0" applyFont="1" applyFill="1">
      <alignment vertical="center"/>
    </xf>
    <xf numFmtId="43" fontId="30" fillId="0" borderId="0" xfId="1" applyFont="1" applyFill="1">
      <alignment vertical="center"/>
    </xf>
    <xf numFmtId="0" fontId="30" fillId="0" borderId="2" xfId="0" applyFont="1" applyFill="1" applyBorder="1" applyAlignment="1">
      <alignment horizontal="center" vertical="center"/>
    </xf>
    <xf numFmtId="43" fontId="30" fillId="0" borderId="3" xfId="1" applyFont="1" applyFill="1" applyBorder="1" applyAlignment="1">
      <alignment horizontal="center" vertical="center"/>
    </xf>
    <xf numFmtId="43" fontId="30" fillId="0" borderId="4" xfId="1" applyFont="1" applyFill="1" applyBorder="1" applyAlignment="1">
      <alignment horizontal="center" vertical="center"/>
    </xf>
    <xf numFmtId="43" fontId="30" fillId="0" borderId="5" xfId="1" applyFont="1" applyFill="1" applyBorder="1" applyAlignment="1">
      <alignment horizontal="center" vertical="center"/>
    </xf>
    <xf numFmtId="43" fontId="30" fillId="4" borderId="2" xfId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43" fontId="32" fillId="0" borderId="6" xfId="1" applyFont="1" applyFill="1" applyBorder="1" applyAlignment="1">
      <alignment horizontal="center" vertical="center" wrapText="1"/>
    </xf>
    <xf numFmtId="43" fontId="32" fillId="0" borderId="10" xfId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43" fontId="32" fillId="0" borderId="7" xfId="1" applyFont="1" applyFill="1" applyBorder="1" applyAlignment="1">
      <alignment horizontal="center" vertical="center" wrapText="1"/>
    </xf>
    <xf numFmtId="0" fontId="30" fillId="0" borderId="2" xfId="0" applyFont="1" applyFill="1" applyBorder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 readingOrder="1"/>
    </xf>
    <xf numFmtId="43" fontId="30" fillId="0" borderId="2" xfId="1" applyFont="1" applyFill="1" applyBorder="1" applyAlignment="1">
      <alignment horizontal="center" vertical="center"/>
    </xf>
    <xf numFmtId="0" fontId="34" fillId="0" borderId="2" xfId="0" applyFont="1" applyFill="1" applyBorder="1">
      <alignment vertical="center"/>
    </xf>
    <xf numFmtId="10" fontId="30" fillId="0" borderId="2" xfId="3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43" fontId="28" fillId="0" borderId="2" xfId="1" applyFont="1" applyFill="1" applyBorder="1">
      <alignment vertical="center"/>
    </xf>
    <xf numFmtId="43" fontId="30" fillId="0" borderId="2" xfId="1" applyFont="1" applyFill="1" applyBorder="1">
      <alignment vertical="center"/>
    </xf>
    <xf numFmtId="0" fontId="29" fillId="0" borderId="2" xfId="0" applyFont="1" applyFill="1" applyBorder="1">
      <alignment vertical="center"/>
    </xf>
    <xf numFmtId="10" fontId="30" fillId="0" borderId="2" xfId="3" applyNumberFormat="1" applyFont="1" applyFill="1" applyBorder="1">
      <alignment vertical="center"/>
    </xf>
    <xf numFmtId="43" fontId="28" fillId="0" borderId="2" xfId="1" applyFont="1" applyFill="1" applyBorder="1" applyAlignment="1">
      <alignment horizontal="center" vertical="center"/>
    </xf>
    <xf numFmtId="43" fontId="30" fillId="0" borderId="2" xfId="0" applyNumberFormat="1" applyFont="1" applyFill="1" applyBorder="1">
      <alignment vertical="center"/>
    </xf>
    <xf numFmtId="43" fontId="29" fillId="0" borderId="2" xfId="1" applyFont="1" applyFill="1" applyBorder="1">
      <alignment vertical="center"/>
    </xf>
    <xf numFmtId="43" fontId="3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30" fillId="0" borderId="0" xfId="0" applyNumberFormat="1" applyFont="1" applyFill="1">
      <alignment vertical="center"/>
    </xf>
    <xf numFmtId="10" fontId="30" fillId="0" borderId="0" xfId="0" applyNumberFormat="1" applyFont="1" applyFill="1">
      <alignment vertical="center"/>
    </xf>
    <xf numFmtId="0" fontId="27" fillId="0" borderId="0" xfId="0" applyFont="1" applyFill="1">
      <alignment vertical="center"/>
    </xf>
    <xf numFmtId="180" fontId="30" fillId="0" borderId="0" xfId="0" applyNumberFormat="1" applyFont="1" applyFill="1">
      <alignment vertical="center"/>
    </xf>
    <xf numFmtId="0" fontId="15" fillId="4" borderId="2" xfId="0" applyFont="1" applyFill="1" applyBorder="1" applyAlignment="1">
      <alignment horizontal="center" vertical="center" wrapText="1" readingOrder="1"/>
    </xf>
    <xf numFmtId="0" fontId="29" fillId="0" borderId="0" xfId="0" applyFont="1">
      <alignment vertical="center"/>
    </xf>
    <xf numFmtId="0" fontId="30" fillId="0" borderId="0" xfId="0" applyFont="1" applyBorder="1">
      <alignment vertical="center"/>
    </xf>
    <xf numFmtId="0" fontId="30" fillId="0" borderId="0" xfId="0" applyFont="1">
      <alignment vertical="center"/>
    </xf>
    <xf numFmtId="43" fontId="30" fillId="0" borderId="0" xfId="1" applyFont="1">
      <alignment vertical="center"/>
    </xf>
    <xf numFmtId="0" fontId="36" fillId="0" borderId="0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4" fillId="0" borderId="6" xfId="0" applyFont="1" applyFill="1" applyBorder="1" applyAlignment="1">
      <alignment horizontal="center" vertical="center"/>
    </xf>
    <xf numFmtId="43" fontId="37" fillId="0" borderId="2" xfId="1" applyFont="1" applyFill="1" applyBorder="1" applyAlignment="1">
      <alignment horizontal="center" vertical="center" wrapText="1"/>
    </xf>
    <xf numFmtId="43" fontId="32" fillId="0" borderId="2" xfId="1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177" fontId="30" fillId="0" borderId="2" xfId="1" applyNumberFormat="1" applyFont="1" applyFill="1" applyBorder="1" applyAlignment="1">
      <alignment horizontal="center" vertical="center"/>
    </xf>
    <xf numFmtId="177" fontId="29" fillId="0" borderId="2" xfId="1" applyNumberFormat="1" applyFont="1" applyFill="1" applyBorder="1" applyAlignment="1">
      <alignment horizontal="center" vertical="center"/>
    </xf>
    <xf numFmtId="0" fontId="34" fillId="9" borderId="2" xfId="0" applyFont="1" applyFill="1" applyBorder="1">
      <alignment vertical="center"/>
    </xf>
    <xf numFmtId="177" fontId="29" fillId="9" borderId="2" xfId="1" applyNumberFormat="1" applyFont="1" applyFill="1" applyBorder="1" applyAlignment="1">
      <alignment horizontal="center" vertical="center"/>
    </xf>
    <xf numFmtId="0" fontId="38" fillId="0" borderId="2" xfId="0" applyFont="1" applyFill="1" applyBorder="1">
      <alignment vertical="center"/>
    </xf>
    <xf numFmtId="0" fontId="30" fillId="0" borderId="2" xfId="0" applyFont="1" applyBorder="1">
      <alignment vertical="center"/>
    </xf>
    <xf numFmtId="10" fontId="29" fillId="0" borderId="2" xfId="3" applyNumberFormat="1" applyFont="1" applyBorder="1" applyAlignment="1">
      <alignment vertical="center"/>
    </xf>
    <xf numFmtId="177" fontId="29" fillId="0" borderId="2" xfId="1" applyNumberFormat="1" applyFont="1" applyBorder="1" applyAlignment="1">
      <alignment horizontal="center" vertical="center"/>
    </xf>
    <xf numFmtId="177" fontId="30" fillId="0" borderId="2" xfId="1" applyNumberFormat="1" applyFont="1" applyFill="1" applyBorder="1">
      <alignment vertical="center"/>
    </xf>
    <xf numFmtId="0" fontId="38" fillId="9" borderId="2" xfId="0" applyFont="1" applyFill="1" applyBorder="1">
      <alignment vertical="center"/>
    </xf>
    <xf numFmtId="177" fontId="30" fillId="0" borderId="2" xfId="1" applyNumberFormat="1" applyFont="1" applyBorder="1" applyAlignment="1">
      <alignment horizontal="center" vertical="center"/>
    </xf>
    <xf numFmtId="10" fontId="30" fillId="0" borderId="2" xfId="3" applyNumberFormat="1" applyFont="1" applyBorder="1">
      <alignment vertical="center"/>
    </xf>
    <xf numFmtId="10" fontId="30" fillId="0" borderId="0" xfId="3" applyNumberFormat="1" applyFont="1" applyBorder="1">
      <alignment vertical="center"/>
    </xf>
    <xf numFmtId="43" fontId="30" fillId="0" borderId="0" xfId="1" applyFont="1" applyBorder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43" fontId="30" fillId="0" borderId="2" xfId="1" applyFont="1" applyBorder="1">
      <alignment vertical="center"/>
    </xf>
    <xf numFmtId="177" fontId="30" fillId="0" borderId="2" xfId="1" applyNumberFormat="1" applyFont="1" applyBorder="1">
      <alignment vertical="center"/>
    </xf>
    <xf numFmtId="0" fontId="29" fillId="0" borderId="2" xfId="0" applyFont="1" applyBorder="1">
      <alignment vertical="center"/>
    </xf>
    <xf numFmtId="0" fontId="38" fillId="0" borderId="2" xfId="0" applyFont="1" applyBorder="1">
      <alignment vertical="center"/>
    </xf>
    <xf numFmtId="0" fontId="30" fillId="0" borderId="6" xfId="0" applyFont="1" applyBorder="1">
      <alignment vertical="center"/>
    </xf>
    <xf numFmtId="1" fontId="21" fillId="6" borderId="0" xfId="49" applyNumberFormat="1" applyFont="1" applyFill="1" applyProtection="1"/>
    <xf numFmtId="0" fontId="21" fillId="6" borderId="0" xfId="49" applyFont="1" applyFill="1" applyProtection="1"/>
    <xf numFmtId="0" fontId="39" fillId="6" borderId="0" xfId="49" applyFont="1" applyFill="1" applyAlignment="1" applyProtection="1">
      <alignment horizontal="centerContinuous"/>
    </xf>
    <xf numFmtId="0" fontId="21" fillId="6" borderId="0" xfId="49" applyFont="1" applyFill="1" applyAlignment="1">
      <alignment horizontal="centerContinuous"/>
    </xf>
    <xf numFmtId="0" fontId="21" fillId="6" borderId="0" xfId="49" applyFont="1" applyFill="1" applyAlignment="1" applyProtection="1">
      <alignment horizontal="centerContinuous"/>
    </xf>
    <xf numFmtId="9" fontId="21" fillId="6" borderId="0" xfId="49" applyNumberFormat="1" applyFont="1" applyFill="1" applyProtection="1"/>
    <xf numFmtId="0" fontId="21" fillId="6" borderId="6" xfId="49" applyFont="1" applyFill="1" applyBorder="1" applyAlignment="1" applyProtection="1">
      <alignment horizontal="center"/>
    </xf>
    <xf numFmtId="0" fontId="23" fillId="6" borderId="2" xfId="49" applyFont="1" applyFill="1" applyBorder="1" applyAlignment="1" applyProtection="1">
      <alignment horizontal="center"/>
    </xf>
    <xf numFmtId="0" fontId="23" fillId="6" borderId="4" xfId="49" applyFont="1" applyFill="1" applyBorder="1" applyAlignment="1" applyProtection="1">
      <alignment horizontal="center"/>
    </xf>
    <xf numFmtId="1" fontId="23" fillId="6" borderId="4" xfId="54" applyFont="1" applyFill="1" applyBorder="1"/>
    <xf numFmtId="1" fontId="21" fillId="6" borderId="4" xfId="54" applyFont="1" applyFill="1" applyBorder="1"/>
    <xf numFmtId="0" fontId="21" fillId="6" borderId="7" xfId="49" applyFont="1" applyFill="1" applyBorder="1" applyProtection="1"/>
    <xf numFmtId="0" fontId="21" fillId="6" borderId="2" xfId="49" applyFont="1" applyFill="1" applyBorder="1" applyAlignment="1" applyProtection="1">
      <alignment horizontal="center"/>
    </xf>
    <xf numFmtId="0" fontId="21" fillId="6" borderId="2" xfId="49" applyFont="1" applyFill="1" applyBorder="1" applyAlignment="1" applyProtection="1">
      <alignment horizontal="left"/>
    </xf>
    <xf numFmtId="0" fontId="21" fillId="9" borderId="2" xfId="49" applyFont="1" applyFill="1" applyBorder="1" applyProtection="1"/>
    <xf numFmtId="177" fontId="21" fillId="9" borderId="2" xfId="1" applyNumberFormat="1" applyFont="1" applyFill="1" applyBorder="1" applyAlignment="1" applyProtection="1"/>
    <xf numFmtId="0" fontId="21" fillId="6" borderId="2" xfId="49" applyFont="1" applyFill="1" applyBorder="1" applyProtection="1"/>
    <xf numFmtId="177" fontId="21" fillId="6" borderId="2" xfId="1" applyNumberFormat="1" applyFont="1" applyFill="1" applyBorder="1" applyAlignment="1" applyProtection="1"/>
    <xf numFmtId="0" fontId="21" fillId="6" borderId="2" xfId="49" applyNumberFormat="1" applyFont="1" applyFill="1" applyBorder="1" applyAlignment="1" applyProtection="1">
      <alignment horizontal="left"/>
    </xf>
    <xf numFmtId="1" fontId="21" fillId="6" borderId="2" xfId="49" applyNumberFormat="1" applyFont="1" applyFill="1" applyBorder="1" applyProtection="1"/>
    <xf numFmtId="1" fontId="21" fillId="6" borderId="2" xfId="49" applyNumberFormat="1" applyFont="1" applyFill="1" applyBorder="1" applyAlignment="1" applyProtection="1">
      <alignment horizontal="left"/>
    </xf>
    <xf numFmtId="0" fontId="21" fillId="6" borderId="8" xfId="49" applyFont="1" applyFill="1" applyBorder="1" applyProtection="1"/>
    <xf numFmtId="0" fontId="21" fillId="6" borderId="11" xfId="49" applyFont="1" applyFill="1" applyBorder="1" applyProtection="1"/>
    <xf numFmtId="0" fontId="21" fillId="6" borderId="12" xfId="49" applyFont="1" applyFill="1" applyBorder="1" applyProtection="1"/>
    <xf numFmtId="0" fontId="21" fillId="6" borderId="0" xfId="49" applyFont="1" applyFill="1" applyBorder="1" applyProtection="1"/>
    <xf numFmtId="181" fontId="21" fillId="6" borderId="0" xfId="49" applyNumberFormat="1" applyFont="1" applyFill="1" applyBorder="1" applyProtection="1"/>
    <xf numFmtId="10" fontId="21" fillId="6" borderId="0" xfId="49" applyNumberFormat="1" applyFont="1" applyFill="1" applyBorder="1" applyProtection="1"/>
    <xf numFmtId="1" fontId="21" fillId="6" borderId="0" xfId="49" applyNumberFormat="1" applyFont="1" applyFill="1" applyBorder="1" applyProtection="1"/>
    <xf numFmtId="0" fontId="21" fillId="6" borderId="13" xfId="49" applyFont="1" applyFill="1" applyBorder="1" applyProtection="1"/>
    <xf numFmtId="0" fontId="21" fillId="6" borderId="1" xfId="49" applyFont="1" applyFill="1" applyBorder="1" applyProtection="1"/>
    <xf numFmtId="2" fontId="21" fillId="6" borderId="1" xfId="49" applyNumberFormat="1" applyFont="1" applyFill="1" applyBorder="1" applyProtection="1"/>
    <xf numFmtId="0" fontId="21" fillId="6" borderId="5" xfId="49" applyFont="1" applyFill="1" applyBorder="1"/>
    <xf numFmtId="1" fontId="21" fillId="6" borderId="7" xfId="54" applyFont="1" applyFill="1" applyBorder="1" applyAlignment="1">
      <alignment horizontal="center"/>
    </xf>
    <xf numFmtId="0" fontId="21" fillId="6" borderId="9" xfId="49" applyFont="1" applyFill="1" applyBorder="1" applyProtection="1"/>
    <xf numFmtId="0" fontId="21" fillId="6" borderId="14" xfId="49" applyFont="1" applyFill="1" applyBorder="1" applyProtection="1"/>
    <xf numFmtId="0" fontId="21" fillId="6" borderId="15" xfId="49" applyFont="1" applyFill="1" applyBorder="1" applyProtection="1"/>
    <xf numFmtId="0" fontId="40" fillId="0" borderId="0" xfId="0" applyFont="1">
      <alignment vertical="center"/>
    </xf>
    <xf numFmtId="0" fontId="41" fillId="0" borderId="2" xfId="0" applyFont="1" applyBorder="1" applyAlignment="1">
      <alignment horizontal="center" vertical="center" wrapText="1" readingOrder="1"/>
    </xf>
    <xf numFmtId="0" fontId="40" fillId="0" borderId="0" xfId="0" applyFont="1" applyFill="1">
      <alignment vertical="center"/>
    </xf>
    <xf numFmtId="0" fontId="15" fillId="0" borderId="2" xfId="0" applyFont="1" applyBorder="1" applyAlignment="1">
      <alignment horizontal="center" vertical="center" wrapText="1" readingOrder="1"/>
    </xf>
    <xf numFmtId="0" fontId="42" fillId="0" borderId="2" xfId="0" applyFont="1" applyBorder="1" applyAlignment="1">
      <alignment horizontal="left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0" fontId="42" fillId="0" borderId="2" xfId="0" applyFont="1" applyFill="1" applyBorder="1" applyAlignment="1">
      <alignment horizontal="left" vertical="center" wrapText="1" readingOrder="1"/>
    </xf>
    <xf numFmtId="0" fontId="15" fillId="0" borderId="10" xfId="0" applyFont="1" applyBorder="1" applyAlignment="1">
      <alignment horizontal="center" vertical="center" wrapText="1" readingOrder="1"/>
    </xf>
    <xf numFmtId="0" fontId="42" fillId="0" borderId="2" xfId="0" applyFont="1" applyBorder="1" applyAlignment="1">
      <alignment horizontal="center" vertical="center" wrapText="1" readingOrder="1"/>
    </xf>
    <xf numFmtId="0" fontId="42" fillId="0" borderId="0" xfId="0" applyFont="1" applyFill="1" applyBorder="1" applyAlignment="1">
      <alignment horizontal="left" vertical="center" wrapText="1" readingOrder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  <cellStyle name="样式 1 3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12" sqref="C12"/>
    </sheetView>
  </sheetViews>
  <sheetFormatPr defaultColWidth="9" defaultRowHeight="13.5" outlineLevelCol="3"/>
  <cols>
    <col min="1" max="1" width="8.875" customWidth="1"/>
    <col min="2" max="2" width="16.375" customWidth="1"/>
    <col min="3" max="3" width="89.75" customWidth="1"/>
  </cols>
  <sheetData>
    <row r="2" s="248" customFormat="1" ht="35.25" customHeight="1" spans="1:4">
      <c r="A2" s="249" t="s">
        <v>0</v>
      </c>
      <c r="B2" s="249" t="s">
        <v>1</v>
      </c>
      <c r="C2" s="249" t="s">
        <v>2</v>
      </c>
      <c r="D2" s="250"/>
    </row>
    <row r="3" s="248" customFormat="1" ht="33.75" customHeight="1" spans="1:4">
      <c r="A3" s="251">
        <v>1</v>
      </c>
      <c r="B3" s="251" t="s">
        <v>3</v>
      </c>
      <c r="C3" s="252" t="s">
        <v>4</v>
      </c>
      <c r="D3" s="250"/>
    </row>
    <row r="4" s="248" customFormat="1" ht="33.75" customHeight="1" spans="1:3">
      <c r="A4" s="251">
        <v>2</v>
      </c>
      <c r="B4" s="251" t="s">
        <v>5</v>
      </c>
      <c r="C4" s="252" t="s">
        <v>6</v>
      </c>
    </row>
    <row r="5" s="248" customFormat="1" ht="33.75" customHeight="1" spans="1:3">
      <c r="A5" s="251">
        <v>3</v>
      </c>
      <c r="B5" s="253" t="s">
        <v>7</v>
      </c>
      <c r="C5" s="254" t="s">
        <v>8</v>
      </c>
    </row>
    <row r="6" s="248" customFormat="1" ht="33.75" customHeight="1" spans="1:3">
      <c r="A6" s="251">
        <v>4</v>
      </c>
      <c r="B6" s="255"/>
      <c r="C6" s="252" t="s">
        <v>9</v>
      </c>
    </row>
    <row r="7" s="248" customFormat="1" ht="33.75" customHeight="1" spans="1:3">
      <c r="A7" s="251">
        <v>5</v>
      </c>
      <c r="B7" s="256" t="s">
        <v>10</v>
      </c>
      <c r="C7" s="252" t="s">
        <v>11</v>
      </c>
    </row>
    <row r="8" s="248" customFormat="1" ht="33.75" customHeight="1" spans="1:3">
      <c r="A8" s="251">
        <v>6</v>
      </c>
      <c r="B8" s="253" t="s">
        <v>12</v>
      </c>
      <c r="C8" s="252" t="s">
        <v>13</v>
      </c>
    </row>
    <row r="9" s="248" customFormat="1" ht="33.75" customHeight="1" spans="1:3">
      <c r="A9" s="251">
        <v>7</v>
      </c>
      <c r="B9" s="255"/>
      <c r="C9" s="252" t="s">
        <v>14</v>
      </c>
    </row>
    <row r="10" s="248" customFormat="1" ht="33.75" customHeight="1" spans="1:3">
      <c r="A10" s="251">
        <v>8</v>
      </c>
      <c r="B10" s="255"/>
      <c r="C10" s="254" t="s">
        <v>15</v>
      </c>
    </row>
    <row r="11" s="248" customFormat="1" ht="33.75" customHeight="1" spans="1:3">
      <c r="A11" s="251">
        <v>9</v>
      </c>
      <c r="B11" s="255"/>
      <c r="C11" s="252" t="s">
        <v>16</v>
      </c>
    </row>
    <row r="12" s="248" customFormat="1" ht="33.75" customHeight="1" spans="1:3">
      <c r="A12" s="251">
        <v>10</v>
      </c>
      <c r="B12" s="256" t="s">
        <v>17</v>
      </c>
      <c r="C12" s="252" t="s">
        <v>18</v>
      </c>
    </row>
    <row r="13" ht="33.75" customHeight="1"/>
    <row r="14" ht="33.75" customHeight="1"/>
    <row r="15" ht="33.75" customHeight="1" spans="3:3">
      <c r="C15" s="257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5" zoomScaleNormal="85" workbookViewId="0">
      <selection activeCell="I13" sqref="I13"/>
    </sheetView>
  </sheetViews>
  <sheetFormatPr defaultColWidth="9" defaultRowHeight="16.5"/>
  <cols>
    <col min="1" max="1" width="14" style="70" customWidth="1"/>
    <col min="2" max="2" width="14.125" style="70" customWidth="1"/>
    <col min="3" max="7" width="14.25" style="70" customWidth="1"/>
    <col min="8" max="8" width="13.875" style="70" customWidth="1"/>
    <col min="9" max="9" width="9.25" style="70" customWidth="1"/>
    <col min="10" max="10" width="9.125" style="71" customWidth="1"/>
    <col min="11" max="11" width="9.625" style="71" customWidth="1"/>
    <col min="12" max="16384" width="9" style="70"/>
  </cols>
  <sheetData>
    <row r="1" ht="29.25" customHeight="1" spans="1:8">
      <c r="A1" s="72" t="s">
        <v>209</v>
      </c>
      <c r="B1" s="72"/>
      <c r="C1" s="72"/>
      <c r="D1" s="72"/>
      <c r="E1" s="72"/>
      <c r="F1" s="72"/>
      <c r="G1" s="72"/>
      <c r="H1" s="72"/>
    </row>
    <row r="2" ht="24" customHeight="1" spans="1:8">
      <c r="A2" s="73" t="s">
        <v>210</v>
      </c>
      <c r="E2" s="74"/>
      <c r="F2" s="74"/>
      <c r="G2" s="74"/>
      <c r="H2" s="74"/>
    </row>
    <row r="3" spans="3:5">
      <c r="C3" s="70" t="s">
        <v>211</v>
      </c>
      <c r="D3" s="75" t="s">
        <v>212</v>
      </c>
      <c r="E3" s="76">
        <v>0.05</v>
      </c>
    </row>
    <row r="5" ht="45" customHeight="1" spans="1:8">
      <c r="A5" s="77" t="s">
        <v>213</v>
      </c>
      <c r="B5" s="78" t="s">
        <v>152</v>
      </c>
      <c r="C5" s="79" t="s">
        <v>214</v>
      </c>
      <c r="D5" s="79" t="s">
        <v>215</v>
      </c>
      <c r="E5" s="79" t="s">
        <v>216</v>
      </c>
      <c r="F5" s="80"/>
      <c r="G5" s="80"/>
      <c r="H5" s="81" t="s">
        <v>58</v>
      </c>
    </row>
    <row r="6" ht="31.5" customHeight="1" spans="1:10">
      <c r="A6" s="77"/>
      <c r="B6" s="78" t="s">
        <v>153</v>
      </c>
      <c r="C6" s="82" t="s">
        <v>217</v>
      </c>
      <c r="D6" s="82" t="s">
        <v>218</v>
      </c>
      <c r="E6" s="82" t="s">
        <v>219</v>
      </c>
      <c r="F6" s="83"/>
      <c r="G6" s="83"/>
      <c r="H6" s="84"/>
      <c r="J6" s="71">
        <v>100</v>
      </c>
    </row>
    <row r="7" ht="32.25" customHeight="1" spans="1:11">
      <c r="A7" s="77"/>
      <c r="B7" s="22" t="s">
        <v>220</v>
      </c>
      <c r="C7" s="82" t="s">
        <v>221</v>
      </c>
      <c r="D7" s="82" t="s">
        <v>222</v>
      </c>
      <c r="E7" s="82" t="s">
        <v>223</v>
      </c>
      <c r="F7" s="83"/>
      <c r="G7" s="83"/>
      <c r="H7" s="85"/>
      <c r="I7" s="70">
        <v>2026</v>
      </c>
      <c r="J7" s="71">
        <f>J6*(1-$E$3)</f>
        <v>95</v>
      </c>
      <c r="K7" s="71">
        <f>J7/$J$6</f>
        <v>0.95</v>
      </c>
    </row>
    <row r="8" ht="33" spans="1:11">
      <c r="A8" s="77"/>
      <c r="B8" s="22" t="s">
        <v>224</v>
      </c>
      <c r="C8" s="82">
        <v>1850</v>
      </c>
      <c r="D8" s="82">
        <v>630</v>
      </c>
      <c r="E8" s="82">
        <v>587</v>
      </c>
      <c r="F8" s="83"/>
      <c r="G8" s="83"/>
      <c r="H8" s="86">
        <f>SUM(C8:G8)</f>
        <v>3067</v>
      </c>
      <c r="I8" s="70">
        <v>2027</v>
      </c>
      <c r="J8" s="71">
        <f>J7*(1-$E$3)</f>
        <v>90.25</v>
      </c>
      <c r="K8" s="71">
        <f>J8/$J$6</f>
        <v>0.9025</v>
      </c>
    </row>
    <row r="9" ht="17.25" spans="1:11">
      <c r="A9" s="87" t="s">
        <v>225</v>
      </c>
      <c r="B9" s="88" t="s">
        <v>200</v>
      </c>
      <c r="C9" s="89">
        <v>6000</v>
      </c>
      <c r="D9" s="89">
        <v>6000</v>
      </c>
      <c r="E9" s="89">
        <v>50</v>
      </c>
      <c r="F9" s="89"/>
      <c r="G9" s="89"/>
      <c r="H9" s="86">
        <f>SUM(C9:G9)</f>
        <v>12050</v>
      </c>
      <c r="I9" s="70">
        <v>2028</v>
      </c>
      <c r="J9" s="71">
        <f>J8*(1-E3)</f>
        <v>85.7375</v>
      </c>
      <c r="K9" s="71">
        <f>J9/$J$6</f>
        <v>0.857375</v>
      </c>
    </row>
    <row r="10" ht="17.25" spans="1:11">
      <c r="A10" s="90"/>
      <c r="B10" s="88" t="s">
        <v>201</v>
      </c>
      <c r="C10" s="89">
        <v>20000</v>
      </c>
      <c r="D10" s="89">
        <v>20000</v>
      </c>
      <c r="E10" s="89">
        <v>100</v>
      </c>
      <c r="F10" s="89"/>
      <c r="G10" s="89"/>
      <c r="H10" s="86">
        <f t="shared" ref="H10:H15" si="0">SUM(C10:G10)</f>
        <v>40100</v>
      </c>
      <c r="I10" s="70">
        <v>2029</v>
      </c>
      <c r="J10" s="71">
        <f>J9*(1-$E$3)</f>
        <v>81.450625</v>
      </c>
      <c r="K10" s="71">
        <f>J10/$J$6</f>
        <v>0.81450625</v>
      </c>
    </row>
    <row r="11" ht="17.25" spans="1:11">
      <c r="A11" s="90"/>
      <c r="B11" s="88" t="s">
        <v>202</v>
      </c>
      <c r="C11" s="89">
        <v>20000</v>
      </c>
      <c r="D11" s="89">
        <v>20000</v>
      </c>
      <c r="E11" s="89">
        <v>100</v>
      </c>
      <c r="F11" s="89"/>
      <c r="G11" s="89"/>
      <c r="H11" s="86">
        <f t="shared" si="0"/>
        <v>40100</v>
      </c>
      <c r="I11" s="70">
        <v>2030</v>
      </c>
      <c r="J11" s="71">
        <f>J10*(1-$E$3)</f>
        <v>77.37809375</v>
      </c>
      <c r="K11" s="71">
        <f t="shared" ref="K11:K12" si="1">J11/$J$6</f>
        <v>0.7737809375</v>
      </c>
    </row>
    <row r="12" ht="17.25" spans="1:11">
      <c r="A12" s="90"/>
      <c r="B12" s="88" t="s">
        <v>203</v>
      </c>
      <c r="C12" s="89">
        <v>20000</v>
      </c>
      <c r="D12" s="89">
        <v>20000</v>
      </c>
      <c r="E12" s="89">
        <v>100</v>
      </c>
      <c r="F12" s="89"/>
      <c r="G12" s="89"/>
      <c r="H12" s="86">
        <f t="shared" si="0"/>
        <v>40100</v>
      </c>
      <c r="I12" s="70">
        <v>2031</v>
      </c>
      <c r="J12" s="71">
        <f>J11*(1-$E$3)</f>
        <v>73.5091890625</v>
      </c>
      <c r="K12" s="71">
        <f t="shared" si="1"/>
        <v>0.735091890625</v>
      </c>
    </row>
    <row r="13" ht="17.25" spans="1:8">
      <c r="A13" s="90"/>
      <c r="B13" s="88" t="s">
        <v>204</v>
      </c>
      <c r="C13" s="89">
        <v>20000</v>
      </c>
      <c r="D13" s="89">
        <v>20000</v>
      </c>
      <c r="E13" s="89">
        <v>100</v>
      </c>
      <c r="F13" s="89"/>
      <c r="G13" s="89"/>
      <c r="H13" s="86">
        <f t="shared" si="0"/>
        <v>40100</v>
      </c>
    </row>
    <row r="14" ht="17.25" spans="1:8">
      <c r="A14" s="90"/>
      <c r="B14" s="88" t="s">
        <v>205</v>
      </c>
      <c r="C14" s="91"/>
      <c r="D14" s="91"/>
      <c r="E14" s="91"/>
      <c r="F14" s="91"/>
      <c r="G14" s="91"/>
      <c r="H14" s="86">
        <f t="shared" si="0"/>
        <v>0</v>
      </c>
    </row>
    <row r="15" ht="17.25" spans="1:8">
      <c r="A15" s="92"/>
      <c r="B15" s="88" t="s">
        <v>206</v>
      </c>
      <c r="C15" s="91"/>
      <c r="D15" s="91"/>
      <c r="E15" s="91"/>
      <c r="F15" s="91"/>
      <c r="G15" s="91"/>
      <c r="H15" s="86">
        <f t="shared" si="0"/>
        <v>0</v>
      </c>
    </row>
    <row r="16" ht="24" customHeight="1" spans="1:8">
      <c r="A16" s="88" t="s">
        <v>58</v>
      </c>
      <c r="B16" s="88"/>
      <c r="C16" s="93">
        <f t="shared" ref="C16:H16" si="2">SUM(C9:C15)</f>
        <v>86000</v>
      </c>
      <c r="D16" s="93">
        <f t="shared" si="2"/>
        <v>86000</v>
      </c>
      <c r="E16" s="93">
        <f t="shared" si="2"/>
        <v>450</v>
      </c>
      <c r="F16" s="93">
        <f t="shared" si="2"/>
        <v>0</v>
      </c>
      <c r="G16" s="93">
        <f t="shared" si="2"/>
        <v>0</v>
      </c>
      <c r="H16" s="93">
        <f t="shared" si="2"/>
        <v>172450</v>
      </c>
    </row>
    <row r="17" ht="18" spans="1:3">
      <c r="A17" s="94"/>
      <c r="B17" s="94"/>
      <c r="C17" s="95"/>
    </row>
    <row r="18" ht="24.75" customHeight="1" spans="2:8">
      <c r="B18" s="96" t="s">
        <v>226</v>
      </c>
      <c r="C18" s="97">
        <f>材料成本!D24</f>
        <v>1469.50904325239</v>
      </c>
      <c r="D18" s="97">
        <f>材料成本!E24</f>
        <v>606.54397835633</v>
      </c>
      <c r="E18" s="97">
        <f>材料成本!F24</f>
        <v>379.600271943327</v>
      </c>
      <c r="F18" s="97">
        <f>材料成本!G24</f>
        <v>0</v>
      </c>
      <c r="G18" s="97">
        <f>材料成本!H24</f>
        <v>0</v>
      </c>
      <c r="H18" s="98">
        <f>SUM(C18:G18)</f>
        <v>2455.65329355205</v>
      </c>
    </row>
    <row r="19" ht="24.75" customHeight="1" spans="2:8">
      <c r="B19" s="96" t="s">
        <v>105</v>
      </c>
      <c r="C19" s="97">
        <f>C8-C18</f>
        <v>380.490956747612</v>
      </c>
      <c r="D19" s="97">
        <f>D8-D18</f>
        <v>23.4560216436697</v>
      </c>
      <c r="E19" s="97">
        <f>E8-E18</f>
        <v>207.399728056673</v>
      </c>
      <c r="F19" s="97">
        <f>F8-F18</f>
        <v>0</v>
      </c>
      <c r="G19" s="97">
        <f>G8-G18</f>
        <v>0</v>
      </c>
      <c r="H19" s="98">
        <f>SUM(C19:G19)</f>
        <v>611.346706447954</v>
      </c>
    </row>
    <row r="20" ht="24.75" customHeight="1" spans="2:8">
      <c r="B20" s="96" t="s">
        <v>227</v>
      </c>
      <c r="C20" s="99">
        <f t="shared" ref="C20:H20" si="3">C19/C8</f>
        <v>0.205670787431142</v>
      </c>
      <c r="D20" s="99">
        <f t="shared" si="3"/>
        <v>0.0372317803867773</v>
      </c>
      <c r="E20" s="99">
        <f t="shared" si="3"/>
        <v>0.353321512873378</v>
      </c>
      <c r="F20" s="99" t="e">
        <f t="shared" si="3"/>
        <v>#DIV/0!</v>
      </c>
      <c r="G20" s="99" t="e">
        <f t="shared" si="3"/>
        <v>#DIV/0!</v>
      </c>
      <c r="H20" s="99">
        <f t="shared" si="3"/>
        <v>0.199330520524276</v>
      </c>
    </row>
  </sheetData>
  <mergeCells count="5">
    <mergeCell ref="A1:H1"/>
    <mergeCell ref="A16:B16"/>
    <mergeCell ref="A5:A8"/>
    <mergeCell ref="A9:A15"/>
    <mergeCell ref="H5:H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I23" sqref="I23"/>
    </sheetView>
  </sheetViews>
  <sheetFormatPr defaultColWidth="9" defaultRowHeight="16.5"/>
  <cols>
    <col min="1" max="2" width="4.375" style="36" customWidth="1"/>
    <col min="3" max="3" width="10" style="36" customWidth="1"/>
    <col min="4" max="9" width="12" style="37" customWidth="1"/>
    <col min="10" max="10" width="12.25" style="36" customWidth="1"/>
    <col min="11" max="11" width="13.25" style="36" customWidth="1"/>
    <col min="12" max="12" width="16" style="36" customWidth="1"/>
    <col min="13" max="16384" width="9" style="36"/>
  </cols>
  <sheetData>
    <row r="1" s="35" customFormat="1" ht="28.5" customHeight="1" spans="1:12">
      <c r="A1" s="38" t="s">
        <v>7</v>
      </c>
      <c r="B1" s="38"/>
      <c r="C1" s="38"/>
      <c r="D1" s="39"/>
      <c r="E1" s="40"/>
      <c r="F1" s="40"/>
      <c r="G1" s="40"/>
      <c r="H1" s="40"/>
      <c r="I1" s="40"/>
      <c r="L1" s="63"/>
    </row>
    <row r="2" ht="29.25" customHeight="1" spans="1:9">
      <c r="A2" s="41" t="s">
        <v>228</v>
      </c>
      <c r="B2" s="41"/>
      <c r="C2" s="41"/>
      <c r="D2" s="41"/>
      <c r="E2" s="41"/>
      <c r="F2" s="42" t="s">
        <v>229</v>
      </c>
      <c r="G2" s="43"/>
      <c r="H2" s="43"/>
      <c r="I2" s="64"/>
    </row>
    <row r="3" spans="1:9">
      <c r="A3" s="44" t="s">
        <v>21</v>
      </c>
      <c r="B3" s="44" t="s">
        <v>230</v>
      </c>
      <c r="C3" s="44" t="s">
        <v>231</v>
      </c>
      <c r="D3" s="45" t="s">
        <v>232</v>
      </c>
      <c r="E3" s="45"/>
      <c r="F3" s="46" t="s">
        <v>233</v>
      </c>
      <c r="G3" s="47" t="s">
        <v>234</v>
      </c>
      <c r="H3" s="48"/>
      <c r="I3" s="65" t="s">
        <v>168</v>
      </c>
    </row>
    <row r="4" spans="1:9">
      <c r="A4" s="44"/>
      <c r="B4" s="44"/>
      <c r="C4" s="44" t="s">
        <v>152</v>
      </c>
      <c r="D4" s="49" t="str">
        <f>销量!C5</f>
        <v>驾驶员座总成</v>
      </c>
      <c r="E4" s="49" t="str">
        <f>销量!D5</f>
        <v>前座总成</v>
      </c>
      <c r="F4" s="49" t="str">
        <f>销量!E5</f>
        <v>中间座总成</v>
      </c>
      <c r="G4" s="49">
        <f>销量!F5</f>
        <v>0</v>
      </c>
      <c r="H4" s="49">
        <f>销量!G5</f>
        <v>0</v>
      </c>
      <c r="I4" s="66"/>
    </row>
    <row r="5" ht="28.5" spans="1:9">
      <c r="A5" s="44"/>
      <c r="B5" s="44"/>
      <c r="C5" s="44" t="s">
        <v>153</v>
      </c>
      <c r="D5" s="49" t="str">
        <f>销量!C6</f>
        <v>6800010-J22-C00</v>
      </c>
      <c r="E5" s="49" t="str">
        <f>销量!D6</f>
        <v>6900010-J22-C00</v>
      </c>
      <c r="F5" s="49" t="str">
        <f>销量!E6</f>
        <v>6930010-J20-C00</v>
      </c>
      <c r="G5" s="49">
        <f>销量!F6</f>
        <v>0</v>
      </c>
      <c r="H5" s="49">
        <f>销量!G6</f>
        <v>0</v>
      </c>
      <c r="I5" s="67"/>
    </row>
    <row r="6" spans="1:9">
      <c r="A6" s="50">
        <v>1</v>
      </c>
      <c r="B6" s="51" t="s">
        <v>235</v>
      </c>
      <c r="C6" s="52"/>
      <c r="D6" s="53"/>
      <c r="E6" s="54"/>
      <c r="F6" s="54"/>
      <c r="G6" s="54"/>
      <c r="H6" s="54"/>
      <c r="I6" s="68"/>
    </row>
    <row r="7" spans="1:9">
      <c r="A7" s="50">
        <v>2</v>
      </c>
      <c r="B7" s="51" t="s">
        <v>236</v>
      </c>
      <c r="C7" s="52"/>
      <c r="D7" s="53"/>
      <c r="E7" s="54"/>
      <c r="F7" s="54"/>
      <c r="G7" s="54"/>
      <c r="H7" s="54"/>
      <c r="I7" s="68"/>
    </row>
    <row r="8" spans="1:9">
      <c r="A8" s="50">
        <v>3</v>
      </c>
      <c r="B8" s="51" t="s">
        <v>237</v>
      </c>
      <c r="C8" s="52"/>
      <c r="D8" s="53"/>
      <c r="E8" s="53"/>
      <c r="F8" s="53"/>
      <c r="G8" s="53"/>
      <c r="H8" s="53"/>
      <c r="I8" s="68"/>
    </row>
    <row r="9" spans="1:9">
      <c r="A9" s="50">
        <v>4</v>
      </c>
      <c r="B9" s="51" t="s">
        <v>238</v>
      </c>
      <c r="C9" s="52"/>
      <c r="D9" s="53"/>
      <c r="E9" s="54"/>
      <c r="F9" s="54"/>
      <c r="G9" s="54"/>
      <c r="H9" s="54"/>
      <c r="I9" s="68"/>
    </row>
    <row r="10" spans="1:9">
      <c r="A10" s="50">
        <v>5</v>
      </c>
      <c r="B10" s="51" t="s">
        <v>239</v>
      </c>
      <c r="C10" s="52"/>
      <c r="D10" s="53"/>
      <c r="E10" s="54"/>
      <c r="F10" s="54"/>
      <c r="G10" s="54"/>
      <c r="H10" s="54"/>
      <c r="I10" s="68"/>
    </row>
    <row r="11" spans="1:9">
      <c r="A11" s="50">
        <v>6</v>
      </c>
      <c r="B11" s="51" t="s">
        <v>240</v>
      </c>
      <c r="C11" s="52"/>
      <c r="D11" s="53"/>
      <c r="E11" s="54"/>
      <c r="F11" s="54"/>
      <c r="G11" s="54"/>
      <c r="H11" s="54"/>
      <c r="I11" s="68"/>
    </row>
    <row r="12" spans="1:9">
      <c r="A12" s="50">
        <v>7</v>
      </c>
      <c r="B12" s="51" t="s">
        <v>241</v>
      </c>
      <c r="C12" s="52"/>
      <c r="D12" s="53"/>
      <c r="E12" s="54"/>
      <c r="F12" s="54"/>
      <c r="G12" s="54"/>
      <c r="H12" s="54"/>
      <c r="I12" s="68"/>
    </row>
    <row r="13" spans="1:9">
      <c r="A13" s="50">
        <v>8</v>
      </c>
      <c r="B13" s="51" t="s">
        <v>242</v>
      </c>
      <c r="C13" s="52"/>
      <c r="D13" s="53"/>
      <c r="E13" s="54"/>
      <c r="F13" s="54"/>
      <c r="G13" s="54"/>
      <c r="H13" s="54"/>
      <c r="I13" s="68"/>
    </row>
    <row r="14" spans="1:9">
      <c r="A14" s="50">
        <v>9</v>
      </c>
      <c r="B14" s="51" t="s">
        <v>243</v>
      </c>
      <c r="C14" s="52"/>
      <c r="D14" s="53"/>
      <c r="E14" s="54"/>
      <c r="F14" s="54"/>
      <c r="G14" s="54"/>
      <c r="H14" s="54"/>
      <c r="I14" s="68"/>
    </row>
    <row r="15" spans="1:9">
      <c r="A15" s="50">
        <v>10</v>
      </c>
      <c r="B15" s="51" t="s">
        <v>244</v>
      </c>
      <c r="C15" s="52"/>
      <c r="D15" s="53"/>
      <c r="E15" s="54"/>
      <c r="F15" s="54"/>
      <c r="G15" s="54"/>
      <c r="H15" s="54"/>
      <c r="I15" s="68"/>
    </row>
    <row r="16" spans="1:9">
      <c r="A16" s="50">
        <v>11</v>
      </c>
      <c r="B16" s="51" t="s">
        <v>245</v>
      </c>
      <c r="C16" s="52"/>
      <c r="D16" s="53"/>
      <c r="E16" s="54"/>
      <c r="F16" s="54"/>
      <c r="G16" s="54"/>
      <c r="H16" s="54"/>
      <c r="I16" s="68"/>
    </row>
    <row r="17" spans="1:9">
      <c r="A17" s="50">
        <v>12</v>
      </c>
      <c r="B17" s="51" t="s">
        <v>246</v>
      </c>
      <c r="C17" s="52"/>
      <c r="D17" s="53"/>
      <c r="E17" s="54"/>
      <c r="F17" s="54"/>
      <c r="G17" s="54"/>
      <c r="H17" s="54"/>
      <c r="I17" s="68"/>
    </row>
    <row r="18" spans="1:9">
      <c r="A18" s="50">
        <v>13</v>
      </c>
      <c r="B18" s="51" t="s">
        <v>247</v>
      </c>
      <c r="C18" s="52"/>
      <c r="D18" s="53"/>
      <c r="E18" s="54"/>
      <c r="F18" s="54"/>
      <c r="G18" s="54"/>
      <c r="H18" s="54"/>
      <c r="I18" s="68"/>
    </row>
    <row r="19" spans="1:9">
      <c r="A19" s="50">
        <v>14</v>
      </c>
      <c r="B19" s="51" t="s">
        <v>248</v>
      </c>
      <c r="C19" s="52"/>
      <c r="D19" s="53"/>
      <c r="E19" s="54"/>
      <c r="F19" s="54"/>
      <c r="G19" s="54"/>
      <c r="H19" s="54"/>
      <c r="I19" s="68"/>
    </row>
    <row r="20" spans="1:9">
      <c r="A20" s="50">
        <v>15</v>
      </c>
      <c r="B20" s="51" t="s">
        <v>249</v>
      </c>
      <c r="C20" s="52"/>
      <c r="D20" s="53"/>
      <c r="E20" s="54"/>
      <c r="F20" s="54"/>
      <c r="G20" s="54"/>
      <c r="H20" s="54"/>
      <c r="I20" s="68"/>
    </row>
    <row r="21" spans="1:9">
      <c r="A21" s="50">
        <v>16</v>
      </c>
      <c r="B21" s="51" t="s">
        <v>250</v>
      </c>
      <c r="C21" s="52"/>
      <c r="D21" s="53"/>
      <c r="E21" s="54"/>
      <c r="F21" s="54"/>
      <c r="G21" s="54"/>
      <c r="H21" s="54"/>
      <c r="I21" s="68"/>
    </row>
    <row r="22" spans="1:9">
      <c r="A22" s="50">
        <v>17</v>
      </c>
      <c r="B22" s="51" t="s">
        <v>39</v>
      </c>
      <c r="C22" s="52"/>
      <c r="D22" s="53"/>
      <c r="E22" s="54"/>
      <c r="F22" s="54"/>
      <c r="G22" s="54"/>
      <c r="H22" s="54"/>
      <c r="I22" s="68"/>
    </row>
    <row r="23" spans="1:9">
      <c r="A23" s="50">
        <v>18</v>
      </c>
      <c r="B23" s="51" t="s">
        <v>251</v>
      </c>
      <c r="C23" s="52"/>
      <c r="D23" s="55">
        <v>1469.50904325239</v>
      </c>
      <c r="E23" s="55">
        <v>606.54397835633</v>
      </c>
      <c r="F23" s="55">
        <v>379.600271943327</v>
      </c>
      <c r="G23" s="56"/>
      <c r="H23" s="57"/>
      <c r="I23" s="69"/>
    </row>
    <row r="24" ht="31.5" customHeight="1" spans="1:9">
      <c r="A24" s="58" t="s">
        <v>252</v>
      </c>
      <c r="B24" s="59"/>
      <c r="C24" s="60"/>
      <c r="D24" s="61">
        <f>SUM(D6:D23)</f>
        <v>1469.50904325239</v>
      </c>
      <c r="E24" s="61">
        <f>SUM(E6:E23)</f>
        <v>606.54397835633</v>
      </c>
      <c r="F24" s="61">
        <f>SUM(F6:F23)</f>
        <v>379.600271943327</v>
      </c>
      <c r="G24" s="61">
        <f>SUM(G6:G23)</f>
        <v>0</v>
      </c>
      <c r="H24" s="61">
        <f>SUM(H6:H23)</f>
        <v>0</v>
      </c>
      <c r="I24" s="69"/>
    </row>
    <row r="25" ht="20.25" customHeight="1" spans="3:8">
      <c r="C25" s="36" t="s">
        <v>201</v>
      </c>
      <c r="D25" s="62">
        <f>D24*0.95</f>
        <v>1396.03359108977</v>
      </c>
      <c r="E25" s="62">
        <f t="shared" ref="E25:H25" si="0">E24*0.95</f>
        <v>576.216779438514</v>
      </c>
      <c r="F25" s="62">
        <f t="shared" si="0"/>
        <v>360.620258346161</v>
      </c>
      <c r="G25" s="62">
        <f t="shared" si="0"/>
        <v>0</v>
      </c>
      <c r="H25" s="62">
        <f t="shared" si="0"/>
        <v>0</v>
      </c>
    </row>
    <row r="26" ht="20.25" customHeight="1" spans="3:8">
      <c r="C26" s="36" t="s">
        <v>202</v>
      </c>
      <c r="D26" s="62">
        <f t="shared" ref="D26:D28" si="1">D25*0.95</f>
        <v>1326.23191153528</v>
      </c>
      <c r="E26" s="62">
        <f t="shared" ref="E26:E28" si="2">E25*0.95</f>
        <v>547.405940466588</v>
      </c>
      <c r="F26" s="62">
        <f t="shared" ref="F26:F28" si="3">F25*0.95</f>
        <v>342.589245428853</v>
      </c>
      <c r="G26" s="62">
        <f t="shared" ref="G26:G28" si="4">G25*0.95</f>
        <v>0</v>
      </c>
      <c r="H26" s="62">
        <f t="shared" ref="H26:H28" si="5">H25*0.95</f>
        <v>0</v>
      </c>
    </row>
    <row r="27" ht="20.25" customHeight="1" spans="3:8">
      <c r="C27" s="36" t="s">
        <v>203</v>
      </c>
      <c r="D27" s="62">
        <f t="shared" si="1"/>
        <v>1259.92031595852</v>
      </c>
      <c r="E27" s="62">
        <f t="shared" si="2"/>
        <v>520.035643443259</v>
      </c>
      <c r="F27" s="62">
        <f t="shared" si="3"/>
        <v>325.45978315741</v>
      </c>
      <c r="G27" s="62">
        <f t="shared" si="4"/>
        <v>0</v>
      </c>
      <c r="H27" s="62">
        <f t="shared" si="5"/>
        <v>0</v>
      </c>
    </row>
    <row r="28" ht="20.25" customHeight="1" spans="3:8">
      <c r="C28" s="36" t="s">
        <v>204</v>
      </c>
      <c r="D28" s="62">
        <f t="shared" si="1"/>
        <v>1196.92430016059</v>
      </c>
      <c r="E28" s="62">
        <f t="shared" si="2"/>
        <v>494.033861271096</v>
      </c>
      <c r="F28" s="62">
        <f t="shared" si="3"/>
        <v>309.18679399954</v>
      </c>
      <c r="G28" s="62">
        <f t="shared" si="4"/>
        <v>0</v>
      </c>
      <c r="H28" s="62">
        <f t="shared" si="5"/>
        <v>0</v>
      </c>
    </row>
    <row r="29" ht="20.25" customHeight="1" spans="3:3">
      <c r="C29" s="36" t="s">
        <v>205</v>
      </c>
    </row>
  </sheetData>
  <mergeCells count="27">
    <mergeCell ref="A1:B1"/>
    <mergeCell ref="A2:E2"/>
    <mergeCell ref="F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3.5" outlineLevelCol="3"/>
  <cols>
    <col min="1" max="1" width="5.75" style="27" customWidth="1"/>
    <col min="2" max="2" width="29.625" style="27" customWidth="1"/>
    <col min="3" max="3" width="25.5" style="27" customWidth="1"/>
    <col min="4" max="4" width="22" style="27" customWidth="1"/>
    <col min="5" max="16384" width="9" style="27"/>
  </cols>
  <sheetData>
    <row r="1" ht="39.75" customHeight="1" spans="1:4">
      <c r="A1" s="28" t="s">
        <v>21</v>
      </c>
      <c r="B1" s="28" t="s">
        <v>253</v>
      </c>
      <c r="C1" s="28" t="s">
        <v>254</v>
      </c>
      <c r="D1" s="28" t="s">
        <v>255</v>
      </c>
    </row>
    <row r="2" ht="25.5" customHeight="1" spans="1:4">
      <c r="A2" s="28">
        <v>1</v>
      </c>
      <c r="B2" s="29" t="s">
        <v>256</v>
      </c>
      <c r="C2" s="30" t="s">
        <v>257</v>
      </c>
      <c r="D2" s="31"/>
    </row>
    <row r="3" ht="24" customHeight="1" spans="1:4">
      <c r="A3" s="28">
        <v>2</v>
      </c>
      <c r="B3" s="29" t="s">
        <v>258</v>
      </c>
      <c r="C3" s="32" t="s">
        <v>257</v>
      </c>
      <c r="D3" s="31" t="s">
        <v>259</v>
      </c>
    </row>
    <row r="4" ht="19.5" customHeight="1" spans="1:4">
      <c r="A4" s="28">
        <v>3</v>
      </c>
      <c r="B4" s="29" t="s">
        <v>260</v>
      </c>
      <c r="C4" s="30" t="s">
        <v>261</v>
      </c>
      <c r="D4" s="31" t="s">
        <v>262</v>
      </c>
    </row>
    <row r="5" ht="21" customHeight="1" spans="1:4">
      <c r="A5" s="28">
        <v>4</v>
      </c>
      <c r="B5" s="29" t="s">
        <v>263</v>
      </c>
      <c r="C5" s="30" t="s">
        <v>264</v>
      </c>
      <c r="D5" s="31"/>
    </row>
    <row r="6" ht="21" customHeight="1" spans="1:4">
      <c r="A6" s="28">
        <v>5</v>
      </c>
      <c r="B6" s="29" t="s">
        <v>265</v>
      </c>
      <c r="C6" s="30" t="s">
        <v>266</v>
      </c>
      <c r="D6" s="31"/>
    </row>
    <row r="7" ht="27.75" customHeight="1" spans="1:4">
      <c r="A7" s="28">
        <v>6</v>
      </c>
      <c r="B7" s="28" t="s">
        <v>267</v>
      </c>
      <c r="C7" s="32" t="s">
        <v>188</v>
      </c>
      <c r="D7" s="31"/>
    </row>
    <row r="8" ht="25.5" customHeight="1" spans="1:4">
      <c r="A8" s="28">
        <v>7</v>
      </c>
      <c r="B8" s="29" t="s">
        <v>268</v>
      </c>
      <c r="C8" s="33" t="s">
        <v>269</v>
      </c>
      <c r="D8" s="31"/>
    </row>
    <row r="9" ht="25.5" customHeight="1" spans="1:4">
      <c r="A9" s="28">
        <v>8</v>
      </c>
      <c r="B9" s="28" t="s">
        <v>270</v>
      </c>
      <c r="C9" s="33" t="s">
        <v>271</v>
      </c>
      <c r="D9" s="31"/>
    </row>
    <row r="10" ht="25.5" customHeight="1" spans="1:4">
      <c r="A10" s="28">
        <v>9</v>
      </c>
      <c r="B10" s="28" t="s">
        <v>272</v>
      </c>
      <c r="C10" s="33" t="s">
        <v>273</v>
      </c>
      <c r="D10" s="31"/>
    </row>
    <row r="11" ht="25.5" customHeight="1" spans="1:4">
      <c r="A11" s="28">
        <v>10</v>
      </c>
      <c r="B11" s="28" t="s">
        <v>274</v>
      </c>
      <c r="C11" s="33" t="s">
        <v>271</v>
      </c>
      <c r="D11" s="31" t="s">
        <v>275</v>
      </c>
    </row>
    <row r="12" ht="25.5" customHeight="1" spans="1:4">
      <c r="A12" s="28">
        <v>11</v>
      </c>
      <c r="B12" s="28" t="s">
        <v>276</v>
      </c>
      <c r="C12" s="33" t="s">
        <v>271</v>
      </c>
      <c r="D12" s="31"/>
    </row>
    <row r="13" ht="24" customHeight="1" spans="1:4">
      <c r="A13" s="28">
        <v>12</v>
      </c>
      <c r="B13" s="29" t="s">
        <v>277</v>
      </c>
      <c r="C13" s="33" t="s">
        <v>278</v>
      </c>
      <c r="D13" s="31"/>
    </row>
    <row r="14" ht="24" customHeight="1" spans="1:4">
      <c r="A14" s="28">
        <v>13</v>
      </c>
      <c r="B14" s="29" t="s">
        <v>279</v>
      </c>
      <c r="C14" s="33" t="s">
        <v>280</v>
      </c>
      <c r="D14" s="31"/>
    </row>
    <row r="15" ht="24" customHeight="1" spans="1:4">
      <c r="A15" s="28">
        <v>14</v>
      </c>
      <c r="B15" s="29" t="s">
        <v>281</v>
      </c>
      <c r="C15" s="33" t="s">
        <v>282</v>
      </c>
      <c r="D15" s="31"/>
    </row>
    <row r="16" ht="24" customHeight="1" spans="1:4">
      <c r="A16" s="28">
        <v>15</v>
      </c>
      <c r="B16" s="28" t="s">
        <v>39</v>
      </c>
      <c r="C16" s="28"/>
      <c r="D16" s="28"/>
    </row>
    <row r="17" ht="16.5" spans="2:2">
      <c r="B17" s="34" t="s">
        <v>283</v>
      </c>
    </row>
  </sheetData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62"/>
  <sheetViews>
    <sheetView zoomScale="85" zoomScaleNormal="85" topLeftCell="B1" workbookViewId="0">
      <selection activeCell="P28" sqref="P28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="1" customFormat="1" ht="18.75" customHeight="1" spans="7:9">
      <c r="G1" s="4" t="s">
        <v>284</v>
      </c>
      <c r="H1" s="4"/>
      <c r="I1" s="22" t="str">
        <f>销量!C6</f>
        <v>6800010-J22-C00</v>
      </c>
    </row>
    <row r="2" ht="39" customHeight="1" spans="1:9">
      <c r="A2" s="5" t="s">
        <v>285</v>
      </c>
      <c r="B2" s="5"/>
      <c r="C2" s="6" t="s">
        <v>286</v>
      </c>
      <c r="D2" s="7"/>
      <c r="E2" s="7"/>
      <c r="F2" s="7"/>
      <c r="G2" s="7"/>
      <c r="H2" s="8"/>
      <c r="I2" s="3" t="s">
        <v>287</v>
      </c>
    </row>
    <row r="3" ht="34.5" customHeight="1" spans="1:11">
      <c r="A3" s="5"/>
      <c r="B3" s="5"/>
      <c r="C3" s="9" t="s">
        <v>288</v>
      </c>
      <c r="D3" s="9" t="s">
        <v>289</v>
      </c>
      <c r="E3" s="9" t="s">
        <v>290</v>
      </c>
      <c r="F3" s="10" t="s">
        <v>291</v>
      </c>
      <c r="G3" s="10" t="s">
        <v>292</v>
      </c>
      <c r="H3" s="11" t="s">
        <v>293</v>
      </c>
      <c r="I3" s="23">
        <f>销量!C8</f>
        <v>1850</v>
      </c>
      <c r="K3" s="24" t="s">
        <v>294</v>
      </c>
    </row>
    <row r="4" ht="24" customHeight="1" spans="1:11">
      <c r="A4" s="12" t="s">
        <v>295</v>
      </c>
      <c r="B4" s="12"/>
      <c r="C4" s="13"/>
      <c r="D4" s="14"/>
      <c r="E4" s="15">
        <f>$I$3*H4</f>
        <v>22.755</v>
      </c>
      <c r="F4" s="15"/>
      <c r="G4" s="15"/>
      <c r="H4" s="16">
        <v>0.0123</v>
      </c>
      <c r="K4" s="3">
        <v>0.0293</v>
      </c>
    </row>
    <row r="5" ht="24" customHeight="1" spans="1:11">
      <c r="A5" s="12" t="s">
        <v>296</v>
      </c>
      <c r="B5" s="12" t="s">
        <v>297</v>
      </c>
      <c r="C5" s="13"/>
      <c r="D5" s="14"/>
      <c r="E5" s="15">
        <f>$I$3*H5</f>
        <v>67.71</v>
      </c>
      <c r="F5" s="15"/>
      <c r="G5" s="15"/>
      <c r="H5" s="16">
        <v>0.0366</v>
      </c>
      <c r="K5" s="3">
        <v>0.0647</v>
      </c>
    </row>
    <row r="6" ht="24" customHeight="1" spans="1:11">
      <c r="A6" s="12"/>
      <c r="B6" s="12" t="s">
        <v>298</v>
      </c>
      <c r="C6" s="13"/>
      <c r="D6" s="14"/>
      <c r="E6" s="15">
        <f t="shared" ref="E6:E11" si="0">$I$3*H6</f>
        <v>20.535</v>
      </c>
      <c r="F6" s="15"/>
      <c r="G6" s="15"/>
      <c r="H6" s="16">
        <v>0.0111</v>
      </c>
      <c r="K6" s="3">
        <v>0.0087</v>
      </c>
    </row>
    <row r="7" ht="24" customHeight="1" spans="1:11">
      <c r="A7" s="6" t="s">
        <v>299</v>
      </c>
      <c r="B7" s="8"/>
      <c r="C7" s="17"/>
      <c r="D7" s="18"/>
      <c r="E7" s="15">
        <f t="shared" si="0"/>
        <v>111</v>
      </c>
      <c r="F7" s="15"/>
      <c r="G7" s="15"/>
      <c r="H7" s="19">
        <f>SUM(H4:H6)</f>
        <v>0.06</v>
      </c>
      <c r="K7" s="3"/>
    </row>
    <row r="8" ht="24" customHeight="1" spans="1:11">
      <c r="A8" s="12" t="s">
        <v>88</v>
      </c>
      <c r="B8" s="12"/>
      <c r="C8" s="13"/>
      <c r="D8" s="14"/>
      <c r="E8" s="15">
        <f t="shared" si="0"/>
        <v>59.755</v>
      </c>
      <c r="F8" s="15"/>
      <c r="G8" s="15"/>
      <c r="H8" s="16">
        <v>0.0323</v>
      </c>
      <c r="I8" s="3">
        <v>0.0632</v>
      </c>
      <c r="J8" s="25" t="s">
        <v>300</v>
      </c>
      <c r="K8" s="3">
        <v>0.0205</v>
      </c>
    </row>
    <row r="9" ht="24" customHeight="1" spans="1:11">
      <c r="A9" s="20" t="s">
        <v>301</v>
      </c>
      <c r="B9" s="12" t="s">
        <v>297</v>
      </c>
      <c r="C9" s="13"/>
      <c r="D9" s="14"/>
      <c r="E9" s="15">
        <f t="shared" si="0"/>
        <v>15.54</v>
      </c>
      <c r="F9" s="15"/>
      <c r="G9" s="15"/>
      <c r="H9" s="16">
        <v>0.0084</v>
      </c>
      <c r="K9" s="3">
        <v>0.0137</v>
      </c>
    </row>
    <row r="10" ht="24" customHeight="1" spans="1:11">
      <c r="A10" s="21"/>
      <c r="B10" s="12" t="s">
        <v>298</v>
      </c>
      <c r="C10" s="13"/>
      <c r="D10" s="14"/>
      <c r="E10" s="15">
        <f t="shared" si="0"/>
        <v>29.6</v>
      </c>
      <c r="F10" s="15"/>
      <c r="G10" s="15"/>
      <c r="H10" s="16">
        <v>0.016</v>
      </c>
      <c r="K10" s="3">
        <v>0.0412</v>
      </c>
    </row>
    <row r="11" ht="24" customHeight="1" spans="1:11">
      <c r="A11" s="12" t="s">
        <v>91</v>
      </c>
      <c r="B11" s="12"/>
      <c r="C11" s="13"/>
      <c r="D11" s="14"/>
      <c r="E11" s="15">
        <f t="shared" si="0"/>
        <v>65.675</v>
      </c>
      <c r="F11" s="15"/>
      <c r="G11" s="15"/>
      <c r="H11" s="16">
        <v>0.0355</v>
      </c>
      <c r="I11" s="3">
        <v>-0.0013</v>
      </c>
      <c r="J11" s="26" t="s">
        <v>302</v>
      </c>
      <c r="K11" s="3">
        <v>0.0436</v>
      </c>
    </row>
    <row r="13" s="1" customFormat="1" ht="18.75" customHeight="1" spans="7:9">
      <c r="G13" s="4" t="s">
        <v>284</v>
      </c>
      <c r="H13" s="4"/>
      <c r="I13" s="22" t="str">
        <f>销量!D6</f>
        <v>6900010-J22-C00</v>
      </c>
    </row>
    <row r="14" ht="39" customHeight="1" spans="1:9">
      <c r="A14" s="5" t="s">
        <v>285</v>
      </c>
      <c r="B14" s="5"/>
      <c r="C14" s="6" t="str">
        <f>C2</f>
        <v>长春工厂平均值</v>
      </c>
      <c r="D14" s="7"/>
      <c r="E14" s="7"/>
      <c r="F14" s="7"/>
      <c r="G14" s="7"/>
      <c r="H14" s="8"/>
      <c r="I14" s="3" t="s">
        <v>287</v>
      </c>
    </row>
    <row r="15" ht="34.5" customHeight="1" spans="1:9">
      <c r="A15" s="5"/>
      <c r="B15" s="5"/>
      <c r="C15" s="9" t="s">
        <v>288</v>
      </c>
      <c r="D15" s="9" t="s">
        <v>289</v>
      </c>
      <c r="E15" s="9" t="s">
        <v>290</v>
      </c>
      <c r="F15" s="10" t="s">
        <v>291</v>
      </c>
      <c r="G15" s="10" t="s">
        <v>292</v>
      </c>
      <c r="H15" s="10" t="s">
        <v>303</v>
      </c>
      <c r="I15" s="23">
        <f>销量!D8</f>
        <v>630</v>
      </c>
    </row>
    <row r="16" ht="24" customHeight="1" spans="1:8">
      <c r="A16" s="12" t="s">
        <v>295</v>
      </c>
      <c r="B16" s="12"/>
      <c r="C16" s="13"/>
      <c r="D16" s="14"/>
      <c r="E16" s="15">
        <f>$I$15*H16</f>
        <v>7.749</v>
      </c>
      <c r="F16" s="15"/>
      <c r="G16" s="15"/>
      <c r="H16" s="16">
        <f t="shared" ref="H16:H23" si="1">H4</f>
        <v>0.0123</v>
      </c>
    </row>
    <row r="17" ht="24" customHeight="1" spans="1:8">
      <c r="A17" s="12" t="s">
        <v>296</v>
      </c>
      <c r="B17" s="12" t="s">
        <v>297</v>
      </c>
      <c r="C17" s="13"/>
      <c r="D17" s="14"/>
      <c r="E17" s="15">
        <f t="shared" ref="E17:E23" si="2">$I$15*H17</f>
        <v>23.058</v>
      </c>
      <c r="F17" s="15"/>
      <c r="G17" s="15"/>
      <c r="H17" s="16">
        <f t="shared" si="1"/>
        <v>0.0366</v>
      </c>
    </row>
    <row r="18" ht="24" customHeight="1" spans="1:8">
      <c r="A18" s="12"/>
      <c r="B18" s="12" t="s">
        <v>298</v>
      </c>
      <c r="C18" s="13"/>
      <c r="D18" s="14"/>
      <c r="E18" s="15">
        <f t="shared" si="2"/>
        <v>6.993</v>
      </c>
      <c r="F18" s="15"/>
      <c r="G18" s="15"/>
      <c r="H18" s="16">
        <f t="shared" si="1"/>
        <v>0.0111</v>
      </c>
    </row>
    <row r="19" ht="24" customHeight="1" spans="1:8">
      <c r="A19" s="6" t="s">
        <v>299</v>
      </c>
      <c r="B19" s="8"/>
      <c r="C19" s="17"/>
      <c r="D19" s="18"/>
      <c r="E19" s="15">
        <f t="shared" si="2"/>
        <v>37.8</v>
      </c>
      <c r="F19" s="15"/>
      <c r="G19" s="15"/>
      <c r="H19" s="19">
        <f t="shared" si="1"/>
        <v>0.06</v>
      </c>
    </row>
    <row r="20" ht="24" customHeight="1" spans="1:8">
      <c r="A20" s="12" t="s">
        <v>88</v>
      </c>
      <c r="B20" s="12"/>
      <c r="C20" s="13"/>
      <c r="D20" s="14"/>
      <c r="E20" s="15">
        <f t="shared" si="2"/>
        <v>20.349</v>
      </c>
      <c r="F20" s="15"/>
      <c r="G20" s="15"/>
      <c r="H20" s="16">
        <f t="shared" si="1"/>
        <v>0.0323</v>
      </c>
    </row>
    <row r="21" ht="24" customHeight="1" spans="1:8">
      <c r="A21" s="20" t="s">
        <v>301</v>
      </c>
      <c r="B21" s="12" t="s">
        <v>297</v>
      </c>
      <c r="C21" s="13"/>
      <c r="D21" s="14"/>
      <c r="E21" s="15">
        <f t="shared" si="2"/>
        <v>5.292</v>
      </c>
      <c r="F21" s="15"/>
      <c r="G21" s="15"/>
      <c r="H21" s="16">
        <f t="shared" si="1"/>
        <v>0.0084</v>
      </c>
    </row>
    <row r="22" ht="24" customHeight="1" spans="1:8">
      <c r="A22" s="21"/>
      <c r="B22" s="12" t="s">
        <v>298</v>
      </c>
      <c r="C22" s="13"/>
      <c r="D22" s="14"/>
      <c r="E22" s="15">
        <f t="shared" si="2"/>
        <v>10.08</v>
      </c>
      <c r="F22" s="15"/>
      <c r="G22" s="15"/>
      <c r="H22" s="16">
        <f t="shared" si="1"/>
        <v>0.016</v>
      </c>
    </row>
    <row r="23" ht="24" customHeight="1" spans="1:8">
      <c r="A23" s="12" t="s">
        <v>91</v>
      </c>
      <c r="B23" s="12"/>
      <c r="C23" s="13"/>
      <c r="D23" s="14"/>
      <c r="E23" s="15">
        <f t="shared" si="2"/>
        <v>22.365</v>
      </c>
      <c r="F23" s="15"/>
      <c r="G23" s="15"/>
      <c r="H23" s="16">
        <f t="shared" si="1"/>
        <v>0.0355</v>
      </c>
    </row>
    <row r="26" s="1" customFormat="1" ht="18.75" customHeight="1" spans="7:9">
      <c r="G26" s="4" t="s">
        <v>284</v>
      </c>
      <c r="H26" s="4"/>
      <c r="I26" s="22" t="str">
        <f>销量!E6</f>
        <v>6930010-J20-C00</v>
      </c>
    </row>
    <row r="27" ht="39" customHeight="1" spans="1:9">
      <c r="A27" s="5" t="s">
        <v>285</v>
      </c>
      <c r="B27" s="5"/>
      <c r="C27" s="6" t="str">
        <f>C2</f>
        <v>长春工厂平均值</v>
      </c>
      <c r="D27" s="7"/>
      <c r="E27" s="7"/>
      <c r="F27" s="7"/>
      <c r="G27" s="7"/>
      <c r="H27" s="8"/>
      <c r="I27" s="3" t="s">
        <v>287</v>
      </c>
    </row>
    <row r="28" ht="34.5" customHeight="1" spans="1:9">
      <c r="A28" s="5"/>
      <c r="B28" s="5"/>
      <c r="C28" s="9" t="s">
        <v>288</v>
      </c>
      <c r="D28" s="9" t="s">
        <v>289</v>
      </c>
      <c r="E28" s="9" t="s">
        <v>290</v>
      </c>
      <c r="F28" s="10" t="s">
        <v>291</v>
      </c>
      <c r="G28" s="10" t="s">
        <v>292</v>
      </c>
      <c r="H28" s="10" t="s">
        <v>303</v>
      </c>
      <c r="I28" s="23">
        <f>材料成本!F23</f>
        <v>379.600271943327</v>
      </c>
    </row>
    <row r="29" ht="24" customHeight="1" spans="1:8">
      <c r="A29" s="12" t="s">
        <v>295</v>
      </c>
      <c r="B29" s="12"/>
      <c r="C29" s="13"/>
      <c r="D29" s="14"/>
      <c r="E29" s="15">
        <f>$I$28*H29</f>
        <v>4.66908334490293</v>
      </c>
      <c r="F29" s="15"/>
      <c r="G29" s="15"/>
      <c r="H29" s="16">
        <f t="shared" ref="H29:H36" si="3">H4</f>
        <v>0.0123</v>
      </c>
    </row>
    <row r="30" ht="24" customHeight="1" spans="1:8">
      <c r="A30" s="12" t="s">
        <v>296</v>
      </c>
      <c r="B30" s="12" t="s">
        <v>297</v>
      </c>
      <c r="C30" s="13"/>
      <c r="D30" s="14"/>
      <c r="E30" s="15">
        <f t="shared" ref="E30:E36" si="4">$I$28*H30</f>
        <v>13.8933699531258</v>
      </c>
      <c r="F30" s="15"/>
      <c r="G30" s="15"/>
      <c r="H30" s="16">
        <f t="shared" si="3"/>
        <v>0.0366</v>
      </c>
    </row>
    <row r="31" ht="24" customHeight="1" spans="1:8">
      <c r="A31" s="12"/>
      <c r="B31" s="12" t="s">
        <v>298</v>
      </c>
      <c r="C31" s="13"/>
      <c r="D31" s="14"/>
      <c r="E31" s="15">
        <f t="shared" si="4"/>
        <v>4.21356301857093</v>
      </c>
      <c r="F31" s="15"/>
      <c r="G31" s="15"/>
      <c r="H31" s="16">
        <f t="shared" si="3"/>
        <v>0.0111</v>
      </c>
    </row>
    <row r="32" ht="24" customHeight="1" spans="1:8">
      <c r="A32" s="6" t="s">
        <v>299</v>
      </c>
      <c r="B32" s="8"/>
      <c r="C32" s="17"/>
      <c r="D32" s="18"/>
      <c r="E32" s="15">
        <f t="shared" si="4"/>
        <v>22.7760163165996</v>
      </c>
      <c r="F32" s="15"/>
      <c r="G32" s="15"/>
      <c r="H32" s="19">
        <f t="shared" si="3"/>
        <v>0.06</v>
      </c>
    </row>
    <row r="33" ht="24" customHeight="1" spans="1:8">
      <c r="A33" s="12" t="s">
        <v>88</v>
      </c>
      <c r="B33" s="12"/>
      <c r="C33" s="13"/>
      <c r="D33" s="14"/>
      <c r="E33" s="15">
        <f t="shared" si="4"/>
        <v>12.2610887837695</v>
      </c>
      <c r="F33" s="15"/>
      <c r="G33" s="15"/>
      <c r="H33" s="16">
        <f t="shared" si="3"/>
        <v>0.0323</v>
      </c>
    </row>
    <row r="34" ht="24" customHeight="1" spans="1:8">
      <c r="A34" s="20" t="s">
        <v>301</v>
      </c>
      <c r="B34" s="12" t="s">
        <v>297</v>
      </c>
      <c r="C34" s="13"/>
      <c r="D34" s="14"/>
      <c r="E34" s="15">
        <f t="shared" si="4"/>
        <v>3.18864228432395</v>
      </c>
      <c r="F34" s="15"/>
      <c r="G34" s="15"/>
      <c r="H34" s="16">
        <f t="shared" si="3"/>
        <v>0.0084</v>
      </c>
    </row>
    <row r="35" ht="24" customHeight="1" spans="1:8">
      <c r="A35" s="21"/>
      <c r="B35" s="12" t="s">
        <v>298</v>
      </c>
      <c r="C35" s="13"/>
      <c r="D35" s="14"/>
      <c r="E35" s="15">
        <f t="shared" si="4"/>
        <v>6.07360435109324</v>
      </c>
      <c r="F35" s="15"/>
      <c r="G35" s="15"/>
      <c r="H35" s="16">
        <f t="shared" si="3"/>
        <v>0.016</v>
      </c>
    </row>
    <row r="36" ht="24" customHeight="1" spans="1:8">
      <c r="A36" s="12" t="s">
        <v>91</v>
      </c>
      <c r="B36" s="12"/>
      <c r="C36" s="13"/>
      <c r="D36" s="14"/>
      <c r="E36" s="15">
        <f t="shared" si="4"/>
        <v>13.4758096539881</v>
      </c>
      <c r="F36" s="15"/>
      <c r="G36" s="15"/>
      <c r="H36" s="16">
        <f t="shared" si="3"/>
        <v>0.0355</v>
      </c>
    </row>
    <row r="39" s="1" customFormat="1" ht="18.75" customHeight="1" spans="7:9">
      <c r="G39" s="4" t="s">
        <v>284</v>
      </c>
      <c r="H39" s="4"/>
      <c r="I39" s="22">
        <f>销量!F6</f>
        <v>0</v>
      </c>
    </row>
    <row r="40" ht="39" customHeight="1" spans="1:9">
      <c r="A40" s="5" t="s">
        <v>285</v>
      </c>
      <c r="B40" s="5"/>
      <c r="C40" s="6" t="str">
        <f>C2</f>
        <v>长春工厂平均值</v>
      </c>
      <c r="D40" s="7"/>
      <c r="E40" s="7"/>
      <c r="F40" s="7"/>
      <c r="G40" s="7"/>
      <c r="H40" s="8"/>
      <c r="I40" s="3" t="s">
        <v>287</v>
      </c>
    </row>
    <row r="41" ht="34.5" customHeight="1" spans="1:9">
      <c r="A41" s="5"/>
      <c r="B41" s="5"/>
      <c r="C41" s="9" t="s">
        <v>288</v>
      </c>
      <c r="D41" s="9" t="s">
        <v>289</v>
      </c>
      <c r="E41" s="9" t="s">
        <v>290</v>
      </c>
      <c r="F41" s="10" t="s">
        <v>291</v>
      </c>
      <c r="G41" s="10" t="s">
        <v>292</v>
      </c>
      <c r="H41" s="10" t="s">
        <v>303</v>
      </c>
      <c r="I41" s="23">
        <f>材料成本!G23</f>
        <v>0</v>
      </c>
    </row>
    <row r="42" ht="24" customHeight="1" spans="1:8">
      <c r="A42" s="12" t="s">
        <v>295</v>
      </c>
      <c r="B42" s="12"/>
      <c r="C42" s="13"/>
      <c r="D42" s="14"/>
      <c r="E42" s="15">
        <f>$I$41*H42</f>
        <v>0</v>
      </c>
      <c r="F42" s="15"/>
      <c r="G42" s="15"/>
      <c r="H42" s="16">
        <f t="shared" ref="H42:H49" si="5">H4</f>
        <v>0.0123</v>
      </c>
    </row>
    <row r="43" ht="24" customHeight="1" spans="1:8">
      <c r="A43" s="12" t="s">
        <v>296</v>
      </c>
      <c r="B43" s="12" t="s">
        <v>297</v>
      </c>
      <c r="C43" s="13"/>
      <c r="D43" s="14"/>
      <c r="E43" s="15">
        <f t="shared" ref="E43:E49" si="6">$I$41*H43</f>
        <v>0</v>
      </c>
      <c r="F43" s="15"/>
      <c r="G43" s="15"/>
      <c r="H43" s="16">
        <f t="shared" si="5"/>
        <v>0.0366</v>
      </c>
    </row>
    <row r="44" ht="24" customHeight="1" spans="1:8">
      <c r="A44" s="12"/>
      <c r="B44" s="12" t="s">
        <v>298</v>
      </c>
      <c r="C44" s="13"/>
      <c r="D44" s="14"/>
      <c r="E44" s="15">
        <f t="shared" si="6"/>
        <v>0</v>
      </c>
      <c r="F44" s="15"/>
      <c r="G44" s="15"/>
      <c r="H44" s="16">
        <f t="shared" si="5"/>
        <v>0.0111</v>
      </c>
    </row>
    <row r="45" ht="24" customHeight="1" spans="1:8">
      <c r="A45" s="6" t="s">
        <v>299</v>
      </c>
      <c r="B45" s="8"/>
      <c r="C45" s="17"/>
      <c r="D45" s="18"/>
      <c r="E45" s="15">
        <f t="shared" si="6"/>
        <v>0</v>
      </c>
      <c r="F45" s="15"/>
      <c r="G45" s="15"/>
      <c r="H45" s="19">
        <f t="shared" si="5"/>
        <v>0.06</v>
      </c>
    </row>
    <row r="46" ht="24" customHeight="1" spans="1:8">
      <c r="A46" s="12" t="s">
        <v>88</v>
      </c>
      <c r="B46" s="12"/>
      <c r="C46" s="13"/>
      <c r="D46" s="14"/>
      <c r="E46" s="15">
        <f t="shared" si="6"/>
        <v>0</v>
      </c>
      <c r="F46" s="15"/>
      <c r="G46" s="15"/>
      <c r="H46" s="16">
        <f t="shared" si="5"/>
        <v>0.0323</v>
      </c>
    </row>
    <row r="47" ht="24" customHeight="1" spans="1:8">
      <c r="A47" s="20" t="s">
        <v>301</v>
      </c>
      <c r="B47" s="12" t="s">
        <v>297</v>
      </c>
      <c r="C47" s="13"/>
      <c r="D47" s="14"/>
      <c r="E47" s="15">
        <f t="shared" si="6"/>
        <v>0</v>
      </c>
      <c r="F47" s="15"/>
      <c r="G47" s="15"/>
      <c r="H47" s="16">
        <f t="shared" si="5"/>
        <v>0.0084</v>
      </c>
    </row>
    <row r="48" ht="24" customHeight="1" spans="1:8">
      <c r="A48" s="21"/>
      <c r="B48" s="12" t="s">
        <v>298</v>
      </c>
      <c r="C48" s="13"/>
      <c r="D48" s="14"/>
      <c r="E48" s="15">
        <f t="shared" si="6"/>
        <v>0</v>
      </c>
      <c r="F48" s="15"/>
      <c r="G48" s="15"/>
      <c r="H48" s="16">
        <f t="shared" si="5"/>
        <v>0.016</v>
      </c>
    </row>
    <row r="49" ht="24" customHeight="1" spans="1:8">
      <c r="A49" s="12" t="s">
        <v>91</v>
      </c>
      <c r="B49" s="12"/>
      <c r="C49" s="13"/>
      <c r="D49" s="14"/>
      <c r="E49" s="15">
        <f t="shared" si="6"/>
        <v>0</v>
      </c>
      <c r="F49" s="15"/>
      <c r="G49" s="15"/>
      <c r="H49" s="16">
        <f t="shared" si="5"/>
        <v>0.0355</v>
      </c>
    </row>
    <row r="52" s="1" customFormat="1" ht="18.75" customHeight="1" spans="7:9">
      <c r="G52" s="4" t="s">
        <v>284</v>
      </c>
      <c r="H52" s="4"/>
      <c r="I52" s="22">
        <f>销量!G6</f>
        <v>0</v>
      </c>
    </row>
    <row r="53" ht="39" customHeight="1" spans="1:9">
      <c r="A53" s="5" t="s">
        <v>285</v>
      </c>
      <c r="B53" s="5"/>
      <c r="C53" s="6" t="str">
        <f>C2</f>
        <v>长春工厂平均值</v>
      </c>
      <c r="D53" s="7"/>
      <c r="E53" s="7"/>
      <c r="F53" s="7"/>
      <c r="G53" s="7"/>
      <c r="H53" s="8"/>
      <c r="I53" s="3" t="s">
        <v>287</v>
      </c>
    </row>
    <row r="54" ht="34.5" customHeight="1" spans="1:9">
      <c r="A54" s="5"/>
      <c r="B54" s="5"/>
      <c r="C54" s="9" t="s">
        <v>288</v>
      </c>
      <c r="D54" s="9" t="s">
        <v>289</v>
      </c>
      <c r="E54" s="9" t="s">
        <v>290</v>
      </c>
      <c r="F54" s="10" t="s">
        <v>291</v>
      </c>
      <c r="G54" s="10" t="s">
        <v>292</v>
      </c>
      <c r="H54" s="10" t="s">
        <v>303</v>
      </c>
      <c r="I54" s="23">
        <f>材料成本!H23</f>
        <v>0</v>
      </c>
    </row>
    <row r="55" ht="24" customHeight="1" spans="1:8">
      <c r="A55" s="12" t="s">
        <v>295</v>
      </c>
      <c r="B55" s="12"/>
      <c r="C55" s="13"/>
      <c r="D55" s="14"/>
      <c r="E55" s="15">
        <f>$I$54*H55</f>
        <v>0</v>
      </c>
      <c r="F55" s="15"/>
      <c r="G55" s="15"/>
      <c r="H55" s="16">
        <f t="shared" ref="H55:H62" si="7">H4</f>
        <v>0.0123</v>
      </c>
    </row>
    <row r="56" ht="24" customHeight="1" spans="1:8">
      <c r="A56" s="12" t="s">
        <v>296</v>
      </c>
      <c r="B56" s="12" t="s">
        <v>297</v>
      </c>
      <c r="C56" s="13"/>
      <c r="D56" s="14"/>
      <c r="E56" s="15">
        <f t="shared" ref="E56:E62" si="8">$I$54*H56</f>
        <v>0</v>
      </c>
      <c r="F56" s="15"/>
      <c r="G56" s="15"/>
      <c r="H56" s="16">
        <f t="shared" si="7"/>
        <v>0.0366</v>
      </c>
    </row>
    <row r="57" ht="24" customHeight="1" spans="1:8">
      <c r="A57" s="12"/>
      <c r="B57" s="12" t="s">
        <v>298</v>
      </c>
      <c r="C57" s="13"/>
      <c r="D57" s="14"/>
      <c r="E57" s="15">
        <f t="shared" si="8"/>
        <v>0</v>
      </c>
      <c r="F57" s="15"/>
      <c r="G57" s="15"/>
      <c r="H57" s="16">
        <f t="shared" si="7"/>
        <v>0.0111</v>
      </c>
    </row>
    <row r="58" ht="24" customHeight="1" spans="1:8">
      <c r="A58" s="6" t="s">
        <v>299</v>
      </c>
      <c r="B58" s="8"/>
      <c r="C58" s="17"/>
      <c r="D58" s="18"/>
      <c r="E58" s="15">
        <f t="shared" si="8"/>
        <v>0</v>
      </c>
      <c r="F58" s="15"/>
      <c r="G58" s="15"/>
      <c r="H58" s="19">
        <f t="shared" si="7"/>
        <v>0.06</v>
      </c>
    </row>
    <row r="59" ht="24" customHeight="1" spans="1:8">
      <c r="A59" s="12" t="s">
        <v>88</v>
      </c>
      <c r="B59" s="12"/>
      <c r="C59" s="13"/>
      <c r="D59" s="14"/>
      <c r="E59" s="15">
        <f t="shared" si="8"/>
        <v>0</v>
      </c>
      <c r="F59" s="15"/>
      <c r="G59" s="15"/>
      <c r="H59" s="16">
        <f t="shared" si="7"/>
        <v>0.0323</v>
      </c>
    </row>
    <row r="60" ht="24" customHeight="1" spans="1:8">
      <c r="A60" s="20" t="s">
        <v>301</v>
      </c>
      <c r="B60" s="12" t="s">
        <v>297</v>
      </c>
      <c r="C60" s="13"/>
      <c r="D60" s="14"/>
      <c r="E60" s="15">
        <f t="shared" si="8"/>
        <v>0</v>
      </c>
      <c r="F60" s="15"/>
      <c r="G60" s="15"/>
      <c r="H60" s="16">
        <f t="shared" si="7"/>
        <v>0.0084</v>
      </c>
    </row>
    <row r="61" ht="24" customHeight="1" spans="1:8">
      <c r="A61" s="21"/>
      <c r="B61" s="12" t="s">
        <v>298</v>
      </c>
      <c r="C61" s="13"/>
      <c r="D61" s="14"/>
      <c r="E61" s="15">
        <f t="shared" si="8"/>
        <v>0</v>
      </c>
      <c r="F61" s="15"/>
      <c r="G61" s="15"/>
      <c r="H61" s="16">
        <f t="shared" si="7"/>
        <v>0.016</v>
      </c>
    </row>
    <row r="62" ht="24" customHeight="1" spans="1:8">
      <c r="A62" s="12" t="s">
        <v>91</v>
      </c>
      <c r="B62" s="12"/>
      <c r="C62" s="13"/>
      <c r="D62" s="14"/>
      <c r="E62" s="15">
        <f t="shared" si="8"/>
        <v>0</v>
      </c>
      <c r="F62" s="15"/>
      <c r="G62" s="15"/>
      <c r="H62" s="16">
        <f t="shared" si="7"/>
        <v>0.0355</v>
      </c>
    </row>
  </sheetData>
  <mergeCells count="45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2:B3"/>
    <mergeCell ref="A14:B15"/>
    <mergeCell ref="A40:B41"/>
    <mergeCell ref="A27:B28"/>
    <mergeCell ref="A53:B54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5" defaultRowHeight="19.9" customHeight="1"/>
  <cols>
    <col min="1" max="1" width="8" style="213" customWidth="1"/>
    <col min="2" max="2" width="28.5" style="213" customWidth="1"/>
    <col min="3" max="4" width="9.125" style="213"/>
    <col min="5" max="5" width="13.875" style="213" customWidth="1"/>
    <col min="6" max="12" width="16.125" style="213" customWidth="1"/>
    <col min="13" max="13" width="10.625" style="213" customWidth="1"/>
    <col min="14" max="254" width="9.125" style="213"/>
    <col min="255" max="255" width="8" style="213" customWidth="1"/>
    <col min="256" max="256" width="28.5" style="213" customWidth="1"/>
    <col min="257" max="268" width="9.125" style="213"/>
    <col min="269" max="269" width="10.625" style="213" customWidth="1"/>
    <col min="270" max="510" width="9.125" style="213"/>
    <col min="511" max="511" width="8" style="213" customWidth="1"/>
    <col min="512" max="512" width="28.5" style="213" customWidth="1"/>
    <col min="513" max="524" width="9.125" style="213"/>
    <col min="525" max="525" width="10.625" style="213" customWidth="1"/>
    <col min="526" max="766" width="9.125" style="213"/>
    <col min="767" max="767" width="8" style="213" customWidth="1"/>
    <col min="768" max="768" width="28.5" style="213" customWidth="1"/>
    <col min="769" max="780" width="9.125" style="213"/>
    <col min="781" max="781" width="10.625" style="213" customWidth="1"/>
    <col min="782" max="1022" width="9.125" style="213"/>
    <col min="1023" max="1023" width="8" style="213" customWidth="1"/>
    <col min="1024" max="1024" width="28.5" style="213" customWidth="1"/>
    <col min="1025" max="1036" width="9.125" style="213"/>
    <col min="1037" max="1037" width="10.625" style="213" customWidth="1"/>
    <col min="1038" max="1278" width="9.125" style="213"/>
    <col min="1279" max="1279" width="8" style="213" customWidth="1"/>
    <col min="1280" max="1280" width="28.5" style="213" customWidth="1"/>
    <col min="1281" max="1292" width="9.125" style="213"/>
    <col min="1293" max="1293" width="10.625" style="213" customWidth="1"/>
    <col min="1294" max="1534" width="9.125" style="213"/>
    <col min="1535" max="1535" width="8" style="213" customWidth="1"/>
    <col min="1536" max="1536" width="28.5" style="213" customWidth="1"/>
    <col min="1537" max="1548" width="9.125" style="213"/>
    <col min="1549" max="1549" width="10.625" style="213" customWidth="1"/>
    <col min="1550" max="1790" width="9.125" style="213"/>
    <col min="1791" max="1791" width="8" style="213" customWidth="1"/>
    <col min="1792" max="1792" width="28.5" style="213" customWidth="1"/>
    <col min="1793" max="1804" width="9.125" style="213"/>
    <col min="1805" max="1805" width="10.625" style="213" customWidth="1"/>
    <col min="1806" max="2046" width="9.125" style="213"/>
    <col min="2047" max="2047" width="8" style="213" customWidth="1"/>
    <col min="2048" max="2048" width="28.5" style="213" customWidth="1"/>
    <col min="2049" max="2060" width="9.125" style="213"/>
    <col min="2061" max="2061" width="10.625" style="213" customWidth="1"/>
    <col min="2062" max="2302" width="9.125" style="213"/>
    <col min="2303" max="2303" width="8" style="213" customWidth="1"/>
    <col min="2304" max="2304" width="28.5" style="213" customWidth="1"/>
    <col min="2305" max="2316" width="9.125" style="213"/>
    <col min="2317" max="2317" width="10.625" style="213" customWidth="1"/>
    <col min="2318" max="2558" width="9.125" style="213"/>
    <col min="2559" max="2559" width="8" style="213" customWidth="1"/>
    <col min="2560" max="2560" width="28.5" style="213" customWidth="1"/>
    <col min="2561" max="2572" width="9.125" style="213"/>
    <col min="2573" max="2573" width="10.625" style="213" customWidth="1"/>
    <col min="2574" max="2814" width="9.125" style="213"/>
    <col min="2815" max="2815" width="8" style="213" customWidth="1"/>
    <col min="2816" max="2816" width="28.5" style="213" customWidth="1"/>
    <col min="2817" max="2828" width="9.125" style="213"/>
    <col min="2829" max="2829" width="10.625" style="213" customWidth="1"/>
    <col min="2830" max="3070" width="9.125" style="213"/>
    <col min="3071" max="3071" width="8" style="213" customWidth="1"/>
    <col min="3072" max="3072" width="28.5" style="213" customWidth="1"/>
    <col min="3073" max="3084" width="9.125" style="213"/>
    <col min="3085" max="3085" width="10.625" style="213" customWidth="1"/>
    <col min="3086" max="3326" width="9.125" style="213"/>
    <col min="3327" max="3327" width="8" style="213" customWidth="1"/>
    <col min="3328" max="3328" width="28.5" style="213" customWidth="1"/>
    <col min="3329" max="3340" width="9.125" style="213"/>
    <col min="3341" max="3341" width="10.625" style="213" customWidth="1"/>
    <col min="3342" max="3582" width="9.125" style="213"/>
    <col min="3583" max="3583" width="8" style="213" customWidth="1"/>
    <col min="3584" max="3584" width="28.5" style="213" customWidth="1"/>
    <col min="3585" max="3596" width="9.125" style="213"/>
    <col min="3597" max="3597" width="10.625" style="213" customWidth="1"/>
    <col min="3598" max="3838" width="9.125" style="213"/>
    <col min="3839" max="3839" width="8" style="213" customWidth="1"/>
    <col min="3840" max="3840" width="28.5" style="213" customWidth="1"/>
    <col min="3841" max="3852" width="9.125" style="213"/>
    <col min="3853" max="3853" width="10.625" style="213" customWidth="1"/>
    <col min="3854" max="4094" width="9.125" style="213"/>
    <col min="4095" max="4095" width="8" style="213" customWidth="1"/>
    <col min="4096" max="4096" width="28.5" style="213" customWidth="1"/>
    <col min="4097" max="4108" width="9.125" style="213"/>
    <col min="4109" max="4109" width="10.625" style="213" customWidth="1"/>
    <col min="4110" max="4350" width="9.125" style="213"/>
    <col min="4351" max="4351" width="8" style="213" customWidth="1"/>
    <col min="4352" max="4352" width="28.5" style="213" customWidth="1"/>
    <col min="4353" max="4364" width="9.125" style="213"/>
    <col min="4365" max="4365" width="10.625" style="213" customWidth="1"/>
    <col min="4366" max="4606" width="9.125" style="213"/>
    <col min="4607" max="4607" width="8" style="213" customWidth="1"/>
    <col min="4608" max="4608" width="28.5" style="213" customWidth="1"/>
    <col min="4609" max="4620" width="9.125" style="213"/>
    <col min="4621" max="4621" width="10.625" style="213" customWidth="1"/>
    <col min="4622" max="4862" width="9.125" style="213"/>
    <col min="4863" max="4863" width="8" style="213" customWidth="1"/>
    <col min="4864" max="4864" width="28.5" style="213" customWidth="1"/>
    <col min="4865" max="4876" width="9.125" style="213"/>
    <col min="4877" max="4877" width="10.625" style="213" customWidth="1"/>
    <col min="4878" max="5118" width="9.125" style="213"/>
    <col min="5119" max="5119" width="8" style="213" customWidth="1"/>
    <col min="5120" max="5120" width="28.5" style="213" customWidth="1"/>
    <col min="5121" max="5132" width="9.125" style="213"/>
    <col min="5133" max="5133" width="10.625" style="213" customWidth="1"/>
    <col min="5134" max="5374" width="9.125" style="213"/>
    <col min="5375" max="5375" width="8" style="213" customWidth="1"/>
    <col min="5376" max="5376" width="28.5" style="213" customWidth="1"/>
    <col min="5377" max="5388" width="9.125" style="213"/>
    <col min="5389" max="5389" width="10.625" style="213" customWidth="1"/>
    <col min="5390" max="5630" width="9.125" style="213"/>
    <col min="5631" max="5631" width="8" style="213" customWidth="1"/>
    <col min="5632" max="5632" width="28.5" style="213" customWidth="1"/>
    <col min="5633" max="5644" width="9.125" style="213"/>
    <col min="5645" max="5645" width="10.625" style="213" customWidth="1"/>
    <col min="5646" max="5886" width="9.125" style="213"/>
    <col min="5887" max="5887" width="8" style="213" customWidth="1"/>
    <col min="5888" max="5888" width="28.5" style="213" customWidth="1"/>
    <col min="5889" max="5900" width="9.125" style="213"/>
    <col min="5901" max="5901" width="10.625" style="213" customWidth="1"/>
    <col min="5902" max="6142" width="9.125" style="213"/>
    <col min="6143" max="6143" width="8" style="213" customWidth="1"/>
    <col min="6144" max="6144" width="28.5" style="213" customWidth="1"/>
    <col min="6145" max="6156" width="9.125" style="213"/>
    <col min="6157" max="6157" width="10.625" style="213" customWidth="1"/>
    <col min="6158" max="6398" width="9.125" style="213"/>
    <col min="6399" max="6399" width="8" style="213" customWidth="1"/>
    <col min="6400" max="6400" width="28.5" style="213" customWidth="1"/>
    <col min="6401" max="6412" width="9.125" style="213"/>
    <col min="6413" max="6413" width="10.625" style="213" customWidth="1"/>
    <col min="6414" max="6654" width="9.125" style="213"/>
    <col min="6655" max="6655" width="8" style="213" customWidth="1"/>
    <col min="6656" max="6656" width="28.5" style="213" customWidth="1"/>
    <col min="6657" max="6668" width="9.125" style="213"/>
    <col min="6669" max="6669" width="10.625" style="213" customWidth="1"/>
    <col min="6670" max="6910" width="9.125" style="213"/>
    <col min="6911" max="6911" width="8" style="213" customWidth="1"/>
    <col min="6912" max="6912" width="28.5" style="213" customWidth="1"/>
    <col min="6913" max="6924" width="9.125" style="213"/>
    <col min="6925" max="6925" width="10.625" style="213" customWidth="1"/>
    <col min="6926" max="7166" width="9.125" style="213"/>
    <col min="7167" max="7167" width="8" style="213" customWidth="1"/>
    <col min="7168" max="7168" width="28.5" style="213" customWidth="1"/>
    <col min="7169" max="7180" width="9.125" style="213"/>
    <col min="7181" max="7181" width="10.625" style="213" customWidth="1"/>
    <col min="7182" max="7422" width="9.125" style="213"/>
    <col min="7423" max="7423" width="8" style="213" customWidth="1"/>
    <col min="7424" max="7424" width="28.5" style="213" customWidth="1"/>
    <col min="7425" max="7436" width="9.125" style="213"/>
    <col min="7437" max="7437" width="10.625" style="213" customWidth="1"/>
    <col min="7438" max="7678" width="9.125" style="213"/>
    <col min="7679" max="7679" width="8" style="213" customWidth="1"/>
    <col min="7680" max="7680" width="28.5" style="213" customWidth="1"/>
    <col min="7681" max="7692" width="9.125" style="213"/>
    <col min="7693" max="7693" width="10.625" style="213" customWidth="1"/>
    <col min="7694" max="7934" width="9.125" style="213"/>
    <col min="7935" max="7935" width="8" style="213" customWidth="1"/>
    <col min="7936" max="7936" width="28.5" style="213" customWidth="1"/>
    <col min="7937" max="7948" width="9.125" style="213"/>
    <col min="7949" max="7949" width="10.625" style="213" customWidth="1"/>
    <col min="7950" max="8190" width="9.125" style="213"/>
    <col min="8191" max="8191" width="8" style="213" customWidth="1"/>
    <col min="8192" max="8192" width="28.5" style="213" customWidth="1"/>
    <col min="8193" max="8204" width="9.125" style="213"/>
    <col min="8205" max="8205" width="10.625" style="213" customWidth="1"/>
    <col min="8206" max="8446" width="9.125" style="213"/>
    <col min="8447" max="8447" width="8" style="213" customWidth="1"/>
    <col min="8448" max="8448" width="28.5" style="213" customWidth="1"/>
    <col min="8449" max="8460" width="9.125" style="213"/>
    <col min="8461" max="8461" width="10.625" style="213" customWidth="1"/>
    <col min="8462" max="8702" width="9.125" style="213"/>
    <col min="8703" max="8703" width="8" style="213" customWidth="1"/>
    <col min="8704" max="8704" width="28.5" style="213" customWidth="1"/>
    <col min="8705" max="8716" width="9.125" style="213"/>
    <col min="8717" max="8717" width="10.625" style="213" customWidth="1"/>
    <col min="8718" max="8958" width="9.125" style="213"/>
    <col min="8959" max="8959" width="8" style="213" customWidth="1"/>
    <col min="8960" max="8960" width="28.5" style="213" customWidth="1"/>
    <col min="8961" max="8972" width="9.125" style="213"/>
    <col min="8973" max="8973" width="10.625" style="213" customWidth="1"/>
    <col min="8974" max="9214" width="9.125" style="213"/>
    <col min="9215" max="9215" width="8" style="213" customWidth="1"/>
    <col min="9216" max="9216" width="28.5" style="213" customWidth="1"/>
    <col min="9217" max="9228" width="9.125" style="213"/>
    <col min="9229" max="9229" width="10.625" style="213" customWidth="1"/>
    <col min="9230" max="9470" width="9.125" style="213"/>
    <col min="9471" max="9471" width="8" style="213" customWidth="1"/>
    <col min="9472" max="9472" width="28.5" style="213" customWidth="1"/>
    <col min="9473" max="9484" width="9.125" style="213"/>
    <col min="9485" max="9485" width="10.625" style="213" customWidth="1"/>
    <col min="9486" max="9726" width="9.125" style="213"/>
    <col min="9727" max="9727" width="8" style="213" customWidth="1"/>
    <col min="9728" max="9728" width="28.5" style="213" customWidth="1"/>
    <col min="9729" max="9740" width="9.125" style="213"/>
    <col min="9741" max="9741" width="10.625" style="213" customWidth="1"/>
    <col min="9742" max="9982" width="9.125" style="213"/>
    <col min="9983" max="9983" width="8" style="213" customWidth="1"/>
    <col min="9984" max="9984" width="28.5" style="213" customWidth="1"/>
    <col min="9985" max="9996" width="9.125" style="213"/>
    <col min="9997" max="9997" width="10.625" style="213" customWidth="1"/>
    <col min="9998" max="10238" width="9.125" style="213"/>
    <col min="10239" max="10239" width="8" style="213" customWidth="1"/>
    <col min="10240" max="10240" width="28.5" style="213" customWidth="1"/>
    <col min="10241" max="10252" width="9.125" style="213"/>
    <col min="10253" max="10253" width="10.625" style="213" customWidth="1"/>
    <col min="10254" max="10494" width="9.125" style="213"/>
    <col min="10495" max="10495" width="8" style="213" customWidth="1"/>
    <col min="10496" max="10496" width="28.5" style="213" customWidth="1"/>
    <col min="10497" max="10508" width="9.125" style="213"/>
    <col min="10509" max="10509" width="10.625" style="213" customWidth="1"/>
    <col min="10510" max="10750" width="9.125" style="213"/>
    <col min="10751" max="10751" width="8" style="213" customWidth="1"/>
    <col min="10752" max="10752" width="28.5" style="213" customWidth="1"/>
    <col min="10753" max="10764" width="9.125" style="213"/>
    <col min="10765" max="10765" width="10.625" style="213" customWidth="1"/>
    <col min="10766" max="11006" width="9.125" style="213"/>
    <col min="11007" max="11007" width="8" style="213" customWidth="1"/>
    <col min="11008" max="11008" width="28.5" style="213" customWidth="1"/>
    <col min="11009" max="11020" width="9.125" style="213"/>
    <col min="11021" max="11021" width="10.625" style="213" customWidth="1"/>
    <col min="11022" max="11262" width="9.125" style="213"/>
    <col min="11263" max="11263" width="8" style="213" customWidth="1"/>
    <col min="11264" max="11264" width="28.5" style="213" customWidth="1"/>
    <col min="11265" max="11276" width="9.125" style="213"/>
    <col min="11277" max="11277" width="10.625" style="213" customWidth="1"/>
    <col min="11278" max="11518" width="9.125" style="213"/>
    <col min="11519" max="11519" width="8" style="213" customWidth="1"/>
    <col min="11520" max="11520" width="28.5" style="213" customWidth="1"/>
    <col min="11521" max="11532" width="9.125" style="213"/>
    <col min="11533" max="11533" width="10.625" style="213" customWidth="1"/>
    <col min="11534" max="11774" width="9.125" style="213"/>
    <col min="11775" max="11775" width="8" style="213" customWidth="1"/>
    <col min="11776" max="11776" width="28.5" style="213" customWidth="1"/>
    <col min="11777" max="11788" width="9.125" style="213"/>
    <col min="11789" max="11789" width="10.625" style="213" customWidth="1"/>
    <col min="11790" max="12030" width="9.125" style="213"/>
    <col min="12031" max="12031" width="8" style="213" customWidth="1"/>
    <col min="12032" max="12032" width="28.5" style="213" customWidth="1"/>
    <col min="12033" max="12044" width="9.125" style="213"/>
    <col min="12045" max="12045" width="10.625" style="213" customWidth="1"/>
    <col min="12046" max="12286" width="9.125" style="213"/>
    <col min="12287" max="12287" width="8" style="213" customWidth="1"/>
    <col min="12288" max="12288" width="28.5" style="213" customWidth="1"/>
    <col min="12289" max="12300" width="9.125" style="213"/>
    <col min="12301" max="12301" width="10.625" style="213" customWidth="1"/>
    <col min="12302" max="12542" width="9.125" style="213"/>
    <col min="12543" max="12543" width="8" style="213" customWidth="1"/>
    <col min="12544" max="12544" width="28.5" style="213" customWidth="1"/>
    <col min="12545" max="12556" width="9.125" style="213"/>
    <col min="12557" max="12557" width="10.625" style="213" customWidth="1"/>
    <col min="12558" max="12798" width="9.125" style="213"/>
    <col min="12799" max="12799" width="8" style="213" customWidth="1"/>
    <col min="12800" max="12800" width="28.5" style="213" customWidth="1"/>
    <col min="12801" max="12812" width="9.125" style="213"/>
    <col min="12813" max="12813" width="10.625" style="213" customWidth="1"/>
    <col min="12814" max="13054" width="9.125" style="213"/>
    <col min="13055" max="13055" width="8" style="213" customWidth="1"/>
    <col min="13056" max="13056" width="28.5" style="213" customWidth="1"/>
    <col min="13057" max="13068" width="9.125" style="213"/>
    <col min="13069" max="13069" width="10.625" style="213" customWidth="1"/>
    <col min="13070" max="13310" width="9.125" style="213"/>
    <col min="13311" max="13311" width="8" style="213" customWidth="1"/>
    <col min="13312" max="13312" width="28.5" style="213" customWidth="1"/>
    <col min="13313" max="13324" width="9.125" style="213"/>
    <col min="13325" max="13325" width="10.625" style="213" customWidth="1"/>
    <col min="13326" max="13566" width="9.125" style="213"/>
    <col min="13567" max="13567" width="8" style="213" customWidth="1"/>
    <col min="13568" max="13568" width="28.5" style="213" customWidth="1"/>
    <col min="13569" max="13580" width="9.125" style="213"/>
    <col min="13581" max="13581" width="10.625" style="213" customWidth="1"/>
    <col min="13582" max="13822" width="9.125" style="213"/>
    <col min="13823" max="13823" width="8" style="213" customWidth="1"/>
    <col min="13824" max="13824" width="28.5" style="213" customWidth="1"/>
    <col min="13825" max="13836" width="9.125" style="213"/>
    <col min="13837" max="13837" width="10.625" style="213" customWidth="1"/>
    <col min="13838" max="14078" width="9.125" style="213"/>
    <col min="14079" max="14079" width="8" style="213" customWidth="1"/>
    <col min="14080" max="14080" width="28.5" style="213" customWidth="1"/>
    <col min="14081" max="14092" width="9.125" style="213"/>
    <col min="14093" max="14093" width="10.625" style="213" customWidth="1"/>
    <col min="14094" max="14334" width="9.125" style="213"/>
    <col min="14335" max="14335" width="8" style="213" customWidth="1"/>
    <col min="14336" max="14336" width="28.5" style="213" customWidth="1"/>
    <col min="14337" max="14348" width="9.125" style="213"/>
    <col min="14349" max="14349" width="10.625" style="213" customWidth="1"/>
    <col min="14350" max="14590" width="9.125" style="213"/>
    <col min="14591" max="14591" width="8" style="213" customWidth="1"/>
    <col min="14592" max="14592" width="28.5" style="213" customWidth="1"/>
    <col min="14593" max="14604" width="9.125" style="213"/>
    <col min="14605" max="14605" width="10.625" style="213" customWidth="1"/>
    <col min="14606" max="14846" width="9.125" style="213"/>
    <col min="14847" max="14847" width="8" style="213" customWidth="1"/>
    <col min="14848" max="14848" width="28.5" style="213" customWidth="1"/>
    <col min="14849" max="14860" width="9.125" style="213"/>
    <col min="14861" max="14861" width="10.625" style="213" customWidth="1"/>
    <col min="14862" max="15102" width="9.125" style="213"/>
    <col min="15103" max="15103" width="8" style="213" customWidth="1"/>
    <col min="15104" max="15104" width="28.5" style="213" customWidth="1"/>
    <col min="15105" max="15116" width="9.125" style="213"/>
    <col min="15117" max="15117" width="10.625" style="213" customWidth="1"/>
    <col min="15118" max="15358" width="9.125" style="213"/>
    <col min="15359" max="15359" width="8" style="213" customWidth="1"/>
    <col min="15360" max="15360" width="28.5" style="213" customWidth="1"/>
    <col min="15361" max="15372" width="9.125" style="213"/>
    <col min="15373" max="15373" width="10.625" style="213" customWidth="1"/>
    <col min="15374" max="15614" width="9.125" style="213"/>
    <col min="15615" max="15615" width="8" style="213" customWidth="1"/>
    <col min="15616" max="15616" width="28.5" style="213" customWidth="1"/>
    <col min="15617" max="15628" width="9.125" style="213"/>
    <col min="15629" max="15629" width="10.625" style="213" customWidth="1"/>
    <col min="15630" max="15870" width="9.125" style="213"/>
    <col min="15871" max="15871" width="8" style="213" customWidth="1"/>
    <col min="15872" max="15872" width="28.5" style="213" customWidth="1"/>
    <col min="15873" max="15884" width="9.125" style="213"/>
    <col min="15885" max="15885" width="10.625" style="213" customWidth="1"/>
    <col min="15886" max="16126" width="9.125" style="213"/>
    <col min="16127" max="16127" width="8" style="213" customWidth="1"/>
    <col min="16128" max="16128" width="28.5" style="213" customWidth="1"/>
    <col min="16129" max="16140" width="9.125" style="213"/>
    <col min="16141" max="16141" width="10.625" style="213" customWidth="1"/>
    <col min="16142" max="16384" width="9.125" style="213"/>
  </cols>
  <sheetData>
    <row r="1" ht="18.75" spans="1:13">
      <c r="A1" s="214" t="s">
        <v>19</v>
      </c>
      <c r="B1" s="215"/>
      <c r="C1" s="216"/>
      <c r="D1" s="216"/>
      <c r="E1" s="215"/>
      <c r="F1" s="216"/>
      <c r="G1" s="216"/>
      <c r="H1" s="215"/>
      <c r="I1" s="216"/>
      <c r="J1" s="216"/>
      <c r="K1" s="216"/>
      <c r="L1" s="216"/>
      <c r="M1" s="216"/>
    </row>
    <row r="2" ht="13.5" spans="1:2">
      <c r="A2" s="213" t="s">
        <v>20</v>
      </c>
      <c r="B2" s="217"/>
    </row>
    <row r="3" ht="16.9" customHeight="1" spans="1:13">
      <c r="A3" s="218" t="s">
        <v>21</v>
      </c>
      <c r="B3" s="218" t="s">
        <v>22</v>
      </c>
      <c r="C3" s="219" t="s">
        <v>23</v>
      </c>
      <c r="D3" s="219"/>
      <c r="E3" s="219"/>
      <c r="F3" s="220"/>
      <c r="G3" s="221"/>
      <c r="H3" s="222"/>
      <c r="I3" s="222"/>
      <c r="J3" s="222" t="s">
        <v>24</v>
      </c>
      <c r="K3" s="222"/>
      <c r="L3" s="222"/>
      <c r="M3" s="243"/>
    </row>
    <row r="4" ht="16.15" customHeight="1" spans="1:13">
      <c r="A4" s="223"/>
      <c r="B4" s="223" t="s">
        <v>25</v>
      </c>
      <c r="C4" s="219">
        <v>2017</v>
      </c>
      <c r="D4" s="219">
        <f t="shared" ref="D4:L4" si="0">C4+1</f>
        <v>2018</v>
      </c>
      <c r="E4" s="219">
        <f t="shared" si="0"/>
        <v>2019</v>
      </c>
      <c r="F4" s="219">
        <f t="shared" si="0"/>
        <v>2020</v>
      </c>
      <c r="G4" s="219">
        <f t="shared" si="0"/>
        <v>2021</v>
      </c>
      <c r="H4" s="224">
        <f t="shared" si="0"/>
        <v>2022</v>
      </c>
      <c r="I4" s="224">
        <f t="shared" si="0"/>
        <v>2023</v>
      </c>
      <c r="J4" s="224">
        <f t="shared" si="0"/>
        <v>2024</v>
      </c>
      <c r="K4" s="224">
        <f t="shared" si="0"/>
        <v>2025</v>
      </c>
      <c r="L4" s="224">
        <f t="shared" si="0"/>
        <v>2026</v>
      </c>
      <c r="M4" s="244" t="s">
        <v>26</v>
      </c>
    </row>
    <row r="5" ht="15.6" customHeight="1" spans="1:13">
      <c r="A5" s="225">
        <v>1</v>
      </c>
      <c r="B5" s="226" t="s">
        <v>27</v>
      </c>
      <c r="C5" s="227">
        <f>SUM(C6:C9)</f>
        <v>0</v>
      </c>
      <c r="D5" s="227">
        <f t="shared" ref="D5:L5" si="1">SUM(D6:D9)</f>
        <v>0</v>
      </c>
      <c r="E5" s="227" t="e">
        <f t="shared" si="1"/>
        <v>#REF!</v>
      </c>
      <c r="F5" s="227" t="e">
        <f t="shared" si="1"/>
        <v>#REF!</v>
      </c>
      <c r="G5" s="227" t="e">
        <f t="shared" si="1"/>
        <v>#REF!</v>
      </c>
      <c r="H5" s="227" t="e">
        <f t="shared" si="1"/>
        <v>#REF!</v>
      </c>
      <c r="I5" s="227" t="e">
        <f t="shared" si="1"/>
        <v>#REF!</v>
      </c>
      <c r="J5" s="227" t="e">
        <f t="shared" si="1"/>
        <v>#REF!</v>
      </c>
      <c r="K5" s="227" t="e">
        <f t="shared" si="1"/>
        <v>#REF!</v>
      </c>
      <c r="L5" s="227" t="e">
        <f t="shared" si="1"/>
        <v>#REF!</v>
      </c>
      <c r="M5" s="231" t="e">
        <f t="shared" ref="M5:M17" si="2">SUM(C5:L5)</f>
        <v>#REF!</v>
      </c>
    </row>
    <row r="6" ht="15.6" customHeight="1" spans="1:13">
      <c r="A6" s="225">
        <v>1.1</v>
      </c>
      <c r="B6" s="228" t="s">
        <v>28</v>
      </c>
      <c r="C6" s="229"/>
      <c r="D6" s="229"/>
      <c r="E6" s="229" t="e">
        <f>#REF!</f>
        <v>#REF!</v>
      </c>
      <c r="F6" s="229" t="e">
        <f>#REF!</f>
        <v>#REF!</v>
      </c>
      <c r="G6" s="229" t="e">
        <f>#REF!</f>
        <v>#REF!</v>
      </c>
      <c r="H6" s="229" t="e">
        <f>#REF!</f>
        <v>#REF!</v>
      </c>
      <c r="I6" s="229" t="e">
        <f>#REF!</f>
        <v>#REF!</v>
      </c>
      <c r="J6" s="229" t="e">
        <f>#REF!</f>
        <v>#REF!</v>
      </c>
      <c r="K6" s="229" t="e">
        <f>#REF!</f>
        <v>#REF!</v>
      </c>
      <c r="L6" s="229" t="e">
        <f>#REF!</f>
        <v>#REF!</v>
      </c>
      <c r="M6" s="231" t="e">
        <f t="shared" si="2"/>
        <v>#REF!</v>
      </c>
    </row>
    <row r="7" ht="15.6" customHeight="1" spans="1:13">
      <c r="A7" s="225">
        <v>1.2</v>
      </c>
      <c r="B7" s="228" t="s">
        <v>29</v>
      </c>
      <c r="C7" s="229"/>
      <c r="D7" s="229"/>
      <c r="E7" s="229">
        <f>[1]折、摊!G18</f>
        <v>0</v>
      </c>
      <c r="F7" s="229">
        <f>[1]折、摊!H18</f>
        <v>0</v>
      </c>
      <c r="G7" s="229">
        <f>[1]折、摊!I18</f>
        <v>0</v>
      </c>
      <c r="H7" s="229">
        <f>[1]折、摊!J18</f>
        <v>0</v>
      </c>
      <c r="I7" s="229">
        <f>[1]折、摊!K18</f>
        <v>0</v>
      </c>
      <c r="J7" s="229">
        <f>[1]折、摊!L18</f>
        <v>0</v>
      </c>
      <c r="K7" s="229">
        <f>[1]折、摊!M18</f>
        <v>0</v>
      </c>
      <c r="L7" s="229">
        <f>[1]折、摊!N18</f>
        <v>0</v>
      </c>
      <c r="M7" s="231">
        <f t="shared" si="2"/>
        <v>0</v>
      </c>
    </row>
    <row r="8" ht="15.6" customHeight="1" spans="1:13">
      <c r="A8" s="225">
        <v>1.3</v>
      </c>
      <c r="B8" s="228" t="s">
        <v>30</v>
      </c>
      <c r="C8" s="229" t="s">
        <v>31</v>
      </c>
      <c r="D8" s="229" t="s">
        <v>31</v>
      </c>
      <c r="E8" s="229" t="s">
        <v>31</v>
      </c>
      <c r="F8" s="229" t="s">
        <v>31</v>
      </c>
      <c r="G8" s="229" t="s">
        <v>31</v>
      </c>
      <c r="H8" s="229" t="s">
        <v>31</v>
      </c>
      <c r="I8" s="229" t="s">
        <v>31</v>
      </c>
      <c r="J8" s="229" t="s">
        <v>31</v>
      </c>
      <c r="K8" s="229" t="s">
        <v>31</v>
      </c>
      <c r="L8" s="229"/>
      <c r="M8" s="231">
        <f t="shared" si="2"/>
        <v>0</v>
      </c>
    </row>
    <row r="9" s="212" customFormat="1" ht="15.6" customHeight="1" spans="1:13">
      <c r="A9" s="230">
        <v>1.4</v>
      </c>
      <c r="B9" s="231" t="s">
        <v>32</v>
      </c>
      <c r="C9" s="229" t="s">
        <v>31</v>
      </c>
      <c r="D9" s="229" t="s">
        <v>31</v>
      </c>
      <c r="E9" s="229" t="s">
        <v>31</v>
      </c>
      <c r="F9" s="229" t="s">
        <v>31</v>
      </c>
      <c r="G9" s="229" t="s">
        <v>31</v>
      </c>
      <c r="H9" s="229" t="s">
        <v>31</v>
      </c>
      <c r="I9" s="229" t="s">
        <v>31</v>
      </c>
      <c r="J9" s="229" t="s">
        <v>31</v>
      </c>
      <c r="K9" s="229" t="s">
        <v>31</v>
      </c>
      <c r="L9" s="229" t="s">
        <v>31</v>
      </c>
      <c r="M9" s="231">
        <f t="shared" si="2"/>
        <v>0</v>
      </c>
    </row>
    <row r="10" ht="15.6" customHeight="1" spans="1:13">
      <c r="A10" s="230">
        <v>2</v>
      </c>
      <c r="B10" s="226" t="s">
        <v>33</v>
      </c>
      <c r="C10" s="227">
        <f t="shared" ref="C10:L10" si="3">SUM(C11:C16)</f>
        <v>0</v>
      </c>
      <c r="D10" s="227">
        <f t="shared" si="3"/>
        <v>0</v>
      </c>
      <c r="E10" s="227">
        <f t="shared" si="3"/>
        <v>0</v>
      </c>
      <c r="F10" s="227">
        <f t="shared" si="3"/>
        <v>0</v>
      </c>
      <c r="G10" s="227">
        <f t="shared" si="3"/>
        <v>0</v>
      </c>
      <c r="H10" s="227">
        <f t="shared" si="3"/>
        <v>0</v>
      </c>
      <c r="I10" s="227">
        <f t="shared" si="3"/>
        <v>0</v>
      </c>
      <c r="J10" s="227">
        <f t="shared" si="3"/>
        <v>0</v>
      </c>
      <c r="K10" s="227">
        <f t="shared" si="3"/>
        <v>0</v>
      </c>
      <c r="L10" s="227">
        <f t="shared" si="3"/>
        <v>0</v>
      </c>
      <c r="M10" s="231">
        <f t="shared" si="2"/>
        <v>0</v>
      </c>
    </row>
    <row r="11" ht="15" customHeight="1" spans="1:13">
      <c r="A11" s="225">
        <v>2.1</v>
      </c>
      <c r="B11" s="225" t="s">
        <v>34</v>
      </c>
      <c r="C11" s="229">
        <f>([1]计划!C6-[1]计划!C7)</f>
        <v>0</v>
      </c>
      <c r="D11" s="229">
        <f>([1]计划!D6-[1]计划!D7)</f>
        <v>0</v>
      </c>
      <c r="E11" s="229">
        <f>([1]计划!E6-[1]计划!E7)</f>
        <v>0</v>
      </c>
      <c r="F11" s="229">
        <f>([1]计划!F6-[1]计划!F7)</f>
        <v>0</v>
      </c>
      <c r="G11" s="229">
        <f>([1]计划!G6-[1]计划!G7)</f>
        <v>0</v>
      </c>
      <c r="H11" s="229">
        <f>([1]计划!H6-[1]计划!H7)</f>
        <v>0</v>
      </c>
      <c r="I11" s="229">
        <f>([1]计划!I6-[1]计划!I7)</f>
        <v>0</v>
      </c>
      <c r="J11" s="229">
        <f>([1]计划!J6-[1]计划!J7)</f>
        <v>0</v>
      </c>
      <c r="K11" s="229">
        <f>([1]计划!K6-[1]计划!K7)</f>
        <v>0</v>
      </c>
      <c r="L11" s="229">
        <f>([1]计划!L6-[1]计划!L7)</f>
        <v>0</v>
      </c>
      <c r="M11" s="231">
        <f t="shared" si="2"/>
        <v>0</v>
      </c>
    </row>
    <row r="12" s="212" customFormat="1" ht="15" customHeight="1" spans="1:13">
      <c r="A12" s="225">
        <v>2.2</v>
      </c>
      <c r="B12" s="231" t="s">
        <v>35</v>
      </c>
      <c r="C12" s="229">
        <f>[1]计划!C8</f>
        <v>0</v>
      </c>
      <c r="D12" s="229">
        <f>[1]计划!D8</f>
        <v>0</v>
      </c>
      <c r="E12" s="229">
        <f>[1]计划!E8</f>
        <v>0</v>
      </c>
      <c r="F12" s="229">
        <f>[1]计划!F8</f>
        <v>0</v>
      </c>
      <c r="G12" s="229">
        <f>[1]计划!G8</f>
        <v>0</v>
      </c>
      <c r="H12" s="229">
        <f>[1]计划!H8</f>
        <v>0</v>
      </c>
      <c r="I12" s="229">
        <f>[1]计划!I8</f>
        <v>0</v>
      </c>
      <c r="J12" s="229">
        <f>[1]计划!J8</f>
        <v>0</v>
      </c>
      <c r="K12" s="229">
        <f>[1]计划!K8</f>
        <v>0</v>
      </c>
      <c r="L12" s="229">
        <f>[1]计划!L8</f>
        <v>0</v>
      </c>
      <c r="M12" s="231">
        <f t="shared" si="2"/>
        <v>0</v>
      </c>
    </row>
    <row r="13" ht="15" customHeight="1" spans="1:13">
      <c r="A13" s="225">
        <v>2.3</v>
      </c>
      <c r="B13" s="228" t="s">
        <v>36</v>
      </c>
      <c r="C13" s="229">
        <f>[1]总成本!C22</f>
        <v>0</v>
      </c>
      <c r="D13" s="229">
        <f>[1]总成本!D22</f>
        <v>0</v>
      </c>
      <c r="E13" s="229">
        <f>[1]总成本!E22</f>
        <v>0</v>
      </c>
      <c r="F13" s="229">
        <f>[1]总成本!F22</f>
        <v>0</v>
      </c>
      <c r="G13" s="229">
        <f>[1]总成本!G22</f>
        <v>0</v>
      </c>
      <c r="H13" s="229">
        <f>[1]总成本!H22</f>
        <v>0</v>
      </c>
      <c r="I13" s="229">
        <f>[1]总成本!I22</f>
        <v>0</v>
      </c>
      <c r="J13" s="229">
        <f>[1]总成本!J22</f>
        <v>0</v>
      </c>
      <c r="K13" s="229">
        <f>[1]总成本!K22</f>
        <v>0</v>
      </c>
      <c r="L13" s="229">
        <f>[1]总成本!L22</f>
        <v>0</v>
      </c>
      <c r="M13" s="231">
        <f t="shared" si="2"/>
        <v>0</v>
      </c>
    </row>
    <row r="14" ht="15" customHeight="1" spans="1:13">
      <c r="A14" s="225">
        <v>2.4</v>
      </c>
      <c r="B14" s="228" t="s">
        <v>37</v>
      </c>
      <c r="C14" s="229">
        <f>[1]价格!D15</f>
        <v>0</v>
      </c>
      <c r="D14" s="229">
        <f>[1]价格!E15</f>
        <v>0</v>
      </c>
      <c r="E14" s="229">
        <f>[1]价格!F15</f>
        <v>0</v>
      </c>
      <c r="F14" s="229">
        <f>[1]价格!G15</f>
        <v>0</v>
      </c>
      <c r="G14" s="229">
        <f>[1]价格!H15</f>
        <v>0</v>
      </c>
      <c r="H14" s="229">
        <f>[1]价格!I15</f>
        <v>0</v>
      </c>
      <c r="I14" s="229">
        <f>[1]价格!J15</f>
        <v>0</v>
      </c>
      <c r="J14" s="229">
        <f>[1]价格!K15</f>
        <v>0</v>
      </c>
      <c r="K14" s="229">
        <f>[1]价格!L15</f>
        <v>0</v>
      </c>
      <c r="L14" s="229">
        <f>[1]价格!M15</f>
        <v>0</v>
      </c>
      <c r="M14" s="231">
        <f t="shared" si="2"/>
        <v>0</v>
      </c>
    </row>
    <row r="15" ht="15" customHeight="1" spans="1:13">
      <c r="A15" s="225">
        <v>2.5</v>
      </c>
      <c r="B15" s="228" t="s">
        <v>38</v>
      </c>
      <c r="C15" s="229">
        <f>[1]利润!C13</f>
        <v>0</v>
      </c>
      <c r="D15" s="229">
        <f>[1]利润!D13</f>
        <v>0</v>
      </c>
      <c r="E15" s="229">
        <f>[1]利润!E13</f>
        <v>0</v>
      </c>
      <c r="F15" s="229">
        <f>[1]利润!F13</f>
        <v>0</v>
      </c>
      <c r="G15" s="229">
        <f>[1]利润!G13</f>
        <v>0</v>
      </c>
      <c r="H15" s="229">
        <f>[1]利润!H13</f>
        <v>0</v>
      </c>
      <c r="I15" s="229">
        <f>[1]利润!I13</f>
        <v>0</v>
      </c>
      <c r="J15" s="229">
        <f>[1]利润!J13</f>
        <v>0</v>
      </c>
      <c r="K15" s="229">
        <f>[1]利润!K13</f>
        <v>0</v>
      </c>
      <c r="L15" s="229">
        <f>[1]利润!L13</f>
        <v>0</v>
      </c>
      <c r="M15" s="231">
        <f t="shared" si="2"/>
        <v>0</v>
      </c>
    </row>
    <row r="16" ht="15" customHeight="1" spans="1:13">
      <c r="A16" s="225">
        <v>2.6</v>
      </c>
      <c r="B16" s="228" t="s">
        <v>39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31">
        <f t="shared" si="2"/>
        <v>0</v>
      </c>
    </row>
    <row r="17" ht="13.5" spans="1:13">
      <c r="A17" s="225">
        <v>3</v>
      </c>
      <c r="B17" s="226" t="s">
        <v>40</v>
      </c>
      <c r="C17" s="227">
        <f t="shared" ref="C17:L17" si="4">C5-C10</f>
        <v>0</v>
      </c>
      <c r="D17" s="227">
        <f t="shared" si="4"/>
        <v>0</v>
      </c>
      <c r="E17" s="227" t="e">
        <f t="shared" si="4"/>
        <v>#REF!</v>
      </c>
      <c r="F17" s="227" t="e">
        <f t="shared" si="4"/>
        <v>#REF!</v>
      </c>
      <c r="G17" s="227" t="e">
        <f t="shared" si="4"/>
        <v>#REF!</v>
      </c>
      <c r="H17" s="227" t="e">
        <f t="shared" si="4"/>
        <v>#REF!</v>
      </c>
      <c r="I17" s="227" t="e">
        <f t="shared" si="4"/>
        <v>#REF!</v>
      </c>
      <c r="J17" s="227" t="e">
        <f t="shared" si="4"/>
        <v>#REF!</v>
      </c>
      <c r="K17" s="227" t="e">
        <f t="shared" si="4"/>
        <v>#REF!</v>
      </c>
      <c r="L17" s="227" t="e">
        <f t="shared" si="4"/>
        <v>#REF!</v>
      </c>
      <c r="M17" s="231" t="e">
        <f t="shared" si="2"/>
        <v>#REF!</v>
      </c>
    </row>
    <row r="18" ht="13.5" spans="1:13">
      <c r="A18" s="232">
        <v>4</v>
      </c>
      <c r="B18" s="228" t="s">
        <v>41</v>
      </c>
      <c r="C18" s="229">
        <f>C17</f>
        <v>0</v>
      </c>
      <c r="D18" s="229">
        <f t="shared" ref="D18:L18" si="5">C18+D17</f>
        <v>0</v>
      </c>
      <c r="E18" s="229" t="e">
        <f t="shared" si="5"/>
        <v>#REF!</v>
      </c>
      <c r="F18" s="229" t="e">
        <f t="shared" si="5"/>
        <v>#REF!</v>
      </c>
      <c r="G18" s="229" t="e">
        <f t="shared" si="5"/>
        <v>#REF!</v>
      </c>
      <c r="H18" s="229" t="e">
        <f t="shared" si="5"/>
        <v>#REF!</v>
      </c>
      <c r="I18" s="229" t="e">
        <f t="shared" si="5"/>
        <v>#REF!</v>
      </c>
      <c r="J18" s="229" t="e">
        <f t="shared" si="5"/>
        <v>#REF!</v>
      </c>
      <c r="K18" s="229" t="e">
        <f t="shared" si="5"/>
        <v>#REF!</v>
      </c>
      <c r="L18" s="229" t="e">
        <f t="shared" si="5"/>
        <v>#REF!</v>
      </c>
      <c r="M18" s="228" t="s">
        <v>31</v>
      </c>
    </row>
    <row r="19" s="212" customFormat="1" ht="12" spans="1:13">
      <c r="A19" s="232">
        <v>5</v>
      </c>
      <c r="B19" s="228" t="s">
        <v>42</v>
      </c>
      <c r="C19" s="229">
        <f t="shared" ref="C19:L19" si="6">C17+C15</f>
        <v>0</v>
      </c>
      <c r="D19" s="229">
        <f t="shared" si="6"/>
        <v>0</v>
      </c>
      <c r="E19" s="229" t="e">
        <f t="shared" si="6"/>
        <v>#REF!</v>
      </c>
      <c r="F19" s="229" t="e">
        <f t="shared" si="6"/>
        <v>#REF!</v>
      </c>
      <c r="G19" s="229" t="e">
        <f t="shared" si="6"/>
        <v>#REF!</v>
      </c>
      <c r="H19" s="229" t="e">
        <f t="shared" si="6"/>
        <v>#REF!</v>
      </c>
      <c r="I19" s="229" t="e">
        <f t="shared" si="6"/>
        <v>#REF!</v>
      </c>
      <c r="J19" s="229" t="e">
        <f t="shared" si="6"/>
        <v>#REF!</v>
      </c>
      <c r="K19" s="229" t="e">
        <f t="shared" si="6"/>
        <v>#REF!</v>
      </c>
      <c r="L19" s="229" t="e">
        <f t="shared" si="6"/>
        <v>#REF!</v>
      </c>
      <c r="M19" s="231" t="e">
        <f>SUM(C19:L19)</f>
        <v>#REF!</v>
      </c>
    </row>
    <row r="20" s="212" customFormat="1" ht="12" spans="1:13">
      <c r="A20" s="225">
        <v>6</v>
      </c>
      <c r="B20" s="228" t="s">
        <v>43</v>
      </c>
      <c r="C20" s="229">
        <f>C19</f>
        <v>0</v>
      </c>
      <c r="D20" s="229">
        <f t="shared" ref="D20:L20" si="7">C20+D19</f>
        <v>0</v>
      </c>
      <c r="E20" s="229" t="e">
        <f t="shared" si="7"/>
        <v>#REF!</v>
      </c>
      <c r="F20" s="229" t="e">
        <f t="shared" si="7"/>
        <v>#REF!</v>
      </c>
      <c r="G20" s="229" t="e">
        <f t="shared" si="7"/>
        <v>#REF!</v>
      </c>
      <c r="H20" s="229" t="e">
        <f t="shared" si="7"/>
        <v>#REF!</v>
      </c>
      <c r="I20" s="229" t="e">
        <f t="shared" si="7"/>
        <v>#REF!</v>
      </c>
      <c r="J20" s="229" t="e">
        <f t="shared" si="7"/>
        <v>#REF!</v>
      </c>
      <c r="K20" s="229" t="e">
        <f t="shared" si="7"/>
        <v>#REF!</v>
      </c>
      <c r="L20" s="229" t="e">
        <f t="shared" si="7"/>
        <v>#REF!</v>
      </c>
      <c r="M20" s="228" t="s">
        <v>31</v>
      </c>
    </row>
    <row r="21" ht="13.5" spans="1:13">
      <c r="A21" s="233"/>
      <c r="B21" s="234" t="s">
        <v>44</v>
      </c>
      <c r="C21" s="234"/>
      <c r="D21" s="234"/>
      <c r="E21" s="234" t="s">
        <v>45</v>
      </c>
      <c r="F21" s="234"/>
      <c r="G21" s="234"/>
      <c r="H21" s="234"/>
      <c r="I21" s="234" t="s">
        <v>46</v>
      </c>
      <c r="J21" s="234"/>
      <c r="K21" s="234"/>
      <c r="L21" s="234"/>
      <c r="M21" s="245"/>
    </row>
    <row r="22" ht="13.5" spans="1:13">
      <c r="A22" s="235"/>
      <c r="B22" s="236" t="s">
        <v>47</v>
      </c>
      <c r="C22" s="236"/>
      <c r="D22" s="237" t="s">
        <v>48</v>
      </c>
      <c r="E22" s="238" t="e">
        <f>IRR(C17:L17,0.15)</f>
        <v>#VALUE!</v>
      </c>
      <c r="F22" s="236"/>
      <c r="G22" s="236"/>
      <c r="H22" s="236"/>
      <c r="I22" s="238" t="e">
        <f>IRR(C19:L19,0.15)</f>
        <v>#VALUE!</v>
      </c>
      <c r="J22" s="236"/>
      <c r="K22" s="236"/>
      <c r="L22" s="236"/>
      <c r="M22" s="246"/>
    </row>
    <row r="23" ht="13.5" spans="1:18">
      <c r="A23" s="235"/>
      <c r="B23" s="236" t="s">
        <v>49</v>
      </c>
      <c r="C23" s="236"/>
      <c r="D23" s="236"/>
      <c r="E23" s="239" t="e">
        <f>NPV(0.12,C17:L17)</f>
        <v>#REF!</v>
      </c>
      <c r="F23" s="236"/>
      <c r="G23" s="236"/>
      <c r="H23" s="236"/>
      <c r="I23" s="239" t="e">
        <f>NPV(0.12,C19:L19)</f>
        <v>#REF!</v>
      </c>
      <c r="J23" s="236"/>
      <c r="K23" s="236"/>
      <c r="L23" s="236"/>
      <c r="M23" s="246"/>
      <c r="R23" s="213">
        <f>30.9-29.82</f>
        <v>1.08</v>
      </c>
    </row>
    <row r="24" ht="13.5" spans="1:13">
      <c r="A24" s="240"/>
      <c r="B24" s="241" t="s">
        <v>50</v>
      </c>
      <c r="C24" s="241"/>
      <c r="D24" s="241"/>
      <c r="E24" s="242" t="e">
        <f>6-H18/I17</f>
        <v>#REF!</v>
      </c>
      <c r="F24" s="241"/>
      <c r="G24" s="241"/>
      <c r="H24" s="241"/>
      <c r="I24" s="242" t="e">
        <f>6-H20/I19</f>
        <v>#REF!</v>
      </c>
      <c r="J24" s="241"/>
      <c r="K24" s="241"/>
      <c r="L24" s="241"/>
      <c r="M24" s="24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4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6.5"/>
  <cols>
    <col min="1" max="1" width="5.125" style="182" customWidth="1"/>
    <col min="2" max="2" width="19.625" style="182" customWidth="1"/>
    <col min="3" max="3" width="12.5" style="182" customWidth="1"/>
    <col min="4" max="7" width="12.5" style="183" customWidth="1"/>
    <col min="8" max="8" width="16.5" style="183" customWidth="1"/>
    <col min="9" max="34" width="9" style="182"/>
    <col min="35" max="35" width="4.375" style="182" customWidth="1"/>
    <col min="36" max="36" width="13.875" style="182" customWidth="1"/>
    <col min="37" max="16384" width="9" style="182"/>
  </cols>
  <sheetData>
    <row r="1" ht="36.75" customHeight="1" spans="1:8">
      <c r="A1" s="184" t="s">
        <v>51</v>
      </c>
      <c r="B1" s="184"/>
      <c r="C1" s="184"/>
      <c r="D1" s="184"/>
      <c r="E1" s="184"/>
      <c r="F1" s="184"/>
      <c r="G1" s="184"/>
      <c r="H1" s="184"/>
    </row>
    <row r="2" ht="22.5" customHeight="1" spans="2:8">
      <c r="B2" s="185"/>
      <c r="C2" s="185"/>
      <c r="D2" s="185"/>
      <c r="E2" s="185"/>
      <c r="F2" s="185"/>
      <c r="G2" s="185" t="s">
        <v>52</v>
      </c>
      <c r="H2" s="185"/>
    </row>
    <row r="3" ht="21.75" customHeight="1" spans="1:37">
      <c r="A3" s="186" t="s">
        <v>21</v>
      </c>
      <c r="B3" s="187" t="s">
        <v>1</v>
      </c>
      <c r="C3" s="187" t="s">
        <v>53</v>
      </c>
      <c r="D3" s="187" t="s">
        <v>54</v>
      </c>
      <c r="E3" s="187" t="s">
        <v>55</v>
      </c>
      <c r="F3" s="187" t="s">
        <v>56</v>
      </c>
      <c r="G3" s="187" t="s">
        <v>57</v>
      </c>
      <c r="H3" s="188" t="s">
        <v>58</v>
      </c>
      <c r="AK3" s="182" t="s">
        <v>59</v>
      </c>
    </row>
    <row r="4" s="147" customFormat="1" ht="15.75" customHeight="1" spans="1:37">
      <c r="A4" s="189"/>
      <c r="B4" s="160" t="s">
        <v>3</v>
      </c>
      <c r="C4" s="190">
        <f>'2025年'!H6</f>
        <v>12050</v>
      </c>
      <c r="D4" s="190">
        <f>'2026年'!H6</f>
        <v>40100</v>
      </c>
      <c r="E4" s="190">
        <f>'2027年'!H6</f>
        <v>40100</v>
      </c>
      <c r="F4" s="190">
        <f>'2028年'!H6</f>
        <v>40100</v>
      </c>
      <c r="G4" s="190">
        <f>'2029年'!H6</f>
        <v>40100</v>
      </c>
      <c r="H4" s="190">
        <f t="shared" ref="H4:H11" si="0">SUM(C4:G4)</f>
        <v>172450</v>
      </c>
      <c r="AI4" s="159" t="s">
        <v>21</v>
      </c>
      <c r="AJ4" s="160" t="s">
        <v>3</v>
      </c>
      <c r="AK4" s="147" t="s">
        <v>60</v>
      </c>
    </row>
    <row r="5" s="147" customFormat="1" ht="15.75" customHeight="1" spans="1:37">
      <c r="A5" s="149">
        <v>1</v>
      </c>
      <c r="B5" s="160" t="s">
        <v>61</v>
      </c>
      <c r="C5" s="190">
        <f>'2025年'!H7</f>
        <v>14909350</v>
      </c>
      <c r="D5" s="190">
        <f>'2026年'!H7</f>
        <v>49658700</v>
      </c>
      <c r="E5" s="190">
        <f>'2027年'!H7</f>
        <v>49658700</v>
      </c>
      <c r="F5" s="190">
        <f>'2028年'!H7</f>
        <v>49658700</v>
      </c>
      <c r="G5" s="190">
        <f>'2029年'!H7</f>
        <v>49658700</v>
      </c>
      <c r="H5" s="190">
        <f t="shared" si="0"/>
        <v>213544150</v>
      </c>
      <c r="AI5" s="159" t="s">
        <v>62</v>
      </c>
      <c r="AJ5" s="160" t="s">
        <v>61</v>
      </c>
      <c r="AK5" s="147" t="s">
        <v>60</v>
      </c>
    </row>
    <row r="6" s="147" customFormat="1" ht="15.75" customHeight="1" spans="1:37">
      <c r="A6" s="149">
        <v>2</v>
      </c>
      <c r="B6" s="149" t="s">
        <v>63</v>
      </c>
      <c r="C6" s="190">
        <f>'2025年'!H8</f>
        <v>0</v>
      </c>
      <c r="D6" s="190">
        <f>'2026年'!H8</f>
        <v>2482935</v>
      </c>
      <c r="E6" s="190">
        <f>'2027年'!H8</f>
        <v>4841723.25</v>
      </c>
      <c r="F6" s="190">
        <f>'2028年'!H8</f>
        <v>7082572.0875</v>
      </c>
      <c r="G6" s="190">
        <f>'2029年'!H8</f>
        <v>9211378.483125</v>
      </c>
      <c r="H6" s="190">
        <f t="shared" si="0"/>
        <v>23618608.820625</v>
      </c>
      <c r="AI6" s="159" t="s">
        <v>64</v>
      </c>
      <c r="AJ6" s="149" t="s">
        <v>65</v>
      </c>
      <c r="AK6" s="147" t="s">
        <v>60</v>
      </c>
    </row>
    <row r="7" s="147" customFormat="1" ht="15.75" customHeight="1" spans="1:37">
      <c r="A7" s="149">
        <v>3</v>
      </c>
      <c r="B7" s="160" t="s">
        <v>66</v>
      </c>
      <c r="C7" s="191">
        <f>'2025年'!H9</f>
        <v>14909350</v>
      </c>
      <c r="D7" s="191">
        <f>D5-D6</f>
        <v>47175765</v>
      </c>
      <c r="E7" s="191">
        <f>'2027年'!H9</f>
        <v>44816976.75</v>
      </c>
      <c r="F7" s="190">
        <f>'2028年'!H9</f>
        <v>42576127.9125</v>
      </c>
      <c r="G7" s="190">
        <f>'2029年'!H9</f>
        <v>40447321.516875</v>
      </c>
      <c r="H7" s="190">
        <f t="shared" si="0"/>
        <v>189925541.179375</v>
      </c>
      <c r="AI7" s="159" t="s">
        <v>67</v>
      </c>
      <c r="AJ7" s="160" t="s">
        <v>66</v>
      </c>
      <c r="AK7" s="147" t="s">
        <v>68</v>
      </c>
    </row>
    <row r="8" s="147" customFormat="1" ht="15.75" customHeight="1" spans="1:37">
      <c r="A8" s="149">
        <v>4</v>
      </c>
      <c r="B8" s="159" t="s">
        <v>69</v>
      </c>
      <c r="C8" s="190">
        <f>'2025年'!H10</f>
        <v>12475298.1432495</v>
      </c>
      <c r="D8" s="190">
        <f>'2026年'!H10</f>
        <v>39481069.4364003</v>
      </c>
      <c r="E8" s="191">
        <f>'2027年'!H10</f>
        <v>37507015.9645803</v>
      </c>
      <c r="F8" s="190">
        <f>'2028年'!H10</f>
        <v>35631665.1663512</v>
      </c>
      <c r="G8" s="190">
        <f>'2029年'!H10</f>
        <v>33850081.9080337</v>
      </c>
      <c r="H8" s="190">
        <f t="shared" si="0"/>
        <v>158945130.618615</v>
      </c>
      <c r="AI8" s="159" t="s">
        <v>70</v>
      </c>
      <c r="AJ8" s="159" t="s">
        <v>69</v>
      </c>
      <c r="AK8" s="147" t="s">
        <v>71</v>
      </c>
    </row>
    <row r="9" s="147" customFormat="1" ht="15.75" customHeight="1" spans="1:36">
      <c r="A9" s="149">
        <v>5</v>
      </c>
      <c r="B9" s="159" t="s">
        <v>72</v>
      </c>
      <c r="C9" s="190">
        <f>'2025年'!H11</f>
        <v>183257.454167245</v>
      </c>
      <c r="D9" s="190">
        <f>'2026年'!H11</f>
        <v>610546.90833449</v>
      </c>
      <c r="E9" s="191">
        <f>'2027年'!H11</f>
        <v>610546.90833449</v>
      </c>
      <c r="F9" s="190">
        <f>'2028年'!H11</f>
        <v>610546.90833449</v>
      </c>
      <c r="G9" s="190">
        <f>'2029年'!H11</f>
        <v>610546.90833449</v>
      </c>
      <c r="H9" s="190">
        <f t="shared" si="0"/>
        <v>2625445.08750521</v>
      </c>
      <c r="AI9" s="159" t="s">
        <v>73</v>
      </c>
      <c r="AJ9" s="159" t="s">
        <v>72</v>
      </c>
    </row>
    <row r="10" s="147" customFormat="1" ht="15.75" customHeight="1" spans="1:36">
      <c r="A10" s="149">
        <v>6</v>
      </c>
      <c r="B10" s="159" t="s">
        <v>74</v>
      </c>
      <c r="C10" s="190">
        <f>'2025年'!H12</f>
        <v>165378.678150929</v>
      </c>
      <c r="D10" s="190">
        <f>'2026年'!H12</f>
        <v>550981.356301857</v>
      </c>
      <c r="E10" s="191">
        <f>'2027年'!H12</f>
        <v>550981.356301857</v>
      </c>
      <c r="F10" s="190">
        <f>'2028年'!H12</f>
        <v>550981.356301857</v>
      </c>
      <c r="G10" s="190">
        <f>'2029年'!H12</f>
        <v>550981.356301857</v>
      </c>
      <c r="H10" s="190">
        <f t="shared" si="0"/>
        <v>2369304.10335836</v>
      </c>
      <c r="AI10" s="159" t="s">
        <v>75</v>
      </c>
      <c r="AJ10" s="159" t="s">
        <v>74</v>
      </c>
    </row>
    <row r="11" s="147" customFormat="1" ht="15.75" customHeight="1" spans="1:37">
      <c r="A11" s="149">
        <v>7</v>
      </c>
      <c r="B11" s="159" t="s">
        <v>76</v>
      </c>
      <c r="C11" s="190">
        <f>'2025年'!H13</f>
        <v>238383.680217555</v>
      </c>
      <c r="D11" s="190">
        <f>'2026年'!H13</f>
        <v>794207.360435109</v>
      </c>
      <c r="E11" s="191">
        <f>'2027年'!H13</f>
        <v>794207.360435109</v>
      </c>
      <c r="F11" s="190">
        <f>'2028年'!H13</f>
        <v>794207.360435109</v>
      </c>
      <c r="G11" s="190">
        <f>'2029年'!H13</f>
        <v>794207.360435109</v>
      </c>
      <c r="H11" s="190">
        <f t="shared" si="0"/>
        <v>3415213.12195799</v>
      </c>
      <c r="AI11" s="159" t="s">
        <v>77</v>
      </c>
      <c r="AJ11" s="159" t="s">
        <v>76</v>
      </c>
      <c r="AK11" s="147" t="s">
        <v>60</v>
      </c>
    </row>
    <row r="12" s="147" customFormat="1" ht="15.75" customHeight="1" spans="1:36">
      <c r="A12" s="149">
        <v>8</v>
      </c>
      <c r="B12" s="192" t="s">
        <v>78</v>
      </c>
      <c r="C12" s="193">
        <f>SUM(C9:C11)</f>
        <v>587019.812535728</v>
      </c>
      <c r="D12" s="193">
        <f t="shared" ref="D12:H12" si="1">SUM(D9:D11)</f>
        <v>1955735.62507146</v>
      </c>
      <c r="E12" s="193">
        <f t="shared" si="1"/>
        <v>1955735.62507146</v>
      </c>
      <c r="F12" s="193">
        <f t="shared" si="1"/>
        <v>1955735.62507146</v>
      </c>
      <c r="G12" s="193">
        <f t="shared" si="1"/>
        <v>1955735.62507146</v>
      </c>
      <c r="H12" s="193">
        <f t="shared" si="1"/>
        <v>8409962.31282156</v>
      </c>
      <c r="AI12" s="159" t="s">
        <v>79</v>
      </c>
      <c r="AJ12" s="163" t="s">
        <v>78</v>
      </c>
    </row>
    <row r="13" s="147" customFormat="1" ht="15.75" customHeight="1" spans="1:36">
      <c r="A13" s="149">
        <v>9</v>
      </c>
      <c r="B13" s="194" t="s">
        <v>80</v>
      </c>
      <c r="C13" s="190">
        <f>'2025年'!H15</f>
        <v>1847032.04421479</v>
      </c>
      <c r="D13" s="190">
        <f>'2026年'!H15</f>
        <v>5738959.93852828</v>
      </c>
      <c r="E13" s="191">
        <f>'2027年'!H15</f>
        <v>5354225.16034829</v>
      </c>
      <c r="F13" s="190">
        <f>'2028年'!H15</f>
        <v>4988727.12107731</v>
      </c>
      <c r="G13" s="190">
        <f>'2029年'!H15</f>
        <v>4641503.98376987</v>
      </c>
      <c r="H13" s="190">
        <f>SUM(C13:G13)</f>
        <v>22570448.2479385</v>
      </c>
      <c r="J13" s="182"/>
      <c r="K13" s="182"/>
      <c r="L13" s="182"/>
      <c r="M13" s="182"/>
      <c r="N13" s="182"/>
      <c r="O13" s="182"/>
      <c r="AI13" s="159" t="s">
        <v>81</v>
      </c>
      <c r="AJ13" s="163" t="s">
        <v>80</v>
      </c>
    </row>
    <row r="14" ht="15.75" customHeight="1" spans="1:36">
      <c r="A14" s="149">
        <v>10</v>
      </c>
      <c r="B14" s="195" t="s">
        <v>82</v>
      </c>
      <c r="C14" s="196">
        <f>+C13/C7</f>
        <v>0.123884142783877</v>
      </c>
      <c r="D14" s="196">
        <f>+D13/D7</f>
        <v>0.121650596201848</v>
      </c>
      <c r="E14" s="196">
        <f t="shared" ref="E14:H14" si="2">+E13/E7</f>
        <v>0.119468682374884</v>
      </c>
      <c r="F14" s="196">
        <f t="shared" si="2"/>
        <v>0.117171930978079</v>
      </c>
      <c r="G14" s="196">
        <f t="shared" si="2"/>
        <v>0.114754297928811</v>
      </c>
      <c r="H14" s="196">
        <f t="shared" si="2"/>
        <v>0.118838404291405</v>
      </c>
      <c r="AI14" s="195" t="s">
        <v>83</v>
      </c>
      <c r="AJ14" s="195" t="s">
        <v>82</v>
      </c>
    </row>
    <row r="15" ht="15.75" customHeight="1" spans="1:36">
      <c r="A15" s="149">
        <v>11</v>
      </c>
      <c r="B15" s="195" t="s">
        <v>84</v>
      </c>
      <c r="C15" s="190">
        <f>'2025年'!H17</f>
        <v>864502.668497656</v>
      </c>
      <c r="D15" s="190">
        <f>'2026年'!H17</f>
        <v>2135949.33699531</v>
      </c>
      <c r="E15" s="191">
        <f>'2027年'!H17</f>
        <v>2135949.33699531</v>
      </c>
      <c r="F15" s="190">
        <f>'2028年'!H17</f>
        <v>2135949.33699531</v>
      </c>
      <c r="G15" s="190">
        <f>'2029年'!H17</f>
        <v>2135949.33699531</v>
      </c>
      <c r="H15" s="190">
        <f>SUM(C15:G15)</f>
        <v>9408300.01647891</v>
      </c>
      <c r="AI15" s="195" t="s">
        <v>85</v>
      </c>
      <c r="AJ15" s="195" t="s">
        <v>84</v>
      </c>
    </row>
    <row r="16" ht="15.75" hidden="1" customHeight="1" spans="1:36">
      <c r="A16" s="149"/>
      <c r="B16" s="195"/>
      <c r="C16" s="190"/>
      <c r="D16" s="190"/>
      <c r="E16" s="190"/>
      <c r="F16" s="190"/>
      <c r="G16" s="190"/>
      <c r="H16" s="190">
        <f>SUM(D16:F16)</f>
        <v>0</v>
      </c>
      <c r="AI16" s="195"/>
      <c r="AJ16" s="195"/>
    </row>
    <row r="17" ht="15.75" customHeight="1" spans="1:37">
      <c r="A17" s="149">
        <v>12</v>
      </c>
      <c r="B17" s="195" t="s">
        <v>86</v>
      </c>
      <c r="C17" s="197">
        <f>'2025年'!H19</f>
        <v>125151.432114216</v>
      </c>
      <c r="D17" s="197">
        <f>'2026年'!H19</f>
        <v>416958.864228432</v>
      </c>
      <c r="E17" s="197">
        <f>'2027年'!H19</f>
        <v>416958.864228432</v>
      </c>
      <c r="F17" s="190">
        <f>'2028年'!H19</f>
        <v>416958.864228432</v>
      </c>
      <c r="G17" s="190">
        <f>'2029年'!H19</f>
        <v>416958.864228432</v>
      </c>
      <c r="H17" s="190">
        <f>SUM(C17:G17)</f>
        <v>1792986.88902795</v>
      </c>
      <c r="P17" s="175"/>
      <c r="AI17" s="195" t="s">
        <v>87</v>
      </c>
      <c r="AJ17" s="195" t="s">
        <v>86</v>
      </c>
      <c r="AK17" s="182" t="s">
        <v>60</v>
      </c>
    </row>
    <row r="18" ht="15.75" customHeight="1" spans="1:36">
      <c r="A18" s="149">
        <v>13</v>
      </c>
      <c r="B18" s="195" t="s">
        <v>88</v>
      </c>
      <c r="C18" s="197">
        <f>'2025年'!H20</f>
        <v>481237.054439188</v>
      </c>
      <c r="D18" s="197">
        <f>'2026年'!H20</f>
        <v>1603306.10887838</v>
      </c>
      <c r="E18" s="197">
        <f>'2027年'!H20</f>
        <v>1603306.10887838</v>
      </c>
      <c r="F18" s="190">
        <f>'2028年'!H20</f>
        <v>1603306.10887838</v>
      </c>
      <c r="G18" s="190">
        <f>'2029年'!H20</f>
        <v>1603306.10887838</v>
      </c>
      <c r="H18" s="190">
        <f>SUM(C18:G18)</f>
        <v>6894461.4899527</v>
      </c>
      <c r="AI18" s="195" t="s">
        <v>89</v>
      </c>
      <c r="AJ18" s="195" t="s">
        <v>88</v>
      </c>
    </row>
    <row r="19" s="146" customFormat="1" ht="15.75" customHeight="1" spans="1:36">
      <c r="A19" s="149">
        <v>14</v>
      </c>
      <c r="B19" s="168" t="s">
        <v>90</v>
      </c>
      <c r="C19" s="198">
        <f>'2025年'!H21</f>
        <v>32000</v>
      </c>
      <c r="D19" s="198">
        <f>'2026年'!H21</f>
        <v>32000</v>
      </c>
      <c r="E19" s="198">
        <f>'2027年'!H21</f>
        <v>32000</v>
      </c>
      <c r="F19" s="198">
        <f>'2028年'!H21</f>
        <v>32000</v>
      </c>
      <c r="G19" s="190">
        <f>'2029年'!H21</f>
        <v>32000</v>
      </c>
      <c r="H19" s="190">
        <f>SUM(C19:G19)</f>
        <v>160000</v>
      </c>
      <c r="AI19" s="168"/>
      <c r="AJ19" s="168"/>
    </row>
    <row r="20" s="147" customFormat="1" ht="15.75" customHeight="1" spans="1:36">
      <c r="A20" s="149">
        <v>15</v>
      </c>
      <c r="B20" s="159" t="s">
        <v>91</v>
      </c>
      <c r="C20" s="197">
        <f>'2025年'!H22</f>
        <v>528913.790482699</v>
      </c>
      <c r="D20" s="197">
        <f>'2026年'!H22</f>
        <v>1762147.5809654</v>
      </c>
      <c r="E20" s="197">
        <f>'2027年'!H22</f>
        <v>1762147.5809654</v>
      </c>
      <c r="F20" s="190">
        <f>'2028年'!H22</f>
        <v>1762147.5809654</v>
      </c>
      <c r="G20" s="190">
        <f>'2029年'!H22</f>
        <v>1762147.5809654</v>
      </c>
      <c r="H20" s="190">
        <f>SUM(C20:G20)</f>
        <v>7577504.11434429</v>
      </c>
      <c r="AI20" s="159" t="s">
        <v>92</v>
      </c>
      <c r="AJ20" s="159" t="s">
        <v>91</v>
      </c>
    </row>
    <row r="21" s="180" customFormat="1" ht="15.75" customHeight="1" spans="1:36">
      <c r="A21" s="149">
        <v>16</v>
      </c>
      <c r="B21" s="199" t="s">
        <v>93</v>
      </c>
      <c r="C21" s="193">
        <f t="shared" ref="C21:H21" si="3">+C20+C19+C18+C17+C15</f>
        <v>2031804.94553376</v>
      </c>
      <c r="D21" s="193">
        <f t="shared" si="3"/>
        <v>5950361.89106752</v>
      </c>
      <c r="E21" s="193">
        <f t="shared" si="3"/>
        <v>5950361.89106752</v>
      </c>
      <c r="F21" s="193">
        <f t="shared" si="3"/>
        <v>5950361.89106752</v>
      </c>
      <c r="G21" s="193">
        <f t="shared" si="3"/>
        <v>5950361.89106752</v>
      </c>
      <c r="H21" s="193">
        <f t="shared" si="3"/>
        <v>25833252.5098038</v>
      </c>
      <c r="AI21" s="209" t="s">
        <v>94</v>
      </c>
      <c r="AJ21" s="210" t="s">
        <v>93</v>
      </c>
    </row>
    <row r="22" ht="15.75" customHeight="1" spans="1:36">
      <c r="A22" s="149">
        <v>17</v>
      </c>
      <c r="B22" s="195" t="s">
        <v>95</v>
      </c>
      <c r="C22" s="198">
        <f>'2025年'!H24</f>
        <v>-184772.901318967</v>
      </c>
      <c r="D22" s="200">
        <f>'2026年'!H24</f>
        <v>-211401.952539243</v>
      </c>
      <c r="E22" s="200">
        <f>'2027年'!H24</f>
        <v>-596136.730719231</v>
      </c>
      <c r="F22" s="190">
        <f>'2028年'!H24</f>
        <v>-961634.769990213</v>
      </c>
      <c r="G22" s="190">
        <f>'2029年'!H24</f>
        <v>-1308857.90729766</v>
      </c>
      <c r="H22" s="190">
        <f>SUM(C22:G22)</f>
        <v>-3262804.26186531</v>
      </c>
      <c r="AI22" s="195" t="s">
        <v>96</v>
      </c>
      <c r="AJ22" s="195" t="s">
        <v>95</v>
      </c>
    </row>
    <row r="23" ht="15.75" customHeight="1" spans="1:36">
      <c r="A23" s="149">
        <v>18</v>
      </c>
      <c r="B23" s="195" t="s">
        <v>38</v>
      </c>
      <c r="C23" s="198">
        <f>'2025年'!H25</f>
        <v>0</v>
      </c>
      <c r="D23" s="200">
        <f>'2026年'!H25</f>
        <v>0</v>
      </c>
      <c r="E23" s="200">
        <f>'2027年'!H25</f>
        <v>0</v>
      </c>
      <c r="F23" s="190">
        <f>'2028年'!H25</f>
        <v>0</v>
      </c>
      <c r="G23" s="190">
        <f>'2029年'!H25</f>
        <v>0</v>
      </c>
      <c r="H23" s="190">
        <f t="shared" ref="H23" si="4">IF(H22&lt;0,0,H22*0.15)</f>
        <v>0</v>
      </c>
      <c r="AI23" s="195" t="s">
        <v>97</v>
      </c>
      <c r="AJ23" s="195" t="s">
        <v>38</v>
      </c>
    </row>
    <row r="24" ht="15.75" customHeight="1" spans="1:36">
      <c r="A24" s="149">
        <v>19</v>
      </c>
      <c r="B24" s="195" t="s">
        <v>98</v>
      </c>
      <c r="C24" s="198">
        <f>'2025年'!H26</f>
        <v>-248474.65203601</v>
      </c>
      <c r="D24" s="200">
        <f>'2026年'!H26</f>
        <v>-211401.952539243</v>
      </c>
      <c r="E24" s="200">
        <f>'2027年'!H26</f>
        <v>-596136.730719231</v>
      </c>
      <c r="F24" s="190">
        <f>'2028年'!H26</f>
        <v>-961634.769990213</v>
      </c>
      <c r="G24" s="190">
        <f>'2029年'!H26</f>
        <v>-1308857.90729766</v>
      </c>
      <c r="H24" s="190">
        <f>H22-H23</f>
        <v>-3262804.26186531</v>
      </c>
      <c r="AI24" s="195" t="s">
        <v>99</v>
      </c>
      <c r="AJ24" s="195" t="s">
        <v>98</v>
      </c>
    </row>
    <row r="25" ht="15.75" customHeight="1" spans="1:36">
      <c r="A25" s="149">
        <v>20</v>
      </c>
      <c r="B25" s="195" t="s">
        <v>100</v>
      </c>
      <c r="C25" s="201">
        <f>C24/C7</f>
        <v>-0.0166656931412845</v>
      </c>
      <c r="D25" s="201">
        <f t="shared" ref="D25:H25" si="5">D24/D7</f>
        <v>-0.00448115579131028</v>
      </c>
      <c r="E25" s="201">
        <f t="shared" si="5"/>
        <v>-0.0133015828810727</v>
      </c>
      <c r="F25" s="201">
        <f t="shared" si="5"/>
        <v>-0.0225862429755592</v>
      </c>
      <c r="G25" s="201">
        <f t="shared" si="5"/>
        <v>-0.0323595693908084</v>
      </c>
      <c r="H25" s="201">
        <f t="shared" si="5"/>
        <v>-0.0171793864142988</v>
      </c>
      <c r="AI25" s="211" t="s">
        <v>101</v>
      </c>
      <c r="AJ25" s="211" t="s">
        <v>102</v>
      </c>
    </row>
    <row r="26" s="181" customFormat="1" ht="15.75" customHeight="1" spans="4:8">
      <c r="D26" s="202"/>
      <c r="E26" s="202"/>
      <c r="F26" s="202"/>
      <c r="G26" s="202"/>
      <c r="H26" s="202"/>
    </row>
    <row r="27" s="181" customFormat="1" ht="15.75" customHeight="1" spans="1:35">
      <c r="A27" s="181" t="s">
        <v>103</v>
      </c>
      <c r="D27" s="203"/>
      <c r="E27" s="203"/>
      <c r="F27" s="203"/>
      <c r="G27" s="203"/>
      <c r="H27" s="203"/>
      <c r="AI27" s="181" t="s">
        <v>103</v>
      </c>
    </row>
    <row r="28" ht="25.5" customHeight="1" spans="1:37">
      <c r="A28" s="195" t="s">
        <v>21</v>
      </c>
      <c r="B28" s="204" t="s">
        <v>1</v>
      </c>
      <c r="C28" s="187" t="str">
        <f>C3</f>
        <v>2025年</v>
      </c>
      <c r="D28" s="187" t="str">
        <f t="shared" ref="D28:G28" si="6">D3</f>
        <v>2026年</v>
      </c>
      <c r="E28" s="187" t="str">
        <f t="shared" si="6"/>
        <v>2027年</v>
      </c>
      <c r="F28" s="187" t="str">
        <f t="shared" si="6"/>
        <v>2028年</v>
      </c>
      <c r="G28" s="187" t="str">
        <f t="shared" si="6"/>
        <v>2029年</v>
      </c>
      <c r="H28" s="188" t="s">
        <v>58</v>
      </c>
      <c r="AK28" s="182" t="s">
        <v>59</v>
      </c>
    </row>
    <row r="29" s="147" customFormat="1" ht="15.75" customHeight="1" spans="1:36">
      <c r="A29" s="159" t="s">
        <v>104</v>
      </c>
      <c r="B29" s="163" t="s">
        <v>105</v>
      </c>
      <c r="C29" s="163"/>
      <c r="D29" s="167"/>
      <c r="E29" s="167"/>
      <c r="F29" s="167"/>
      <c r="G29" s="167"/>
      <c r="H29" s="167"/>
      <c r="AI29" s="159" t="s">
        <v>106</v>
      </c>
      <c r="AJ29" s="163" t="s">
        <v>105</v>
      </c>
    </row>
    <row r="30" s="147" customFormat="1" ht="15.75" customHeight="1" spans="1:36">
      <c r="A30" s="159" t="s">
        <v>62</v>
      </c>
      <c r="B30" s="159" t="s">
        <v>107</v>
      </c>
      <c r="C30" s="162">
        <f>+C7/C4</f>
        <v>1237.29045643154</v>
      </c>
      <c r="D30" s="162">
        <f t="shared" ref="D30:H30" si="7">+D7/D4</f>
        <v>1176.4529925187</v>
      </c>
      <c r="E30" s="162">
        <f t="shared" si="7"/>
        <v>1117.63034289277</v>
      </c>
      <c r="F30" s="162">
        <f t="shared" si="7"/>
        <v>1061.74882574813</v>
      </c>
      <c r="G30" s="162">
        <f t="shared" si="7"/>
        <v>1008.66138446072</v>
      </c>
      <c r="H30" s="162">
        <f t="shared" si="7"/>
        <v>1101.33685810017</v>
      </c>
      <c r="AI30" s="159" t="s">
        <v>62</v>
      </c>
      <c r="AJ30" s="159" t="s">
        <v>107</v>
      </c>
    </row>
    <row r="31" s="147" customFormat="1" ht="15.75" customHeight="1" spans="1:36">
      <c r="A31" s="159" t="s">
        <v>64</v>
      </c>
      <c r="B31" s="159" t="s">
        <v>108</v>
      </c>
      <c r="C31" s="162">
        <f>+C8/C4</f>
        <v>1035.29445172195</v>
      </c>
      <c r="D31" s="162">
        <f t="shared" ref="D31:H31" si="8">+D8/D4</f>
        <v>984.565322603498</v>
      </c>
      <c r="E31" s="162">
        <f t="shared" si="8"/>
        <v>935.337056473323</v>
      </c>
      <c r="F31" s="162">
        <f t="shared" si="8"/>
        <v>888.570203649657</v>
      </c>
      <c r="G31" s="162">
        <f t="shared" si="8"/>
        <v>844.141693467174</v>
      </c>
      <c r="H31" s="162">
        <f t="shared" si="8"/>
        <v>921.688203065323</v>
      </c>
      <c r="AI31" s="159" t="s">
        <v>64</v>
      </c>
      <c r="AJ31" s="159" t="s">
        <v>108</v>
      </c>
    </row>
    <row r="32" s="147" customFormat="1" ht="15.75" customHeight="1" spans="1:36">
      <c r="A32" s="159" t="s">
        <v>109</v>
      </c>
      <c r="B32" s="159" t="s">
        <v>110</v>
      </c>
      <c r="C32" s="167">
        <f>C30-C31</f>
        <v>201.996004709587</v>
      </c>
      <c r="D32" s="167">
        <f t="shared" ref="D32:H32" si="9">D30-D31</f>
        <v>191.887669915205</v>
      </c>
      <c r="E32" s="167">
        <f t="shared" si="9"/>
        <v>182.293286419445</v>
      </c>
      <c r="F32" s="167">
        <f t="shared" si="9"/>
        <v>173.178622098473</v>
      </c>
      <c r="G32" s="167">
        <f t="shared" si="9"/>
        <v>164.519690993549</v>
      </c>
      <c r="H32" s="167">
        <f t="shared" si="9"/>
        <v>179.648655034851</v>
      </c>
      <c r="AI32" s="159" t="s">
        <v>109</v>
      </c>
      <c r="AJ32" s="159" t="s">
        <v>110</v>
      </c>
    </row>
    <row r="33" s="147" customFormat="1" ht="15.75" customHeight="1" spans="1:36">
      <c r="A33" s="159">
        <v>3.1</v>
      </c>
      <c r="B33" s="159" t="s">
        <v>111</v>
      </c>
      <c r="C33" s="164">
        <f>C32/C30</f>
        <v>0.163256738674088</v>
      </c>
      <c r="D33" s="164">
        <f t="shared" ref="D33:H33" si="10">D32/D30</f>
        <v>0.163106958914174</v>
      </c>
      <c r="E33" s="164">
        <f t="shared" si="10"/>
        <v>0.163106958914174</v>
      </c>
      <c r="F33" s="164">
        <f t="shared" si="10"/>
        <v>0.163106958914174</v>
      </c>
      <c r="G33" s="164">
        <f t="shared" si="10"/>
        <v>0.163106958914174</v>
      </c>
      <c r="H33" s="164">
        <f t="shared" si="10"/>
        <v>0.163118716779123</v>
      </c>
      <c r="AI33" s="159"/>
      <c r="AJ33" s="159"/>
    </row>
    <row r="34" s="147" customFormat="1" ht="15.75" customHeight="1" spans="1:36">
      <c r="A34" s="159" t="s">
        <v>106</v>
      </c>
      <c r="B34" s="163" t="s">
        <v>10</v>
      </c>
      <c r="C34" s="167"/>
      <c r="D34" s="167"/>
      <c r="E34" s="167"/>
      <c r="F34" s="167"/>
      <c r="G34" s="167"/>
      <c r="H34" s="167"/>
      <c r="AI34" s="159" t="s">
        <v>112</v>
      </c>
      <c r="AJ34" s="163" t="s">
        <v>10</v>
      </c>
    </row>
    <row r="35" s="147" customFormat="1" ht="15.75" customHeight="1" spans="1:36">
      <c r="A35" s="159" t="s">
        <v>62</v>
      </c>
      <c r="B35" s="168" t="s">
        <v>113</v>
      </c>
      <c r="C35" s="162">
        <f>+C9/C4</f>
        <v>15.2080874827589</v>
      </c>
      <c r="D35" s="162">
        <f t="shared" ref="D35:H35" si="11">+D9/D4</f>
        <v>15.2256086866456</v>
      </c>
      <c r="E35" s="162">
        <f t="shared" si="11"/>
        <v>15.2256086866456</v>
      </c>
      <c r="F35" s="162">
        <f t="shared" si="11"/>
        <v>15.2256086866456</v>
      </c>
      <c r="G35" s="162">
        <f t="shared" si="11"/>
        <v>15.2256086866456</v>
      </c>
      <c r="H35" s="162">
        <f t="shared" si="11"/>
        <v>15.224384386809</v>
      </c>
      <c r="AI35" s="159" t="s">
        <v>109</v>
      </c>
      <c r="AJ35" s="159" t="s">
        <v>113</v>
      </c>
    </row>
    <row r="36" s="147" customFormat="1" ht="15.75" customHeight="1" spans="1:36">
      <c r="A36" s="159" t="s">
        <v>64</v>
      </c>
      <c r="B36" s="168" t="s">
        <v>114</v>
      </c>
      <c r="C36" s="162">
        <f>+C10/C4</f>
        <v>13.7243716307825</v>
      </c>
      <c r="D36" s="162">
        <f t="shared" ref="D36:H36" si="12">+D10/D4</f>
        <v>13.7401834489241</v>
      </c>
      <c r="E36" s="162">
        <f t="shared" si="12"/>
        <v>13.7401834489241</v>
      </c>
      <c r="F36" s="162">
        <f t="shared" si="12"/>
        <v>13.7401834489241</v>
      </c>
      <c r="G36" s="162">
        <f t="shared" si="12"/>
        <v>13.7401834489241</v>
      </c>
      <c r="H36" s="162">
        <f t="shared" si="12"/>
        <v>13.7390785929739</v>
      </c>
      <c r="AI36" s="159" t="s">
        <v>67</v>
      </c>
      <c r="AJ36" s="159" t="s">
        <v>114</v>
      </c>
    </row>
    <row r="37" s="147" customFormat="1" ht="15.75" customHeight="1" spans="1:36">
      <c r="A37" s="159" t="s">
        <v>109</v>
      </c>
      <c r="B37" s="168" t="s">
        <v>115</v>
      </c>
      <c r="C37" s="162">
        <f>+C11/C4</f>
        <v>19.7828780263531</v>
      </c>
      <c r="D37" s="162">
        <f t="shared" ref="D37:H37" si="13">+D11/D4</f>
        <v>19.805669836287</v>
      </c>
      <c r="E37" s="162">
        <f t="shared" si="13"/>
        <v>19.805669836287</v>
      </c>
      <c r="F37" s="162">
        <f t="shared" si="13"/>
        <v>19.805669836287</v>
      </c>
      <c r="G37" s="162">
        <f t="shared" si="13"/>
        <v>19.805669836287</v>
      </c>
      <c r="H37" s="162">
        <f t="shared" si="13"/>
        <v>19.8040772511336</v>
      </c>
      <c r="AI37" s="159" t="s">
        <v>73</v>
      </c>
      <c r="AJ37" s="159" t="s">
        <v>115</v>
      </c>
    </row>
    <row r="38" s="147" customFormat="1" ht="15.75" customHeight="1" spans="1:36">
      <c r="A38" s="159" t="s">
        <v>116</v>
      </c>
      <c r="B38" s="194" t="s">
        <v>117</v>
      </c>
      <c r="C38" s="162"/>
      <c r="D38" s="162"/>
      <c r="E38" s="162"/>
      <c r="F38" s="162"/>
      <c r="G38" s="162"/>
      <c r="H38" s="162"/>
      <c r="AI38" s="159" t="s">
        <v>116</v>
      </c>
      <c r="AJ38" s="163" t="s">
        <v>117</v>
      </c>
    </row>
    <row r="39" s="147" customFormat="1" spans="1:36">
      <c r="A39" s="159" t="s">
        <v>62</v>
      </c>
      <c r="B39" s="168" t="s">
        <v>118</v>
      </c>
      <c r="C39" s="162">
        <f>+C13/C4</f>
        <v>153.280667569692</v>
      </c>
      <c r="D39" s="162">
        <f t="shared" ref="D39:H39" si="14">+D13/D4</f>
        <v>143.116207943349</v>
      </c>
      <c r="E39" s="162">
        <f t="shared" si="14"/>
        <v>133.521824447588</v>
      </c>
      <c r="F39" s="162">
        <f t="shared" si="14"/>
        <v>124.407160126616</v>
      </c>
      <c r="G39" s="162">
        <f t="shared" si="14"/>
        <v>115.748229021692</v>
      </c>
      <c r="H39" s="162">
        <f t="shared" si="14"/>
        <v>130.881114803935</v>
      </c>
      <c r="AI39" s="159" t="s">
        <v>62</v>
      </c>
      <c r="AJ39" s="159" t="s">
        <v>118</v>
      </c>
    </row>
    <row r="40" s="147" customFormat="1" ht="15.75" customHeight="1" spans="1:36">
      <c r="A40" s="159" t="s">
        <v>64</v>
      </c>
      <c r="B40" s="168" t="s">
        <v>119</v>
      </c>
      <c r="C40" s="190">
        <f>+C21/C39</f>
        <v>13255.4547011609</v>
      </c>
      <c r="D40" s="190">
        <f t="shared" ref="D40:H40" si="15">+D21/D39</f>
        <v>41577.1349491242</v>
      </c>
      <c r="E40" s="190">
        <f t="shared" si="15"/>
        <v>44564.7137888176</v>
      </c>
      <c r="F40" s="190">
        <f t="shared" si="15"/>
        <v>47829.7381357432</v>
      </c>
      <c r="G40" s="190">
        <f t="shared" si="15"/>
        <v>51407.8007185092</v>
      </c>
      <c r="H40" s="190">
        <f t="shared" si="15"/>
        <v>197379.526820987</v>
      </c>
      <c r="AI40" s="159" t="s">
        <v>64</v>
      </c>
      <c r="AJ40" s="159" t="s">
        <v>119</v>
      </c>
    </row>
    <row r="41" s="147" customFormat="1" ht="15.75" customHeight="1" spans="1:36">
      <c r="A41" s="159" t="s">
        <v>120</v>
      </c>
      <c r="B41" s="163" t="s">
        <v>121</v>
      </c>
      <c r="C41" s="167"/>
      <c r="D41" s="167"/>
      <c r="E41" s="167"/>
      <c r="F41" s="167"/>
      <c r="G41" s="167"/>
      <c r="H41" s="167"/>
      <c r="AI41" s="159" t="s">
        <v>120</v>
      </c>
      <c r="AJ41" s="163" t="s">
        <v>121</v>
      </c>
    </row>
    <row r="42" s="147" customFormat="1" ht="15.75" customHeight="1" spans="1:36">
      <c r="A42" s="159" t="s">
        <v>62</v>
      </c>
      <c r="B42" s="159" t="s">
        <v>122</v>
      </c>
      <c r="C42" s="167">
        <f>+C15/C4</f>
        <v>71.7429600412993</v>
      </c>
      <c r="D42" s="167">
        <f t="shared" ref="D42:H42" si="16">+D15/D4</f>
        <v>53.26556950113</v>
      </c>
      <c r="E42" s="167">
        <f t="shared" si="16"/>
        <v>53.26556950113</v>
      </c>
      <c r="F42" s="167">
        <f t="shared" si="16"/>
        <v>53.26556950113</v>
      </c>
      <c r="G42" s="167">
        <f t="shared" si="16"/>
        <v>53.26556950113</v>
      </c>
      <c r="H42" s="167">
        <f t="shared" si="16"/>
        <v>54.5566831921073</v>
      </c>
      <c r="AI42" s="159" t="s">
        <v>62</v>
      </c>
      <c r="AJ42" s="159" t="s">
        <v>122</v>
      </c>
    </row>
    <row r="43" s="147" customFormat="1" ht="15.75" customHeight="1" spans="1:36">
      <c r="A43" s="159" t="s">
        <v>64</v>
      </c>
      <c r="B43" s="159" t="s">
        <v>123</v>
      </c>
      <c r="C43" s="167">
        <f>+C17/C4</f>
        <v>10.3860109638354</v>
      </c>
      <c r="D43" s="167">
        <f t="shared" ref="D43:H43" si="17">+D17/D4</f>
        <v>10.3979766640507</v>
      </c>
      <c r="E43" s="167">
        <f t="shared" si="17"/>
        <v>10.3979766640507</v>
      </c>
      <c r="F43" s="167">
        <f t="shared" si="17"/>
        <v>10.3979766640507</v>
      </c>
      <c r="G43" s="167">
        <f t="shared" si="17"/>
        <v>10.3979766640507</v>
      </c>
      <c r="H43" s="167">
        <f t="shared" si="17"/>
        <v>10.3971405568451</v>
      </c>
      <c r="AI43" s="159" t="s">
        <v>64</v>
      </c>
      <c r="AJ43" s="159" t="s">
        <v>123</v>
      </c>
    </row>
    <row r="44" s="147" customFormat="1" ht="15.75" customHeight="1" spans="1:36">
      <c r="A44" s="159" t="s">
        <v>109</v>
      </c>
      <c r="B44" s="159" t="s">
        <v>124</v>
      </c>
      <c r="C44" s="167">
        <f>+C18/C4</f>
        <v>39.9366850157003</v>
      </c>
      <c r="D44" s="167">
        <f t="shared" ref="D44:H44" si="18">+D18/D4</f>
        <v>39.9826959820044</v>
      </c>
      <c r="E44" s="167">
        <f t="shared" si="18"/>
        <v>39.9826959820044</v>
      </c>
      <c r="F44" s="167">
        <f t="shared" si="18"/>
        <v>39.9826959820044</v>
      </c>
      <c r="G44" s="167">
        <f t="shared" si="18"/>
        <v>39.9826959820044</v>
      </c>
      <c r="H44" s="167">
        <f t="shared" si="18"/>
        <v>39.979480950726</v>
      </c>
      <c r="AI44" s="159" t="s">
        <v>109</v>
      </c>
      <c r="AJ44" s="159" t="s">
        <v>124</v>
      </c>
    </row>
    <row r="45" s="147" customFormat="1" ht="15.75" customHeight="1" spans="1:36">
      <c r="A45" s="159" t="s">
        <v>67</v>
      </c>
      <c r="B45" s="159" t="s">
        <v>125</v>
      </c>
      <c r="C45" s="167">
        <f>C19/C4</f>
        <v>2.65560165975104</v>
      </c>
      <c r="D45" s="167">
        <f t="shared" ref="D45:H45" si="19">D19/D4</f>
        <v>0.798004987531172</v>
      </c>
      <c r="E45" s="167">
        <f t="shared" si="19"/>
        <v>0.798004987531172</v>
      </c>
      <c r="F45" s="167">
        <f t="shared" si="19"/>
        <v>0.798004987531172</v>
      </c>
      <c r="G45" s="167">
        <f t="shared" si="19"/>
        <v>0.798004987531172</v>
      </c>
      <c r="H45" s="167">
        <f t="shared" si="19"/>
        <v>0.927805160916208</v>
      </c>
      <c r="AI45" s="159" t="s">
        <v>67</v>
      </c>
      <c r="AJ45" s="159" t="s">
        <v>126</v>
      </c>
    </row>
    <row r="46" s="147" customFormat="1" ht="15.75" customHeight="1" spans="1:36">
      <c r="A46" s="159" t="s">
        <v>70</v>
      </c>
      <c r="B46" s="159" t="s">
        <v>127</v>
      </c>
      <c r="C46" s="167">
        <f>C20/C4</f>
        <v>43.8932606209709</v>
      </c>
      <c r="D46" s="167">
        <f t="shared" ref="D46:H46" si="20">D20/D4</f>
        <v>43.9438299492618</v>
      </c>
      <c r="E46" s="167">
        <f t="shared" si="20"/>
        <v>43.9438299492618</v>
      </c>
      <c r="F46" s="167">
        <f t="shared" si="20"/>
        <v>43.9438299492618</v>
      </c>
      <c r="G46" s="167">
        <f t="shared" si="20"/>
        <v>43.9438299492618</v>
      </c>
      <c r="H46" s="167">
        <f t="shared" si="20"/>
        <v>43.9402964009527</v>
      </c>
      <c r="AI46" s="159" t="s">
        <v>70</v>
      </c>
      <c r="AJ46" s="159" t="s">
        <v>127</v>
      </c>
    </row>
    <row r="47" s="147" customFormat="1" ht="15.75" customHeight="1" spans="1:36">
      <c r="A47" s="159" t="s">
        <v>128</v>
      </c>
      <c r="B47" s="163" t="s">
        <v>129</v>
      </c>
      <c r="C47" s="167"/>
      <c r="D47" s="167"/>
      <c r="E47" s="167"/>
      <c r="F47" s="167"/>
      <c r="G47" s="167"/>
      <c r="H47" s="167"/>
      <c r="AI47" s="159" t="s">
        <v>128</v>
      </c>
      <c r="AJ47" s="163" t="s">
        <v>129</v>
      </c>
    </row>
    <row r="48" s="147" customFormat="1" ht="15.75" customHeight="1" spans="1:36">
      <c r="A48" s="159" t="s">
        <v>62</v>
      </c>
      <c r="B48" s="159" t="s">
        <v>130</v>
      </c>
      <c r="C48" s="169">
        <f>+(C11+C17)/C7</f>
        <v>0.0243830289269332</v>
      </c>
      <c r="D48" s="169">
        <f t="shared" ref="D48:H48" si="21">+(D11+D17)/D7</f>
        <v>0.0256734835071258</v>
      </c>
      <c r="E48" s="169">
        <f t="shared" si="21"/>
        <v>0.027024719481185</v>
      </c>
      <c r="F48" s="169">
        <f t="shared" si="21"/>
        <v>0.0284470731380895</v>
      </c>
      <c r="G48" s="169">
        <f t="shared" si="21"/>
        <v>0.0299442875137784</v>
      </c>
      <c r="H48" s="169">
        <f t="shared" si="21"/>
        <v>0.0274223255000077</v>
      </c>
      <c r="AI48" s="159" t="s">
        <v>62</v>
      </c>
      <c r="AJ48" s="159" t="s">
        <v>130</v>
      </c>
    </row>
    <row r="49" s="147" customFormat="1" ht="15.75" customHeight="1" spans="1:36">
      <c r="A49" s="159" t="s">
        <v>64</v>
      </c>
      <c r="B49" s="159" t="s">
        <v>131</v>
      </c>
      <c r="C49" s="169">
        <f>+(C9+C10+C15)/C7</f>
        <v>0.081367651897355</v>
      </c>
      <c r="D49" s="169">
        <f t="shared" ref="D49:H49" si="22">+(D9+D10+D15)/D7</f>
        <v>0.0698977028063384</v>
      </c>
      <c r="E49" s="169">
        <f t="shared" si="22"/>
        <v>0.0735765292698299</v>
      </c>
      <c r="F49" s="169">
        <f t="shared" si="22"/>
        <v>0.0774489781787683</v>
      </c>
      <c r="G49" s="169">
        <f t="shared" si="22"/>
        <v>0.0815252401881772</v>
      </c>
      <c r="H49" s="169">
        <f t="shared" si="22"/>
        <v>0.0758352411050367</v>
      </c>
      <c r="AI49" s="159" t="s">
        <v>64</v>
      </c>
      <c r="AJ49" s="159" t="s">
        <v>131</v>
      </c>
    </row>
    <row r="50" s="147" customFormat="1" ht="15.75" customHeight="1" spans="1:36">
      <c r="A50" s="159" t="s">
        <v>109</v>
      </c>
      <c r="B50" s="159" t="s">
        <v>132</v>
      </c>
      <c r="C50" s="169">
        <f>+C18/C7</f>
        <v>0.0322775341942599</v>
      </c>
      <c r="D50" s="169">
        <f t="shared" ref="D50:H50" si="23">+D18/D7</f>
        <v>0.0339857998885313</v>
      </c>
      <c r="E50" s="169">
        <f t="shared" si="23"/>
        <v>0.035774526198454</v>
      </c>
      <c r="F50" s="169">
        <f t="shared" si="23"/>
        <v>0.0376573959983726</v>
      </c>
      <c r="G50" s="169">
        <f t="shared" si="23"/>
        <v>0.0396393642088132</v>
      </c>
      <c r="H50" s="169">
        <f t="shared" si="23"/>
        <v>0.0363008653135348</v>
      </c>
      <c r="AI50" s="159" t="s">
        <v>109</v>
      </c>
      <c r="AJ50" s="159" t="s">
        <v>132</v>
      </c>
    </row>
    <row r="51" s="147" customFormat="1" ht="15.75" customHeight="1" spans="1:36">
      <c r="A51" s="159" t="s">
        <v>67</v>
      </c>
      <c r="B51" s="159" t="s">
        <v>133</v>
      </c>
      <c r="C51" s="169">
        <f>+C19/C7</f>
        <v>0.00214630416483616</v>
      </c>
      <c r="D51" s="169">
        <f t="shared" ref="D51:H51" si="24">+D19/D7</f>
        <v>0.000678314384515015</v>
      </c>
      <c r="E51" s="169">
        <f t="shared" si="24"/>
        <v>0.000714015141594753</v>
      </c>
      <c r="F51" s="169">
        <f t="shared" si="24"/>
        <v>0.000751594885889214</v>
      </c>
      <c r="G51" s="169">
        <f t="shared" si="24"/>
        <v>0.00079115251146233</v>
      </c>
      <c r="H51" s="169">
        <f t="shared" si="24"/>
        <v>0.000842435403929628</v>
      </c>
      <c r="AI51" s="159" t="s">
        <v>67</v>
      </c>
      <c r="AJ51" s="159" t="s">
        <v>133</v>
      </c>
    </row>
    <row r="52" s="147" customFormat="1" ht="15.75" customHeight="1" spans="1:36">
      <c r="A52" s="159" t="s">
        <v>70</v>
      </c>
      <c r="B52" s="159" t="s">
        <v>134</v>
      </c>
      <c r="C52" s="169">
        <f>+C20/C7</f>
        <v>0.0354753084797593</v>
      </c>
      <c r="D52" s="169">
        <f t="shared" ref="D52:H52" si="25">+D20/D7</f>
        <v>0.037352814118974</v>
      </c>
      <c r="E52" s="169">
        <f t="shared" si="25"/>
        <v>0.0393187517041831</v>
      </c>
      <c r="F52" s="169">
        <f t="shared" si="25"/>
        <v>0.0413881596886138</v>
      </c>
      <c r="G52" s="169">
        <f t="shared" si="25"/>
        <v>0.0435664838827514</v>
      </c>
      <c r="H52" s="169">
        <f t="shared" si="25"/>
        <v>0.0398972358709128</v>
      </c>
      <c r="AI52" s="159" t="s">
        <v>70</v>
      </c>
      <c r="AJ52" s="159" t="s">
        <v>134</v>
      </c>
    </row>
    <row r="53" s="147" customFormat="1" ht="15.75" customHeight="1" spans="1:36">
      <c r="A53" s="159" t="s">
        <v>73</v>
      </c>
      <c r="B53" s="159" t="s">
        <v>135</v>
      </c>
      <c r="C53" s="169">
        <f>+C24/C7</f>
        <v>-0.0166656931412845</v>
      </c>
      <c r="D53" s="169">
        <f t="shared" ref="D53:H53" si="26">+D24/D7</f>
        <v>-0.00448115579131028</v>
      </c>
      <c r="E53" s="169">
        <f t="shared" si="26"/>
        <v>-0.0133015828810727</v>
      </c>
      <c r="F53" s="169">
        <f t="shared" si="26"/>
        <v>-0.0225862429755592</v>
      </c>
      <c r="G53" s="169">
        <f t="shared" si="26"/>
        <v>-0.0323595693908084</v>
      </c>
      <c r="H53" s="169">
        <f t="shared" si="26"/>
        <v>-0.0171793864142988</v>
      </c>
      <c r="AI53" s="159" t="s">
        <v>73</v>
      </c>
      <c r="AJ53" s="159" t="s">
        <v>136</v>
      </c>
    </row>
    <row r="54" s="147" customFormat="1" ht="15.75" customHeight="1" spans="1:36">
      <c r="A54" s="159" t="s">
        <v>137</v>
      </c>
      <c r="B54" s="163" t="s">
        <v>138</v>
      </c>
      <c r="C54" s="167">
        <f>+C22/C4</f>
        <v>-15.3338507318645</v>
      </c>
      <c r="D54" s="167">
        <f t="shared" ref="D54:H54" si="27">+D22/D4</f>
        <v>-5.2718691406295</v>
      </c>
      <c r="E54" s="167">
        <f t="shared" si="27"/>
        <v>-14.8662526363898</v>
      </c>
      <c r="F54" s="167">
        <f t="shared" si="27"/>
        <v>-23.9809169573619</v>
      </c>
      <c r="G54" s="167">
        <f t="shared" si="27"/>
        <v>-32.6398480622857</v>
      </c>
      <c r="H54" s="167">
        <f t="shared" si="27"/>
        <v>-18.9202914576127</v>
      </c>
      <c r="AI54" s="159" t="s">
        <v>137</v>
      </c>
      <c r="AJ54" s="163" t="s">
        <v>138</v>
      </c>
    </row>
    <row r="55" s="147" customFormat="1" ht="32.25" customHeight="1" spans="1:36">
      <c r="A55" s="159" t="s">
        <v>139</v>
      </c>
      <c r="B55" s="205" t="s">
        <v>140</v>
      </c>
      <c r="C55" s="205"/>
      <c r="D55" s="167"/>
      <c r="E55" s="167"/>
      <c r="F55" s="167"/>
      <c r="G55" s="167"/>
      <c r="H55" s="167"/>
      <c r="AI55" s="159"/>
      <c r="AJ55" s="163"/>
    </row>
    <row r="56" s="147" customFormat="1" ht="15.75" customHeight="1" spans="1:8">
      <c r="A56" s="159" t="s">
        <v>62</v>
      </c>
      <c r="B56" s="159" t="s">
        <v>141</v>
      </c>
      <c r="C56" s="167">
        <f>C57+C58</f>
        <v>1840000</v>
      </c>
      <c r="D56" s="167"/>
      <c r="E56" s="167"/>
      <c r="F56" s="167"/>
      <c r="G56" s="167"/>
      <c r="H56" s="167"/>
    </row>
    <row r="57" s="147" customFormat="1" ht="15.75" customHeight="1" spans="1:8">
      <c r="A57" s="159">
        <v>1.1</v>
      </c>
      <c r="B57" s="206" t="s">
        <v>142</v>
      </c>
      <c r="C57" s="167">
        <f>项目投资!B27</f>
        <v>160000</v>
      </c>
      <c r="D57" s="167"/>
      <c r="E57" s="167"/>
      <c r="F57" s="167"/>
      <c r="G57" s="167"/>
      <c r="H57" s="167"/>
    </row>
    <row r="58" s="147" customFormat="1" ht="15.75" customHeight="1" spans="1:8">
      <c r="A58" s="159">
        <v>1.2</v>
      </c>
      <c r="B58" s="159" t="s">
        <v>143</v>
      </c>
      <c r="C58" s="167">
        <f>项目投资!B26</f>
        <v>1680000</v>
      </c>
      <c r="D58" s="167"/>
      <c r="E58" s="167"/>
      <c r="F58" s="167"/>
      <c r="G58" s="167"/>
      <c r="H58" s="167"/>
    </row>
    <row r="59" ht="15.75" customHeight="1" spans="1:8">
      <c r="A59" s="195" t="s">
        <v>64</v>
      </c>
      <c r="B59" s="195" t="s">
        <v>144</v>
      </c>
      <c r="C59" s="207">
        <f>C60+C61</f>
        <v>-248474.65203601</v>
      </c>
      <c r="D59" s="207">
        <f t="shared" ref="D59:H59" si="28">D60+D61</f>
        <v>-211401.952539243</v>
      </c>
      <c r="E59" s="207">
        <f t="shared" si="28"/>
        <v>-596136.730719231</v>
      </c>
      <c r="F59" s="207">
        <f t="shared" si="28"/>
        <v>-961634.769990213</v>
      </c>
      <c r="G59" s="207">
        <f t="shared" si="28"/>
        <v>-1308857.90729766</v>
      </c>
      <c r="H59" s="207">
        <f t="shared" si="28"/>
        <v>-3262804.26186531</v>
      </c>
    </row>
    <row r="60" ht="15.75" customHeight="1" spans="1:8">
      <c r="A60" s="195" t="s">
        <v>109</v>
      </c>
      <c r="B60" s="195" t="s">
        <v>145</v>
      </c>
      <c r="C60" s="207">
        <f>C24</f>
        <v>-248474.65203601</v>
      </c>
      <c r="D60" s="207">
        <f t="shared" ref="D60:H60" si="29">D24</f>
        <v>-211401.952539243</v>
      </c>
      <c r="E60" s="207">
        <f t="shared" si="29"/>
        <v>-596136.730719231</v>
      </c>
      <c r="F60" s="207">
        <f t="shared" si="29"/>
        <v>-961634.769990213</v>
      </c>
      <c r="G60" s="207">
        <f t="shared" si="29"/>
        <v>-1308857.90729766</v>
      </c>
      <c r="H60" s="207">
        <f t="shared" si="29"/>
        <v>-3262804.26186531</v>
      </c>
    </row>
    <row r="61" ht="15.75" customHeight="1" spans="1:8">
      <c r="A61" s="195" t="s">
        <v>67</v>
      </c>
      <c r="B61" s="195" t="s">
        <v>146</v>
      </c>
      <c r="C61" s="195"/>
      <c r="D61" s="207">
        <f>'[2]2023年'!I18</f>
        <v>0</v>
      </c>
      <c r="E61" s="207"/>
      <c r="F61" s="207"/>
      <c r="G61" s="207"/>
      <c r="H61" s="207">
        <f>[2]项目投资!G26</f>
        <v>0</v>
      </c>
    </row>
    <row r="62" ht="15.75" customHeight="1" spans="1:8">
      <c r="A62" s="195" t="s">
        <v>70</v>
      </c>
      <c r="B62" s="195" t="s">
        <v>147</v>
      </c>
      <c r="C62" s="195"/>
      <c r="D62" s="208"/>
      <c r="E62" s="208"/>
      <c r="F62" s="208"/>
      <c r="G62" s="208"/>
      <c r="H62" s="207"/>
    </row>
    <row r="64" spans="2:3">
      <c r="B64"/>
      <c r="C64"/>
    </row>
  </sheetData>
  <mergeCells count="2">
    <mergeCell ref="A1:H1"/>
    <mergeCell ref="A3:A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workbookViewId="0">
      <pane xSplit="2" ySplit="6" topLeftCell="C28" activePane="bottomRight" state="frozen"/>
      <selection/>
      <selection pane="topRight"/>
      <selection pane="bottomLeft"/>
      <selection pane="bottomRight" activeCell="E38" sqref="E38"/>
    </sheetView>
  </sheetViews>
  <sheetFormatPr defaultColWidth="9" defaultRowHeight="16.5"/>
  <cols>
    <col min="1" max="1" width="5.125" style="147" customWidth="1"/>
    <col min="2" max="2" width="17.5" style="147" customWidth="1"/>
    <col min="3" max="7" width="14.375" style="148" customWidth="1"/>
    <col min="8" max="8" width="18.75" style="148" customWidth="1"/>
    <col min="9" max="9" width="12.375" style="147" customWidth="1"/>
    <col min="10" max="10" width="10.125" style="147" customWidth="1"/>
    <col min="11" max="17" width="9" style="147" customWidth="1"/>
    <col min="18" max="31" width="9" style="147"/>
    <col min="32" max="32" width="4.375" style="147" customWidth="1"/>
    <col min="33" max="33" width="13.875" style="147" customWidth="1"/>
    <col min="34" max="16384" width="9" style="147"/>
  </cols>
  <sheetData>
    <row r="1" spans="1:8">
      <c r="A1" s="149" t="s">
        <v>148</v>
      </c>
      <c r="B1" s="149"/>
      <c r="C1" s="150" t="s">
        <v>149</v>
      </c>
      <c r="D1" s="151"/>
      <c r="E1" s="151"/>
      <c r="F1" s="151"/>
      <c r="G1" s="151"/>
      <c r="H1" s="152"/>
    </row>
    <row r="2" spans="1:8">
      <c r="A2" s="149" t="s">
        <v>150</v>
      </c>
      <c r="B2" s="149"/>
      <c r="C2" s="153" t="s">
        <v>151</v>
      </c>
      <c r="D2" s="153"/>
      <c r="E2" s="153"/>
      <c r="F2" s="153"/>
      <c r="G2" s="153"/>
      <c r="H2" s="153"/>
    </row>
    <row r="3" spans="1:8">
      <c r="A3" s="149" t="s">
        <v>152</v>
      </c>
      <c r="B3" s="149"/>
      <c r="C3" s="154" t="str">
        <f>销量!C5</f>
        <v>驾驶员座总成</v>
      </c>
      <c r="D3" s="154" t="str">
        <f>销量!D5</f>
        <v>前座总成</v>
      </c>
      <c r="E3" s="154" t="str">
        <f>销量!E5</f>
        <v>中间座总成</v>
      </c>
      <c r="F3" s="154">
        <f>销量!F5</f>
        <v>0</v>
      </c>
      <c r="G3" s="154">
        <f>销量!G5</f>
        <v>0</v>
      </c>
      <c r="H3" s="155" t="s">
        <v>58</v>
      </c>
    </row>
    <row r="4" spans="1:8">
      <c r="A4" s="149" t="s">
        <v>153</v>
      </c>
      <c r="B4" s="149"/>
      <c r="C4" s="154" t="str">
        <f>销量!C6</f>
        <v>6800010-J22-C00</v>
      </c>
      <c r="D4" s="154" t="str">
        <f>销量!D6</f>
        <v>6900010-J22-C00</v>
      </c>
      <c r="E4" s="154" t="str">
        <f>销量!E6</f>
        <v>6930010-J20-C00</v>
      </c>
      <c r="F4" s="154">
        <f>销量!F6</f>
        <v>0</v>
      </c>
      <c r="G4" s="154">
        <f>销量!G6</f>
        <v>0</v>
      </c>
      <c r="H4" s="156"/>
    </row>
    <row r="5" ht="31.5" customHeight="1" spans="1:34">
      <c r="A5" s="149" t="s">
        <v>154</v>
      </c>
      <c r="B5" s="149"/>
      <c r="C5" s="157" t="str">
        <f>销量!C7</f>
        <v>3.1平台、阻尼可调、气动升降、速降、集成安全带、坐垫延伸、</v>
      </c>
      <c r="D5" s="157" t="str">
        <f>销量!D7</f>
        <v>坐垫翻折、三点式安全带</v>
      </c>
      <c r="E5" s="157" t="str">
        <f>销量!E7</f>
        <v>侧翻、二点式安全带</v>
      </c>
      <c r="F5" s="157">
        <f>销量!F7</f>
        <v>0</v>
      </c>
      <c r="G5" s="157">
        <f>销量!G7</f>
        <v>0</v>
      </c>
      <c r="H5" s="158"/>
      <c r="AH5" s="147" t="s">
        <v>59</v>
      </c>
    </row>
    <row r="6" ht="17.25" spans="1:34">
      <c r="A6" s="159" t="s">
        <v>21</v>
      </c>
      <c r="B6" s="160" t="s">
        <v>155</v>
      </c>
      <c r="C6" s="179">
        <f>销量!C9</f>
        <v>6000</v>
      </c>
      <c r="D6" s="179">
        <f>销量!D9</f>
        <v>6000</v>
      </c>
      <c r="E6" s="179">
        <f>销量!E9</f>
        <v>50</v>
      </c>
      <c r="F6" s="179">
        <f>销量!F9</f>
        <v>0</v>
      </c>
      <c r="G6" s="179">
        <f>销量!G9</f>
        <v>0</v>
      </c>
      <c r="H6" s="162">
        <f>+SUM(C6:G6)</f>
        <v>12050</v>
      </c>
      <c r="AF6" s="159" t="s">
        <v>21</v>
      </c>
      <c r="AG6" s="160" t="s">
        <v>3</v>
      </c>
      <c r="AH6" s="147" t="s">
        <v>60</v>
      </c>
    </row>
    <row r="7" spans="1:34">
      <c r="A7" s="149">
        <v>1</v>
      </c>
      <c r="B7" s="160" t="s">
        <v>61</v>
      </c>
      <c r="C7" s="162">
        <f>C6*销量!C8</f>
        <v>11100000</v>
      </c>
      <c r="D7" s="162">
        <f>D6*销量!D8</f>
        <v>3780000</v>
      </c>
      <c r="E7" s="162">
        <f>E6*销量!E8</f>
        <v>29350</v>
      </c>
      <c r="F7" s="162">
        <f>F6*销量!F8</f>
        <v>0</v>
      </c>
      <c r="G7" s="162">
        <f>G6*销量!G8</f>
        <v>0</v>
      </c>
      <c r="H7" s="162">
        <f t="shared" ref="H7:H26" si="0">+SUM(C7:G7)</f>
        <v>14909350</v>
      </c>
      <c r="I7" s="148"/>
      <c r="AF7" s="159" t="s">
        <v>62</v>
      </c>
      <c r="AG7" s="160" t="s">
        <v>61</v>
      </c>
      <c r="AH7" s="147" t="s">
        <v>60</v>
      </c>
    </row>
    <row r="8" spans="1:34">
      <c r="A8" s="149">
        <v>2</v>
      </c>
      <c r="B8" s="149" t="s">
        <v>63</v>
      </c>
      <c r="C8" s="162"/>
      <c r="D8" s="162"/>
      <c r="E8" s="162"/>
      <c r="F8" s="162"/>
      <c r="G8" s="162"/>
      <c r="H8" s="162">
        <f t="shared" si="0"/>
        <v>0</v>
      </c>
      <c r="I8" s="175"/>
      <c r="AF8" s="159" t="s">
        <v>64</v>
      </c>
      <c r="AG8" s="149" t="s">
        <v>65</v>
      </c>
      <c r="AH8" s="147" t="s">
        <v>60</v>
      </c>
    </row>
    <row r="9" spans="1:34">
      <c r="A9" s="149">
        <v>3</v>
      </c>
      <c r="B9" s="160" t="s">
        <v>66</v>
      </c>
      <c r="C9" s="162">
        <f>+C7-C8</f>
        <v>11100000</v>
      </c>
      <c r="D9" s="162">
        <f>+D7-D8</f>
        <v>3780000</v>
      </c>
      <c r="E9" s="162">
        <f t="shared" ref="E9:G9" si="1">+E7-E8</f>
        <v>29350</v>
      </c>
      <c r="F9" s="162">
        <f t="shared" si="1"/>
        <v>0</v>
      </c>
      <c r="G9" s="162">
        <f t="shared" si="1"/>
        <v>0</v>
      </c>
      <c r="H9" s="162">
        <f t="shared" si="0"/>
        <v>14909350</v>
      </c>
      <c r="AF9" s="159" t="s">
        <v>67</v>
      </c>
      <c r="AG9" s="160" t="s">
        <v>66</v>
      </c>
      <c r="AH9" s="147" t="s">
        <v>68</v>
      </c>
    </row>
    <row r="10" spans="1:34">
      <c r="A10" s="149">
        <v>4</v>
      </c>
      <c r="B10" s="159" t="s">
        <v>69</v>
      </c>
      <c r="C10" s="162">
        <f>C6*C33</f>
        <v>8817054.25951433</v>
      </c>
      <c r="D10" s="162">
        <f>D6*D33</f>
        <v>3639263.87013798</v>
      </c>
      <c r="E10" s="162">
        <f t="shared" ref="E10:G10" si="2">E6*E33</f>
        <v>18980.0135971664</v>
      </c>
      <c r="F10" s="162">
        <f t="shared" si="2"/>
        <v>0</v>
      </c>
      <c r="G10" s="162">
        <f t="shared" si="2"/>
        <v>0</v>
      </c>
      <c r="H10" s="162">
        <f t="shared" si="0"/>
        <v>12475298.1432495</v>
      </c>
      <c r="AF10" s="159" t="s">
        <v>70</v>
      </c>
      <c r="AG10" s="159" t="s">
        <v>69</v>
      </c>
      <c r="AH10" s="147" t="s">
        <v>71</v>
      </c>
    </row>
    <row r="11" spans="1:33">
      <c r="A11" s="149">
        <v>5</v>
      </c>
      <c r="B11" s="159" t="s">
        <v>72</v>
      </c>
      <c r="C11" s="162">
        <f>+C6*C36</f>
        <v>136530</v>
      </c>
      <c r="D11" s="162">
        <f>+D6*D36</f>
        <v>46494</v>
      </c>
      <c r="E11" s="162">
        <f t="shared" ref="E11:G11" si="3">+E6*E36</f>
        <v>233.454167245146</v>
      </c>
      <c r="F11" s="162">
        <f t="shared" si="3"/>
        <v>0</v>
      </c>
      <c r="G11" s="162">
        <f t="shared" si="3"/>
        <v>0</v>
      </c>
      <c r="H11" s="162">
        <f t="shared" si="0"/>
        <v>183257.454167245</v>
      </c>
      <c r="AF11" s="159" t="s">
        <v>73</v>
      </c>
      <c r="AG11" s="159" t="s">
        <v>72</v>
      </c>
    </row>
    <row r="12" spans="1:33">
      <c r="A12" s="149">
        <v>6</v>
      </c>
      <c r="B12" s="159" t="s">
        <v>74</v>
      </c>
      <c r="C12" s="162">
        <f>+C6*C37</f>
        <v>123210</v>
      </c>
      <c r="D12" s="162">
        <f>+D6*D37</f>
        <v>41958</v>
      </c>
      <c r="E12" s="162">
        <f t="shared" ref="E12:G12" si="4">+E6*E37</f>
        <v>210.678150928547</v>
      </c>
      <c r="F12" s="162">
        <f t="shared" si="4"/>
        <v>0</v>
      </c>
      <c r="G12" s="162">
        <f t="shared" si="4"/>
        <v>0</v>
      </c>
      <c r="H12" s="162">
        <f t="shared" si="0"/>
        <v>165378.678150929</v>
      </c>
      <c r="AF12" s="159" t="s">
        <v>75</v>
      </c>
      <c r="AG12" s="159" t="s">
        <v>74</v>
      </c>
    </row>
    <row r="13" spans="1:34">
      <c r="A13" s="149">
        <v>7</v>
      </c>
      <c r="B13" s="159" t="s">
        <v>76</v>
      </c>
      <c r="C13" s="162">
        <f>+C6*C38</f>
        <v>177600</v>
      </c>
      <c r="D13" s="162">
        <f>+D6*D38</f>
        <v>60480</v>
      </c>
      <c r="E13" s="162">
        <f t="shared" ref="E13:G13" si="5">+E6*E38</f>
        <v>303.680217554662</v>
      </c>
      <c r="F13" s="162">
        <f t="shared" si="5"/>
        <v>0</v>
      </c>
      <c r="G13" s="162">
        <f t="shared" si="5"/>
        <v>0</v>
      </c>
      <c r="H13" s="162">
        <f t="shared" si="0"/>
        <v>238383.680217555</v>
      </c>
      <c r="AF13" s="159" t="s">
        <v>77</v>
      </c>
      <c r="AG13" s="159" t="s">
        <v>76</v>
      </c>
      <c r="AH13" s="147" t="s">
        <v>60</v>
      </c>
    </row>
    <row r="14" spans="1:33">
      <c r="A14" s="149">
        <v>8</v>
      </c>
      <c r="B14" s="163" t="s">
        <v>78</v>
      </c>
      <c r="C14" s="162">
        <f>SUM(C11:C13)</f>
        <v>437340</v>
      </c>
      <c r="D14" s="162">
        <f>SUM(D11:D13)</f>
        <v>148932</v>
      </c>
      <c r="E14" s="162">
        <f t="shared" ref="E14:H14" si="6">SUM(E11:E13)</f>
        <v>747.812535728355</v>
      </c>
      <c r="F14" s="162">
        <f t="shared" si="6"/>
        <v>0</v>
      </c>
      <c r="G14" s="162">
        <f t="shared" si="6"/>
        <v>0</v>
      </c>
      <c r="H14" s="162">
        <f t="shared" si="6"/>
        <v>587019.812535728</v>
      </c>
      <c r="AF14" s="159" t="s">
        <v>79</v>
      </c>
      <c r="AG14" s="163" t="s">
        <v>78</v>
      </c>
    </row>
    <row r="15" spans="1:33">
      <c r="A15" s="149">
        <v>9</v>
      </c>
      <c r="B15" s="163" t="s">
        <v>80</v>
      </c>
      <c r="C15" s="162">
        <f>+C9-C10-C14</f>
        <v>1845605.74048567</v>
      </c>
      <c r="D15" s="162">
        <f>+D9-D10-D14</f>
        <v>-8195.8701379816</v>
      </c>
      <c r="E15" s="162">
        <f t="shared" ref="E15:H15" si="7">+E9-E10-E14</f>
        <v>9622.17386710528</v>
      </c>
      <c r="F15" s="162">
        <f t="shared" si="7"/>
        <v>0</v>
      </c>
      <c r="G15" s="162">
        <f t="shared" si="7"/>
        <v>0</v>
      </c>
      <c r="H15" s="162">
        <f t="shared" si="7"/>
        <v>1847032.04421479</v>
      </c>
      <c r="AF15" s="159" t="s">
        <v>81</v>
      </c>
      <c r="AG15" s="163" t="s">
        <v>80</v>
      </c>
    </row>
    <row r="16" spans="1:33">
      <c r="A16" s="149">
        <v>10</v>
      </c>
      <c r="B16" s="159" t="s">
        <v>82</v>
      </c>
      <c r="C16" s="164">
        <f>+C15/C9</f>
        <v>0.166270787431141</v>
      </c>
      <c r="D16" s="164">
        <f>+D15/D9</f>
        <v>-0.00216821961322265</v>
      </c>
      <c r="E16" s="164">
        <f t="shared" ref="E16:H16" si="8">+E15/E9</f>
        <v>0.327842380480589</v>
      </c>
      <c r="F16" s="164" t="e">
        <f t="shared" si="8"/>
        <v>#DIV/0!</v>
      </c>
      <c r="G16" s="164" t="e">
        <f t="shared" si="8"/>
        <v>#DIV/0!</v>
      </c>
      <c r="H16" s="164">
        <f t="shared" si="8"/>
        <v>0.123884142783877</v>
      </c>
      <c r="AF16" s="159" t="s">
        <v>83</v>
      </c>
      <c r="AG16" s="159" t="s">
        <v>82</v>
      </c>
    </row>
    <row r="17" spans="1:33">
      <c r="A17" s="149">
        <v>11</v>
      </c>
      <c r="B17" s="159" t="s">
        <v>84</v>
      </c>
      <c r="C17" s="162">
        <f>C6*C43+C18</f>
        <v>565197.7593361</v>
      </c>
      <c r="D17" s="162">
        <f>D6*D43+D18</f>
        <v>297285.7593361</v>
      </c>
      <c r="E17" s="162">
        <f t="shared" ref="E17:G17" si="9">E6*E43+E18</f>
        <v>2019.14982545712</v>
      </c>
      <c r="F17" s="162">
        <f t="shared" si="9"/>
        <v>0</v>
      </c>
      <c r="G17" s="162">
        <f t="shared" si="9"/>
        <v>0</v>
      </c>
      <c r="H17" s="162">
        <f t="shared" si="0"/>
        <v>864502.668497656</v>
      </c>
      <c r="I17" s="175"/>
      <c r="AF17" s="159" t="s">
        <v>85</v>
      </c>
      <c r="AG17" s="159" t="s">
        <v>84</v>
      </c>
    </row>
    <row r="18" s="145" customFormat="1" spans="1:11">
      <c r="A18" s="149">
        <v>12</v>
      </c>
      <c r="B18" s="165" t="s">
        <v>156</v>
      </c>
      <c r="C18" s="166">
        <f>$H$18/$H$6*C6</f>
        <v>158937.7593361</v>
      </c>
      <c r="D18" s="166">
        <f>$H$18/$H$6*D6</f>
        <v>158937.7593361</v>
      </c>
      <c r="E18" s="166">
        <f t="shared" ref="E18:G18" si="10">$H$18/$H$6*E6</f>
        <v>1324.48132780083</v>
      </c>
      <c r="F18" s="166">
        <f t="shared" si="10"/>
        <v>0</v>
      </c>
      <c r="G18" s="166">
        <f t="shared" si="10"/>
        <v>0</v>
      </c>
      <c r="H18" s="162">
        <f>项目投资!D26</f>
        <v>319200</v>
      </c>
      <c r="I18" s="177" t="s">
        <v>157</v>
      </c>
      <c r="J18" s="177"/>
      <c r="K18" s="177"/>
    </row>
    <row r="19" spans="1:34">
      <c r="A19" s="149">
        <v>13</v>
      </c>
      <c r="B19" s="159" t="s">
        <v>86</v>
      </c>
      <c r="C19" s="162">
        <f>C6*C44</f>
        <v>93240</v>
      </c>
      <c r="D19" s="162">
        <f>D6*D44</f>
        <v>31752</v>
      </c>
      <c r="E19" s="162">
        <f t="shared" ref="E19:G19" si="11">E6*E44</f>
        <v>159.432114216197</v>
      </c>
      <c r="F19" s="162">
        <f t="shared" si="11"/>
        <v>0</v>
      </c>
      <c r="G19" s="162">
        <f t="shared" si="11"/>
        <v>0</v>
      </c>
      <c r="H19" s="162">
        <f t="shared" si="0"/>
        <v>125151.432114216</v>
      </c>
      <c r="I19" s="145"/>
      <c r="AF19" s="159" t="s">
        <v>87</v>
      </c>
      <c r="AG19" s="159" t="s">
        <v>86</v>
      </c>
      <c r="AH19" s="147" t="s">
        <v>60</v>
      </c>
    </row>
    <row r="20" spans="1:33">
      <c r="A20" s="149">
        <v>14</v>
      </c>
      <c r="B20" s="159" t="s">
        <v>88</v>
      </c>
      <c r="C20" s="162">
        <f>C6*C45</f>
        <v>358530</v>
      </c>
      <c r="D20" s="162">
        <f>D6*D45</f>
        <v>122094</v>
      </c>
      <c r="E20" s="162">
        <f t="shared" ref="E20:G20" si="12">E6*E45</f>
        <v>613.054439188474</v>
      </c>
      <c r="F20" s="162">
        <f t="shared" si="12"/>
        <v>0</v>
      </c>
      <c r="G20" s="162">
        <f t="shared" si="12"/>
        <v>0</v>
      </c>
      <c r="H20" s="162">
        <f t="shared" si="0"/>
        <v>481237.054439188</v>
      </c>
      <c r="AF20" s="159" t="s">
        <v>89</v>
      </c>
      <c r="AG20" s="159" t="s">
        <v>88</v>
      </c>
    </row>
    <row r="21" spans="1:33">
      <c r="A21" s="149">
        <v>15</v>
      </c>
      <c r="B21" s="159" t="s">
        <v>90</v>
      </c>
      <c r="C21" s="167">
        <f>$H$21/$H$6*C6</f>
        <v>15933.6099585062</v>
      </c>
      <c r="D21" s="167">
        <f>$H$21/$H$6*D6</f>
        <v>15933.6099585062</v>
      </c>
      <c r="E21" s="167">
        <f t="shared" ref="E21:G21" si="13">$H$21/$H$6*E6</f>
        <v>132.780082987552</v>
      </c>
      <c r="F21" s="167">
        <f t="shared" si="13"/>
        <v>0</v>
      </c>
      <c r="G21" s="167">
        <f t="shared" si="13"/>
        <v>0</v>
      </c>
      <c r="H21" s="162">
        <f>项目投资!D27</f>
        <v>32000</v>
      </c>
      <c r="AF21" s="159"/>
      <c r="AG21" s="159"/>
    </row>
    <row r="22" spans="1:33">
      <c r="A22" s="149">
        <v>16</v>
      </c>
      <c r="B22" s="159" t="s">
        <v>91</v>
      </c>
      <c r="C22" s="162">
        <f>C6*C47</f>
        <v>394050</v>
      </c>
      <c r="D22" s="162">
        <f>D6*D47</f>
        <v>134190</v>
      </c>
      <c r="E22" s="162">
        <f t="shared" ref="E22:G22" si="14">E6*E47</f>
        <v>673.790482699406</v>
      </c>
      <c r="F22" s="162">
        <f t="shared" si="14"/>
        <v>0</v>
      </c>
      <c r="G22" s="162">
        <f t="shared" si="14"/>
        <v>0</v>
      </c>
      <c r="H22" s="162">
        <f t="shared" si="0"/>
        <v>528913.790482699</v>
      </c>
      <c r="AF22" s="159" t="s">
        <v>92</v>
      </c>
      <c r="AG22" s="159" t="s">
        <v>91</v>
      </c>
    </row>
    <row r="23" spans="1:33">
      <c r="A23" s="149">
        <v>17</v>
      </c>
      <c r="B23" s="163" t="s">
        <v>93</v>
      </c>
      <c r="C23" s="167">
        <f>+C22+C21+C20+C19+C17</f>
        <v>1426951.36929461</v>
      </c>
      <c r="D23" s="167">
        <f>+D22+D21+D20+D19+D17</f>
        <v>601255.369294606</v>
      </c>
      <c r="E23" s="167">
        <f t="shared" ref="E23:H23" si="15">+E22+E21+E20+E19+E17</f>
        <v>3598.20694454875</v>
      </c>
      <c r="F23" s="167">
        <f t="shared" si="15"/>
        <v>0</v>
      </c>
      <c r="G23" s="167">
        <f t="shared" si="15"/>
        <v>0</v>
      </c>
      <c r="H23" s="167">
        <f t="shared" si="15"/>
        <v>2031804.94553376</v>
      </c>
      <c r="AF23" s="159" t="s">
        <v>94</v>
      </c>
      <c r="AG23" s="163" t="s">
        <v>93</v>
      </c>
    </row>
    <row r="24" spans="1:33">
      <c r="A24" s="149">
        <v>18</v>
      </c>
      <c r="B24" s="168" t="s">
        <v>95</v>
      </c>
      <c r="C24" s="167">
        <f>+C15-C23</f>
        <v>418654.371191064</v>
      </c>
      <c r="D24" s="167">
        <f>+D15-D23</f>
        <v>-609451.239432587</v>
      </c>
      <c r="E24" s="167">
        <f t="shared" ref="E24:H24" si="16">+E15-E23</f>
        <v>6023.96692255654</v>
      </c>
      <c r="F24" s="167">
        <f t="shared" si="16"/>
        <v>0</v>
      </c>
      <c r="G24" s="167">
        <f t="shared" si="16"/>
        <v>0</v>
      </c>
      <c r="H24" s="167">
        <f t="shared" si="16"/>
        <v>-184772.901318967</v>
      </c>
      <c r="J24" s="178"/>
      <c r="AF24" s="159" t="s">
        <v>96</v>
      </c>
      <c r="AG24" s="159" t="s">
        <v>95</v>
      </c>
    </row>
    <row r="25" spans="1:33">
      <c r="A25" s="149">
        <v>19</v>
      </c>
      <c r="B25" s="159" t="s">
        <v>158</v>
      </c>
      <c r="C25" s="167">
        <f>IF(C24&lt;0,0,C24*0.15)</f>
        <v>62798.1556786596</v>
      </c>
      <c r="D25" s="167">
        <f t="shared" ref="D25:H25" si="17">IF(D24&lt;0,0,D24*0.15)</f>
        <v>0</v>
      </c>
      <c r="E25" s="167">
        <f t="shared" ref="E25:G25" si="18">IF(E24&lt;0,0,E24*0.15)</f>
        <v>903.59503838348</v>
      </c>
      <c r="F25" s="167">
        <f t="shared" si="18"/>
        <v>0</v>
      </c>
      <c r="G25" s="167">
        <f t="shared" si="18"/>
        <v>0</v>
      </c>
      <c r="H25" s="167">
        <f t="shared" si="17"/>
        <v>0</v>
      </c>
      <c r="I25" s="2"/>
      <c r="J25" s="2"/>
      <c r="K25" s="2"/>
      <c r="AF25" s="159" t="s">
        <v>97</v>
      </c>
      <c r="AG25" s="159" t="s">
        <v>38</v>
      </c>
    </row>
    <row r="26" spans="1:33">
      <c r="A26" s="149">
        <v>20</v>
      </c>
      <c r="B26" s="159" t="s">
        <v>98</v>
      </c>
      <c r="C26" s="167">
        <f>C24-C25</f>
        <v>355856.215512405</v>
      </c>
      <c r="D26" s="167">
        <f>D24-D25</f>
        <v>-609451.239432587</v>
      </c>
      <c r="E26" s="167">
        <f t="shared" ref="E26:G26" si="19">E24-E25</f>
        <v>5120.37188417306</v>
      </c>
      <c r="F26" s="167">
        <f t="shared" si="19"/>
        <v>0</v>
      </c>
      <c r="G26" s="167">
        <f t="shared" si="19"/>
        <v>0</v>
      </c>
      <c r="H26" s="162">
        <f t="shared" si="0"/>
        <v>-248474.65203601</v>
      </c>
      <c r="I26" s="2"/>
      <c r="J26" s="2"/>
      <c r="K26" s="2"/>
      <c r="AF26" s="159" t="s">
        <v>99</v>
      </c>
      <c r="AG26" s="159" t="s">
        <v>98</v>
      </c>
    </row>
    <row r="27" spans="1:33">
      <c r="A27" s="149">
        <v>21</v>
      </c>
      <c r="B27" s="159" t="s">
        <v>102</v>
      </c>
      <c r="C27" s="169">
        <f>C26/C9</f>
        <v>0.0320591185146311</v>
      </c>
      <c r="D27" s="169">
        <f t="shared" ref="D27:H27" si="20">D26/D9</f>
        <v>-0.161230486622378</v>
      </c>
      <c r="E27" s="169">
        <f t="shared" si="20"/>
        <v>0.174459007978639</v>
      </c>
      <c r="F27" s="169" t="e">
        <f t="shared" si="20"/>
        <v>#DIV/0!</v>
      </c>
      <c r="G27" s="169" t="e">
        <f t="shared" si="20"/>
        <v>#DIV/0!</v>
      </c>
      <c r="H27" s="169">
        <f t="shared" si="20"/>
        <v>-0.0166656931412845</v>
      </c>
      <c r="I27" s="2"/>
      <c r="J27" s="2"/>
      <c r="K27" s="2"/>
      <c r="AF27" s="159" t="s">
        <v>101</v>
      </c>
      <c r="AG27" s="159" t="s">
        <v>102</v>
      </c>
    </row>
    <row r="28" spans="9:11">
      <c r="I28" s="2"/>
      <c r="J28" s="2"/>
      <c r="K28" s="2"/>
    </row>
    <row r="29" spans="1:32">
      <c r="A29" s="147" t="s">
        <v>103</v>
      </c>
      <c r="H29" s="148" t="s">
        <v>159</v>
      </c>
      <c r="I29" s="2"/>
      <c r="J29" s="2"/>
      <c r="K29" s="2"/>
      <c r="AF29" s="147" t="s">
        <v>103</v>
      </c>
    </row>
    <row r="30" spans="1:33">
      <c r="A30" s="159" t="s">
        <v>104</v>
      </c>
      <c r="B30" s="163" t="s">
        <v>105</v>
      </c>
      <c r="C30" s="167"/>
      <c r="D30" s="167"/>
      <c r="E30" s="167"/>
      <c r="F30" s="167"/>
      <c r="G30" s="167"/>
      <c r="H30" s="167"/>
      <c r="I30" s="2"/>
      <c r="J30" s="2"/>
      <c r="K30" s="2"/>
      <c r="M30" s="2"/>
      <c r="AF30" s="159" t="s">
        <v>106</v>
      </c>
      <c r="AG30" s="163" t="s">
        <v>105</v>
      </c>
    </row>
    <row r="31" spans="1:33">
      <c r="A31" s="149">
        <v>1</v>
      </c>
      <c r="B31" s="165" t="s">
        <v>107</v>
      </c>
      <c r="C31" s="170">
        <f>销量!C8</f>
        <v>1850</v>
      </c>
      <c r="D31" s="170">
        <f>销量!D8</f>
        <v>630</v>
      </c>
      <c r="E31" s="170">
        <f>销量!E8</f>
        <v>587</v>
      </c>
      <c r="F31" s="170">
        <f>销量!F8</f>
        <v>0</v>
      </c>
      <c r="G31" s="170">
        <f>销量!G8</f>
        <v>0</v>
      </c>
      <c r="H31" s="167"/>
      <c r="I31" s="2"/>
      <c r="J31" s="2"/>
      <c r="K31" s="2"/>
      <c r="M31" s="2"/>
      <c r="AF31" s="159" t="s">
        <v>62</v>
      </c>
      <c r="AG31" s="159" t="s">
        <v>107</v>
      </c>
    </row>
    <row r="32" spans="1:33">
      <c r="A32" s="149">
        <v>2</v>
      </c>
      <c r="B32" s="159" t="s">
        <v>160</v>
      </c>
      <c r="C32" s="162">
        <f>C9/C6</f>
        <v>1850</v>
      </c>
      <c r="D32" s="162">
        <f t="shared" ref="D32:G32" si="21">D9/D6</f>
        <v>630</v>
      </c>
      <c r="E32" s="162">
        <f t="shared" si="21"/>
        <v>587</v>
      </c>
      <c r="F32" s="162" t="e">
        <f t="shared" si="21"/>
        <v>#DIV/0!</v>
      </c>
      <c r="G32" s="162" t="e">
        <f t="shared" si="21"/>
        <v>#DIV/0!</v>
      </c>
      <c r="H32" s="167"/>
      <c r="I32" s="2"/>
      <c r="J32" s="2"/>
      <c r="K32" s="2"/>
      <c r="L32" s="2"/>
      <c r="M32" s="2"/>
      <c r="N32" s="2"/>
      <c r="O32" s="2"/>
      <c r="AF32" s="159"/>
      <c r="AG32" s="159"/>
    </row>
    <row r="33" spans="1:33">
      <c r="A33" s="149">
        <v>3</v>
      </c>
      <c r="B33" s="165" t="s">
        <v>108</v>
      </c>
      <c r="C33" s="162">
        <f>材料成本!D24</f>
        <v>1469.50904325239</v>
      </c>
      <c r="D33" s="162">
        <f>材料成本!E24</f>
        <v>606.54397835633</v>
      </c>
      <c r="E33" s="162">
        <f>材料成本!F24</f>
        <v>379.600271943327</v>
      </c>
      <c r="F33" s="162">
        <f>材料成本!G24</f>
        <v>0</v>
      </c>
      <c r="G33" s="162">
        <f>材料成本!H24</f>
        <v>0</v>
      </c>
      <c r="H33" s="167"/>
      <c r="J33" s="2"/>
      <c r="K33" s="2"/>
      <c r="L33" s="2"/>
      <c r="M33" s="2"/>
      <c r="N33" s="2"/>
      <c r="O33" s="2"/>
      <c r="AF33" s="159" t="s">
        <v>64</v>
      </c>
      <c r="AG33" s="159" t="s">
        <v>108</v>
      </c>
    </row>
    <row r="34" ht="17.25" customHeight="1" spans="1:33">
      <c r="A34" s="149">
        <v>4</v>
      </c>
      <c r="B34" s="159" t="s">
        <v>110</v>
      </c>
      <c r="C34" s="171">
        <f>C32-C33</f>
        <v>380.490956747612</v>
      </c>
      <c r="D34" s="171">
        <f>D32-D33</f>
        <v>23.4560216436697</v>
      </c>
      <c r="E34" s="171">
        <f t="shared" ref="E34:G34" si="22">E32-E33</f>
        <v>207.399728056673</v>
      </c>
      <c r="F34" s="171" t="e">
        <f t="shared" si="22"/>
        <v>#DIV/0!</v>
      </c>
      <c r="G34" s="171" t="e">
        <f t="shared" si="22"/>
        <v>#DIV/0!</v>
      </c>
      <c r="H34" s="167"/>
      <c r="J34" s="2"/>
      <c r="K34" s="2"/>
      <c r="L34" s="2"/>
      <c r="M34" s="2"/>
      <c r="N34" s="2"/>
      <c r="O34" s="2"/>
      <c r="AF34" s="159" t="s">
        <v>109</v>
      </c>
      <c r="AG34" s="159" t="s">
        <v>110</v>
      </c>
    </row>
    <row r="35" spans="1:33">
      <c r="A35" s="159" t="s">
        <v>106</v>
      </c>
      <c r="B35" s="163" t="s">
        <v>10</v>
      </c>
      <c r="C35" s="167"/>
      <c r="D35" s="167"/>
      <c r="E35" s="167"/>
      <c r="F35" s="167"/>
      <c r="G35" s="167"/>
      <c r="H35" s="167"/>
      <c r="I35" s="2"/>
      <c r="J35" s="2"/>
      <c r="K35" s="2"/>
      <c r="L35" s="2"/>
      <c r="M35" s="2"/>
      <c r="N35" s="2"/>
      <c r="O35" s="2"/>
      <c r="P35" s="2"/>
      <c r="Q35" s="2"/>
      <c r="R35" s="2"/>
      <c r="AF35" s="159" t="s">
        <v>112</v>
      </c>
      <c r="AG35" s="163" t="s">
        <v>10</v>
      </c>
    </row>
    <row r="36" spans="1:33">
      <c r="A36" s="149">
        <v>1</v>
      </c>
      <c r="B36" s="159" t="s">
        <v>113</v>
      </c>
      <c r="C36" s="166">
        <f>标准成本!E4</f>
        <v>22.755</v>
      </c>
      <c r="D36" s="166">
        <f>标准成本!E16</f>
        <v>7.749</v>
      </c>
      <c r="E36" s="166">
        <f>标准成本!E29</f>
        <v>4.66908334490293</v>
      </c>
      <c r="F36" s="166">
        <f>标准成本!E42</f>
        <v>0</v>
      </c>
      <c r="G36" s="166">
        <f>标准成本!E55</f>
        <v>0</v>
      </c>
      <c r="H36" s="170"/>
      <c r="I36" s="2"/>
      <c r="J36" s="2"/>
      <c r="K36" s="2"/>
      <c r="L36" s="2"/>
      <c r="M36" s="2"/>
      <c r="N36" s="2"/>
      <c r="O36" s="2"/>
      <c r="P36" s="2"/>
      <c r="Q36" s="2"/>
      <c r="R36" s="2"/>
      <c r="AF36" s="159" t="s">
        <v>109</v>
      </c>
      <c r="AG36" s="159" t="s">
        <v>113</v>
      </c>
    </row>
    <row r="37" spans="1:33">
      <c r="A37" s="149">
        <v>2</v>
      </c>
      <c r="B37" s="159" t="s">
        <v>114</v>
      </c>
      <c r="C37" s="166">
        <f>标准成本!E6</f>
        <v>20.535</v>
      </c>
      <c r="D37" s="166">
        <f>标准成本!E18</f>
        <v>6.993</v>
      </c>
      <c r="E37" s="166">
        <f>标准成本!E31</f>
        <v>4.21356301857093</v>
      </c>
      <c r="F37" s="166">
        <f>标准成本!E44</f>
        <v>0</v>
      </c>
      <c r="G37" s="166">
        <f>标准成本!E57</f>
        <v>0</v>
      </c>
      <c r="H37" s="170"/>
      <c r="I37" s="2"/>
      <c r="J37" s="2"/>
      <c r="K37" s="2"/>
      <c r="L37" s="2"/>
      <c r="M37" s="2"/>
      <c r="N37" s="2"/>
      <c r="O37" s="2"/>
      <c r="P37" s="2"/>
      <c r="Q37" s="2"/>
      <c r="R37" s="2"/>
      <c r="AF37" s="159" t="s">
        <v>67</v>
      </c>
      <c r="AG37" s="159" t="s">
        <v>114</v>
      </c>
    </row>
    <row r="38" spans="1:33">
      <c r="A38" s="149">
        <v>3</v>
      </c>
      <c r="B38" s="159" t="s">
        <v>115</v>
      </c>
      <c r="C38" s="166">
        <f>标准成本!E10</f>
        <v>29.6</v>
      </c>
      <c r="D38" s="166">
        <f>标准成本!E22</f>
        <v>10.08</v>
      </c>
      <c r="E38" s="166">
        <f>标准成本!E35</f>
        <v>6.07360435109324</v>
      </c>
      <c r="F38" s="166">
        <f>标准成本!E48</f>
        <v>0</v>
      </c>
      <c r="G38" s="166">
        <f>标准成本!E61</f>
        <v>0</v>
      </c>
      <c r="H38" s="170"/>
      <c r="I38" s="2"/>
      <c r="J38" s="2"/>
      <c r="K38" s="2"/>
      <c r="L38" s="2"/>
      <c r="M38" s="2"/>
      <c r="N38" s="2"/>
      <c r="O38" s="2"/>
      <c r="P38" s="2"/>
      <c r="Q38" s="2"/>
      <c r="R38" s="2"/>
      <c r="AF38" s="159" t="s">
        <v>73</v>
      </c>
      <c r="AG38" s="159" t="s">
        <v>115</v>
      </c>
    </row>
    <row r="39" spans="1:33">
      <c r="A39" s="159" t="s">
        <v>112</v>
      </c>
      <c r="B39" s="163" t="s">
        <v>117</v>
      </c>
      <c r="C39" s="167"/>
      <c r="D39" s="167"/>
      <c r="E39" s="167"/>
      <c r="F39" s="167"/>
      <c r="G39" s="167"/>
      <c r="H39" s="167"/>
      <c r="AF39" s="159" t="s">
        <v>116</v>
      </c>
      <c r="AG39" s="163" t="s">
        <v>117</v>
      </c>
    </row>
    <row r="40" spans="1:33">
      <c r="A40" s="149">
        <v>1</v>
      </c>
      <c r="B40" s="159" t="s">
        <v>118</v>
      </c>
      <c r="C40" s="167">
        <f>C34-C36-C37-C38</f>
        <v>307.600956747612</v>
      </c>
      <c r="D40" s="167">
        <f>D34-D36-D37-D38</f>
        <v>-1.36597835633028</v>
      </c>
      <c r="E40" s="167">
        <f t="shared" ref="E40:G40" si="23">E34-E36-E37-E38</f>
        <v>192.443477342106</v>
      </c>
      <c r="F40" s="167" t="e">
        <f t="shared" si="23"/>
        <v>#DIV/0!</v>
      </c>
      <c r="G40" s="167" t="e">
        <f t="shared" si="23"/>
        <v>#DIV/0!</v>
      </c>
      <c r="H40" s="167"/>
      <c r="AF40" s="159" t="s">
        <v>62</v>
      </c>
      <c r="AG40" s="159" t="s">
        <v>118</v>
      </c>
    </row>
    <row r="41" spans="1:33">
      <c r="A41" s="149">
        <v>2</v>
      </c>
      <c r="B41" s="159" t="s">
        <v>119</v>
      </c>
      <c r="C41" s="167"/>
      <c r="D41" s="167"/>
      <c r="E41" s="167"/>
      <c r="F41" s="167"/>
      <c r="G41" s="167"/>
      <c r="H41" s="167"/>
      <c r="AF41" s="159" t="s">
        <v>64</v>
      </c>
      <c r="AG41" s="159" t="s">
        <v>119</v>
      </c>
    </row>
    <row r="42" spans="1:33">
      <c r="A42" s="159" t="s">
        <v>116</v>
      </c>
      <c r="B42" s="163" t="s">
        <v>121</v>
      </c>
      <c r="C42" s="167"/>
      <c r="D42" s="167"/>
      <c r="E42" s="167"/>
      <c r="F42" s="167"/>
      <c r="G42" s="167"/>
      <c r="H42" s="167"/>
      <c r="AF42" s="159" t="s">
        <v>120</v>
      </c>
      <c r="AG42" s="163" t="s">
        <v>121</v>
      </c>
    </row>
    <row r="43" spans="1:33">
      <c r="A43" s="149">
        <v>1</v>
      </c>
      <c r="B43" s="168" t="s">
        <v>122</v>
      </c>
      <c r="C43" s="166">
        <f>标准成本!E5</f>
        <v>67.71</v>
      </c>
      <c r="D43" s="166">
        <f>标准成本!E17</f>
        <v>23.058</v>
      </c>
      <c r="E43" s="166">
        <f>标准成本!E30</f>
        <v>13.8933699531258</v>
      </c>
      <c r="F43" s="166">
        <f>标准成本!E43</f>
        <v>0</v>
      </c>
      <c r="G43" s="166">
        <f>标准成本!E56</f>
        <v>0</v>
      </c>
      <c r="H43" s="167"/>
      <c r="AF43" s="159" t="s">
        <v>62</v>
      </c>
      <c r="AG43" s="159" t="s">
        <v>122</v>
      </c>
    </row>
    <row r="44" spans="1:33">
      <c r="A44" s="149">
        <v>2</v>
      </c>
      <c r="B44" s="168" t="s">
        <v>123</v>
      </c>
      <c r="C44" s="166">
        <f>标准成本!E9</f>
        <v>15.54</v>
      </c>
      <c r="D44" s="166">
        <f>标准成本!E21</f>
        <v>5.292</v>
      </c>
      <c r="E44" s="166">
        <f>标准成本!E34</f>
        <v>3.18864228432395</v>
      </c>
      <c r="F44" s="166">
        <f>标准成本!E47</f>
        <v>0</v>
      </c>
      <c r="G44" s="166">
        <f>标准成本!E60</f>
        <v>0</v>
      </c>
      <c r="H44" s="167"/>
      <c r="AF44" s="159" t="s">
        <v>64</v>
      </c>
      <c r="AG44" s="159" t="s">
        <v>123</v>
      </c>
    </row>
    <row r="45" spans="1:33">
      <c r="A45" s="149">
        <v>3</v>
      </c>
      <c r="B45" s="168" t="s">
        <v>124</v>
      </c>
      <c r="C45" s="166">
        <f>标准成本!E8</f>
        <v>59.755</v>
      </c>
      <c r="D45" s="166">
        <f>标准成本!E20</f>
        <v>20.349</v>
      </c>
      <c r="E45" s="166">
        <f>标准成本!E33</f>
        <v>12.2610887837695</v>
      </c>
      <c r="F45" s="166">
        <f>标准成本!E46</f>
        <v>0</v>
      </c>
      <c r="G45" s="166">
        <f>标准成本!E59</f>
        <v>0</v>
      </c>
      <c r="H45" s="167"/>
      <c r="AF45" s="159" t="s">
        <v>109</v>
      </c>
      <c r="AG45" s="159" t="s">
        <v>124</v>
      </c>
    </row>
    <row r="46" s="146" customFormat="1" spans="1:33">
      <c r="A46" s="149">
        <v>4</v>
      </c>
      <c r="B46" s="168" t="s">
        <v>125</v>
      </c>
      <c r="C46" s="172">
        <f>C21/C6</f>
        <v>2.65560165975104</v>
      </c>
      <c r="D46" s="172">
        <f>D21/D6</f>
        <v>2.65560165975104</v>
      </c>
      <c r="E46" s="172">
        <f t="shared" ref="E46:G46" si="24">E21/E6</f>
        <v>2.65560165975104</v>
      </c>
      <c r="F46" s="172" t="e">
        <f t="shared" si="24"/>
        <v>#DIV/0!</v>
      </c>
      <c r="G46" s="172" t="e">
        <f t="shared" si="24"/>
        <v>#DIV/0!</v>
      </c>
      <c r="H46" s="172"/>
      <c r="AF46" s="168" t="s">
        <v>70</v>
      </c>
      <c r="AG46" s="168" t="s">
        <v>127</v>
      </c>
    </row>
    <row r="47" s="146" customFormat="1" spans="1:33">
      <c r="A47" s="149">
        <v>5</v>
      </c>
      <c r="B47" s="168" t="s">
        <v>127</v>
      </c>
      <c r="C47" s="166">
        <f>标准成本!E11</f>
        <v>65.675</v>
      </c>
      <c r="D47" s="166">
        <f>标准成本!E23</f>
        <v>22.365</v>
      </c>
      <c r="E47" s="166">
        <f>标准成本!E36</f>
        <v>13.4758096539881</v>
      </c>
      <c r="F47" s="166">
        <f>标准成本!E49</f>
        <v>0</v>
      </c>
      <c r="G47" s="166">
        <f>标准成本!E62</f>
        <v>0</v>
      </c>
      <c r="H47" s="172"/>
      <c r="AF47" s="168" t="s">
        <v>70</v>
      </c>
      <c r="AG47" s="168" t="s">
        <v>127</v>
      </c>
    </row>
    <row r="48" spans="1:33">
      <c r="A48" s="159" t="s">
        <v>120</v>
      </c>
      <c r="B48" s="163" t="s">
        <v>138</v>
      </c>
      <c r="C48" s="167">
        <f>C40-C43-C44-C45-C47-C46</f>
        <v>96.2653550878607</v>
      </c>
      <c r="D48" s="167">
        <f>D40-D43-D44-D45-D47-D46</f>
        <v>-75.0855800160813</v>
      </c>
      <c r="E48" s="167">
        <f t="shared" ref="E48:G48" si="25">E40-E43-E44-E45-E47-E46</f>
        <v>146.968965007147</v>
      </c>
      <c r="F48" s="167" t="e">
        <f t="shared" si="25"/>
        <v>#DIV/0!</v>
      </c>
      <c r="G48" s="167" t="e">
        <f t="shared" si="25"/>
        <v>#DIV/0!</v>
      </c>
      <c r="H48" s="167"/>
      <c r="AF48" s="159" t="s">
        <v>137</v>
      </c>
      <c r="AG48" s="163" t="s">
        <v>138</v>
      </c>
    </row>
    <row r="51" spans="3:7">
      <c r="C51" s="173"/>
      <c r="D51" s="173"/>
      <c r="E51" s="173"/>
      <c r="F51" s="173"/>
      <c r="G51" s="173"/>
    </row>
    <row r="54" spans="2:13">
      <c r="B54" s="2"/>
      <c r="C54" s="174"/>
      <c r="D54" s="174"/>
      <c r="E54" s="174"/>
      <c r="F54" s="174"/>
      <c r="G54" s="174"/>
      <c r="H54" s="174"/>
      <c r="I54" s="2"/>
      <c r="J54" s="2"/>
      <c r="K54" s="2"/>
      <c r="L54" s="2"/>
      <c r="M54" s="2"/>
    </row>
    <row r="55" spans="2:13">
      <c r="B55" s="2"/>
      <c r="C55" s="174"/>
      <c r="D55" s="174"/>
      <c r="E55" s="174"/>
      <c r="F55" s="174"/>
      <c r="G55" s="174"/>
      <c r="H55" s="174"/>
      <c r="I55" s="2"/>
      <c r="J55" s="2"/>
      <c r="K55" s="2"/>
      <c r="L55" s="2"/>
      <c r="M55" s="2"/>
    </row>
    <row r="56" spans="2:13">
      <c r="B56" s="2"/>
      <c r="C56" s="174"/>
      <c r="D56" s="174"/>
      <c r="E56" s="174"/>
      <c r="F56" s="174"/>
      <c r="G56" s="174"/>
      <c r="H56" s="174"/>
      <c r="I56" s="2"/>
      <c r="J56" s="2"/>
      <c r="K56" s="2"/>
      <c r="L56" s="2"/>
      <c r="M56" s="2"/>
    </row>
    <row r="57" spans="2:13">
      <c r="B57" s="2"/>
      <c r="C57" s="174"/>
      <c r="D57" s="174"/>
      <c r="E57" s="174"/>
      <c r="F57" s="174"/>
      <c r="G57" s="174"/>
      <c r="H57" s="174"/>
      <c r="I57" s="2"/>
      <c r="J57" s="2"/>
      <c r="K57" s="2"/>
      <c r="L57" s="2"/>
      <c r="M57" s="2"/>
    </row>
    <row r="58" spans="2:13">
      <c r="B58" s="2"/>
      <c r="C58" s="174"/>
      <c r="D58" s="174"/>
      <c r="E58" s="174"/>
      <c r="F58" s="174"/>
      <c r="G58" s="174"/>
      <c r="H58" s="174"/>
      <c r="I58" s="2"/>
      <c r="J58" s="2"/>
      <c r="K58" s="2"/>
      <c r="L58" s="2"/>
      <c r="M58" s="2"/>
    </row>
    <row r="59" spans="2:13">
      <c r="B59" s="2"/>
      <c r="C59" s="174"/>
      <c r="D59" s="174"/>
      <c r="E59" s="174"/>
      <c r="F59" s="174"/>
      <c r="G59" s="174"/>
      <c r="H59" s="174"/>
      <c r="I59" s="2"/>
      <c r="J59" s="2"/>
      <c r="K59" s="2"/>
      <c r="L59" s="2"/>
      <c r="M59" s="2"/>
    </row>
    <row r="60" spans="2:13">
      <c r="B60" s="2"/>
      <c r="C60" s="174"/>
      <c r="D60" s="174"/>
      <c r="E60" s="174"/>
      <c r="F60" s="174"/>
      <c r="G60" s="174"/>
      <c r="H60" s="174"/>
      <c r="I60" s="2"/>
      <c r="J60" s="2"/>
      <c r="K60" s="2"/>
      <c r="L60" s="2"/>
      <c r="M60" s="2"/>
    </row>
    <row r="61" spans="2:13">
      <c r="B61" s="2"/>
      <c r="C61" s="174"/>
      <c r="D61" s="174"/>
      <c r="E61" s="174"/>
      <c r="F61" s="174"/>
      <c r="G61" s="174"/>
      <c r="H61" s="174"/>
      <c r="I61" s="2"/>
      <c r="J61" s="2"/>
      <c r="K61" s="2"/>
      <c r="L61" s="2"/>
      <c r="M61" s="2"/>
    </row>
    <row r="62" spans="2:13">
      <c r="B62" s="2"/>
      <c r="C62" s="174"/>
      <c r="D62" s="174"/>
      <c r="E62" s="174"/>
      <c r="F62" s="174"/>
      <c r="G62" s="174"/>
      <c r="H62" s="174"/>
      <c r="I62" s="2"/>
      <c r="J62" s="2"/>
      <c r="K62" s="2"/>
      <c r="L62" s="2"/>
      <c r="M62" s="2"/>
    </row>
    <row r="63" spans="2:13">
      <c r="B63" s="2"/>
      <c r="C63" s="174"/>
      <c r="D63" s="174"/>
      <c r="E63" s="174"/>
      <c r="F63" s="174"/>
      <c r="G63" s="174"/>
      <c r="H63" s="174"/>
      <c r="I63" s="2"/>
      <c r="J63" s="2"/>
      <c r="K63" s="2"/>
      <c r="L63" s="2"/>
      <c r="M63" s="2"/>
    </row>
    <row r="64" spans="2:13">
      <c r="B64" s="2"/>
      <c r="C64" s="174"/>
      <c r="D64" s="174"/>
      <c r="E64" s="174"/>
      <c r="F64" s="174"/>
      <c r="G64" s="174"/>
      <c r="H64" s="174"/>
      <c r="I64" s="2"/>
      <c r="J64" s="2"/>
      <c r="K64" s="2"/>
      <c r="L64" s="2"/>
      <c r="M64" s="2"/>
    </row>
    <row r="65" spans="2:13">
      <c r="B65" s="2"/>
      <c r="C65" s="174"/>
      <c r="D65" s="174"/>
      <c r="E65" s="174"/>
      <c r="F65" s="174"/>
      <c r="G65" s="174"/>
      <c r="H65" s="174"/>
      <c r="I65" s="2"/>
      <c r="J65" s="2"/>
      <c r="K65" s="2"/>
      <c r="L65" s="2"/>
      <c r="M65" s="2"/>
    </row>
    <row r="66" spans="2:13">
      <c r="B66" s="2"/>
      <c r="C66" s="174"/>
      <c r="D66" s="174"/>
      <c r="E66" s="174"/>
      <c r="F66" s="174"/>
      <c r="G66" s="174"/>
      <c r="H66" s="174"/>
      <c r="I66" s="2"/>
      <c r="J66" s="2"/>
      <c r="K66" s="2"/>
      <c r="L66" s="2"/>
      <c r="M66" s="2"/>
    </row>
    <row r="67" spans="2:9">
      <c r="B67" s="2"/>
      <c r="C67" s="174"/>
      <c r="D67" s="174"/>
      <c r="E67" s="174"/>
      <c r="F67" s="174"/>
      <c r="G67" s="174"/>
      <c r="H67" s="174"/>
      <c r="I67" s="2"/>
    </row>
    <row r="68" spans="2:9">
      <c r="B68" s="2"/>
      <c r="C68" s="174"/>
      <c r="D68" s="174"/>
      <c r="E68" s="174"/>
      <c r="F68" s="174"/>
      <c r="G68" s="174"/>
      <c r="H68" s="174"/>
      <c r="I68" s="2"/>
    </row>
    <row r="69" spans="2:9">
      <c r="B69" s="2"/>
      <c r="C69" s="174"/>
      <c r="D69" s="174"/>
      <c r="E69" s="174"/>
      <c r="F69" s="174"/>
      <c r="G69" s="174"/>
      <c r="H69" s="174"/>
      <c r="I69" s="2"/>
    </row>
    <row r="70" spans="2:9">
      <c r="B70" s="2"/>
      <c r="C70" s="174"/>
      <c r="D70" s="174"/>
      <c r="E70" s="174"/>
      <c r="F70" s="174"/>
      <c r="G70" s="174"/>
      <c r="H70" s="174"/>
      <c r="I70" s="2"/>
    </row>
    <row r="71" spans="2:9">
      <c r="B71" s="2"/>
      <c r="C71" s="174"/>
      <c r="D71" s="174"/>
      <c r="E71" s="174"/>
      <c r="F71" s="174"/>
      <c r="G71" s="174"/>
      <c r="H71" s="174"/>
      <c r="I71" s="2"/>
    </row>
    <row r="72" spans="2:9">
      <c r="B72" s="2"/>
      <c r="C72" s="174"/>
      <c r="D72" s="174"/>
      <c r="E72" s="174"/>
      <c r="F72" s="174"/>
      <c r="G72" s="174"/>
      <c r="H72" s="174"/>
      <c r="I72" s="2"/>
    </row>
    <row r="73" spans="2:9">
      <c r="B73" s="2"/>
      <c r="C73" s="174"/>
      <c r="D73" s="174"/>
      <c r="E73" s="174"/>
      <c r="F73" s="174"/>
      <c r="G73" s="174"/>
      <c r="H73" s="174"/>
      <c r="I73" s="2"/>
    </row>
    <row r="74" spans="2:9">
      <c r="B74" s="2"/>
      <c r="C74" s="174"/>
      <c r="D74" s="174"/>
      <c r="E74" s="174"/>
      <c r="F74" s="174"/>
      <c r="G74" s="174"/>
      <c r="H74" s="174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zoomScale="85" zoomScaleNormal="85" workbookViewId="0">
      <pane xSplit="2" ySplit="7" topLeftCell="C26" activePane="bottomRight" state="frozen"/>
      <selection/>
      <selection pane="topRight"/>
      <selection pane="bottomLeft"/>
      <selection pane="bottomRight" activeCell="E38" sqref="E38"/>
    </sheetView>
  </sheetViews>
  <sheetFormatPr defaultColWidth="9" defaultRowHeight="16.5"/>
  <cols>
    <col min="1" max="1" width="5.125" style="147" customWidth="1"/>
    <col min="2" max="2" width="17.5" style="147" customWidth="1"/>
    <col min="3" max="7" width="14.375" style="148" customWidth="1"/>
    <col min="8" max="8" width="18.75" style="148" customWidth="1"/>
    <col min="9" max="9" width="12.375" style="147" customWidth="1"/>
    <col min="10" max="10" width="10.125" style="147" customWidth="1"/>
    <col min="11" max="17" width="9" style="147" customWidth="1"/>
    <col min="18" max="33" width="9" style="147"/>
    <col min="34" max="34" width="4.375" style="147" customWidth="1"/>
    <col min="35" max="35" width="13.875" style="147" customWidth="1"/>
    <col min="36" max="16384" width="9" style="147"/>
  </cols>
  <sheetData>
    <row r="1" spans="1:8">
      <c r="A1" s="149" t="s">
        <v>148</v>
      </c>
      <c r="B1" s="149"/>
      <c r="C1" s="150" t="s">
        <v>161</v>
      </c>
      <c r="D1" s="151"/>
      <c r="E1" s="151"/>
      <c r="F1" s="151"/>
      <c r="G1" s="151"/>
      <c r="H1" s="152"/>
    </row>
    <row r="2" spans="1:8">
      <c r="A2" s="149" t="s">
        <v>150</v>
      </c>
      <c r="B2" s="149"/>
      <c r="C2" s="153" t="str">
        <f>'2025年'!$C$2</f>
        <v>一汽解放汽车有限公司</v>
      </c>
      <c r="D2" s="153"/>
      <c r="E2" s="153"/>
      <c r="F2" s="153"/>
      <c r="G2" s="153"/>
      <c r="H2" s="153"/>
    </row>
    <row r="3" spans="1:8">
      <c r="A3" s="149" t="s">
        <v>152</v>
      </c>
      <c r="B3" s="149"/>
      <c r="C3" s="154" t="str">
        <f>'2025年'!C3</f>
        <v>驾驶员座总成</v>
      </c>
      <c r="D3" s="154" t="str">
        <f>'2025年'!D3</f>
        <v>前座总成</v>
      </c>
      <c r="E3" s="154" t="str">
        <f>'2025年'!E3</f>
        <v>中间座总成</v>
      </c>
      <c r="F3" s="154">
        <f>'2025年'!F3</f>
        <v>0</v>
      </c>
      <c r="G3" s="154">
        <f>'2025年'!G3</f>
        <v>0</v>
      </c>
      <c r="H3" s="155" t="s">
        <v>58</v>
      </c>
    </row>
    <row r="4" spans="1:8">
      <c r="A4" s="149" t="s">
        <v>153</v>
      </c>
      <c r="B4" s="149"/>
      <c r="C4" s="154" t="str">
        <f>'2025年'!C4</f>
        <v>6800010-J22-C00</v>
      </c>
      <c r="D4" s="154" t="str">
        <f>'2025年'!D4</f>
        <v>6900010-J22-C00</v>
      </c>
      <c r="E4" s="154" t="str">
        <f>'2025年'!E4</f>
        <v>6930010-J20-C00</v>
      </c>
      <c r="F4" s="154">
        <f>'2025年'!F4</f>
        <v>0</v>
      </c>
      <c r="G4" s="154">
        <f>'2025年'!G4</f>
        <v>0</v>
      </c>
      <c r="H4" s="156"/>
    </row>
    <row r="5" ht="57" spans="1:36">
      <c r="A5" s="149" t="s">
        <v>154</v>
      </c>
      <c r="B5" s="149"/>
      <c r="C5" s="157" t="str">
        <f>'2025年'!C5</f>
        <v>3.1平台、阻尼可调、气动升降、速降、集成安全带、坐垫延伸、</v>
      </c>
      <c r="D5" s="157" t="str">
        <f>'2025年'!D5</f>
        <v>坐垫翻折、三点式安全带</v>
      </c>
      <c r="E5" s="157" t="str">
        <f>'2025年'!E5</f>
        <v>侧翻、二点式安全带</v>
      </c>
      <c r="F5" s="157">
        <f>'2025年'!F5</f>
        <v>0</v>
      </c>
      <c r="G5" s="157">
        <f>'2025年'!G5</f>
        <v>0</v>
      </c>
      <c r="H5" s="158"/>
      <c r="AJ5" s="147" t="s">
        <v>59</v>
      </c>
    </row>
    <row r="6" ht="17.25" spans="1:36">
      <c r="A6" s="159" t="s">
        <v>21</v>
      </c>
      <c r="B6" s="160" t="s">
        <v>155</v>
      </c>
      <c r="C6" s="179">
        <f>销量!C10</f>
        <v>20000</v>
      </c>
      <c r="D6" s="179">
        <f>销量!D10</f>
        <v>20000</v>
      </c>
      <c r="E6" s="179">
        <f>销量!E10</f>
        <v>100</v>
      </c>
      <c r="F6" s="179">
        <f>销量!F10</f>
        <v>0</v>
      </c>
      <c r="G6" s="179">
        <f>销量!G10</f>
        <v>0</v>
      </c>
      <c r="H6" s="162">
        <f>+SUM(C6:G6)</f>
        <v>40100</v>
      </c>
      <c r="AH6" s="159" t="s">
        <v>21</v>
      </c>
      <c r="AI6" s="160" t="s">
        <v>3</v>
      </c>
      <c r="AJ6" s="147" t="s">
        <v>60</v>
      </c>
    </row>
    <row r="7" spans="1:36">
      <c r="A7" s="149">
        <v>1</v>
      </c>
      <c r="B7" s="160" t="s">
        <v>61</v>
      </c>
      <c r="C7" s="162">
        <f>C6*销量!C8</f>
        <v>37000000</v>
      </c>
      <c r="D7" s="162">
        <f>D6*销量!D8</f>
        <v>12600000</v>
      </c>
      <c r="E7" s="162">
        <f>E6*销量!E8</f>
        <v>58700</v>
      </c>
      <c r="F7" s="162">
        <f>F6*销量!F8</f>
        <v>0</v>
      </c>
      <c r="G7" s="162">
        <f>G6*销量!G8</f>
        <v>0</v>
      </c>
      <c r="H7" s="162">
        <f t="shared" ref="H7:H13" si="0">+SUM(C7:G7)</f>
        <v>49658700</v>
      </c>
      <c r="I7" s="148"/>
      <c r="AH7" s="159" t="s">
        <v>62</v>
      </c>
      <c r="AI7" s="160" t="s">
        <v>61</v>
      </c>
      <c r="AJ7" s="147" t="s">
        <v>60</v>
      </c>
    </row>
    <row r="8" spans="1:36">
      <c r="A8" s="149">
        <v>2</v>
      </c>
      <c r="B8" s="149" t="s">
        <v>63</v>
      </c>
      <c r="C8" s="162">
        <f>C7*(1-销量!$K$7)</f>
        <v>1850000</v>
      </c>
      <c r="D8" s="162">
        <f>D7*(1-销量!$K$7)</f>
        <v>630000.000000001</v>
      </c>
      <c r="E8" s="162">
        <f>E7*(1-销量!$K$7)</f>
        <v>2935</v>
      </c>
      <c r="F8" s="162">
        <f>F7*(1-销量!$K$7)</f>
        <v>0</v>
      </c>
      <c r="G8" s="162">
        <f>G7*(1-销量!$K$7)</f>
        <v>0</v>
      </c>
      <c r="H8" s="162">
        <f t="shared" si="0"/>
        <v>2482935</v>
      </c>
      <c r="I8" s="175"/>
      <c r="AH8" s="159" t="s">
        <v>64</v>
      </c>
      <c r="AI8" s="149" t="s">
        <v>65</v>
      </c>
      <c r="AJ8" s="147" t="s">
        <v>60</v>
      </c>
    </row>
    <row r="9" spans="1:36">
      <c r="A9" s="149">
        <v>3</v>
      </c>
      <c r="B9" s="160" t="s">
        <v>66</v>
      </c>
      <c r="C9" s="162">
        <f>+C7-C8</f>
        <v>35150000</v>
      </c>
      <c r="D9" s="162">
        <f>+D7-D8</f>
        <v>11970000</v>
      </c>
      <c r="E9" s="162">
        <f t="shared" ref="E9:G9" si="1">+E7-E8</f>
        <v>55765</v>
      </c>
      <c r="F9" s="162">
        <f t="shared" si="1"/>
        <v>0</v>
      </c>
      <c r="G9" s="162">
        <f t="shared" si="1"/>
        <v>0</v>
      </c>
      <c r="H9" s="162">
        <f t="shared" si="0"/>
        <v>47175765</v>
      </c>
      <c r="AH9" s="159" t="s">
        <v>67</v>
      </c>
      <c r="AI9" s="160" t="s">
        <v>66</v>
      </c>
      <c r="AJ9" s="147" t="s">
        <v>68</v>
      </c>
    </row>
    <row r="10" spans="1:36">
      <c r="A10" s="149">
        <v>4</v>
      </c>
      <c r="B10" s="159" t="s">
        <v>69</v>
      </c>
      <c r="C10" s="162">
        <f>C6*C33</f>
        <v>27920671.8217954</v>
      </c>
      <c r="D10" s="162">
        <f>D6*D33</f>
        <v>11524335.5887703</v>
      </c>
      <c r="E10" s="162">
        <f t="shared" ref="E10:G10" si="2">E6*E33</f>
        <v>36062.0258346161</v>
      </c>
      <c r="F10" s="162">
        <f t="shared" si="2"/>
        <v>0</v>
      </c>
      <c r="G10" s="162">
        <f t="shared" si="2"/>
        <v>0</v>
      </c>
      <c r="H10" s="162">
        <f t="shared" si="0"/>
        <v>39481069.4364003</v>
      </c>
      <c r="AH10" s="159" t="s">
        <v>70</v>
      </c>
      <c r="AI10" s="159" t="s">
        <v>69</v>
      </c>
      <c r="AJ10" s="147" t="s">
        <v>71</v>
      </c>
    </row>
    <row r="11" spans="1:35">
      <c r="A11" s="149">
        <v>5</v>
      </c>
      <c r="B11" s="159" t="s">
        <v>72</v>
      </c>
      <c r="C11" s="162">
        <f>+C6*C36</f>
        <v>455100</v>
      </c>
      <c r="D11" s="162">
        <f>+D6*D36</f>
        <v>154980</v>
      </c>
      <c r="E11" s="162">
        <f t="shared" ref="E11:G11" si="3">+E6*E36</f>
        <v>466.908334490293</v>
      </c>
      <c r="F11" s="162">
        <f t="shared" si="3"/>
        <v>0</v>
      </c>
      <c r="G11" s="162">
        <f t="shared" si="3"/>
        <v>0</v>
      </c>
      <c r="H11" s="162">
        <f t="shared" si="0"/>
        <v>610546.90833449</v>
      </c>
      <c r="AH11" s="159" t="s">
        <v>73</v>
      </c>
      <c r="AI11" s="159" t="s">
        <v>72</v>
      </c>
    </row>
    <row r="12" spans="1:35">
      <c r="A12" s="149">
        <v>6</v>
      </c>
      <c r="B12" s="159" t="s">
        <v>74</v>
      </c>
      <c r="C12" s="162">
        <f>+C6*C37</f>
        <v>410700</v>
      </c>
      <c r="D12" s="162">
        <f>+D6*D37</f>
        <v>139860</v>
      </c>
      <c r="E12" s="162">
        <f t="shared" ref="E12:G12" si="4">+E6*E37</f>
        <v>421.356301857093</v>
      </c>
      <c r="F12" s="162">
        <f t="shared" si="4"/>
        <v>0</v>
      </c>
      <c r="G12" s="162">
        <f t="shared" si="4"/>
        <v>0</v>
      </c>
      <c r="H12" s="162">
        <f t="shared" si="0"/>
        <v>550981.356301857</v>
      </c>
      <c r="AH12" s="159" t="s">
        <v>75</v>
      </c>
      <c r="AI12" s="159" t="s">
        <v>74</v>
      </c>
    </row>
    <row r="13" spans="1:36">
      <c r="A13" s="149">
        <v>7</v>
      </c>
      <c r="B13" s="159" t="s">
        <v>76</v>
      </c>
      <c r="C13" s="162">
        <f>+C6*C38</f>
        <v>592000</v>
      </c>
      <c r="D13" s="162">
        <f>+D6*D38</f>
        <v>201600</v>
      </c>
      <c r="E13" s="162">
        <f t="shared" ref="E13:G13" si="5">+E6*E38</f>
        <v>607.360435109324</v>
      </c>
      <c r="F13" s="162">
        <f t="shared" si="5"/>
        <v>0</v>
      </c>
      <c r="G13" s="162">
        <f t="shared" si="5"/>
        <v>0</v>
      </c>
      <c r="H13" s="162">
        <f t="shared" si="0"/>
        <v>794207.360435109</v>
      </c>
      <c r="AH13" s="159" t="s">
        <v>77</v>
      </c>
      <c r="AI13" s="159" t="s">
        <v>76</v>
      </c>
      <c r="AJ13" s="147" t="s">
        <v>60</v>
      </c>
    </row>
    <row r="14" spans="1:35">
      <c r="A14" s="149">
        <v>8</v>
      </c>
      <c r="B14" s="163" t="s">
        <v>78</v>
      </c>
      <c r="C14" s="162">
        <f>SUM(C11:C13)</f>
        <v>1457800</v>
      </c>
      <c r="D14" s="162">
        <f>SUM(D11:D13)</f>
        <v>496440</v>
      </c>
      <c r="E14" s="162">
        <f t="shared" ref="E14:H14" si="6">SUM(E11:E13)</f>
        <v>1495.62507145671</v>
      </c>
      <c r="F14" s="162">
        <f t="shared" si="6"/>
        <v>0</v>
      </c>
      <c r="G14" s="162">
        <f t="shared" si="6"/>
        <v>0</v>
      </c>
      <c r="H14" s="162">
        <f t="shared" si="6"/>
        <v>1955735.62507146</v>
      </c>
      <c r="AH14" s="159" t="s">
        <v>79</v>
      </c>
      <c r="AI14" s="163" t="s">
        <v>78</v>
      </c>
    </row>
    <row r="15" spans="1:35">
      <c r="A15" s="149">
        <v>9</v>
      </c>
      <c r="B15" s="163" t="s">
        <v>80</v>
      </c>
      <c r="C15" s="162">
        <f>+C9-C10-C14</f>
        <v>5771528.17820462</v>
      </c>
      <c r="D15" s="162">
        <f>+D9-D10-D14</f>
        <v>-50775.5887702759</v>
      </c>
      <c r="E15" s="162">
        <f t="shared" ref="E15:H15" si="7">+E9-E10-E14</f>
        <v>18207.3490939272</v>
      </c>
      <c r="F15" s="162">
        <f t="shared" si="7"/>
        <v>0</v>
      </c>
      <c r="G15" s="162">
        <f t="shared" si="7"/>
        <v>0</v>
      </c>
      <c r="H15" s="162">
        <f t="shared" si="7"/>
        <v>5738959.93852828</v>
      </c>
      <c r="AH15" s="159" t="s">
        <v>81</v>
      </c>
      <c r="AI15" s="163" t="s">
        <v>80</v>
      </c>
    </row>
    <row r="16" spans="1:35">
      <c r="A16" s="149">
        <v>10</v>
      </c>
      <c r="B16" s="159" t="s">
        <v>82</v>
      </c>
      <c r="C16" s="164">
        <f>+C15/C9</f>
        <v>0.164197103220615</v>
      </c>
      <c r="D16" s="164">
        <f>+D15/D9</f>
        <v>-0.00424190382374903</v>
      </c>
      <c r="E16" s="164">
        <f t="shared" ref="E16:H16" si="8">+E15/E9</f>
        <v>0.326501373512547</v>
      </c>
      <c r="F16" s="164" t="e">
        <f t="shared" si="8"/>
        <v>#DIV/0!</v>
      </c>
      <c r="G16" s="164" t="e">
        <f t="shared" si="8"/>
        <v>#DIV/0!</v>
      </c>
      <c r="H16" s="164">
        <f t="shared" si="8"/>
        <v>0.121650596201848</v>
      </c>
      <c r="AH16" s="159" t="s">
        <v>83</v>
      </c>
      <c r="AI16" s="159" t="s">
        <v>82</v>
      </c>
    </row>
    <row r="17" spans="1:35">
      <c r="A17" s="149">
        <v>11</v>
      </c>
      <c r="B17" s="159" t="s">
        <v>84</v>
      </c>
      <c r="C17" s="162">
        <f>C6*C43+C18</f>
        <v>1513401.99501247</v>
      </c>
      <c r="D17" s="162">
        <f>D6*D43+D18</f>
        <v>620361.995012469</v>
      </c>
      <c r="E17" s="162">
        <f t="shared" ref="E17:G17" si="9">E6*E43+E18</f>
        <v>2185.34697037492</v>
      </c>
      <c r="F17" s="162">
        <f t="shared" si="9"/>
        <v>0</v>
      </c>
      <c r="G17" s="162">
        <f t="shared" si="9"/>
        <v>0</v>
      </c>
      <c r="H17" s="162">
        <f>+SUM(C17:G17)</f>
        <v>2135949.33699531</v>
      </c>
      <c r="I17" s="175"/>
      <c r="AH17" s="159" t="s">
        <v>85</v>
      </c>
      <c r="AI17" s="159" t="s">
        <v>84</v>
      </c>
    </row>
    <row r="18" s="145" customFormat="1" spans="1:11">
      <c r="A18" s="149">
        <v>12</v>
      </c>
      <c r="B18" s="165" t="s">
        <v>156</v>
      </c>
      <c r="C18" s="166">
        <f>$H$18/$H$6*C6</f>
        <v>159201.995012469</v>
      </c>
      <c r="D18" s="166">
        <f>$H$18/$H$6*D6</f>
        <v>159201.995012469</v>
      </c>
      <c r="E18" s="166">
        <f t="shared" ref="E18:G18" si="10">$H$18/$H$6*E6</f>
        <v>796.009975062344</v>
      </c>
      <c r="F18" s="166">
        <f t="shared" si="10"/>
        <v>0</v>
      </c>
      <c r="G18" s="166">
        <f t="shared" si="10"/>
        <v>0</v>
      </c>
      <c r="H18" s="162">
        <f>项目投资!E26</f>
        <v>319200</v>
      </c>
      <c r="I18" s="177" t="s">
        <v>157</v>
      </c>
      <c r="J18" s="177"/>
      <c r="K18" s="177"/>
    </row>
    <row r="19" spans="1:36">
      <c r="A19" s="149">
        <v>13</v>
      </c>
      <c r="B19" s="159" t="s">
        <v>86</v>
      </c>
      <c r="C19" s="162">
        <f>C6*C44</f>
        <v>310800</v>
      </c>
      <c r="D19" s="162">
        <f>D6*D44</f>
        <v>105840</v>
      </c>
      <c r="E19" s="162">
        <f t="shared" ref="E19:G19" si="11">E6*E44</f>
        <v>318.864228432395</v>
      </c>
      <c r="F19" s="162">
        <f t="shared" si="11"/>
        <v>0</v>
      </c>
      <c r="G19" s="162">
        <f t="shared" si="11"/>
        <v>0</v>
      </c>
      <c r="H19" s="162">
        <f t="shared" ref="H19:H20" si="12">+SUM(C19:G19)</f>
        <v>416958.864228432</v>
      </c>
      <c r="I19" s="145"/>
      <c r="AH19" s="159" t="s">
        <v>87</v>
      </c>
      <c r="AI19" s="159" t="s">
        <v>86</v>
      </c>
      <c r="AJ19" s="147" t="s">
        <v>60</v>
      </c>
    </row>
    <row r="20" spans="1:35">
      <c r="A20" s="149">
        <v>14</v>
      </c>
      <c r="B20" s="159" t="s">
        <v>88</v>
      </c>
      <c r="C20" s="162">
        <f>C6*C45</f>
        <v>1195100</v>
      </c>
      <c r="D20" s="162">
        <f>D6*D45</f>
        <v>406980</v>
      </c>
      <c r="E20" s="162">
        <f t="shared" ref="E20:G20" si="13">E6*E45</f>
        <v>1226.10887837695</v>
      </c>
      <c r="F20" s="162">
        <f t="shared" si="13"/>
        <v>0</v>
      </c>
      <c r="G20" s="162">
        <f t="shared" si="13"/>
        <v>0</v>
      </c>
      <c r="H20" s="162">
        <f t="shared" si="12"/>
        <v>1603306.10887838</v>
      </c>
      <c r="AH20" s="159" t="s">
        <v>89</v>
      </c>
      <c r="AI20" s="159" t="s">
        <v>88</v>
      </c>
    </row>
    <row r="21" spans="1:35">
      <c r="A21" s="149">
        <v>15</v>
      </c>
      <c r="B21" s="159" t="s">
        <v>90</v>
      </c>
      <c r="C21" s="167">
        <f>$H$21/$H$6*C6</f>
        <v>15960.0997506234</v>
      </c>
      <c r="D21" s="167">
        <f>$H$21/$H$6*D6</f>
        <v>15960.0997506234</v>
      </c>
      <c r="E21" s="167">
        <f t="shared" ref="E21:G21" si="14">$H$21/$H$6*E6</f>
        <v>79.8004987531172</v>
      </c>
      <c r="F21" s="167">
        <f t="shared" si="14"/>
        <v>0</v>
      </c>
      <c r="G21" s="167">
        <f t="shared" si="14"/>
        <v>0</v>
      </c>
      <c r="H21" s="162">
        <f>项目投资!E27</f>
        <v>32000</v>
      </c>
      <c r="AH21" s="159"/>
      <c r="AI21" s="159"/>
    </row>
    <row r="22" spans="1:35">
      <c r="A22" s="149">
        <v>16</v>
      </c>
      <c r="B22" s="159" t="s">
        <v>91</v>
      </c>
      <c r="C22" s="162">
        <f>C6*C47</f>
        <v>1313500</v>
      </c>
      <c r="D22" s="162">
        <f>D6*D47</f>
        <v>447300</v>
      </c>
      <c r="E22" s="162">
        <f t="shared" ref="E22:G22" si="15">E6*E47</f>
        <v>1347.58096539881</v>
      </c>
      <c r="F22" s="162">
        <f t="shared" si="15"/>
        <v>0</v>
      </c>
      <c r="G22" s="162">
        <f t="shared" si="15"/>
        <v>0</v>
      </c>
      <c r="H22" s="162">
        <f>+SUM(C22:G22)</f>
        <v>1762147.5809654</v>
      </c>
      <c r="AH22" s="159" t="s">
        <v>92</v>
      </c>
      <c r="AI22" s="159" t="s">
        <v>91</v>
      </c>
    </row>
    <row r="23" spans="1:35">
      <c r="A23" s="149">
        <v>17</v>
      </c>
      <c r="B23" s="163" t="s">
        <v>93</v>
      </c>
      <c r="C23" s="167">
        <f>+C22+C21+C20+C19+C17</f>
        <v>4348762.09476309</v>
      </c>
      <c r="D23" s="167">
        <f>+D22+D21+D20+D19+D17</f>
        <v>1596442.09476309</v>
      </c>
      <c r="E23" s="167">
        <f t="shared" ref="E23:H23" si="16">+E22+E21+E20+E19+E17</f>
        <v>5157.70154133619</v>
      </c>
      <c r="F23" s="167">
        <f t="shared" si="16"/>
        <v>0</v>
      </c>
      <c r="G23" s="167">
        <f t="shared" si="16"/>
        <v>0</v>
      </c>
      <c r="H23" s="167">
        <f t="shared" si="16"/>
        <v>5950361.89106752</v>
      </c>
      <c r="AH23" s="159" t="s">
        <v>94</v>
      </c>
      <c r="AI23" s="163" t="s">
        <v>93</v>
      </c>
    </row>
    <row r="24" spans="1:35">
      <c r="A24" s="149">
        <v>18</v>
      </c>
      <c r="B24" s="168" t="s">
        <v>95</v>
      </c>
      <c r="C24" s="167">
        <f>+C15-C23</f>
        <v>1422766.08344153</v>
      </c>
      <c r="D24" s="167">
        <f>+D15-D23</f>
        <v>-1647217.68353337</v>
      </c>
      <c r="E24" s="167">
        <f t="shared" ref="E24:H24" si="17">+E15-E23</f>
        <v>13049.647552591</v>
      </c>
      <c r="F24" s="167">
        <f t="shared" si="17"/>
        <v>0</v>
      </c>
      <c r="G24" s="167">
        <f t="shared" si="17"/>
        <v>0</v>
      </c>
      <c r="H24" s="167">
        <f t="shared" si="17"/>
        <v>-211401.952539243</v>
      </c>
      <c r="J24" s="178"/>
      <c r="AH24" s="159" t="s">
        <v>96</v>
      </c>
      <c r="AI24" s="159" t="s">
        <v>95</v>
      </c>
    </row>
    <row r="25" spans="1:35">
      <c r="A25" s="149">
        <v>19</v>
      </c>
      <c r="B25" s="159" t="s">
        <v>158</v>
      </c>
      <c r="C25" s="167">
        <f>IF(C24&lt;0,0,C24*0.15)</f>
        <v>213414.912516229</v>
      </c>
      <c r="D25" s="167">
        <f t="shared" ref="D25:H25" si="18">IF(D24&lt;0,0,D24*0.15)</f>
        <v>0</v>
      </c>
      <c r="E25" s="167">
        <f t="shared" ref="E25:G25" si="19">IF(E24&lt;0,0,E24*0.15)</f>
        <v>1957.44713288865</v>
      </c>
      <c r="F25" s="167">
        <f t="shared" si="19"/>
        <v>0</v>
      </c>
      <c r="G25" s="167">
        <f t="shared" si="19"/>
        <v>0</v>
      </c>
      <c r="H25" s="167">
        <f t="shared" si="18"/>
        <v>0</v>
      </c>
      <c r="I25" s="2"/>
      <c r="J25" s="2"/>
      <c r="K25" s="2"/>
      <c r="AH25" s="159" t="s">
        <v>97</v>
      </c>
      <c r="AI25" s="159" t="s">
        <v>38</v>
      </c>
    </row>
    <row r="26" spans="1:35">
      <c r="A26" s="149">
        <v>20</v>
      </c>
      <c r="B26" s="159" t="s">
        <v>98</v>
      </c>
      <c r="C26" s="167">
        <f>C24-C25</f>
        <v>1209351.1709253</v>
      </c>
      <c r="D26" s="167">
        <f>D24-D25</f>
        <v>-1647217.68353337</v>
      </c>
      <c r="E26" s="167">
        <f t="shared" ref="E26:H26" si="20">E24-E25</f>
        <v>11092.2004197024</v>
      </c>
      <c r="F26" s="167">
        <f t="shared" si="20"/>
        <v>0</v>
      </c>
      <c r="G26" s="167">
        <f t="shared" si="20"/>
        <v>0</v>
      </c>
      <c r="H26" s="167">
        <f t="shared" si="20"/>
        <v>-211401.952539243</v>
      </c>
      <c r="I26" s="2"/>
      <c r="J26" s="2"/>
      <c r="K26" s="2"/>
      <c r="AH26" s="159" t="s">
        <v>99</v>
      </c>
      <c r="AI26" s="159" t="s">
        <v>98</v>
      </c>
    </row>
    <row r="27" spans="1:35">
      <c r="A27" s="149">
        <v>21</v>
      </c>
      <c r="B27" s="159" t="s">
        <v>102</v>
      </c>
      <c r="C27" s="169">
        <f>C26/C9</f>
        <v>0.0344054387176472</v>
      </c>
      <c r="D27" s="169">
        <f t="shared" ref="D27:H27" si="21">D26/D9</f>
        <v>-0.13761217072125</v>
      </c>
      <c r="E27" s="169">
        <f t="shared" si="21"/>
        <v>0.198909717918091</v>
      </c>
      <c r="F27" s="169" t="e">
        <f t="shared" si="21"/>
        <v>#DIV/0!</v>
      </c>
      <c r="G27" s="169" t="e">
        <f t="shared" si="21"/>
        <v>#DIV/0!</v>
      </c>
      <c r="H27" s="169">
        <f t="shared" si="21"/>
        <v>-0.00448115579131028</v>
      </c>
      <c r="I27" s="2"/>
      <c r="J27" s="2"/>
      <c r="K27" s="2"/>
      <c r="AH27" s="159" t="s">
        <v>101</v>
      </c>
      <c r="AI27" s="159" t="s">
        <v>102</v>
      </c>
    </row>
    <row r="28" spans="9:11">
      <c r="I28" s="2"/>
      <c r="J28" s="2"/>
      <c r="K28" s="2"/>
    </row>
    <row r="29" spans="1:34">
      <c r="A29" s="147" t="s">
        <v>103</v>
      </c>
      <c r="H29" s="148" t="s">
        <v>159</v>
      </c>
      <c r="I29" s="2"/>
      <c r="J29" s="2"/>
      <c r="K29" s="2"/>
      <c r="AH29" s="147" t="s">
        <v>103</v>
      </c>
    </row>
    <row r="30" spans="1:35">
      <c r="A30" s="159" t="s">
        <v>104</v>
      </c>
      <c r="B30" s="163" t="s">
        <v>105</v>
      </c>
      <c r="C30" s="167"/>
      <c r="D30" s="167"/>
      <c r="E30" s="167"/>
      <c r="F30" s="167"/>
      <c r="G30" s="167"/>
      <c r="H30" s="167"/>
      <c r="I30" s="2"/>
      <c r="J30" s="2"/>
      <c r="K30" s="2"/>
      <c r="M30" s="2"/>
      <c r="AH30" s="159" t="s">
        <v>106</v>
      </c>
      <c r="AI30" s="163" t="s">
        <v>105</v>
      </c>
    </row>
    <row r="31" spans="1:35">
      <c r="A31" s="149">
        <v>1</v>
      </c>
      <c r="B31" s="165" t="s">
        <v>107</v>
      </c>
      <c r="C31" s="170">
        <f>销量!C8</f>
        <v>1850</v>
      </c>
      <c r="D31" s="170">
        <f>销量!D8</f>
        <v>630</v>
      </c>
      <c r="E31" s="170">
        <f>销量!E8</f>
        <v>587</v>
      </c>
      <c r="F31" s="170">
        <f>销量!F8</f>
        <v>0</v>
      </c>
      <c r="G31" s="170">
        <f>销量!G8</f>
        <v>0</v>
      </c>
      <c r="H31" s="167"/>
      <c r="I31" s="2"/>
      <c r="J31" s="2"/>
      <c r="K31" s="2"/>
      <c r="M31" s="2"/>
      <c r="AH31" s="159" t="s">
        <v>62</v>
      </c>
      <c r="AI31" s="159" t="s">
        <v>107</v>
      </c>
    </row>
    <row r="32" spans="1:35">
      <c r="A32" s="149">
        <v>2</v>
      </c>
      <c r="B32" s="159" t="s">
        <v>160</v>
      </c>
      <c r="C32" s="162">
        <f>C9/C6</f>
        <v>1757.5</v>
      </c>
      <c r="D32" s="162">
        <f t="shared" ref="D32:G32" si="22">D9/D6</f>
        <v>598.5</v>
      </c>
      <c r="E32" s="162">
        <f t="shared" si="22"/>
        <v>557.65</v>
      </c>
      <c r="F32" s="162" t="e">
        <f t="shared" si="22"/>
        <v>#DIV/0!</v>
      </c>
      <c r="G32" s="162" t="e">
        <f t="shared" si="22"/>
        <v>#DIV/0!</v>
      </c>
      <c r="H32" s="167"/>
      <c r="I32" s="2"/>
      <c r="J32" s="2"/>
      <c r="K32" s="2"/>
      <c r="L32" s="2"/>
      <c r="M32" s="2"/>
      <c r="N32" s="2"/>
      <c r="O32" s="2"/>
      <c r="AH32" s="159"/>
      <c r="AI32" s="159"/>
    </row>
    <row r="33" spans="1:35">
      <c r="A33" s="149">
        <v>3</v>
      </c>
      <c r="B33" s="165" t="s">
        <v>108</v>
      </c>
      <c r="C33" s="162">
        <f>材料成本!D25</f>
        <v>1396.03359108977</v>
      </c>
      <c r="D33" s="162">
        <f>材料成本!E25</f>
        <v>576.216779438514</v>
      </c>
      <c r="E33" s="162">
        <f>材料成本!F25</f>
        <v>360.620258346161</v>
      </c>
      <c r="F33" s="162">
        <f>材料成本!G25</f>
        <v>0</v>
      </c>
      <c r="G33" s="162">
        <f>材料成本!H25</f>
        <v>0</v>
      </c>
      <c r="H33" s="167"/>
      <c r="J33" s="2"/>
      <c r="K33" s="2"/>
      <c r="L33" s="2"/>
      <c r="M33" s="2"/>
      <c r="N33" s="2"/>
      <c r="O33" s="2"/>
      <c r="AH33" s="159" t="s">
        <v>64</v>
      </c>
      <c r="AI33" s="159" t="s">
        <v>108</v>
      </c>
    </row>
    <row r="34" ht="17.25" customHeight="1" spans="1:35">
      <c r="A34" s="149">
        <v>4</v>
      </c>
      <c r="B34" s="159" t="s">
        <v>110</v>
      </c>
      <c r="C34" s="171">
        <f>C32-C33</f>
        <v>361.466408910231</v>
      </c>
      <c r="D34" s="171">
        <f t="shared" ref="D34:G34" si="23">D32-D33</f>
        <v>22.2832205614862</v>
      </c>
      <c r="E34" s="171">
        <f t="shared" si="23"/>
        <v>197.029741653839</v>
      </c>
      <c r="F34" s="171" t="e">
        <f t="shared" si="23"/>
        <v>#DIV/0!</v>
      </c>
      <c r="G34" s="171" t="e">
        <f t="shared" si="23"/>
        <v>#DIV/0!</v>
      </c>
      <c r="H34" s="167"/>
      <c r="J34" s="2"/>
      <c r="K34" s="2"/>
      <c r="L34" s="2"/>
      <c r="M34" s="2"/>
      <c r="N34" s="2"/>
      <c r="O34" s="2"/>
      <c r="AH34" s="159" t="s">
        <v>109</v>
      </c>
      <c r="AI34" s="159" t="s">
        <v>110</v>
      </c>
    </row>
    <row r="35" spans="1:35">
      <c r="A35" s="159" t="s">
        <v>106</v>
      </c>
      <c r="B35" s="163" t="s">
        <v>10</v>
      </c>
      <c r="C35" s="167"/>
      <c r="D35" s="167"/>
      <c r="E35" s="167"/>
      <c r="F35" s="167"/>
      <c r="G35" s="167"/>
      <c r="H35" s="167"/>
      <c r="I35" s="2"/>
      <c r="J35" s="2"/>
      <c r="K35" s="2"/>
      <c r="L35" s="2"/>
      <c r="M35" s="2"/>
      <c r="N35" s="2"/>
      <c r="O35" s="2"/>
      <c r="P35" s="2"/>
      <c r="Q35" s="2"/>
      <c r="R35" s="2"/>
      <c r="AH35" s="159" t="s">
        <v>112</v>
      </c>
      <c r="AI35" s="163" t="s">
        <v>10</v>
      </c>
    </row>
    <row r="36" spans="1:35">
      <c r="A36" s="149">
        <v>1</v>
      </c>
      <c r="B36" s="159" t="s">
        <v>113</v>
      </c>
      <c r="C36" s="166">
        <f>'2025年'!C36</f>
        <v>22.755</v>
      </c>
      <c r="D36" s="166">
        <f>'2025年'!D36</f>
        <v>7.749</v>
      </c>
      <c r="E36" s="166">
        <f>'2025年'!E36</f>
        <v>4.66908334490293</v>
      </c>
      <c r="F36" s="166">
        <f>'2025年'!F36</f>
        <v>0</v>
      </c>
      <c r="G36" s="166">
        <f>'2025年'!G36</f>
        <v>0</v>
      </c>
      <c r="H36" s="170"/>
      <c r="I36" s="2"/>
      <c r="J36" s="2"/>
      <c r="K36" s="2"/>
      <c r="L36" s="2"/>
      <c r="M36" s="2"/>
      <c r="N36" s="2"/>
      <c r="O36" s="2"/>
      <c r="P36" s="2"/>
      <c r="Q36" s="2"/>
      <c r="R36" s="2"/>
      <c r="AH36" s="159" t="s">
        <v>109</v>
      </c>
      <c r="AI36" s="159" t="s">
        <v>113</v>
      </c>
    </row>
    <row r="37" spans="1:35">
      <c r="A37" s="149">
        <v>2</v>
      </c>
      <c r="B37" s="159" t="s">
        <v>114</v>
      </c>
      <c r="C37" s="166">
        <f>'2025年'!C37</f>
        <v>20.535</v>
      </c>
      <c r="D37" s="166">
        <f>'2025年'!D37</f>
        <v>6.993</v>
      </c>
      <c r="E37" s="166">
        <f>'2025年'!E37</f>
        <v>4.21356301857093</v>
      </c>
      <c r="F37" s="166">
        <f>'2025年'!F37</f>
        <v>0</v>
      </c>
      <c r="G37" s="166">
        <f>'2025年'!G37</f>
        <v>0</v>
      </c>
      <c r="H37" s="170"/>
      <c r="I37" s="2"/>
      <c r="J37" s="2"/>
      <c r="K37" s="2"/>
      <c r="L37" s="2"/>
      <c r="M37" s="2"/>
      <c r="N37" s="2"/>
      <c r="O37" s="2"/>
      <c r="P37" s="2"/>
      <c r="Q37" s="2"/>
      <c r="R37" s="2"/>
      <c r="AH37" s="159" t="s">
        <v>67</v>
      </c>
      <c r="AI37" s="159" t="s">
        <v>114</v>
      </c>
    </row>
    <row r="38" spans="1:35">
      <c r="A38" s="149">
        <v>3</v>
      </c>
      <c r="B38" s="159" t="s">
        <v>115</v>
      </c>
      <c r="C38" s="166">
        <f>'2025年'!C38</f>
        <v>29.6</v>
      </c>
      <c r="D38" s="166">
        <f>'2025年'!D38</f>
        <v>10.08</v>
      </c>
      <c r="E38" s="166">
        <f>'2025年'!E38</f>
        <v>6.07360435109324</v>
      </c>
      <c r="F38" s="166">
        <f>'2025年'!F38</f>
        <v>0</v>
      </c>
      <c r="G38" s="166">
        <f>'2025年'!G38</f>
        <v>0</v>
      </c>
      <c r="H38" s="170"/>
      <c r="I38" s="2"/>
      <c r="J38" s="2"/>
      <c r="K38" s="2"/>
      <c r="L38" s="2"/>
      <c r="M38" s="2"/>
      <c r="N38" s="2"/>
      <c r="O38" s="2"/>
      <c r="P38" s="2"/>
      <c r="Q38" s="2"/>
      <c r="R38" s="2"/>
      <c r="AH38" s="159" t="s">
        <v>73</v>
      </c>
      <c r="AI38" s="159" t="s">
        <v>115</v>
      </c>
    </row>
    <row r="39" spans="1:35">
      <c r="A39" s="159" t="s">
        <v>112</v>
      </c>
      <c r="B39" s="163" t="s">
        <v>117</v>
      </c>
      <c r="C39" s="167"/>
      <c r="D39" s="167"/>
      <c r="E39" s="167"/>
      <c r="F39" s="167"/>
      <c r="G39" s="167"/>
      <c r="H39" s="167"/>
      <c r="AH39" s="159" t="s">
        <v>116</v>
      </c>
      <c r="AI39" s="163" t="s">
        <v>117</v>
      </c>
    </row>
    <row r="40" spans="1:35">
      <c r="A40" s="149">
        <v>1</v>
      </c>
      <c r="B40" s="159" t="s">
        <v>118</v>
      </c>
      <c r="C40" s="167">
        <f>C34-C36-C37-C38</f>
        <v>288.576408910231</v>
      </c>
      <c r="D40" s="167">
        <f>D34-D36-D37-D38</f>
        <v>-2.53877943851375</v>
      </c>
      <c r="E40" s="167">
        <f t="shared" ref="E40:G40" si="24">E34-E36-E37-E38</f>
        <v>182.073490939272</v>
      </c>
      <c r="F40" s="167" t="e">
        <f t="shared" si="24"/>
        <v>#DIV/0!</v>
      </c>
      <c r="G40" s="167" t="e">
        <f t="shared" si="24"/>
        <v>#DIV/0!</v>
      </c>
      <c r="H40" s="167"/>
      <c r="AH40" s="159" t="s">
        <v>62</v>
      </c>
      <c r="AI40" s="159" t="s">
        <v>118</v>
      </c>
    </row>
    <row r="41" spans="1:35">
      <c r="A41" s="149">
        <v>2</v>
      </c>
      <c r="B41" s="159" t="s">
        <v>119</v>
      </c>
      <c r="C41" s="167"/>
      <c r="D41" s="167"/>
      <c r="E41" s="167"/>
      <c r="F41" s="167"/>
      <c r="G41" s="167"/>
      <c r="H41" s="167"/>
      <c r="AH41" s="159" t="s">
        <v>64</v>
      </c>
      <c r="AI41" s="159" t="s">
        <v>119</v>
      </c>
    </row>
    <row r="42" spans="1:35">
      <c r="A42" s="159" t="s">
        <v>116</v>
      </c>
      <c r="B42" s="163" t="s">
        <v>121</v>
      </c>
      <c r="C42" s="167"/>
      <c r="D42" s="167"/>
      <c r="E42" s="167"/>
      <c r="F42" s="167"/>
      <c r="G42" s="167"/>
      <c r="H42" s="167"/>
      <c r="AH42" s="159" t="s">
        <v>120</v>
      </c>
      <c r="AI42" s="163" t="s">
        <v>121</v>
      </c>
    </row>
    <row r="43" spans="1:35">
      <c r="A43" s="149">
        <v>1</v>
      </c>
      <c r="B43" s="168" t="s">
        <v>122</v>
      </c>
      <c r="C43" s="166">
        <f>'2025年'!C43</f>
        <v>67.71</v>
      </c>
      <c r="D43" s="166">
        <f>'2025年'!D43</f>
        <v>23.058</v>
      </c>
      <c r="E43" s="166">
        <f>'2025年'!E43</f>
        <v>13.8933699531258</v>
      </c>
      <c r="F43" s="166">
        <f>'2025年'!F43</f>
        <v>0</v>
      </c>
      <c r="G43" s="166">
        <f>'2025年'!G43</f>
        <v>0</v>
      </c>
      <c r="H43" s="167"/>
      <c r="AH43" s="159" t="s">
        <v>62</v>
      </c>
      <c r="AI43" s="159" t="s">
        <v>122</v>
      </c>
    </row>
    <row r="44" spans="1:35">
      <c r="A44" s="149">
        <v>2</v>
      </c>
      <c r="B44" s="168" t="s">
        <v>123</v>
      </c>
      <c r="C44" s="166">
        <f>'2025年'!C44</f>
        <v>15.54</v>
      </c>
      <c r="D44" s="166">
        <f>'2025年'!D44</f>
        <v>5.292</v>
      </c>
      <c r="E44" s="166">
        <f>'2025年'!E44</f>
        <v>3.18864228432395</v>
      </c>
      <c r="F44" s="166">
        <f>'2025年'!F44</f>
        <v>0</v>
      </c>
      <c r="G44" s="166">
        <f>'2025年'!G44</f>
        <v>0</v>
      </c>
      <c r="H44" s="167"/>
      <c r="AH44" s="159" t="s">
        <v>64</v>
      </c>
      <c r="AI44" s="159" t="s">
        <v>123</v>
      </c>
    </row>
    <row r="45" spans="1:35">
      <c r="A45" s="149">
        <v>3</v>
      </c>
      <c r="B45" s="168" t="s">
        <v>124</v>
      </c>
      <c r="C45" s="166">
        <f>'2025年'!C45</f>
        <v>59.755</v>
      </c>
      <c r="D45" s="166">
        <f>'2025年'!D45</f>
        <v>20.349</v>
      </c>
      <c r="E45" s="166">
        <f>'2025年'!E45</f>
        <v>12.2610887837695</v>
      </c>
      <c r="F45" s="166">
        <f>'2025年'!F45</f>
        <v>0</v>
      </c>
      <c r="G45" s="166">
        <f>'2025年'!G45</f>
        <v>0</v>
      </c>
      <c r="H45" s="167"/>
      <c r="AH45" s="159" t="s">
        <v>109</v>
      </c>
      <c r="AI45" s="159" t="s">
        <v>124</v>
      </c>
    </row>
    <row r="46" s="146" customFormat="1" spans="1:35">
      <c r="A46" s="149">
        <v>4</v>
      </c>
      <c r="B46" s="168" t="s">
        <v>125</v>
      </c>
      <c r="C46" s="172">
        <f>C21/C6</f>
        <v>0.798004987531172</v>
      </c>
      <c r="D46" s="172">
        <f>D21/D6</f>
        <v>0.798004987531172</v>
      </c>
      <c r="E46" s="172">
        <f t="shared" ref="E46:G46" si="25">E21/E6</f>
        <v>0.798004987531172</v>
      </c>
      <c r="F46" s="172" t="e">
        <f t="shared" si="25"/>
        <v>#DIV/0!</v>
      </c>
      <c r="G46" s="172" t="e">
        <f t="shared" si="25"/>
        <v>#DIV/0!</v>
      </c>
      <c r="H46" s="172"/>
      <c r="AH46" s="168" t="s">
        <v>70</v>
      </c>
      <c r="AI46" s="168" t="s">
        <v>127</v>
      </c>
    </row>
    <row r="47" s="146" customFormat="1" spans="1:35">
      <c r="A47" s="149">
        <v>5</v>
      </c>
      <c r="B47" s="168" t="s">
        <v>127</v>
      </c>
      <c r="C47" s="166">
        <f>'2025年'!C47</f>
        <v>65.675</v>
      </c>
      <c r="D47" s="166">
        <f>'2025年'!D47</f>
        <v>22.365</v>
      </c>
      <c r="E47" s="166">
        <f>'2025年'!E47</f>
        <v>13.4758096539881</v>
      </c>
      <c r="F47" s="166">
        <f>'2025年'!F47</f>
        <v>0</v>
      </c>
      <c r="G47" s="166">
        <f>'2025年'!G47</f>
        <v>0</v>
      </c>
      <c r="H47" s="172"/>
      <c r="AH47" s="168" t="s">
        <v>70</v>
      </c>
      <c r="AI47" s="168" t="s">
        <v>127</v>
      </c>
    </row>
    <row r="48" spans="1:35">
      <c r="A48" s="159" t="s">
        <v>120</v>
      </c>
      <c r="B48" s="163" t="s">
        <v>138</v>
      </c>
      <c r="C48" s="167">
        <f>C40-C43-C44-C45-C47-C46</f>
        <v>79.0984039227</v>
      </c>
      <c r="D48" s="167">
        <f>D40-D43-D44-D45-D47-D46</f>
        <v>-74.4007844260449</v>
      </c>
      <c r="E48" s="167">
        <f t="shared" ref="E48:G48" si="26">E40-E43-E44-E45-E47-E46</f>
        <v>138.456575276533</v>
      </c>
      <c r="F48" s="167" t="e">
        <f t="shared" si="26"/>
        <v>#DIV/0!</v>
      </c>
      <c r="G48" s="167" t="e">
        <f t="shared" si="26"/>
        <v>#DIV/0!</v>
      </c>
      <c r="H48" s="167"/>
      <c r="AH48" s="159" t="s">
        <v>137</v>
      </c>
      <c r="AI48" s="163" t="s">
        <v>138</v>
      </c>
    </row>
    <row r="51" spans="3:7">
      <c r="C51" s="173"/>
      <c r="D51" s="173"/>
      <c r="E51" s="173"/>
      <c r="F51" s="173"/>
      <c r="G51" s="173"/>
    </row>
    <row r="54" spans="2:13">
      <c r="B54" s="2"/>
      <c r="C54" s="174"/>
      <c r="D54" s="174"/>
      <c r="E54" s="174"/>
      <c r="F54" s="174"/>
      <c r="G54" s="174"/>
      <c r="H54" s="174"/>
      <c r="I54" s="2"/>
      <c r="J54" s="2"/>
      <c r="K54" s="2"/>
      <c r="L54" s="2"/>
      <c r="M54" s="2"/>
    </row>
    <row r="55" spans="2:13">
      <c r="B55" s="2"/>
      <c r="C55" s="174"/>
      <c r="D55" s="174"/>
      <c r="E55" s="174"/>
      <c r="F55" s="174"/>
      <c r="G55" s="174"/>
      <c r="H55" s="174"/>
      <c r="I55" s="2"/>
      <c r="J55" s="2"/>
      <c r="K55" s="2"/>
      <c r="L55" s="2"/>
      <c r="M55" s="2"/>
    </row>
    <row r="56" spans="2:13">
      <c r="B56" s="2"/>
      <c r="C56" s="174"/>
      <c r="D56" s="174"/>
      <c r="E56" s="174"/>
      <c r="F56" s="174"/>
      <c r="G56" s="174"/>
      <c r="H56" s="174"/>
      <c r="I56" s="2"/>
      <c r="J56" s="2"/>
      <c r="K56" s="2"/>
      <c r="L56" s="2"/>
      <c r="M56" s="2"/>
    </row>
    <row r="57" spans="2:13">
      <c r="B57" s="2"/>
      <c r="C57" s="174"/>
      <c r="D57" s="174"/>
      <c r="E57" s="174"/>
      <c r="F57" s="174"/>
      <c r="G57" s="174"/>
      <c r="H57" s="174"/>
      <c r="I57" s="2"/>
      <c r="J57" s="2"/>
      <c r="K57" s="2"/>
      <c r="L57" s="2"/>
      <c r="M57" s="2"/>
    </row>
    <row r="58" spans="2:13">
      <c r="B58" s="2"/>
      <c r="C58" s="174"/>
      <c r="D58" s="174"/>
      <c r="E58" s="174"/>
      <c r="F58" s="174"/>
      <c r="G58" s="174"/>
      <c r="H58" s="174"/>
      <c r="I58" s="2"/>
      <c r="J58" s="2"/>
      <c r="K58" s="2"/>
      <c r="L58" s="2"/>
      <c r="M58" s="2"/>
    </row>
    <row r="59" spans="2:13">
      <c r="B59" s="2"/>
      <c r="C59" s="174"/>
      <c r="D59" s="174"/>
      <c r="E59" s="174"/>
      <c r="F59" s="174"/>
      <c r="G59" s="174"/>
      <c r="H59" s="174"/>
      <c r="I59" s="2"/>
      <c r="J59" s="2"/>
      <c r="K59" s="2"/>
      <c r="L59" s="2"/>
      <c r="M59" s="2"/>
    </row>
    <row r="60" spans="2:13">
      <c r="B60" s="2"/>
      <c r="C60" s="174"/>
      <c r="D60" s="174"/>
      <c r="E60" s="174"/>
      <c r="F60" s="174"/>
      <c r="G60" s="174"/>
      <c r="H60" s="174"/>
      <c r="I60" s="2"/>
      <c r="J60" s="2"/>
      <c r="K60" s="2"/>
      <c r="L60" s="2"/>
      <c r="M60" s="2"/>
    </row>
    <row r="61" spans="2:13">
      <c r="B61" s="2"/>
      <c r="C61" s="174"/>
      <c r="D61" s="174"/>
      <c r="E61" s="174"/>
      <c r="F61" s="174"/>
      <c r="G61" s="174"/>
      <c r="H61" s="174"/>
      <c r="I61" s="2"/>
      <c r="J61" s="2"/>
      <c r="K61" s="2"/>
      <c r="L61" s="2"/>
      <c r="M61" s="2"/>
    </row>
    <row r="62" spans="2:13">
      <c r="B62" s="2"/>
      <c r="C62" s="174"/>
      <c r="D62" s="174"/>
      <c r="E62" s="174"/>
      <c r="F62" s="174"/>
      <c r="G62" s="174"/>
      <c r="H62" s="174"/>
      <c r="I62" s="2"/>
      <c r="J62" s="2"/>
      <c r="K62" s="2"/>
      <c r="L62" s="2"/>
      <c r="M62" s="2"/>
    </row>
    <row r="63" spans="2:13">
      <c r="B63" s="2"/>
      <c r="C63" s="174"/>
      <c r="D63" s="174"/>
      <c r="E63" s="174"/>
      <c r="F63" s="174"/>
      <c r="G63" s="174"/>
      <c r="H63" s="174"/>
      <c r="I63" s="2"/>
      <c r="J63" s="2"/>
      <c r="K63" s="2"/>
      <c r="L63" s="2"/>
      <c r="M63" s="2"/>
    </row>
    <row r="64" spans="2:13">
      <c r="B64" s="2"/>
      <c r="C64" s="174"/>
      <c r="D64" s="174"/>
      <c r="E64" s="174"/>
      <c r="F64" s="174"/>
      <c r="G64" s="174"/>
      <c r="H64" s="174"/>
      <c r="I64" s="2"/>
      <c r="J64" s="2"/>
      <c r="K64" s="2"/>
      <c r="L64" s="2"/>
      <c r="M64" s="2"/>
    </row>
    <row r="65" spans="2:13">
      <c r="B65" s="2"/>
      <c r="C65" s="174"/>
      <c r="D65" s="174"/>
      <c r="E65" s="174"/>
      <c r="F65" s="174"/>
      <c r="G65" s="174"/>
      <c r="H65" s="174"/>
      <c r="I65" s="2"/>
      <c r="J65" s="2"/>
      <c r="K65" s="2"/>
      <c r="L65" s="2"/>
      <c r="M65" s="2"/>
    </row>
    <row r="66" spans="2:13">
      <c r="B66" s="2"/>
      <c r="C66" s="174"/>
      <c r="D66" s="174"/>
      <c r="E66" s="174"/>
      <c r="F66" s="174"/>
      <c r="G66" s="174"/>
      <c r="H66" s="174"/>
      <c r="I66" s="2"/>
      <c r="J66" s="2"/>
      <c r="K66" s="2"/>
      <c r="L66" s="2"/>
      <c r="M66" s="2"/>
    </row>
    <row r="67" spans="2:9">
      <c r="B67" s="2"/>
      <c r="C67" s="174"/>
      <c r="D67" s="174"/>
      <c r="E67" s="174"/>
      <c r="F67" s="174"/>
      <c r="G67" s="174"/>
      <c r="H67" s="174"/>
      <c r="I67" s="2"/>
    </row>
    <row r="68" spans="2:9">
      <c r="B68" s="2"/>
      <c r="C68" s="174"/>
      <c r="D68" s="174"/>
      <c r="E68" s="174"/>
      <c r="F68" s="174"/>
      <c r="G68" s="174"/>
      <c r="H68" s="174"/>
      <c r="I68" s="2"/>
    </row>
    <row r="69" spans="2:9">
      <c r="B69" s="2"/>
      <c r="C69" s="174"/>
      <c r="D69" s="174"/>
      <c r="E69" s="174"/>
      <c r="F69" s="174"/>
      <c r="G69" s="174"/>
      <c r="H69" s="174"/>
      <c r="I69" s="2"/>
    </row>
    <row r="70" spans="2:9">
      <c r="B70" s="2"/>
      <c r="C70" s="174"/>
      <c r="D70" s="174"/>
      <c r="E70" s="174"/>
      <c r="F70" s="174"/>
      <c r="G70" s="174"/>
      <c r="H70" s="174"/>
      <c r="I70" s="2"/>
    </row>
    <row r="71" spans="2:9">
      <c r="B71" s="2"/>
      <c r="C71" s="174"/>
      <c r="D71" s="174"/>
      <c r="E71" s="174"/>
      <c r="F71" s="174"/>
      <c r="G71" s="174"/>
      <c r="H71" s="174"/>
      <c r="I71" s="2"/>
    </row>
    <row r="72" spans="2:9">
      <c r="B72" s="2"/>
      <c r="C72" s="174"/>
      <c r="D72" s="174"/>
      <c r="E72" s="174"/>
      <c r="F72" s="174"/>
      <c r="G72" s="174"/>
      <c r="H72" s="174"/>
      <c r="I72" s="2"/>
    </row>
    <row r="73" spans="2:9">
      <c r="B73" s="2"/>
      <c r="C73" s="174"/>
      <c r="D73" s="174"/>
      <c r="E73" s="174"/>
      <c r="F73" s="174"/>
      <c r="G73" s="174"/>
      <c r="H73" s="174"/>
      <c r="I73" s="2"/>
    </row>
    <row r="74" spans="2:9">
      <c r="B74" s="2"/>
      <c r="C74" s="174"/>
      <c r="D74" s="174"/>
      <c r="E74" s="174"/>
      <c r="F74" s="174"/>
      <c r="G74" s="174"/>
      <c r="H74" s="174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zoomScale="85" zoomScaleNormal="85" workbookViewId="0">
      <pane xSplit="2" ySplit="7" topLeftCell="C17" activePane="bottomRight" state="frozen"/>
      <selection/>
      <selection pane="topRight"/>
      <selection pane="bottomLeft"/>
      <selection pane="bottomRight" activeCell="E37" sqref="E37"/>
    </sheetView>
  </sheetViews>
  <sheetFormatPr defaultColWidth="9" defaultRowHeight="16.5"/>
  <cols>
    <col min="1" max="1" width="5.125" style="147" customWidth="1"/>
    <col min="2" max="2" width="17.5" style="147" customWidth="1"/>
    <col min="3" max="3" width="15.375" style="148" customWidth="1"/>
    <col min="4" max="7" width="14.375" style="148" customWidth="1"/>
    <col min="8" max="8" width="18.75" style="148" customWidth="1"/>
    <col min="9" max="9" width="12.375" style="147" customWidth="1"/>
    <col min="10" max="10" width="10.125" style="147" customWidth="1"/>
    <col min="11" max="17" width="9" style="147" customWidth="1"/>
    <col min="18" max="33" width="9" style="147"/>
    <col min="34" max="34" width="4.375" style="147" customWidth="1"/>
    <col min="35" max="35" width="13.875" style="147" customWidth="1"/>
    <col min="36" max="16384" width="9" style="147"/>
  </cols>
  <sheetData>
    <row r="1" spans="1:8">
      <c r="A1" s="149" t="s">
        <v>148</v>
      </c>
      <c r="B1" s="149"/>
      <c r="C1" s="150" t="s">
        <v>162</v>
      </c>
      <c r="D1" s="151"/>
      <c r="E1" s="151"/>
      <c r="F1" s="151"/>
      <c r="G1" s="151"/>
      <c r="H1" s="152"/>
    </row>
    <row r="2" spans="1:8">
      <c r="A2" s="149" t="s">
        <v>150</v>
      </c>
      <c r="B2" s="149"/>
      <c r="C2" s="153" t="str">
        <f>'2025年'!$C$2</f>
        <v>一汽解放汽车有限公司</v>
      </c>
      <c r="D2" s="153"/>
      <c r="E2" s="153"/>
      <c r="F2" s="153"/>
      <c r="G2" s="153"/>
      <c r="H2" s="153"/>
    </row>
    <row r="3" spans="1:8">
      <c r="A3" s="149" t="s">
        <v>152</v>
      </c>
      <c r="B3" s="149"/>
      <c r="C3" s="154" t="str">
        <f>'2025年'!C3</f>
        <v>驾驶员座总成</v>
      </c>
      <c r="D3" s="154" t="str">
        <f>'2025年'!D3</f>
        <v>前座总成</v>
      </c>
      <c r="E3" s="154" t="str">
        <f>'2025年'!E3</f>
        <v>中间座总成</v>
      </c>
      <c r="F3" s="154">
        <f>'2025年'!F3</f>
        <v>0</v>
      </c>
      <c r="G3" s="154">
        <f>'2025年'!G3</f>
        <v>0</v>
      </c>
      <c r="H3" s="155" t="s">
        <v>58</v>
      </c>
    </row>
    <row r="4" spans="1:8">
      <c r="A4" s="149" t="s">
        <v>153</v>
      </c>
      <c r="B4" s="149"/>
      <c r="C4" s="154" t="str">
        <f>'2025年'!C4</f>
        <v>6800010-J22-C00</v>
      </c>
      <c r="D4" s="154" t="str">
        <f>'2025年'!D4</f>
        <v>6900010-J22-C00</v>
      </c>
      <c r="E4" s="154" t="str">
        <f>'2025年'!E4</f>
        <v>6930010-J20-C00</v>
      </c>
      <c r="F4" s="154">
        <f>'2025年'!F4</f>
        <v>0</v>
      </c>
      <c r="G4" s="154">
        <f>'2025年'!G4</f>
        <v>0</v>
      </c>
      <c r="H4" s="156"/>
    </row>
    <row r="5" ht="57" spans="1:36">
      <c r="A5" s="149" t="s">
        <v>154</v>
      </c>
      <c r="B5" s="149"/>
      <c r="C5" s="157" t="str">
        <f>'2025年'!C5</f>
        <v>3.1平台、阻尼可调、气动升降、速降、集成安全带、坐垫延伸、</v>
      </c>
      <c r="D5" s="157" t="str">
        <f>'2025年'!D5</f>
        <v>坐垫翻折、三点式安全带</v>
      </c>
      <c r="E5" s="157" t="str">
        <f>'2025年'!E5</f>
        <v>侧翻、二点式安全带</v>
      </c>
      <c r="F5" s="157">
        <f>'2025年'!F5</f>
        <v>0</v>
      </c>
      <c r="G5" s="157">
        <f>'2025年'!G5</f>
        <v>0</v>
      </c>
      <c r="H5" s="158"/>
      <c r="AJ5" s="147" t="s">
        <v>59</v>
      </c>
    </row>
    <row r="6" spans="1:36">
      <c r="A6" s="159" t="s">
        <v>21</v>
      </c>
      <c r="B6" s="160" t="s">
        <v>155</v>
      </c>
      <c r="C6" s="161">
        <f>销量!C11</f>
        <v>20000</v>
      </c>
      <c r="D6" s="161">
        <f>销量!D11</f>
        <v>20000</v>
      </c>
      <c r="E6" s="161">
        <f>销量!E11</f>
        <v>100</v>
      </c>
      <c r="F6" s="161">
        <f>销量!F11</f>
        <v>0</v>
      </c>
      <c r="G6" s="161">
        <f>销量!G11</f>
        <v>0</v>
      </c>
      <c r="H6" s="162">
        <f>+SUM(C6:G6)</f>
        <v>40100</v>
      </c>
      <c r="AH6" s="159" t="s">
        <v>21</v>
      </c>
      <c r="AI6" s="160" t="s">
        <v>3</v>
      </c>
      <c r="AJ6" s="147" t="s">
        <v>60</v>
      </c>
    </row>
    <row r="7" spans="1:36">
      <c r="A7" s="149">
        <v>1</v>
      </c>
      <c r="B7" s="160" t="s">
        <v>61</v>
      </c>
      <c r="C7" s="162">
        <f>C6*销量!C8</f>
        <v>37000000</v>
      </c>
      <c r="D7" s="162">
        <f>D6*销量!D8</f>
        <v>12600000</v>
      </c>
      <c r="E7" s="162">
        <f>E6*销量!E8</f>
        <v>58700</v>
      </c>
      <c r="F7" s="162">
        <f>F6*销量!F8</f>
        <v>0</v>
      </c>
      <c r="G7" s="162">
        <f>G6*销量!G8</f>
        <v>0</v>
      </c>
      <c r="H7" s="162">
        <f t="shared" ref="H7:H13" si="0">+SUM(C7:G7)</f>
        <v>49658700</v>
      </c>
      <c r="I7" s="148"/>
      <c r="AH7" s="159" t="s">
        <v>62</v>
      </c>
      <c r="AI7" s="160" t="s">
        <v>61</v>
      </c>
      <c r="AJ7" s="147" t="s">
        <v>60</v>
      </c>
    </row>
    <row r="8" spans="1:36">
      <c r="A8" s="149">
        <v>2</v>
      </c>
      <c r="B8" s="149" t="s">
        <v>63</v>
      </c>
      <c r="C8" s="162">
        <f>C7*(1-销量!$K$8)</f>
        <v>3607500</v>
      </c>
      <c r="D8" s="162">
        <f>D7*(1-销量!$K$8)</f>
        <v>1228500</v>
      </c>
      <c r="E8" s="162">
        <f>E7*(1-销量!$K$8)</f>
        <v>5723.25</v>
      </c>
      <c r="F8" s="162">
        <f>F7*(1-销量!$K$8)</f>
        <v>0</v>
      </c>
      <c r="G8" s="162">
        <f>G7*(1-销量!$K$8)</f>
        <v>0</v>
      </c>
      <c r="H8" s="162">
        <f t="shared" si="0"/>
        <v>4841723.25</v>
      </c>
      <c r="I8" s="175"/>
      <c r="AH8" s="159" t="s">
        <v>64</v>
      </c>
      <c r="AI8" s="149" t="s">
        <v>65</v>
      </c>
      <c r="AJ8" s="147" t="s">
        <v>60</v>
      </c>
    </row>
    <row r="9" spans="1:36">
      <c r="A9" s="149">
        <v>3</v>
      </c>
      <c r="B9" s="160" t="s">
        <v>66</v>
      </c>
      <c r="C9" s="162">
        <f>+C7-C8</f>
        <v>33392500</v>
      </c>
      <c r="D9" s="162">
        <f>+D7-D8</f>
        <v>11371500</v>
      </c>
      <c r="E9" s="162">
        <f t="shared" ref="E9:G9" si="1">+E7-E8</f>
        <v>52976.75</v>
      </c>
      <c r="F9" s="162">
        <f t="shared" si="1"/>
        <v>0</v>
      </c>
      <c r="G9" s="162">
        <f t="shared" si="1"/>
        <v>0</v>
      </c>
      <c r="H9" s="162">
        <f t="shared" si="0"/>
        <v>44816976.75</v>
      </c>
      <c r="AH9" s="159" t="s">
        <v>67</v>
      </c>
      <c r="AI9" s="160" t="s">
        <v>66</v>
      </c>
      <c r="AJ9" s="147" t="s">
        <v>68</v>
      </c>
    </row>
    <row r="10" spans="1:36">
      <c r="A10" s="149">
        <v>4</v>
      </c>
      <c r="B10" s="159" t="s">
        <v>69</v>
      </c>
      <c r="C10" s="162">
        <f>C6*C33</f>
        <v>26524638.2307056</v>
      </c>
      <c r="D10" s="162">
        <f>D6*D33</f>
        <v>10948118.8093318</v>
      </c>
      <c r="E10" s="162">
        <f t="shared" ref="E10:G10" si="2">E6*E33</f>
        <v>34258.9245428853</v>
      </c>
      <c r="F10" s="162">
        <f t="shared" si="2"/>
        <v>0</v>
      </c>
      <c r="G10" s="162">
        <f t="shared" si="2"/>
        <v>0</v>
      </c>
      <c r="H10" s="162">
        <f t="shared" si="0"/>
        <v>37507015.9645803</v>
      </c>
      <c r="AH10" s="159" t="s">
        <v>70</v>
      </c>
      <c r="AI10" s="159" t="s">
        <v>69</v>
      </c>
      <c r="AJ10" s="147" t="s">
        <v>71</v>
      </c>
    </row>
    <row r="11" spans="1:35">
      <c r="A11" s="149">
        <v>5</v>
      </c>
      <c r="B11" s="159" t="s">
        <v>72</v>
      </c>
      <c r="C11" s="162">
        <f>+C6*C36</f>
        <v>455100</v>
      </c>
      <c r="D11" s="162">
        <f>+D6*D36</f>
        <v>154980</v>
      </c>
      <c r="E11" s="162">
        <f t="shared" ref="E11:G11" si="3">+E6*E36</f>
        <v>466.908334490293</v>
      </c>
      <c r="F11" s="162">
        <f t="shared" si="3"/>
        <v>0</v>
      </c>
      <c r="G11" s="162">
        <f t="shared" si="3"/>
        <v>0</v>
      </c>
      <c r="H11" s="162">
        <f t="shared" si="0"/>
        <v>610546.90833449</v>
      </c>
      <c r="AH11" s="159" t="s">
        <v>73</v>
      </c>
      <c r="AI11" s="159" t="s">
        <v>72</v>
      </c>
    </row>
    <row r="12" spans="1:35">
      <c r="A12" s="149">
        <v>6</v>
      </c>
      <c r="B12" s="159" t="s">
        <v>74</v>
      </c>
      <c r="C12" s="162">
        <f>+C6*C37</f>
        <v>410700</v>
      </c>
      <c r="D12" s="162">
        <f>+D6*D37</f>
        <v>139860</v>
      </c>
      <c r="E12" s="162">
        <f t="shared" ref="E12:G12" si="4">+E6*E37</f>
        <v>421.356301857093</v>
      </c>
      <c r="F12" s="162">
        <f t="shared" si="4"/>
        <v>0</v>
      </c>
      <c r="G12" s="162">
        <f t="shared" si="4"/>
        <v>0</v>
      </c>
      <c r="H12" s="162">
        <f t="shared" si="0"/>
        <v>550981.356301857</v>
      </c>
      <c r="AH12" s="159" t="s">
        <v>75</v>
      </c>
      <c r="AI12" s="159" t="s">
        <v>74</v>
      </c>
    </row>
    <row r="13" spans="1:36">
      <c r="A13" s="149">
        <v>7</v>
      </c>
      <c r="B13" s="159" t="s">
        <v>76</v>
      </c>
      <c r="C13" s="162">
        <f>+C6*C38</f>
        <v>592000</v>
      </c>
      <c r="D13" s="162">
        <f>+D6*D38</f>
        <v>201600</v>
      </c>
      <c r="E13" s="162">
        <f t="shared" ref="E13:G13" si="5">+E6*E38</f>
        <v>607.360435109324</v>
      </c>
      <c r="F13" s="162">
        <f t="shared" si="5"/>
        <v>0</v>
      </c>
      <c r="G13" s="162">
        <f t="shared" si="5"/>
        <v>0</v>
      </c>
      <c r="H13" s="162">
        <f t="shared" si="0"/>
        <v>794207.360435109</v>
      </c>
      <c r="AH13" s="159" t="s">
        <v>77</v>
      </c>
      <c r="AI13" s="159" t="s">
        <v>76</v>
      </c>
      <c r="AJ13" s="147" t="s">
        <v>60</v>
      </c>
    </row>
    <row r="14" spans="1:35">
      <c r="A14" s="149">
        <v>8</v>
      </c>
      <c r="B14" s="163" t="s">
        <v>78</v>
      </c>
      <c r="C14" s="162">
        <f>SUM(C11:C13)</f>
        <v>1457800</v>
      </c>
      <c r="D14" s="162">
        <f>SUM(D11:D13)</f>
        <v>496440</v>
      </c>
      <c r="E14" s="162">
        <f t="shared" ref="E14:H14" si="6">SUM(E11:E13)</f>
        <v>1495.62507145671</v>
      </c>
      <c r="F14" s="162">
        <f t="shared" si="6"/>
        <v>0</v>
      </c>
      <c r="G14" s="162">
        <f t="shared" si="6"/>
        <v>0</v>
      </c>
      <c r="H14" s="162">
        <f t="shared" si="6"/>
        <v>1955735.62507146</v>
      </c>
      <c r="AH14" s="159" t="s">
        <v>79</v>
      </c>
      <c r="AI14" s="163" t="s">
        <v>78</v>
      </c>
    </row>
    <row r="15" spans="1:35">
      <c r="A15" s="149">
        <v>9</v>
      </c>
      <c r="B15" s="163" t="s">
        <v>80</v>
      </c>
      <c r="C15" s="162">
        <f>+C9-C10-C14</f>
        <v>5410061.7692944</v>
      </c>
      <c r="D15" s="162">
        <f>+D9-D10-D14</f>
        <v>-73058.8093317617</v>
      </c>
      <c r="E15" s="162">
        <f t="shared" ref="E15:H15" si="7">+E9-E10-E14</f>
        <v>17222.200385658</v>
      </c>
      <c r="F15" s="162">
        <f t="shared" si="7"/>
        <v>0</v>
      </c>
      <c r="G15" s="162">
        <f t="shared" si="7"/>
        <v>0</v>
      </c>
      <c r="H15" s="162">
        <f t="shared" si="7"/>
        <v>5354225.16034829</v>
      </c>
      <c r="AH15" s="159" t="s">
        <v>81</v>
      </c>
      <c r="AI15" s="163" t="s">
        <v>80</v>
      </c>
    </row>
    <row r="16" spans="1:35">
      <c r="A16" s="149">
        <v>10</v>
      </c>
      <c r="B16" s="159" t="s">
        <v>82</v>
      </c>
      <c r="C16" s="164">
        <f>+C15/C9</f>
        <v>0.162014277735851</v>
      </c>
      <c r="D16" s="164">
        <f>+D15/D9</f>
        <v>-0.00642472930851354</v>
      </c>
      <c r="E16" s="164">
        <f t="shared" ref="E16:H16" si="8">+E15/E9</f>
        <v>0.325089787230398</v>
      </c>
      <c r="F16" s="164" t="e">
        <f t="shared" si="8"/>
        <v>#DIV/0!</v>
      </c>
      <c r="G16" s="164" t="e">
        <f t="shared" si="8"/>
        <v>#DIV/0!</v>
      </c>
      <c r="H16" s="164">
        <f t="shared" si="8"/>
        <v>0.119468682374884</v>
      </c>
      <c r="AH16" s="159" t="s">
        <v>83</v>
      </c>
      <c r="AI16" s="159" t="s">
        <v>82</v>
      </c>
    </row>
    <row r="17" spans="1:35">
      <c r="A17" s="149">
        <v>11</v>
      </c>
      <c r="B17" s="159" t="s">
        <v>84</v>
      </c>
      <c r="C17" s="162">
        <f>C6*C43+C18</f>
        <v>1513401.99501247</v>
      </c>
      <c r="D17" s="162">
        <f>D6*D43+D18</f>
        <v>620361.995012469</v>
      </c>
      <c r="E17" s="162">
        <f t="shared" ref="E17:G17" si="9">E6*E43+E18</f>
        <v>2185.34697037492</v>
      </c>
      <c r="F17" s="162">
        <f t="shared" si="9"/>
        <v>0</v>
      </c>
      <c r="G17" s="162">
        <f t="shared" si="9"/>
        <v>0</v>
      </c>
      <c r="H17" s="162">
        <f>+SUM(C17:G17)</f>
        <v>2135949.33699531</v>
      </c>
      <c r="I17" s="175"/>
      <c r="AH17" s="159" t="s">
        <v>85</v>
      </c>
      <c r="AI17" s="159" t="s">
        <v>84</v>
      </c>
    </row>
    <row r="18" s="145" customFormat="1" spans="1:11">
      <c r="A18" s="149">
        <v>12</v>
      </c>
      <c r="B18" s="165" t="s">
        <v>156</v>
      </c>
      <c r="C18" s="166">
        <f>$H$18/$H$6*C6</f>
        <v>159201.995012469</v>
      </c>
      <c r="D18" s="166">
        <f>$H$18/$H$6*D6</f>
        <v>159201.995012469</v>
      </c>
      <c r="E18" s="166">
        <f t="shared" ref="E18:G18" si="10">$H$18/$H$6*E6</f>
        <v>796.009975062344</v>
      </c>
      <c r="F18" s="166">
        <f t="shared" si="10"/>
        <v>0</v>
      </c>
      <c r="G18" s="166">
        <f t="shared" si="10"/>
        <v>0</v>
      </c>
      <c r="H18" s="162">
        <f>项目投资!F26</f>
        <v>319200</v>
      </c>
      <c r="I18" s="177" t="s">
        <v>157</v>
      </c>
      <c r="J18" s="177"/>
      <c r="K18" s="177"/>
    </row>
    <row r="19" spans="1:36">
      <c r="A19" s="149">
        <v>13</v>
      </c>
      <c r="B19" s="159" t="s">
        <v>86</v>
      </c>
      <c r="C19" s="162">
        <f>C6*C44</f>
        <v>310800</v>
      </c>
      <c r="D19" s="162">
        <f>D6*D44</f>
        <v>105840</v>
      </c>
      <c r="E19" s="162">
        <f t="shared" ref="E19:G19" si="11">E6*E44</f>
        <v>318.864228432395</v>
      </c>
      <c r="F19" s="162">
        <f t="shared" si="11"/>
        <v>0</v>
      </c>
      <c r="G19" s="162">
        <f t="shared" si="11"/>
        <v>0</v>
      </c>
      <c r="H19" s="162">
        <f>+SUM(C19:G19)</f>
        <v>416958.864228432</v>
      </c>
      <c r="I19" s="145"/>
      <c r="AH19" s="159" t="s">
        <v>87</v>
      </c>
      <c r="AI19" s="159" t="s">
        <v>86</v>
      </c>
      <c r="AJ19" s="147" t="s">
        <v>60</v>
      </c>
    </row>
    <row r="20" spans="1:35">
      <c r="A20" s="149">
        <v>14</v>
      </c>
      <c r="B20" s="159" t="s">
        <v>88</v>
      </c>
      <c r="C20" s="162">
        <f>C6*C45</f>
        <v>1195100</v>
      </c>
      <c r="D20" s="162">
        <f>D6*D45</f>
        <v>406980</v>
      </c>
      <c r="E20" s="162">
        <f t="shared" ref="E20:G20" si="12">E6*E45</f>
        <v>1226.10887837695</v>
      </c>
      <c r="F20" s="162">
        <f t="shared" si="12"/>
        <v>0</v>
      </c>
      <c r="G20" s="162">
        <f t="shared" si="12"/>
        <v>0</v>
      </c>
      <c r="H20" s="162">
        <f>+SUM(C20:G20)</f>
        <v>1603306.10887838</v>
      </c>
      <c r="AH20" s="159" t="s">
        <v>89</v>
      </c>
      <c r="AI20" s="159" t="s">
        <v>88</v>
      </c>
    </row>
    <row r="21" spans="1:35">
      <c r="A21" s="149">
        <v>15</v>
      </c>
      <c r="B21" s="159" t="s">
        <v>90</v>
      </c>
      <c r="C21" s="167">
        <f>$H$21/$H$6*C6</f>
        <v>15960.0997506234</v>
      </c>
      <c r="D21" s="167">
        <f>$H$21/$H$6*D6</f>
        <v>15960.0997506234</v>
      </c>
      <c r="E21" s="167">
        <f t="shared" ref="E21:G21" si="13">$H$21/$H$6*E6</f>
        <v>79.8004987531172</v>
      </c>
      <c r="F21" s="167">
        <f t="shared" si="13"/>
        <v>0</v>
      </c>
      <c r="G21" s="167">
        <f t="shared" si="13"/>
        <v>0</v>
      </c>
      <c r="H21" s="162">
        <f>项目投资!F27</f>
        <v>32000</v>
      </c>
      <c r="AH21" s="159"/>
      <c r="AI21" s="159"/>
    </row>
    <row r="22" spans="1:35">
      <c r="A22" s="149">
        <v>16</v>
      </c>
      <c r="B22" s="159" t="s">
        <v>91</v>
      </c>
      <c r="C22" s="162">
        <f>C6*C47</f>
        <v>1313500</v>
      </c>
      <c r="D22" s="162">
        <f>D6*D47</f>
        <v>447300</v>
      </c>
      <c r="E22" s="162">
        <f t="shared" ref="E22:G22" si="14">E6*E47</f>
        <v>1347.58096539881</v>
      </c>
      <c r="F22" s="162">
        <f t="shared" si="14"/>
        <v>0</v>
      </c>
      <c r="G22" s="162">
        <f t="shared" si="14"/>
        <v>0</v>
      </c>
      <c r="H22" s="162">
        <f t="shared" ref="H22:H23" si="15">+SUM(C22:G22)</f>
        <v>1762147.5809654</v>
      </c>
      <c r="AH22" s="159" t="s">
        <v>92</v>
      </c>
      <c r="AI22" s="159" t="s">
        <v>91</v>
      </c>
    </row>
    <row r="23" spans="1:35">
      <c r="A23" s="149">
        <v>17</v>
      </c>
      <c r="B23" s="163" t="s">
        <v>93</v>
      </c>
      <c r="C23" s="167">
        <f>+C22+C21+C20+C19+C17</f>
        <v>4348762.09476309</v>
      </c>
      <c r="D23" s="167">
        <f>+D22+D21+D20+D19+D17</f>
        <v>1596442.09476309</v>
      </c>
      <c r="E23" s="167">
        <f t="shared" ref="E23:G23" si="16">+E22+E21+E20+E19+E17</f>
        <v>5157.70154133619</v>
      </c>
      <c r="F23" s="167">
        <f t="shared" si="16"/>
        <v>0</v>
      </c>
      <c r="G23" s="167">
        <f t="shared" si="16"/>
        <v>0</v>
      </c>
      <c r="H23" s="162">
        <f t="shared" si="15"/>
        <v>5950361.89106752</v>
      </c>
      <c r="AH23" s="159" t="s">
        <v>94</v>
      </c>
      <c r="AI23" s="163" t="s">
        <v>93</v>
      </c>
    </row>
    <row r="24" spans="1:35">
      <c r="A24" s="149">
        <v>18</v>
      </c>
      <c r="B24" s="168" t="s">
        <v>95</v>
      </c>
      <c r="C24" s="167">
        <f>+C15-C23</f>
        <v>1061299.6745313</v>
      </c>
      <c r="D24" s="167">
        <f>+D15-D23</f>
        <v>-1669500.90409485</v>
      </c>
      <c r="E24" s="167">
        <f t="shared" ref="E24:H24" si="17">+E15-E23</f>
        <v>12064.4988443218</v>
      </c>
      <c r="F24" s="167">
        <f t="shared" si="17"/>
        <v>0</v>
      </c>
      <c r="G24" s="167">
        <f t="shared" si="17"/>
        <v>0</v>
      </c>
      <c r="H24" s="167">
        <f t="shared" si="17"/>
        <v>-596136.730719231</v>
      </c>
      <c r="J24" s="178"/>
      <c r="AH24" s="159" t="s">
        <v>96</v>
      </c>
      <c r="AI24" s="159" t="s">
        <v>95</v>
      </c>
    </row>
    <row r="25" spans="1:35">
      <c r="A25" s="149">
        <v>19</v>
      </c>
      <c r="B25" s="159" t="s">
        <v>158</v>
      </c>
      <c r="C25" s="167">
        <f>IF(C24&lt;0,0,C24*0.15)</f>
        <v>159194.951179695</v>
      </c>
      <c r="D25" s="167">
        <f t="shared" ref="D25:H25" si="18">IF(D24&lt;0,0,D24*0.15)</f>
        <v>0</v>
      </c>
      <c r="E25" s="167">
        <f t="shared" ref="E25:G25" si="19">IF(E24&lt;0,0,E24*0.15)</f>
        <v>1809.67482664827</v>
      </c>
      <c r="F25" s="167">
        <f t="shared" si="19"/>
        <v>0</v>
      </c>
      <c r="G25" s="167">
        <f t="shared" si="19"/>
        <v>0</v>
      </c>
      <c r="H25" s="167">
        <f t="shared" si="18"/>
        <v>0</v>
      </c>
      <c r="I25" s="2"/>
      <c r="J25" s="2"/>
      <c r="K25" s="2"/>
      <c r="AH25" s="159" t="s">
        <v>97</v>
      </c>
      <c r="AI25" s="159" t="s">
        <v>38</v>
      </c>
    </row>
    <row r="26" spans="1:35">
      <c r="A26" s="149">
        <v>20</v>
      </c>
      <c r="B26" s="159" t="s">
        <v>98</v>
      </c>
      <c r="C26" s="167">
        <f>C24-C25</f>
        <v>902104.723351608</v>
      </c>
      <c r="D26" s="167">
        <f>D24-D25</f>
        <v>-1669500.90409485</v>
      </c>
      <c r="E26" s="167">
        <f t="shared" ref="E26:H26" si="20">E24-E25</f>
        <v>10254.8240176735</v>
      </c>
      <c r="F26" s="167">
        <f t="shared" si="20"/>
        <v>0</v>
      </c>
      <c r="G26" s="167">
        <f t="shared" si="20"/>
        <v>0</v>
      </c>
      <c r="H26" s="167">
        <f t="shared" si="20"/>
        <v>-596136.730719231</v>
      </c>
      <c r="I26" s="2"/>
      <c r="J26" s="2"/>
      <c r="K26" s="2"/>
      <c r="AH26" s="159" t="s">
        <v>99</v>
      </c>
      <c r="AI26" s="159" t="s">
        <v>98</v>
      </c>
    </row>
    <row r="27" spans="1:35">
      <c r="A27" s="149">
        <v>21</v>
      </c>
      <c r="B27" s="159" t="s">
        <v>102</v>
      </c>
      <c r="C27" s="169">
        <f>C26/C9</f>
        <v>0.0270151897387619</v>
      </c>
      <c r="D27" s="169">
        <f t="shared" ref="D27:H27" si="21">D26/D9</f>
        <v>-0.146814483937462</v>
      </c>
      <c r="E27" s="169">
        <f t="shared" si="21"/>
        <v>0.193572161706287</v>
      </c>
      <c r="F27" s="169" t="e">
        <f t="shared" si="21"/>
        <v>#DIV/0!</v>
      </c>
      <c r="G27" s="169" t="e">
        <f t="shared" si="21"/>
        <v>#DIV/0!</v>
      </c>
      <c r="H27" s="169">
        <f t="shared" si="21"/>
        <v>-0.0133015828810727</v>
      </c>
      <c r="I27" s="2"/>
      <c r="J27" s="2"/>
      <c r="K27" s="2"/>
      <c r="AH27" s="159" t="s">
        <v>101</v>
      </c>
      <c r="AI27" s="159" t="s">
        <v>102</v>
      </c>
    </row>
    <row r="28" spans="9:11">
      <c r="I28" s="2"/>
      <c r="J28" s="2"/>
      <c r="K28" s="2"/>
    </row>
    <row r="29" spans="1:34">
      <c r="A29" s="147" t="s">
        <v>103</v>
      </c>
      <c r="H29" s="148" t="s">
        <v>159</v>
      </c>
      <c r="I29" s="2"/>
      <c r="J29" s="2"/>
      <c r="K29" s="2"/>
      <c r="AH29" s="147" t="s">
        <v>103</v>
      </c>
    </row>
    <row r="30" spans="1:35">
      <c r="A30" s="159" t="s">
        <v>104</v>
      </c>
      <c r="B30" s="163" t="s">
        <v>105</v>
      </c>
      <c r="C30" s="167"/>
      <c r="D30" s="167"/>
      <c r="E30" s="167"/>
      <c r="F30" s="167"/>
      <c r="G30" s="167"/>
      <c r="H30" s="167"/>
      <c r="I30" s="2"/>
      <c r="J30" s="2"/>
      <c r="K30" s="2"/>
      <c r="M30" s="2"/>
      <c r="AH30" s="159" t="s">
        <v>106</v>
      </c>
      <c r="AI30" s="163" t="s">
        <v>105</v>
      </c>
    </row>
    <row r="31" spans="1:35">
      <c r="A31" s="149">
        <v>1</v>
      </c>
      <c r="B31" s="165" t="s">
        <v>107</v>
      </c>
      <c r="C31" s="170">
        <f>销量!C8</f>
        <v>1850</v>
      </c>
      <c r="D31" s="170">
        <f>销量!D8</f>
        <v>630</v>
      </c>
      <c r="E31" s="170">
        <f>销量!E8</f>
        <v>587</v>
      </c>
      <c r="F31" s="170">
        <f>销量!F8</f>
        <v>0</v>
      </c>
      <c r="G31" s="170">
        <f>销量!G8</f>
        <v>0</v>
      </c>
      <c r="H31" s="167"/>
      <c r="I31" s="2"/>
      <c r="J31" s="2"/>
      <c r="K31" s="2"/>
      <c r="M31" s="2"/>
      <c r="AH31" s="159" t="s">
        <v>62</v>
      </c>
      <c r="AI31" s="159" t="s">
        <v>107</v>
      </c>
    </row>
    <row r="32" spans="1:35">
      <c r="A32" s="149">
        <v>2</v>
      </c>
      <c r="B32" s="159" t="s">
        <v>160</v>
      </c>
      <c r="C32" s="162">
        <f>C9/C6</f>
        <v>1669.625</v>
      </c>
      <c r="D32" s="162">
        <f t="shared" ref="D32:G32" si="22">D9/D6</f>
        <v>568.575</v>
      </c>
      <c r="E32" s="162">
        <f t="shared" si="22"/>
        <v>529.7675</v>
      </c>
      <c r="F32" s="162" t="e">
        <f t="shared" si="22"/>
        <v>#DIV/0!</v>
      </c>
      <c r="G32" s="162" t="e">
        <f t="shared" si="22"/>
        <v>#DIV/0!</v>
      </c>
      <c r="H32" s="167"/>
      <c r="I32" s="2"/>
      <c r="J32" s="2"/>
      <c r="K32" s="2"/>
      <c r="L32" s="2"/>
      <c r="M32" s="2"/>
      <c r="N32" s="2"/>
      <c r="O32" s="2"/>
      <c r="AH32" s="159"/>
      <c r="AI32" s="159"/>
    </row>
    <row r="33" spans="1:35">
      <c r="A33" s="149">
        <v>3</v>
      </c>
      <c r="B33" s="165" t="s">
        <v>108</v>
      </c>
      <c r="C33" s="162">
        <f>材料成本!D26</f>
        <v>1326.23191153528</v>
      </c>
      <c r="D33" s="162">
        <f>材料成本!E26</f>
        <v>547.405940466588</v>
      </c>
      <c r="E33" s="162">
        <f>材料成本!F26</f>
        <v>342.589245428853</v>
      </c>
      <c r="F33" s="162">
        <f>材料成本!G26</f>
        <v>0</v>
      </c>
      <c r="G33" s="162">
        <f>材料成本!H26</f>
        <v>0</v>
      </c>
      <c r="H33" s="167"/>
      <c r="J33" s="2"/>
      <c r="K33" s="2"/>
      <c r="L33" s="2"/>
      <c r="M33" s="2"/>
      <c r="N33" s="2"/>
      <c r="O33" s="2"/>
      <c r="AH33" s="159" t="s">
        <v>64</v>
      </c>
      <c r="AI33" s="159" t="s">
        <v>108</v>
      </c>
    </row>
    <row r="34" ht="17.25" customHeight="1" spans="1:35">
      <c r="A34" s="149">
        <v>4</v>
      </c>
      <c r="B34" s="159" t="s">
        <v>110</v>
      </c>
      <c r="C34" s="171">
        <f>C32-C33</f>
        <v>343.39308846472</v>
      </c>
      <c r="D34" s="171">
        <f>D32-D33</f>
        <v>21.169059533412</v>
      </c>
      <c r="E34" s="171">
        <f t="shared" ref="E34:G34" si="23">E32-E33</f>
        <v>187.178254571147</v>
      </c>
      <c r="F34" s="171" t="e">
        <f t="shared" si="23"/>
        <v>#DIV/0!</v>
      </c>
      <c r="G34" s="171" t="e">
        <f t="shared" si="23"/>
        <v>#DIV/0!</v>
      </c>
      <c r="H34" s="167"/>
      <c r="J34" s="2"/>
      <c r="K34" s="2"/>
      <c r="L34" s="2"/>
      <c r="M34" s="2"/>
      <c r="N34" s="2"/>
      <c r="O34" s="2"/>
      <c r="AH34" s="159" t="s">
        <v>109</v>
      </c>
      <c r="AI34" s="159" t="s">
        <v>110</v>
      </c>
    </row>
    <row r="35" spans="1:35">
      <c r="A35" s="159" t="s">
        <v>106</v>
      </c>
      <c r="B35" s="163" t="s">
        <v>10</v>
      </c>
      <c r="C35" s="167"/>
      <c r="D35" s="167"/>
      <c r="E35" s="167"/>
      <c r="F35" s="167"/>
      <c r="G35" s="167"/>
      <c r="H35" s="167"/>
      <c r="I35" s="2"/>
      <c r="J35" s="2"/>
      <c r="K35" s="2"/>
      <c r="L35" s="2"/>
      <c r="M35" s="2"/>
      <c r="N35" s="2"/>
      <c r="O35" s="2"/>
      <c r="P35" s="2"/>
      <c r="Q35" s="2"/>
      <c r="R35" s="2"/>
      <c r="AH35" s="159" t="s">
        <v>112</v>
      </c>
      <c r="AI35" s="163" t="s">
        <v>10</v>
      </c>
    </row>
    <row r="36" spans="1:35">
      <c r="A36" s="149">
        <v>1</v>
      </c>
      <c r="B36" s="159" t="s">
        <v>113</v>
      </c>
      <c r="C36" s="166">
        <f>'2025年'!C36</f>
        <v>22.755</v>
      </c>
      <c r="D36" s="166">
        <f>'2025年'!D36</f>
        <v>7.749</v>
      </c>
      <c r="E36" s="166">
        <f>'2025年'!E36</f>
        <v>4.66908334490293</v>
      </c>
      <c r="F36" s="166">
        <f>'2025年'!F36</f>
        <v>0</v>
      </c>
      <c r="G36" s="166">
        <f>'2025年'!G36</f>
        <v>0</v>
      </c>
      <c r="H36" s="170"/>
      <c r="I36" s="2"/>
      <c r="J36" s="2"/>
      <c r="K36" s="2"/>
      <c r="L36" s="2"/>
      <c r="M36" s="2"/>
      <c r="N36" s="2"/>
      <c r="O36" s="2"/>
      <c r="P36" s="2"/>
      <c r="Q36" s="2"/>
      <c r="R36" s="2"/>
      <c r="AH36" s="159" t="s">
        <v>109</v>
      </c>
      <c r="AI36" s="159" t="s">
        <v>113</v>
      </c>
    </row>
    <row r="37" spans="1:35">
      <c r="A37" s="149">
        <v>2</v>
      </c>
      <c r="B37" s="159" t="s">
        <v>114</v>
      </c>
      <c r="C37" s="166">
        <f>'2025年'!C37</f>
        <v>20.535</v>
      </c>
      <c r="D37" s="166">
        <f>'2025年'!D37</f>
        <v>6.993</v>
      </c>
      <c r="E37" s="166">
        <f>'2025年'!E37</f>
        <v>4.21356301857093</v>
      </c>
      <c r="F37" s="166">
        <f>'2025年'!F37</f>
        <v>0</v>
      </c>
      <c r="G37" s="166">
        <f>'2025年'!G37</f>
        <v>0</v>
      </c>
      <c r="H37" s="170"/>
      <c r="I37" s="2"/>
      <c r="J37" s="2"/>
      <c r="K37" s="2"/>
      <c r="L37" s="2"/>
      <c r="M37" s="2"/>
      <c r="N37" s="2"/>
      <c r="O37" s="2"/>
      <c r="P37" s="2"/>
      <c r="Q37" s="2"/>
      <c r="R37" s="2"/>
      <c r="AH37" s="159" t="s">
        <v>67</v>
      </c>
      <c r="AI37" s="159" t="s">
        <v>114</v>
      </c>
    </row>
    <row r="38" spans="1:35">
      <c r="A38" s="149">
        <v>3</v>
      </c>
      <c r="B38" s="159" t="s">
        <v>115</v>
      </c>
      <c r="C38" s="166">
        <f>'2025年'!C38</f>
        <v>29.6</v>
      </c>
      <c r="D38" s="166">
        <f>'2025年'!D38</f>
        <v>10.08</v>
      </c>
      <c r="E38" s="166">
        <f>'2025年'!E38</f>
        <v>6.07360435109324</v>
      </c>
      <c r="F38" s="166">
        <f>'2025年'!F38</f>
        <v>0</v>
      </c>
      <c r="G38" s="166">
        <f>'2025年'!G38</f>
        <v>0</v>
      </c>
      <c r="H38" s="170"/>
      <c r="I38" s="2"/>
      <c r="J38" s="2"/>
      <c r="K38" s="2"/>
      <c r="L38" s="2"/>
      <c r="M38" s="2"/>
      <c r="N38" s="2"/>
      <c r="O38" s="2"/>
      <c r="P38" s="2"/>
      <c r="Q38" s="2"/>
      <c r="R38" s="2"/>
      <c r="AH38" s="159" t="s">
        <v>73</v>
      </c>
      <c r="AI38" s="159" t="s">
        <v>115</v>
      </c>
    </row>
    <row r="39" spans="1:35">
      <c r="A39" s="159" t="s">
        <v>112</v>
      </c>
      <c r="B39" s="163" t="s">
        <v>117</v>
      </c>
      <c r="C39" s="167"/>
      <c r="D39" s="167"/>
      <c r="E39" s="167"/>
      <c r="F39" s="167"/>
      <c r="G39" s="167"/>
      <c r="H39" s="167"/>
      <c r="AH39" s="159" t="s">
        <v>116</v>
      </c>
      <c r="AI39" s="163" t="s">
        <v>117</v>
      </c>
    </row>
    <row r="40" spans="1:35">
      <c r="A40" s="149">
        <v>1</v>
      </c>
      <c r="B40" s="159" t="s">
        <v>118</v>
      </c>
      <c r="C40" s="167">
        <f>C34-C36-C37-C38</f>
        <v>270.50308846472</v>
      </c>
      <c r="D40" s="167">
        <f>D34-D36-D37-D38</f>
        <v>-3.652940466588</v>
      </c>
      <c r="E40" s="167">
        <f t="shared" ref="E40:G40" si="24">E34-E36-E37-E38</f>
        <v>172.22200385658</v>
      </c>
      <c r="F40" s="167" t="e">
        <f t="shared" si="24"/>
        <v>#DIV/0!</v>
      </c>
      <c r="G40" s="167" t="e">
        <f t="shared" si="24"/>
        <v>#DIV/0!</v>
      </c>
      <c r="H40" s="167"/>
      <c r="AH40" s="159" t="s">
        <v>62</v>
      </c>
      <c r="AI40" s="159" t="s">
        <v>118</v>
      </c>
    </row>
    <row r="41" spans="1:35">
      <c r="A41" s="149">
        <v>2</v>
      </c>
      <c r="B41" s="159" t="s">
        <v>119</v>
      </c>
      <c r="C41" s="167"/>
      <c r="D41" s="167"/>
      <c r="E41" s="167"/>
      <c r="F41" s="167"/>
      <c r="G41" s="167"/>
      <c r="H41" s="167"/>
      <c r="AH41" s="159" t="s">
        <v>64</v>
      </c>
      <c r="AI41" s="159" t="s">
        <v>119</v>
      </c>
    </row>
    <row r="42" spans="1:35">
      <c r="A42" s="159" t="s">
        <v>116</v>
      </c>
      <c r="B42" s="163" t="s">
        <v>121</v>
      </c>
      <c r="C42" s="167"/>
      <c r="D42" s="167"/>
      <c r="E42" s="167"/>
      <c r="F42" s="167"/>
      <c r="G42" s="167"/>
      <c r="H42" s="167"/>
      <c r="AH42" s="159" t="s">
        <v>120</v>
      </c>
      <c r="AI42" s="163" t="s">
        <v>121</v>
      </c>
    </row>
    <row r="43" spans="1:35">
      <c r="A43" s="149">
        <v>1</v>
      </c>
      <c r="B43" s="168" t="s">
        <v>122</v>
      </c>
      <c r="C43" s="166">
        <f>'2025年'!C43</f>
        <v>67.71</v>
      </c>
      <c r="D43" s="166">
        <f>'2025年'!D43</f>
        <v>23.058</v>
      </c>
      <c r="E43" s="166">
        <f>'2025年'!E43</f>
        <v>13.8933699531258</v>
      </c>
      <c r="F43" s="166">
        <f>'2025年'!F43</f>
        <v>0</v>
      </c>
      <c r="G43" s="166">
        <f>'2025年'!G43</f>
        <v>0</v>
      </c>
      <c r="H43" s="167"/>
      <c r="AH43" s="159" t="s">
        <v>62</v>
      </c>
      <c r="AI43" s="159" t="s">
        <v>122</v>
      </c>
    </row>
    <row r="44" spans="1:35">
      <c r="A44" s="149">
        <v>2</v>
      </c>
      <c r="B44" s="168" t="s">
        <v>123</v>
      </c>
      <c r="C44" s="166">
        <f>'2025年'!C44</f>
        <v>15.54</v>
      </c>
      <c r="D44" s="166">
        <f>'2025年'!D44</f>
        <v>5.292</v>
      </c>
      <c r="E44" s="166">
        <f>'2025年'!E44</f>
        <v>3.18864228432395</v>
      </c>
      <c r="F44" s="166">
        <f>'2025年'!F44</f>
        <v>0</v>
      </c>
      <c r="G44" s="166">
        <f>'2025年'!G44</f>
        <v>0</v>
      </c>
      <c r="H44" s="167"/>
      <c r="AH44" s="159" t="s">
        <v>64</v>
      </c>
      <c r="AI44" s="159" t="s">
        <v>123</v>
      </c>
    </row>
    <row r="45" spans="1:35">
      <c r="A45" s="149">
        <v>3</v>
      </c>
      <c r="B45" s="168" t="s">
        <v>124</v>
      </c>
      <c r="C45" s="166">
        <f>'2025年'!C45</f>
        <v>59.755</v>
      </c>
      <c r="D45" s="166">
        <f>'2025年'!D45</f>
        <v>20.349</v>
      </c>
      <c r="E45" s="166">
        <f>'2025年'!E45</f>
        <v>12.2610887837695</v>
      </c>
      <c r="F45" s="166">
        <f>'2025年'!F45</f>
        <v>0</v>
      </c>
      <c r="G45" s="166">
        <f>'2025年'!G45</f>
        <v>0</v>
      </c>
      <c r="H45" s="167"/>
      <c r="AH45" s="159" t="s">
        <v>109</v>
      </c>
      <c r="AI45" s="159" t="s">
        <v>124</v>
      </c>
    </row>
    <row r="46" s="146" customFormat="1" spans="1:35">
      <c r="A46" s="149">
        <v>4</v>
      </c>
      <c r="B46" s="168" t="s">
        <v>125</v>
      </c>
      <c r="C46" s="172">
        <f>C21/C6</f>
        <v>0.798004987531172</v>
      </c>
      <c r="D46" s="172">
        <f>D21/D6</f>
        <v>0.798004987531172</v>
      </c>
      <c r="E46" s="172">
        <f t="shared" ref="E46:G46" si="25">E21/E6</f>
        <v>0.798004987531172</v>
      </c>
      <c r="F46" s="172" t="e">
        <f t="shared" si="25"/>
        <v>#DIV/0!</v>
      </c>
      <c r="G46" s="172" t="e">
        <f t="shared" si="25"/>
        <v>#DIV/0!</v>
      </c>
      <c r="H46" s="172"/>
      <c r="AH46" s="168" t="s">
        <v>70</v>
      </c>
      <c r="AI46" s="168" t="s">
        <v>127</v>
      </c>
    </row>
    <row r="47" s="146" customFormat="1" spans="1:35">
      <c r="A47" s="149">
        <v>5</v>
      </c>
      <c r="B47" s="168" t="s">
        <v>127</v>
      </c>
      <c r="C47" s="166">
        <f>'2025年'!C47</f>
        <v>65.675</v>
      </c>
      <c r="D47" s="166">
        <f>'2025年'!D47</f>
        <v>22.365</v>
      </c>
      <c r="E47" s="166">
        <f>'2025年'!E47</f>
        <v>13.4758096539881</v>
      </c>
      <c r="F47" s="166">
        <f>'2025年'!F47</f>
        <v>0</v>
      </c>
      <c r="G47" s="166">
        <f>'2025年'!G47</f>
        <v>0</v>
      </c>
      <c r="H47" s="172"/>
      <c r="AH47" s="168" t="s">
        <v>70</v>
      </c>
      <c r="AI47" s="168" t="s">
        <v>127</v>
      </c>
    </row>
    <row r="48" spans="1:35">
      <c r="A48" s="159" t="s">
        <v>120</v>
      </c>
      <c r="B48" s="163" t="s">
        <v>138</v>
      </c>
      <c r="C48" s="167">
        <f>C40-C43-C44-C45-C47-C46</f>
        <v>61.0250834771886</v>
      </c>
      <c r="D48" s="167">
        <f>D40-D43-D44-D45-D47-D46</f>
        <v>-75.5149454541192</v>
      </c>
      <c r="E48" s="167">
        <f t="shared" ref="E48:G48" si="26">E40-E43-E44-E45-E47-E46</f>
        <v>128.605088193842</v>
      </c>
      <c r="F48" s="167" t="e">
        <f t="shared" si="26"/>
        <v>#DIV/0!</v>
      </c>
      <c r="G48" s="167" t="e">
        <f t="shared" si="26"/>
        <v>#DIV/0!</v>
      </c>
      <c r="H48" s="167"/>
      <c r="AH48" s="159" t="s">
        <v>137</v>
      </c>
      <c r="AI48" s="163" t="s">
        <v>138</v>
      </c>
    </row>
    <row r="51" spans="3:7">
      <c r="C51" s="173"/>
      <c r="D51" s="173"/>
      <c r="E51" s="173"/>
      <c r="F51" s="173"/>
      <c r="G51" s="173"/>
    </row>
    <row r="54" spans="2:13">
      <c r="B54" s="2"/>
      <c r="C54" s="174"/>
      <c r="D54" s="174"/>
      <c r="E54" s="174"/>
      <c r="F54" s="174"/>
      <c r="G54" s="174"/>
      <c r="H54" s="174"/>
      <c r="I54" s="2"/>
      <c r="J54" s="2"/>
      <c r="K54" s="2"/>
      <c r="L54" s="2"/>
      <c r="M54" s="2"/>
    </row>
    <row r="55" spans="2:13">
      <c r="B55" s="2"/>
      <c r="C55" s="174"/>
      <c r="D55" s="174"/>
      <c r="E55" s="174"/>
      <c r="F55" s="174"/>
      <c r="G55" s="174"/>
      <c r="H55" s="174"/>
      <c r="I55" s="2"/>
      <c r="J55" s="2"/>
      <c r="K55" s="2"/>
      <c r="L55" s="2"/>
      <c r="M55" s="2"/>
    </row>
    <row r="56" spans="2:13">
      <c r="B56" s="2"/>
      <c r="C56" s="174"/>
      <c r="D56" s="174"/>
      <c r="E56" s="174"/>
      <c r="F56" s="174"/>
      <c r="G56" s="174"/>
      <c r="H56" s="174"/>
      <c r="I56" s="2"/>
      <c r="J56" s="2"/>
      <c r="K56" s="2"/>
      <c r="L56" s="2"/>
      <c r="M56" s="2"/>
    </row>
    <row r="57" spans="2:13">
      <c r="B57" s="2"/>
      <c r="C57" s="174"/>
      <c r="D57" s="174"/>
      <c r="E57" s="174"/>
      <c r="F57" s="174"/>
      <c r="G57" s="174"/>
      <c r="H57" s="174"/>
      <c r="I57" s="2"/>
      <c r="J57" s="2"/>
      <c r="K57" s="2"/>
      <c r="L57" s="2"/>
      <c r="M57" s="2"/>
    </row>
    <row r="58" spans="2:13">
      <c r="B58" s="2"/>
      <c r="C58" s="174"/>
      <c r="D58" s="174"/>
      <c r="E58" s="174"/>
      <c r="F58" s="174"/>
      <c r="G58" s="174"/>
      <c r="H58" s="174"/>
      <c r="I58" s="2"/>
      <c r="J58" s="2"/>
      <c r="K58" s="2"/>
      <c r="L58" s="2"/>
      <c r="M58" s="2"/>
    </row>
    <row r="59" spans="2:13">
      <c r="B59" s="2"/>
      <c r="C59" s="174"/>
      <c r="D59" s="174"/>
      <c r="E59" s="174"/>
      <c r="F59" s="174"/>
      <c r="G59" s="174"/>
      <c r="H59" s="174"/>
      <c r="I59" s="2"/>
      <c r="J59" s="2"/>
      <c r="K59" s="2"/>
      <c r="L59" s="2"/>
      <c r="M59" s="2"/>
    </row>
    <row r="60" spans="2:13">
      <c r="B60" s="2"/>
      <c r="C60" s="174"/>
      <c r="D60" s="174"/>
      <c r="E60" s="174"/>
      <c r="F60" s="174"/>
      <c r="G60" s="174"/>
      <c r="H60" s="174"/>
      <c r="I60" s="2"/>
      <c r="J60" s="2"/>
      <c r="K60" s="2"/>
      <c r="L60" s="2"/>
      <c r="M60" s="2"/>
    </row>
    <row r="61" spans="2:13">
      <c r="B61" s="2"/>
      <c r="C61" s="174"/>
      <c r="D61" s="174"/>
      <c r="E61" s="174"/>
      <c r="F61" s="174"/>
      <c r="G61" s="174"/>
      <c r="H61" s="174"/>
      <c r="I61" s="2"/>
      <c r="J61" s="2"/>
      <c r="K61" s="2"/>
      <c r="L61" s="2"/>
      <c r="M61" s="2"/>
    </row>
    <row r="62" spans="2:13">
      <c r="B62" s="2"/>
      <c r="C62" s="174"/>
      <c r="D62" s="174"/>
      <c r="E62" s="174"/>
      <c r="F62" s="174"/>
      <c r="G62" s="174"/>
      <c r="H62" s="174"/>
      <c r="I62" s="2"/>
      <c r="J62" s="2"/>
      <c r="K62" s="2"/>
      <c r="L62" s="2"/>
      <c r="M62" s="2"/>
    </row>
    <row r="63" spans="2:13">
      <c r="B63" s="2"/>
      <c r="C63" s="174"/>
      <c r="D63" s="174"/>
      <c r="E63" s="174"/>
      <c r="F63" s="174"/>
      <c r="G63" s="174"/>
      <c r="H63" s="174"/>
      <c r="I63" s="2"/>
      <c r="J63" s="2"/>
      <c r="K63" s="2"/>
      <c r="L63" s="2"/>
      <c r="M63" s="2"/>
    </row>
    <row r="64" spans="2:13">
      <c r="B64" s="2"/>
      <c r="C64" s="174"/>
      <c r="D64" s="174"/>
      <c r="E64" s="174"/>
      <c r="F64" s="174"/>
      <c r="G64" s="174"/>
      <c r="H64" s="174"/>
      <c r="I64" s="2"/>
      <c r="J64" s="2"/>
      <c r="K64" s="2"/>
      <c r="L64" s="2"/>
      <c r="M64" s="2"/>
    </row>
    <row r="65" spans="2:13">
      <c r="B65" s="2"/>
      <c r="C65" s="174"/>
      <c r="D65" s="174"/>
      <c r="E65" s="174"/>
      <c r="F65" s="174"/>
      <c r="G65" s="174"/>
      <c r="H65" s="174"/>
      <c r="I65" s="2"/>
      <c r="J65" s="2"/>
      <c r="K65" s="2"/>
      <c r="L65" s="2"/>
      <c r="M65" s="2"/>
    </row>
    <row r="66" spans="2:13">
      <c r="B66" s="2"/>
      <c r="C66" s="174"/>
      <c r="D66" s="174"/>
      <c r="E66" s="174"/>
      <c r="F66" s="174"/>
      <c r="G66" s="174"/>
      <c r="H66" s="174"/>
      <c r="I66" s="2"/>
      <c r="J66" s="2"/>
      <c r="K66" s="2"/>
      <c r="L66" s="2"/>
      <c r="M66" s="2"/>
    </row>
    <row r="67" spans="2:9">
      <c r="B67" s="2"/>
      <c r="C67" s="174"/>
      <c r="D67" s="174"/>
      <c r="E67" s="174"/>
      <c r="F67" s="174"/>
      <c r="G67" s="174"/>
      <c r="H67" s="174"/>
      <c r="I67" s="2"/>
    </row>
    <row r="68" spans="2:9">
      <c r="B68" s="2"/>
      <c r="C68" s="174"/>
      <c r="D68" s="174"/>
      <c r="E68" s="174"/>
      <c r="F68" s="174"/>
      <c r="G68" s="174"/>
      <c r="H68" s="174"/>
      <c r="I68" s="2"/>
    </row>
    <row r="69" spans="2:9">
      <c r="B69" s="2"/>
      <c r="C69" s="174"/>
      <c r="D69" s="174"/>
      <c r="E69" s="174"/>
      <c r="F69" s="174"/>
      <c r="G69" s="174"/>
      <c r="H69" s="174"/>
      <c r="I69" s="2"/>
    </row>
    <row r="70" spans="2:9">
      <c r="B70" s="2"/>
      <c r="C70" s="174"/>
      <c r="D70" s="174"/>
      <c r="E70" s="174"/>
      <c r="F70" s="174"/>
      <c r="G70" s="174"/>
      <c r="H70" s="174"/>
      <c r="I70" s="2"/>
    </row>
    <row r="71" spans="2:9">
      <c r="B71" s="2"/>
      <c r="C71" s="174"/>
      <c r="D71" s="174"/>
      <c r="E71" s="174"/>
      <c r="F71" s="174"/>
      <c r="G71" s="174"/>
      <c r="H71" s="174"/>
      <c r="I71" s="2"/>
    </row>
    <row r="72" spans="2:9">
      <c r="B72" s="2"/>
      <c r="C72" s="174"/>
      <c r="D72" s="174"/>
      <c r="E72" s="174"/>
      <c r="F72" s="174"/>
      <c r="G72" s="174"/>
      <c r="H72" s="174"/>
      <c r="I72" s="2"/>
    </row>
    <row r="73" spans="2:9">
      <c r="B73" s="2"/>
      <c r="C73" s="174"/>
      <c r="D73" s="174"/>
      <c r="E73" s="174"/>
      <c r="F73" s="174"/>
      <c r="G73" s="174"/>
      <c r="H73" s="174"/>
      <c r="I73" s="2"/>
    </row>
    <row r="74" spans="2:9">
      <c r="B74" s="2"/>
      <c r="C74" s="174"/>
      <c r="D74" s="174"/>
      <c r="E74" s="174"/>
      <c r="F74" s="174"/>
      <c r="G74" s="174"/>
      <c r="H74" s="174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zoomScale="85" zoomScaleNormal="85" workbookViewId="0">
      <pane xSplit="2" ySplit="7" topLeftCell="C14" activePane="bottomRight" state="frozen"/>
      <selection/>
      <selection pane="topRight"/>
      <selection pane="bottomLeft"/>
      <selection pane="bottomRight" activeCell="F34" sqref="F34"/>
    </sheetView>
  </sheetViews>
  <sheetFormatPr defaultColWidth="9" defaultRowHeight="16.5"/>
  <cols>
    <col min="1" max="1" width="5.125" style="147" customWidth="1"/>
    <col min="2" max="2" width="17.5" style="147" customWidth="1"/>
    <col min="3" max="7" width="14.375" style="148" customWidth="1"/>
    <col min="8" max="8" width="18.75" style="148" customWidth="1"/>
    <col min="9" max="9" width="12.375" style="147" customWidth="1"/>
    <col min="10" max="10" width="10.125" style="147" customWidth="1"/>
    <col min="11" max="17" width="9" style="147" customWidth="1"/>
    <col min="18" max="33" width="9" style="147"/>
    <col min="34" max="34" width="4.375" style="147" customWidth="1"/>
    <col min="35" max="35" width="13.875" style="147" customWidth="1"/>
    <col min="36" max="16384" width="9" style="147"/>
  </cols>
  <sheetData>
    <row r="1" spans="1:8">
      <c r="A1" s="149" t="s">
        <v>148</v>
      </c>
      <c r="B1" s="149"/>
      <c r="C1" s="150" t="s">
        <v>163</v>
      </c>
      <c r="D1" s="151"/>
      <c r="E1" s="151"/>
      <c r="F1" s="151"/>
      <c r="G1" s="151"/>
      <c r="H1" s="152"/>
    </row>
    <row r="2" spans="1:8">
      <c r="A2" s="149" t="s">
        <v>150</v>
      </c>
      <c r="B2" s="149"/>
      <c r="C2" s="153" t="str">
        <f>'2025年'!$C$2</f>
        <v>一汽解放汽车有限公司</v>
      </c>
      <c r="D2" s="153"/>
      <c r="E2" s="153"/>
      <c r="F2" s="153"/>
      <c r="G2" s="153"/>
      <c r="H2" s="153"/>
    </row>
    <row r="3" spans="1:8">
      <c r="A3" s="149" t="s">
        <v>152</v>
      </c>
      <c r="B3" s="149"/>
      <c r="C3" s="154" t="str">
        <f>'2025年'!C3</f>
        <v>驾驶员座总成</v>
      </c>
      <c r="D3" s="154" t="str">
        <f>'2025年'!D3</f>
        <v>前座总成</v>
      </c>
      <c r="E3" s="154" t="str">
        <f>'2025年'!E3</f>
        <v>中间座总成</v>
      </c>
      <c r="F3" s="154">
        <f>'2025年'!F3</f>
        <v>0</v>
      </c>
      <c r="G3" s="154">
        <f>'2025年'!G3</f>
        <v>0</v>
      </c>
      <c r="H3" s="155" t="s">
        <v>58</v>
      </c>
    </row>
    <row r="4" spans="1:8">
      <c r="A4" s="149" t="s">
        <v>153</v>
      </c>
      <c r="B4" s="149"/>
      <c r="C4" s="154" t="str">
        <f>'2025年'!C4</f>
        <v>6800010-J22-C00</v>
      </c>
      <c r="D4" s="154" t="str">
        <f>'2025年'!D4</f>
        <v>6900010-J22-C00</v>
      </c>
      <c r="E4" s="154" t="str">
        <f>'2025年'!E4</f>
        <v>6930010-J20-C00</v>
      </c>
      <c r="F4" s="154">
        <f>'2025年'!F4</f>
        <v>0</v>
      </c>
      <c r="G4" s="154">
        <f>'2025年'!G4</f>
        <v>0</v>
      </c>
      <c r="H4" s="156"/>
    </row>
    <row r="5" ht="57" spans="1:36">
      <c r="A5" s="149" t="s">
        <v>154</v>
      </c>
      <c r="B5" s="149"/>
      <c r="C5" s="157" t="str">
        <f>'2025年'!C5</f>
        <v>3.1平台、阻尼可调、气动升降、速降、集成安全带、坐垫延伸、</v>
      </c>
      <c r="D5" s="157" t="str">
        <f>'2025年'!D5</f>
        <v>坐垫翻折、三点式安全带</v>
      </c>
      <c r="E5" s="157" t="str">
        <f>'2025年'!E5</f>
        <v>侧翻、二点式安全带</v>
      </c>
      <c r="F5" s="157">
        <f>'2025年'!F5</f>
        <v>0</v>
      </c>
      <c r="G5" s="157">
        <f>'2025年'!G5</f>
        <v>0</v>
      </c>
      <c r="H5" s="158"/>
      <c r="AJ5" s="147" t="s">
        <v>59</v>
      </c>
    </row>
    <row r="6" ht="17.25" spans="1:36">
      <c r="A6" s="159" t="s">
        <v>21</v>
      </c>
      <c r="B6" s="160" t="s">
        <v>155</v>
      </c>
      <c r="C6" s="179">
        <f>销量!C12</f>
        <v>20000</v>
      </c>
      <c r="D6" s="179">
        <f>销量!D12</f>
        <v>20000</v>
      </c>
      <c r="E6" s="179">
        <f>销量!E12</f>
        <v>100</v>
      </c>
      <c r="F6" s="179">
        <f>销量!F12</f>
        <v>0</v>
      </c>
      <c r="G6" s="179">
        <f>销量!G12</f>
        <v>0</v>
      </c>
      <c r="H6" s="162">
        <f>+SUM(C6:G6)</f>
        <v>40100</v>
      </c>
      <c r="AH6" s="159" t="s">
        <v>21</v>
      </c>
      <c r="AI6" s="160" t="s">
        <v>3</v>
      </c>
      <c r="AJ6" s="147" t="s">
        <v>60</v>
      </c>
    </row>
    <row r="7" spans="1:36">
      <c r="A7" s="149">
        <v>1</v>
      </c>
      <c r="B7" s="160" t="s">
        <v>61</v>
      </c>
      <c r="C7" s="162">
        <f>C6*销量!C8</f>
        <v>37000000</v>
      </c>
      <c r="D7" s="162">
        <f>D6*销量!D8</f>
        <v>12600000</v>
      </c>
      <c r="E7" s="162">
        <f>E6*销量!E8</f>
        <v>58700</v>
      </c>
      <c r="F7" s="162">
        <f>F6*销量!F8</f>
        <v>0</v>
      </c>
      <c r="G7" s="162">
        <f>G6*销量!G8</f>
        <v>0</v>
      </c>
      <c r="H7" s="162">
        <f t="shared" ref="H7:H13" si="0">+SUM(C7:G7)</f>
        <v>49658700</v>
      </c>
      <c r="I7" s="148"/>
      <c r="AH7" s="159" t="s">
        <v>62</v>
      </c>
      <c r="AI7" s="160" t="s">
        <v>61</v>
      </c>
      <c r="AJ7" s="147" t="s">
        <v>60</v>
      </c>
    </row>
    <row r="8" spans="1:36">
      <c r="A8" s="149">
        <v>2</v>
      </c>
      <c r="B8" s="149" t="s">
        <v>63</v>
      </c>
      <c r="C8" s="162">
        <f>C7*(1-销量!$K$9)</f>
        <v>5277125</v>
      </c>
      <c r="D8" s="162">
        <f>D7*(1-销量!$K$9)</f>
        <v>1797075</v>
      </c>
      <c r="E8" s="162">
        <f>E7*(1-销量!$K$9)</f>
        <v>8372.0875</v>
      </c>
      <c r="F8" s="162">
        <f>F7*(1-销量!$K$9)</f>
        <v>0</v>
      </c>
      <c r="G8" s="162">
        <f>G7*(1-销量!$K$9)</f>
        <v>0</v>
      </c>
      <c r="H8" s="162">
        <f t="shared" si="0"/>
        <v>7082572.0875</v>
      </c>
      <c r="I8" s="175"/>
      <c r="AH8" s="159" t="s">
        <v>64</v>
      </c>
      <c r="AI8" s="149" t="s">
        <v>65</v>
      </c>
      <c r="AJ8" s="147" t="s">
        <v>60</v>
      </c>
    </row>
    <row r="9" spans="1:36">
      <c r="A9" s="149">
        <v>3</v>
      </c>
      <c r="B9" s="160" t="s">
        <v>66</v>
      </c>
      <c r="C9" s="162">
        <f>+C7-C8</f>
        <v>31722875</v>
      </c>
      <c r="D9" s="162">
        <f>+D7-D8</f>
        <v>10802925</v>
      </c>
      <c r="E9" s="162">
        <f t="shared" ref="E9:H9" si="1">+E7-E8</f>
        <v>50327.9125</v>
      </c>
      <c r="F9" s="162">
        <f t="shared" si="1"/>
        <v>0</v>
      </c>
      <c r="G9" s="162">
        <f t="shared" si="1"/>
        <v>0</v>
      </c>
      <c r="H9" s="162">
        <f t="shared" si="1"/>
        <v>42576127.9125</v>
      </c>
      <c r="AH9" s="159" t="s">
        <v>67</v>
      </c>
      <c r="AI9" s="160" t="s">
        <v>66</v>
      </c>
      <c r="AJ9" s="147" t="s">
        <v>68</v>
      </c>
    </row>
    <row r="10" spans="1:36">
      <c r="A10" s="149">
        <v>4</v>
      </c>
      <c r="B10" s="159" t="s">
        <v>69</v>
      </c>
      <c r="C10" s="162">
        <f>C6*C33</f>
        <v>25198406.3191703</v>
      </c>
      <c r="D10" s="162">
        <f>D6*D33</f>
        <v>10400712.8688652</v>
      </c>
      <c r="E10" s="162">
        <f t="shared" ref="E10:G10" si="2">E6*E33</f>
        <v>32545.978315741</v>
      </c>
      <c r="F10" s="162">
        <f t="shared" si="2"/>
        <v>0</v>
      </c>
      <c r="G10" s="162">
        <f t="shared" si="2"/>
        <v>0</v>
      </c>
      <c r="H10" s="162">
        <f t="shared" si="0"/>
        <v>35631665.1663512</v>
      </c>
      <c r="AH10" s="159" t="s">
        <v>70</v>
      </c>
      <c r="AI10" s="159" t="s">
        <v>69</v>
      </c>
      <c r="AJ10" s="147" t="s">
        <v>71</v>
      </c>
    </row>
    <row r="11" spans="1:35">
      <c r="A11" s="149">
        <v>5</v>
      </c>
      <c r="B11" s="159" t="s">
        <v>72</v>
      </c>
      <c r="C11" s="162">
        <f>+C6*C36</f>
        <v>455100</v>
      </c>
      <c r="D11" s="162">
        <f>+D6*D36</f>
        <v>154980</v>
      </c>
      <c r="E11" s="162">
        <f t="shared" ref="E11:G11" si="3">+E6*E36</f>
        <v>466.908334490293</v>
      </c>
      <c r="F11" s="162">
        <f t="shared" si="3"/>
        <v>0</v>
      </c>
      <c r="G11" s="162">
        <f t="shared" si="3"/>
        <v>0</v>
      </c>
      <c r="H11" s="162">
        <f t="shared" si="0"/>
        <v>610546.90833449</v>
      </c>
      <c r="AH11" s="159" t="s">
        <v>73</v>
      </c>
      <c r="AI11" s="159" t="s">
        <v>72</v>
      </c>
    </row>
    <row r="12" spans="1:35">
      <c r="A12" s="149">
        <v>6</v>
      </c>
      <c r="B12" s="159" t="s">
        <v>74</v>
      </c>
      <c r="C12" s="162">
        <f>+C6*C37</f>
        <v>410700</v>
      </c>
      <c r="D12" s="162">
        <f>+D6*D37</f>
        <v>139860</v>
      </c>
      <c r="E12" s="162">
        <f t="shared" ref="E12:G12" si="4">+E6*E37</f>
        <v>421.356301857093</v>
      </c>
      <c r="F12" s="162">
        <f t="shared" si="4"/>
        <v>0</v>
      </c>
      <c r="G12" s="162">
        <f t="shared" si="4"/>
        <v>0</v>
      </c>
      <c r="H12" s="162">
        <f t="shared" si="0"/>
        <v>550981.356301857</v>
      </c>
      <c r="AH12" s="159" t="s">
        <v>75</v>
      </c>
      <c r="AI12" s="159" t="s">
        <v>74</v>
      </c>
    </row>
    <row r="13" spans="1:36">
      <c r="A13" s="149">
        <v>7</v>
      </c>
      <c r="B13" s="159" t="s">
        <v>76</v>
      </c>
      <c r="C13" s="162">
        <f>+C6*C38</f>
        <v>592000</v>
      </c>
      <c r="D13" s="162">
        <f>+D6*D38</f>
        <v>201600</v>
      </c>
      <c r="E13" s="162">
        <f t="shared" ref="E13:G13" si="5">+E6*E38</f>
        <v>607.360435109324</v>
      </c>
      <c r="F13" s="162">
        <f t="shared" si="5"/>
        <v>0</v>
      </c>
      <c r="G13" s="162">
        <f t="shared" si="5"/>
        <v>0</v>
      </c>
      <c r="H13" s="162">
        <f t="shared" si="0"/>
        <v>794207.360435109</v>
      </c>
      <c r="AH13" s="159" t="s">
        <v>77</v>
      </c>
      <c r="AI13" s="159" t="s">
        <v>76</v>
      </c>
      <c r="AJ13" s="147" t="s">
        <v>60</v>
      </c>
    </row>
    <row r="14" spans="1:35">
      <c r="A14" s="149">
        <v>8</v>
      </c>
      <c r="B14" s="163" t="s">
        <v>78</v>
      </c>
      <c r="C14" s="162">
        <f>SUM(C11:C13)</f>
        <v>1457800</v>
      </c>
      <c r="D14" s="162">
        <f>SUM(D11:D13)</f>
        <v>496440</v>
      </c>
      <c r="E14" s="162">
        <f t="shared" ref="E14:H14" si="6">SUM(E11:E13)</f>
        <v>1495.62507145671</v>
      </c>
      <c r="F14" s="162">
        <f t="shared" si="6"/>
        <v>0</v>
      </c>
      <c r="G14" s="162">
        <f t="shared" si="6"/>
        <v>0</v>
      </c>
      <c r="H14" s="162">
        <f t="shared" si="6"/>
        <v>1955735.62507146</v>
      </c>
      <c r="AH14" s="159" t="s">
        <v>79</v>
      </c>
      <c r="AI14" s="163" t="s">
        <v>78</v>
      </c>
    </row>
    <row r="15" spans="1:35">
      <c r="A15" s="149">
        <v>9</v>
      </c>
      <c r="B15" s="163" t="s">
        <v>80</v>
      </c>
      <c r="C15" s="162">
        <f>+C9-C10-C14</f>
        <v>5066668.68082968</v>
      </c>
      <c r="D15" s="162">
        <f>+D9-D10-D14</f>
        <v>-94227.8688651733</v>
      </c>
      <c r="E15" s="162">
        <f t="shared" ref="E15:H15" si="7">+E9-E10-E14</f>
        <v>16286.3091128023</v>
      </c>
      <c r="F15" s="162">
        <f t="shared" si="7"/>
        <v>0</v>
      </c>
      <c r="G15" s="162">
        <f t="shared" si="7"/>
        <v>0</v>
      </c>
      <c r="H15" s="162">
        <f t="shared" si="7"/>
        <v>4988727.12107731</v>
      </c>
      <c r="AH15" s="159" t="s">
        <v>81</v>
      </c>
      <c r="AI15" s="163" t="s">
        <v>80</v>
      </c>
    </row>
    <row r="16" spans="1:35">
      <c r="A16" s="149">
        <v>10</v>
      </c>
      <c r="B16" s="159" t="s">
        <v>82</v>
      </c>
      <c r="C16" s="164">
        <f>+C15/C9</f>
        <v>0.159716566699257</v>
      </c>
      <c r="D16" s="164">
        <f>+D15/D9</f>
        <v>-0.00872244034510776</v>
      </c>
      <c r="E16" s="164">
        <f t="shared" ref="E16:H16" si="8">+E15/E9</f>
        <v>0.323603906933399</v>
      </c>
      <c r="F16" s="164" t="e">
        <f t="shared" si="8"/>
        <v>#DIV/0!</v>
      </c>
      <c r="G16" s="164" t="e">
        <f t="shared" si="8"/>
        <v>#DIV/0!</v>
      </c>
      <c r="H16" s="164">
        <f t="shared" si="8"/>
        <v>0.117171930978079</v>
      </c>
      <c r="I16" s="176"/>
      <c r="J16" s="176"/>
      <c r="K16" s="176"/>
      <c r="AH16" s="159" t="s">
        <v>83</v>
      </c>
      <c r="AI16" s="159" t="s">
        <v>82</v>
      </c>
    </row>
    <row r="17" spans="1:35">
      <c r="A17" s="149">
        <v>11</v>
      </c>
      <c r="B17" s="159" t="s">
        <v>84</v>
      </c>
      <c r="C17" s="162">
        <f>C6*C43+C18</f>
        <v>1513401.99501247</v>
      </c>
      <c r="D17" s="162">
        <f>D6*D43+D18</f>
        <v>620361.995012469</v>
      </c>
      <c r="E17" s="162">
        <f t="shared" ref="E17:G17" si="9">E6*E43+E18</f>
        <v>2185.34697037492</v>
      </c>
      <c r="F17" s="162">
        <f t="shared" si="9"/>
        <v>0</v>
      </c>
      <c r="G17" s="162">
        <f t="shared" si="9"/>
        <v>0</v>
      </c>
      <c r="H17" s="162">
        <f>+SUM(C17:G17)</f>
        <v>2135949.33699531</v>
      </c>
      <c r="I17" s="175"/>
      <c r="AH17" s="159" t="s">
        <v>85</v>
      </c>
      <c r="AI17" s="159" t="s">
        <v>84</v>
      </c>
    </row>
    <row r="18" s="145" customFormat="1" spans="1:11">
      <c r="A18" s="149">
        <v>12</v>
      </c>
      <c r="B18" s="165" t="s">
        <v>156</v>
      </c>
      <c r="C18" s="166">
        <f>$H$18/$H$6*C6</f>
        <v>159201.995012469</v>
      </c>
      <c r="D18" s="166">
        <f>$H$18/$H$6*D6</f>
        <v>159201.995012469</v>
      </c>
      <c r="E18" s="166">
        <f t="shared" ref="E18:G18" si="10">$H$18/$H$6*E6</f>
        <v>796.009975062344</v>
      </c>
      <c r="F18" s="166">
        <f t="shared" si="10"/>
        <v>0</v>
      </c>
      <c r="G18" s="166">
        <f t="shared" si="10"/>
        <v>0</v>
      </c>
      <c r="H18" s="162">
        <f>项目投资!G26</f>
        <v>319200</v>
      </c>
      <c r="I18" s="177" t="s">
        <v>157</v>
      </c>
      <c r="J18" s="177"/>
      <c r="K18" s="177"/>
    </row>
    <row r="19" spans="1:36">
      <c r="A19" s="149">
        <v>13</v>
      </c>
      <c r="B19" s="159" t="s">
        <v>86</v>
      </c>
      <c r="C19" s="162">
        <f>C6*C44</f>
        <v>310800</v>
      </c>
      <c r="D19" s="162">
        <f>D6*D44</f>
        <v>105840</v>
      </c>
      <c r="E19" s="162">
        <f t="shared" ref="E19:G19" si="11">E6*E44</f>
        <v>318.864228432395</v>
      </c>
      <c r="F19" s="162">
        <f t="shared" si="11"/>
        <v>0</v>
      </c>
      <c r="G19" s="162">
        <f t="shared" si="11"/>
        <v>0</v>
      </c>
      <c r="H19" s="162">
        <f t="shared" ref="H19:H20" si="12">+SUM(C19:G19)</f>
        <v>416958.864228432</v>
      </c>
      <c r="I19" s="145"/>
      <c r="AH19" s="159" t="s">
        <v>87</v>
      </c>
      <c r="AI19" s="159" t="s">
        <v>86</v>
      </c>
      <c r="AJ19" s="147" t="s">
        <v>60</v>
      </c>
    </row>
    <row r="20" spans="1:35">
      <c r="A20" s="149">
        <v>14</v>
      </c>
      <c r="B20" s="159" t="s">
        <v>88</v>
      </c>
      <c r="C20" s="162">
        <f>C6*C45</f>
        <v>1195100</v>
      </c>
      <c r="D20" s="162">
        <f>D6*D45</f>
        <v>406980</v>
      </c>
      <c r="E20" s="162">
        <f t="shared" ref="E20:G20" si="13">E6*E45</f>
        <v>1226.10887837695</v>
      </c>
      <c r="F20" s="162">
        <f t="shared" si="13"/>
        <v>0</v>
      </c>
      <c r="G20" s="162">
        <f t="shared" si="13"/>
        <v>0</v>
      </c>
      <c r="H20" s="162">
        <f t="shared" si="12"/>
        <v>1603306.10887838</v>
      </c>
      <c r="AH20" s="159" t="s">
        <v>89</v>
      </c>
      <c r="AI20" s="159" t="s">
        <v>88</v>
      </c>
    </row>
    <row r="21" spans="1:35">
      <c r="A21" s="149">
        <v>15</v>
      </c>
      <c r="B21" s="159" t="s">
        <v>90</v>
      </c>
      <c r="C21" s="167">
        <f>$H$21/$H$6*C6</f>
        <v>15960.0997506234</v>
      </c>
      <c r="D21" s="167">
        <f>$H$21/$H$6*D6</f>
        <v>15960.0997506234</v>
      </c>
      <c r="E21" s="167">
        <f t="shared" ref="E21:G21" si="14">$H$21/$H$6*E6</f>
        <v>79.8004987531172</v>
      </c>
      <c r="F21" s="167">
        <f t="shared" si="14"/>
        <v>0</v>
      </c>
      <c r="G21" s="167">
        <f t="shared" si="14"/>
        <v>0</v>
      </c>
      <c r="H21" s="162">
        <f>项目投资!G27</f>
        <v>32000</v>
      </c>
      <c r="AH21" s="159"/>
      <c r="AI21" s="159"/>
    </row>
    <row r="22" spans="1:35">
      <c r="A22" s="149">
        <v>16</v>
      </c>
      <c r="B22" s="159" t="s">
        <v>91</v>
      </c>
      <c r="C22" s="162">
        <f>C6*C47</f>
        <v>1313500</v>
      </c>
      <c r="D22" s="162">
        <f>D6*D47</f>
        <v>447300</v>
      </c>
      <c r="E22" s="162">
        <f t="shared" ref="E22:G22" si="15">E6*E47</f>
        <v>1347.58096539881</v>
      </c>
      <c r="F22" s="162">
        <f t="shared" si="15"/>
        <v>0</v>
      </c>
      <c r="G22" s="162">
        <f t="shared" si="15"/>
        <v>0</v>
      </c>
      <c r="H22" s="162">
        <f>+SUM(C22:G22)</f>
        <v>1762147.5809654</v>
      </c>
      <c r="AH22" s="159" t="s">
        <v>92</v>
      </c>
      <c r="AI22" s="159" t="s">
        <v>91</v>
      </c>
    </row>
    <row r="23" spans="1:35">
      <c r="A23" s="149">
        <v>17</v>
      </c>
      <c r="B23" s="163" t="s">
        <v>93</v>
      </c>
      <c r="C23" s="167">
        <f>+C22+C21+C20+C19+C17</f>
        <v>4348762.09476309</v>
      </c>
      <c r="D23" s="167">
        <f>+D22+D21+D20+D19+D17</f>
        <v>1596442.09476309</v>
      </c>
      <c r="E23" s="167">
        <f t="shared" ref="E23:H23" si="16">+E22+E21+E20+E19+E17</f>
        <v>5157.70154133619</v>
      </c>
      <c r="F23" s="167">
        <f t="shared" si="16"/>
        <v>0</v>
      </c>
      <c r="G23" s="167">
        <f t="shared" si="16"/>
        <v>0</v>
      </c>
      <c r="H23" s="167">
        <f t="shared" si="16"/>
        <v>5950361.89106752</v>
      </c>
      <c r="AH23" s="159" t="s">
        <v>94</v>
      </c>
      <c r="AI23" s="163" t="s">
        <v>93</v>
      </c>
    </row>
    <row r="24" spans="1:35">
      <c r="A24" s="149">
        <v>18</v>
      </c>
      <c r="B24" s="168" t="s">
        <v>95</v>
      </c>
      <c r="C24" s="167">
        <f>+C15-C23</f>
        <v>717906.586066585</v>
      </c>
      <c r="D24" s="167">
        <f>+D15-D23</f>
        <v>-1690669.96362827</v>
      </c>
      <c r="E24" s="167">
        <f t="shared" ref="E24:H24" si="17">+E15-E23</f>
        <v>11128.6075714661</v>
      </c>
      <c r="F24" s="167">
        <f t="shared" si="17"/>
        <v>0</v>
      </c>
      <c r="G24" s="167">
        <f t="shared" si="17"/>
        <v>0</v>
      </c>
      <c r="H24" s="167">
        <f t="shared" si="17"/>
        <v>-961634.769990213</v>
      </c>
      <c r="J24" s="178"/>
      <c r="AH24" s="159" t="s">
        <v>96</v>
      </c>
      <c r="AI24" s="159" t="s">
        <v>95</v>
      </c>
    </row>
    <row r="25" spans="1:35">
      <c r="A25" s="149">
        <v>19</v>
      </c>
      <c r="B25" s="159" t="s">
        <v>158</v>
      </c>
      <c r="C25" s="167">
        <f>IF(C24&lt;0,0,C24*0.15)</f>
        <v>107685.987909988</v>
      </c>
      <c r="D25" s="167">
        <f t="shared" ref="D25:H25" si="18">IF(D24&lt;0,0,D24*0.15)</f>
        <v>0</v>
      </c>
      <c r="E25" s="167">
        <f t="shared" ref="E25:G25" si="19">IF(E24&lt;0,0,E24*0.15)</f>
        <v>1669.29113571991</v>
      </c>
      <c r="F25" s="167">
        <f t="shared" si="19"/>
        <v>0</v>
      </c>
      <c r="G25" s="167">
        <f t="shared" si="19"/>
        <v>0</v>
      </c>
      <c r="H25" s="167">
        <f t="shared" si="18"/>
        <v>0</v>
      </c>
      <c r="I25" s="2"/>
      <c r="J25" s="2"/>
      <c r="K25" s="2"/>
      <c r="AH25" s="159" t="s">
        <v>97</v>
      </c>
      <c r="AI25" s="159" t="s">
        <v>38</v>
      </c>
    </row>
    <row r="26" spans="1:35">
      <c r="A26" s="149">
        <v>20</v>
      </c>
      <c r="B26" s="159" t="s">
        <v>98</v>
      </c>
      <c r="C26" s="167">
        <f>C24-C25</f>
        <v>610220.598156597</v>
      </c>
      <c r="D26" s="167">
        <f>D24-D25</f>
        <v>-1690669.96362827</v>
      </c>
      <c r="E26" s="167">
        <f t="shared" ref="E26:H26" si="20">E24-E25</f>
        <v>9459.31643574616</v>
      </c>
      <c r="F26" s="167">
        <f t="shared" si="20"/>
        <v>0</v>
      </c>
      <c r="G26" s="167">
        <f t="shared" si="20"/>
        <v>0</v>
      </c>
      <c r="H26" s="167">
        <f t="shared" si="20"/>
        <v>-961634.769990213</v>
      </c>
      <c r="I26" s="2"/>
      <c r="J26" s="2"/>
      <c r="K26" s="2"/>
      <c r="AH26" s="159" t="s">
        <v>99</v>
      </c>
      <c r="AI26" s="159" t="s">
        <v>98</v>
      </c>
    </row>
    <row r="27" spans="1:35">
      <c r="A27" s="149">
        <v>21</v>
      </c>
      <c r="B27" s="159" t="s">
        <v>102</v>
      </c>
      <c r="C27" s="169">
        <f>C26/C9</f>
        <v>0.0192359802873036</v>
      </c>
      <c r="D27" s="169">
        <f t="shared" ref="D27:H27" si="21">D26/D9</f>
        <v>-0.156501129428212</v>
      </c>
      <c r="E27" s="169">
        <f t="shared" si="21"/>
        <v>0.187953681483335</v>
      </c>
      <c r="F27" s="169" t="e">
        <f t="shared" si="21"/>
        <v>#DIV/0!</v>
      </c>
      <c r="G27" s="169" t="e">
        <f t="shared" si="21"/>
        <v>#DIV/0!</v>
      </c>
      <c r="H27" s="169">
        <f t="shared" si="21"/>
        <v>-0.0225862429755592</v>
      </c>
      <c r="I27" s="2"/>
      <c r="J27" s="2"/>
      <c r="K27" s="2"/>
      <c r="AH27" s="159" t="s">
        <v>101</v>
      </c>
      <c r="AI27" s="159" t="s">
        <v>102</v>
      </c>
    </row>
    <row r="28" spans="9:11">
      <c r="I28" s="2"/>
      <c r="J28" s="2"/>
      <c r="K28" s="2"/>
    </row>
    <row r="29" spans="1:34">
      <c r="A29" s="147" t="s">
        <v>103</v>
      </c>
      <c r="H29" s="148" t="s">
        <v>159</v>
      </c>
      <c r="I29" s="2"/>
      <c r="J29" s="2"/>
      <c r="K29" s="2"/>
      <c r="AH29" s="147" t="s">
        <v>103</v>
      </c>
    </row>
    <row r="30" spans="1:35">
      <c r="A30" s="159" t="s">
        <v>104</v>
      </c>
      <c r="B30" s="163" t="s">
        <v>105</v>
      </c>
      <c r="C30" s="167"/>
      <c r="D30" s="167"/>
      <c r="E30" s="167"/>
      <c r="F30" s="167"/>
      <c r="G30" s="167"/>
      <c r="H30" s="167"/>
      <c r="I30" s="2"/>
      <c r="J30" s="2"/>
      <c r="K30" s="2"/>
      <c r="M30" s="2"/>
      <c r="AH30" s="159" t="s">
        <v>106</v>
      </c>
      <c r="AI30" s="163" t="s">
        <v>105</v>
      </c>
    </row>
    <row r="31" spans="1:35">
      <c r="A31" s="149">
        <v>1</v>
      </c>
      <c r="B31" s="165" t="s">
        <v>107</v>
      </c>
      <c r="C31" s="170">
        <f>销量!C8</f>
        <v>1850</v>
      </c>
      <c r="D31" s="170">
        <f>销量!D8</f>
        <v>630</v>
      </c>
      <c r="E31" s="170">
        <f>销量!E8</f>
        <v>587</v>
      </c>
      <c r="F31" s="170">
        <f>销量!F8</f>
        <v>0</v>
      </c>
      <c r="G31" s="170">
        <f>销量!G8</f>
        <v>0</v>
      </c>
      <c r="H31" s="167"/>
      <c r="I31" s="2"/>
      <c r="J31" s="2"/>
      <c r="K31" s="2"/>
      <c r="M31" s="2"/>
      <c r="AH31" s="159" t="s">
        <v>62</v>
      </c>
      <c r="AI31" s="159" t="s">
        <v>107</v>
      </c>
    </row>
    <row r="32" spans="1:35">
      <c r="A32" s="149">
        <v>2</v>
      </c>
      <c r="B32" s="159" t="s">
        <v>160</v>
      </c>
      <c r="C32" s="162">
        <f>C9/C6</f>
        <v>1586.14375</v>
      </c>
      <c r="D32" s="162">
        <f t="shared" ref="D32:G32" si="22">D9/D6</f>
        <v>540.14625</v>
      </c>
      <c r="E32" s="162">
        <f t="shared" si="22"/>
        <v>503.279125</v>
      </c>
      <c r="F32" s="162" t="e">
        <f t="shared" si="22"/>
        <v>#DIV/0!</v>
      </c>
      <c r="G32" s="162" t="e">
        <f t="shared" si="22"/>
        <v>#DIV/0!</v>
      </c>
      <c r="H32" s="167"/>
      <c r="I32" s="2"/>
      <c r="J32" s="2"/>
      <c r="K32" s="2"/>
      <c r="L32" s="2"/>
      <c r="M32" s="2"/>
      <c r="N32" s="2"/>
      <c r="O32" s="2"/>
      <c r="AH32" s="159"/>
      <c r="AI32" s="159"/>
    </row>
    <row r="33" spans="1:35">
      <c r="A33" s="149">
        <v>3</v>
      </c>
      <c r="B33" s="165" t="s">
        <v>108</v>
      </c>
      <c r="C33" s="162">
        <f>材料成本!D27</f>
        <v>1259.92031595852</v>
      </c>
      <c r="D33" s="162">
        <f>材料成本!E27</f>
        <v>520.035643443259</v>
      </c>
      <c r="E33" s="162">
        <f>材料成本!F27</f>
        <v>325.45978315741</v>
      </c>
      <c r="F33" s="162">
        <f>材料成本!G27</f>
        <v>0</v>
      </c>
      <c r="G33" s="162">
        <f>材料成本!H27</f>
        <v>0</v>
      </c>
      <c r="H33" s="167"/>
      <c r="J33" s="2"/>
      <c r="K33" s="2"/>
      <c r="L33" s="2"/>
      <c r="M33" s="2"/>
      <c r="N33" s="2"/>
      <c r="O33" s="2"/>
      <c r="AH33" s="159" t="s">
        <v>64</v>
      </c>
      <c r="AI33" s="159" t="s">
        <v>108</v>
      </c>
    </row>
    <row r="34" ht="17.25" customHeight="1" spans="1:35">
      <c r="A34" s="149">
        <v>4</v>
      </c>
      <c r="B34" s="159" t="s">
        <v>110</v>
      </c>
      <c r="C34" s="171">
        <f>C32-C33</f>
        <v>326.223434041484</v>
      </c>
      <c r="D34" s="171">
        <f>D32-D33</f>
        <v>20.1106065567413</v>
      </c>
      <c r="E34" s="171">
        <f t="shared" ref="E34:G34" si="23">E32-E33</f>
        <v>177.81934184259</v>
      </c>
      <c r="F34" s="171" t="e">
        <f t="shared" si="23"/>
        <v>#DIV/0!</v>
      </c>
      <c r="G34" s="171" t="e">
        <f t="shared" si="23"/>
        <v>#DIV/0!</v>
      </c>
      <c r="H34" s="167"/>
      <c r="J34" s="2"/>
      <c r="K34" s="2"/>
      <c r="L34" s="2"/>
      <c r="M34" s="2"/>
      <c r="N34" s="2"/>
      <c r="O34" s="2"/>
      <c r="AH34" s="159" t="s">
        <v>109</v>
      </c>
      <c r="AI34" s="159" t="s">
        <v>110</v>
      </c>
    </row>
    <row r="35" spans="1:35">
      <c r="A35" s="159" t="s">
        <v>106</v>
      </c>
      <c r="B35" s="163" t="s">
        <v>10</v>
      </c>
      <c r="C35" s="167"/>
      <c r="D35" s="167"/>
      <c r="E35" s="167"/>
      <c r="F35" s="167"/>
      <c r="G35" s="167"/>
      <c r="H35" s="167"/>
      <c r="I35" s="2"/>
      <c r="J35" s="2"/>
      <c r="K35" s="2"/>
      <c r="L35" s="2"/>
      <c r="M35" s="2"/>
      <c r="N35" s="2"/>
      <c r="O35" s="2"/>
      <c r="P35" s="2"/>
      <c r="Q35" s="2"/>
      <c r="R35" s="2"/>
      <c r="AH35" s="159" t="s">
        <v>112</v>
      </c>
      <c r="AI35" s="163" t="s">
        <v>10</v>
      </c>
    </row>
    <row r="36" spans="1:35">
      <c r="A36" s="149">
        <v>1</v>
      </c>
      <c r="B36" s="159" t="s">
        <v>113</v>
      </c>
      <c r="C36" s="166">
        <f>'2025年'!C36</f>
        <v>22.755</v>
      </c>
      <c r="D36" s="166">
        <f>'2025年'!D36</f>
        <v>7.749</v>
      </c>
      <c r="E36" s="166">
        <f>'2025年'!E36</f>
        <v>4.66908334490293</v>
      </c>
      <c r="F36" s="166">
        <f>'2025年'!F36</f>
        <v>0</v>
      </c>
      <c r="G36" s="166">
        <f>'2025年'!G36</f>
        <v>0</v>
      </c>
      <c r="H36" s="170"/>
      <c r="I36" s="2"/>
      <c r="J36" s="2"/>
      <c r="K36" s="2"/>
      <c r="L36" s="2"/>
      <c r="M36" s="2"/>
      <c r="N36" s="2"/>
      <c r="O36" s="2"/>
      <c r="P36" s="2"/>
      <c r="Q36" s="2"/>
      <c r="R36" s="2"/>
      <c r="AH36" s="159" t="s">
        <v>109</v>
      </c>
      <c r="AI36" s="159" t="s">
        <v>113</v>
      </c>
    </row>
    <row r="37" spans="1:35">
      <c r="A37" s="149">
        <v>2</v>
      </c>
      <c r="B37" s="159" t="s">
        <v>114</v>
      </c>
      <c r="C37" s="166">
        <f>'2025年'!C37</f>
        <v>20.535</v>
      </c>
      <c r="D37" s="166">
        <f>'2025年'!D37</f>
        <v>6.993</v>
      </c>
      <c r="E37" s="166">
        <f>'2025年'!E37</f>
        <v>4.21356301857093</v>
      </c>
      <c r="F37" s="166">
        <f>'2025年'!F37</f>
        <v>0</v>
      </c>
      <c r="G37" s="166">
        <f>'2025年'!G37</f>
        <v>0</v>
      </c>
      <c r="H37" s="170"/>
      <c r="I37" s="2"/>
      <c r="J37" s="2"/>
      <c r="K37" s="2"/>
      <c r="L37" s="2"/>
      <c r="M37" s="2"/>
      <c r="N37" s="2"/>
      <c r="O37" s="2"/>
      <c r="P37" s="2"/>
      <c r="Q37" s="2"/>
      <c r="R37" s="2"/>
      <c r="AH37" s="159" t="s">
        <v>67</v>
      </c>
      <c r="AI37" s="159" t="s">
        <v>114</v>
      </c>
    </row>
    <row r="38" spans="1:35">
      <c r="A38" s="149">
        <v>3</v>
      </c>
      <c r="B38" s="159" t="s">
        <v>115</v>
      </c>
      <c r="C38" s="166">
        <f>'2025年'!C38</f>
        <v>29.6</v>
      </c>
      <c r="D38" s="166">
        <f>'2025年'!D38</f>
        <v>10.08</v>
      </c>
      <c r="E38" s="166">
        <f>'2025年'!E38</f>
        <v>6.07360435109324</v>
      </c>
      <c r="F38" s="166">
        <f>'2025年'!F38</f>
        <v>0</v>
      </c>
      <c r="G38" s="166">
        <f>'2025年'!G38</f>
        <v>0</v>
      </c>
      <c r="H38" s="170"/>
      <c r="I38" s="2"/>
      <c r="J38" s="2"/>
      <c r="K38" s="2"/>
      <c r="L38" s="2"/>
      <c r="M38" s="2"/>
      <c r="N38" s="2"/>
      <c r="O38" s="2"/>
      <c r="P38" s="2"/>
      <c r="Q38" s="2"/>
      <c r="R38" s="2"/>
      <c r="AH38" s="159" t="s">
        <v>73</v>
      </c>
      <c r="AI38" s="159" t="s">
        <v>115</v>
      </c>
    </row>
    <row r="39" spans="1:35">
      <c r="A39" s="159" t="s">
        <v>112</v>
      </c>
      <c r="B39" s="163" t="s">
        <v>117</v>
      </c>
      <c r="C39" s="167"/>
      <c r="D39" s="167"/>
      <c r="E39" s="167"/>
      <c r="F39" s="167"/>
      <c r="G39" s="167"/>
      <c r="H39" s="167"/>
      <c r="AH39" s="159" t="s">
        <v>116</v>
      </c>
      <c r="AI39" s="163" t="s">
        <v>117</v>
      </c>
    </row>
    <row r="40" spans="1:35">
      <c r="A40" s="149">
        <v>1</v>
      </c>
      <c r="B40" s="159" t="s">
        <v>118</v>
      </c>
      <c r="C40" s="167">
        <f>C34-C36-C37-C38</f>
        <v>253.333434041484</v>
      </c>
      <c r="D40" s="167">
        <f>D34-D36-D37-D38</f>
        <v>-4.71139344325865</v>
      </c>
      <c r="E40" s="167">
        <f t="shared" ref="E40:G40" si="24">E34-E36-E37-E38</f>
        <v>162.863091128023</v>
      </c>
      <c r="F40" s="167" t="e">
        <f t="shared" si="24"/>
        <v>#DIV/0!</v>
      </c>
      <c r="G40" s="167" t="e">
        <f t="shared" si="24"/>
        <v>#DIV/0!</v>
      </c>
      <c r="H40" s="167"/>
      <c r="AH40" s="159" t="s">
        <v>62</v>
      </c>
      <c r="AI40" s="159" t="s">
        <v>118</v>
      </c>
    </row>
    <row r="41" spans="1:35">
      <c r="A41" s="149">
        <v>2</v>
      </c>
      <c r="B41" s="159" t="s">
        <v>119</v>
      </c>
      <c r="C41" s="167"/>
      <c r="D41" s="167"/>
      <c r="E41" s="167"/>
      <c r="F41" s="167"/>
      <c r="G41" s="167"/>
      <c r="H41" s="167"/>
      <c r="AH41" s="159" t="s">
        <v>64</v>
      </c>
      <c r="AI41" s="159" t="s">
        <v>119</v>
      </c>
    </row>
    <row r="42" spans="1:35">
      <c r="A42" s="159" t="s">
        <v>116</v>
      </c>
      <c r="B42" s="163" t="s">
        <v>121</v>
      </c>
      <c r="C42" s="167"/>
      <c r="D42" s="167"/>
      <c r="E42" s="167"/>
      <c r="F42" s="167"/>
      <c r="G42" s="167"/>
      <c r="H42" s="167"/>
      <c r="AH42" s="159" t="s">
        <v>120</v>
      </c>
      <c r="AI42" s="163" t="s">
        <v>121</v>
      </c>
    </row>
    <row r="43" spans="1:35">
      <c r="A43" s="149">
        <v>1</v>
      </c>
      <c r="B43" s="168" t="s">
        <v>122</v>
      </c>
      <c r="C43" s="166">
        <f>'2025年'!C43</f>
        <v>67.71</v>
      </c>
      <c r="D43" s="166">
        <f>'2025年'!D43</f>
        <v>23.058</v>
      </c>
      <c r="E43" s="166">
        <f>'2025年'!E43</f>
        <v>13.8933699531258</v>
      </c>
      <c r="F43" s="166">
        <f>'2025年'!F43</f>
        <v>0</v>
      </c>
      <c r="G43" s="166">
        <f>'2025年'!G43</f>
        <v>0</v>
      </c>
      <c r="H43" s="167"/>
      <c r="AH43" s="159" t="s">
        <v>62</v>
      </c>
      <c r="AI43" s="159" t="s">
        <v>122</v>
      </c>
    </row>
    <row r="44" spans="1:35">
      <c r="A44" s="149">
        <v>2</v>
      </c>
      <c r="B44" s="168" t="s">
        <v>123</v>
      </c>
      <c r="C44" s="166">
        <f>'2025年'!C44</f>
        <v>15.54</v>
      </c>
      <c r="D44" s="166">
        <f>'2025年'!D44</f>
        <v>5.292</v>
      </c>
      <c r="E44" s="166">
        <f>'2025年'!E44</f>
        <v>3.18864228432395</v>
      </c>
      <c r="F44" s="166">
        <f>'2025年'!F44</f>
        <v>0</v>
      </c>
      <c r="G44" s="166">
        <f>'2025年'!G44</f>
        <v>0</v>
      </c>
      <c r="H44" s="167"/>
      <c r="AH44" s="159" t="s">
        <v>64</v>
      </c>
      <c r="AI44" s="159" t="s">
        <v>123</v>
      </c>
    </row>
    <row r="45" spans="1:35">
      <c r="A45" s="149">
        <v>3</v>
      </c>
      <c r="B45" s="168" t="s">
        <v>124</v>
      </c>
      <c r="C45" s="166">
        <f>'2025年'!C45</f>
        <v>59.755</v>
      </c>
      <c r="D45" s="166">
        <f>'2025年'!D45</f>
        <v>20.349</v>
      </c>
      <c r="E45" s="166">
        <f>'2025年'!E45</f>
        <v>12.2610887837695</v>
      </c>
      <c r="F45" s="166">
        <f>'2025年'!F45</f>
        <v>0</v>
      </c>
      <c r="G45" s="166">
        <f>'2025年'!G45</f>
        <v>0</v>
      </c>
      <c r="H45" s="167"/>
      <c r="AH45" s="159" t="s">
        <v>109</v>
      </c>
      <c r="AI45" s="159" t="s">
        <v>124</v>
      </c>
    </row>
    <row r="46" s="146" customFormat="1" spans="1:35">
      <c r="A46" s="149">
        <v>4</v>
      </c>
      <c r="B46" s="168" t="s">
        <v>125</v>
      </c>
      <c r="C46" s="172">
        <f>C21/C6</f>
        <v>0.798004987531172</v>
      </c>
      <c r="D46" s="172">
        <f>D21/D6</f>
        <v>0.798004987531172</v>
      </c>
      <c r="E46" s="172">
        <f t="shared" ref="E46:G46" si="25">E21/E6</f>
        <v>0.798004987531172</v>
      </c>
      <c r="F46" s="172" t="e">
        <f t="shared" si="25"/>
        <v>#DIV/0!</v>
      </c>
      <c r="G46" s="172" t="e">
        <f t="shared" si="25"/>
        <v>#DIV/0!</v>
      </c>
      <c r="H46" s="172"/>
      <c r="AH46" s="168" t="s">
        <v>70</v>
      </c>
      <c r="AI46" s="168" t="s">
        <v>127</v>
      </c>
    </row>
    <row r="47" s="146" customFormat="1" spans="1:35">
      <c r="A47" s="149">
        <v>5</v>
      </c>
      <c r="B47" s="168" t="s">
        <v>127</v>
      </c>
      <c r="C47" s="166">
        <f>'2025年'!C47</f>
        <v>65.675</v>
      </c>
      <c r="D47" s="166">
        <f>'2025年'!D47</f>
        <v>22.365</v>
      </c>
      <c r="E47" s="166">
        <f>'2025年'!E47</f>
        <v>13.4758096539881</v>
      </c>
      <c r="F47" s="166">
        <f>'2025年'!F47</f>
        <v>0</v>
      </c>
      <c r="G47" s="166">
        <f>'2025年'!G47</f>
        <v>0</v>
      </c>
      <c r="H47" s="172"/>
      <c r="AH47" s="168" t="s">
        <v>70</v>
      </c>
      <c r="AI47" s="168" t="s">
        <v>127</v>
      </c>
    </row>
    <row r="48" spans="1:35">
      <c r="A48" s="159" t="s">
        <v>120</v>
      </c>
      <c r="B48" s="163" t="s">
        <v>138</v>
      </c>
      <c r="C48" s="167">
        <f>C40-C43-C44-C45-C47-C46</f>
        <v>43.8554290539527</v>
      </c>
      <c r="D48" s="167">
        <f>D40-D43-D44-D45-D47-D46</f>
        <v>-76.5733984307898</v>
      </c>
      <c r="E48" s="167">
        <f t="shared" ref="E48:G48" si="26">E40-E43-E44-E45-E47-E46</f>
        <v>119.246175465284</v>
      </c>
      <c r="F48" s="167" t="e">
        <f t="shared" si="26"/>
        <v>#DIV/0!</v>
      </c>
      <c r="G48" s="167" t="e">
        <f t="shared" si="26"/>
        <v>#DIV/0!</v>
      </c>
      <c r="H48" s="167"/>
      <c r="AH48" s="159" t="s">
        <v>137</v>
      </c>
      <c r="AI48" s="163" t="s">
        <v>138</v>
      </c>
    </row>
    <row r="51" spans="3:7">
      <c r="C51" s="173"/>
      <c r="D51" s="173"/>
      <c r="E51" s="173"/>
      <c r="F51" s="173"/>
      <c r="G51" s="173"/>
    </row>
    <row r="54" spans="2:13">
      <c r="B54" s="2"/>
      <c r="C54" s="174"/>
      <c r="D54" s="174"/>
      <c r="E54" s="174"/>
      <c r="F54" s="174"/>
      <c r="G54" s="174"/>
      <c r="H54" s="174"/>
      <c r="I54" s="2"/>
      <c r="J54" s="2"/>
      <c r="K54" s="2"/>
      <c r="L54" s="2"/>
      <c r="M54" s="2"/>
    </row>
    <row r="55" spans="2:13">
      <c r="B55" s="2"/>
      <c r="C55" s="174"/>
      <c r="D55" s="174"/>
      <c r="E55" s="174"/>
      <c r="F55" s="174"/>
      <c r="G55" s="174"/>
      <c r="H55" s="174"/>
      <c r="I55" s="2"/>
      <c r="J55" s="2"/>
      <c r="K55" s="2"/>
      <c r="L55" s="2"/>
      <c r="M55" s="2"/>
    </row>
    <row r="56" spans="2:13">
      <c r="B56" s="2"/>
      <c r="C56" s="174"/>
      <c r="D56" s="174"/>
      <c r="E56" s="174"/>
      <c r="F56" s="174"/>
      <c r="G56" s="174"/>
      <c r="H56" s="174"/>
      <c r="I56" s="2"/>
      <c r="J56" s="2"/>
      <c r="K56" s="2"/>
      <c r="L56" s="2"/>
      <c r="M56" s="2"/>
    </row>
    <row r="57" spans="2:13">
      <c r="B57" s="2"/>
      <c r="C57" s="174"/>
      <c r="D57" s="174"/>
      <c r="E57" s="174"/>
      <c r="F57" s="174"/>
      <c r="G57" s="174"/>
      <c r="H57" s="174"/>
      <c r="I57" s="2"/>
      <c r="J57" s="2"/>
      <c r="K57" s="2"/>
      <c r="L57" s="2"/>
      <c r="M57" s="2"/>
    </row>
    <row r="58" spans="2:13">
      <c r="B58" s="2"/>
      <c r="C58" s="174"/>
      <c r="D58" s="174"/>
      <c r="E58" s="174"/>
      <c r="F58" s="174"/>
      <c r="G58" s="174"/>
      <c r="H58" s="174"/>
      <c r="I58" s="2"/>
      <c r="J58" s="2"/>
      <c r="K58" s="2"/>
      <c r="L58" s="2"/>
      <c r="M58" s="2"/>
    </row>
    <row r="59" spans="2:13">
      <c r="B59" s="2"/>
      <c r="C59" s="174"/>
      <c r="D59" s="174"/>
      <c r="E59" s="174"/>
      <c r="F59" s="174"/>
      <c r="G59" s="174"/>
      <c r="H59" s="174"/>
      <c r="I59" s="2"/>
      <c r="J59" s="2"/>
      <c r="K59" s="2"/>
      <c r="L59" s="2"/>
      <c r="M59" s="2"/>
    </row>
    <row r="60" spans="2:13">
      <c r="B60" s="2"/>
      <c r="C60" s="174"/>
      <c r="D60" s="174"/>
      <c r="E60" s="174"/>
      <c r="F60" s="174"/>
      <c r="G60" s="174"/>
      <c r="H60" s="174"/>
      <c r="I60" s="2"/>
      <c r="J60" s="2"/>
      <c r="K60" s="2"/>
      <c r="L60" s="2"/>
      <c r="M60" s="2"/>
    </row>
    <row r="61" spans="2:13">
      <c r="B61" s="2"/>
      <c r="C61" s="174"/>
      <c r="D61" s="174"/>
      <c r="E61" s="174"/>
      <c r="F61" s="174"/>
      <c r="G61" s="174"/>
      <c r="H61" s="174"/>
      <c r="I61" s="2"/>
      <c r="J61" s="2"/>
      <c r="K61" s="2"/>
      <c r="L61" s="2"/>
      <c r="M61" s="2"/>
    </row>
    <row r="62" spans="2:13">
      <c r="B62" s="2"/>
      <c r="C62" s="174"/>
      <c r="D62" s="174"/>
      <c r="E62" s="174"/>
      <c r="F62" s="174"/>
      <c r="G62" s="174"/>
      <c r="H62" s="174"/>
      <c r="I62" s="2"/>
      <c r="J62" s="2"/>
      <c r="K62" s="2"/>
      <c r="L62" s="2"/>
      <c r="M62" s="2"/>
    </row>
    <row r="63" spans="2:13">
      <c r="B63" s="2"/>
      <c r="C63" s="174"/>
      <c r="D63" s="174"/>
      <c r="E63" s="174"/>
      <c r="F63" s="174"/>
      <c r="G63" s="174"/>
      <c r="H63" s="174"/>
      <c r="I63" s="2"/>
      <c r="J63" s="2"/>
      <c r="K63" s="2"/>
      <c r="L63" s="2"/>
      <c r="M63" s="2"/>
    </row>
    <row r="64" spans="2:13">
      <c r="B64" s="2"/>
      <c r="C64" s="174"/>
      <c r="D64" s="174"/>
      <c r="E64" s="174"/>
      <c r="F64" s="174"/>
      <c r="G64" s="174"/>
      <c r="H64" s="174"/>
      <c r="I64" s="2"/>
      <c r="J64" s="2"/>
      <c r="K64" s="2"/>
      <c r="L64" s="2"/>
      <c r="M64" s="2"/>
    </row>
    <row r="65" spans="2:13">
      <c r="B65" s="2"/>
      <c r="C65" s="174"/>
      <c r="D65" s="174"/>
      <c r="E65" s="174"/>
      <c r="F65" s="174"/>
      <c r="G65" s="174"/>
      <c r="H65" s="174"/>
      <c r="I65" s="2"/>
      <c r="J65" s="2"/>
      <c r="K65" s="2"/>
      <c r="L65" s="2"/>
      <c r="M65" s="2"/>
    </row>
    <row r="66" spans="2:13">
      <c r="B66" s="2"/>
      <c r="C66" s="174"/>
      <c r="D66" s="174"/>
      <c r="E66" s="174"/>
      <c r="F66" s="174"/>
      <c r="G66" s="174"/>
      <c r="H66" s="174"/>
      <c r="I66" s="2"/>
      <c r="J66" s="2"/>
      <c r="K66" s="2"/>
      <c r="L66" s="2"/>
      <c r="M66" s="2"/>
    </row>
    <row r="67" spans="2:9">
      <c r="B67" s="2"/>
      <c r="C67" s="174"/>
      <c r="D67" s="174"/>
      <c r="E67" s="174"/>
      <c r="F67" s="174"/>
      <c r="G67" s="174"/>
      <c r="H67" s="174"/>
      <c r="I67" s="2"/>
    </row>
    <row r="68" spans="2:9">
      <c r="B68" s="2"/>
      <c r="C68" s="174"/>
      <c r="D68" s="174"/>
      <c r="E68" s="174"/>
      <c r="F68" s="174"/>
      <c r="G68" s="174"/>
      <c r="H68" s="174"/>
      <c r="I68" s="2"/>
    </row>
    <row r="69" spans="2:9">
      <c r="B69" s="2"/>
      <c r="C69" s="174"/>
      <c r="D69" s="174"/>
      <c r="E69" s="174"/>
      <c r="F69" s="174"/>
      <c r="G69" s="174"/>
      <c r="H69" s="174"/>
      <c r="I69" s="2"/>
    </row>
    <row r="70" spans="2:9">
      <c r="B70" s="2"/>
      <c r="C70" s="174"/>
      <c r="D70" s="174"/>
      <c r="E70" s="174"/>
      <c r="F70" s="174"/>
      <c r="G70" s="174"/>
      <c r="H70" s="174"/>
      <c r="I70" s="2"/>
    </row>
    <row r="71" spans="2:9">
      <c r="B71" s="2"/>
      <c r="C71" s="174"/>
      <c r="D71" s="174"/>
      <c r="E71" s="174"/>
      <c r="F71" s="174"/>
      <c r="G71" s="174"/>
      <c r="H71" s="174"/>
      <c r="I71" s="2"/>
    </row>
    <row r="72" spans="2:9">
      <c r="B72" s="2"/>
      <c r="C72" s="174"/>
      <c r="D72" s="174"/>
      <c r="E72" s="174"/>
      <c r="F72" s="174"/>
      <c r="G72" s="174"/>
      <c r="H72" s="174"/>
      <c r="I72" s="2"/>
    </row>
    <row r="73" spans="2:9">
      <c r="B73" s="2"/>
      <c r="C73" s="174"/>
      <c r="D73" s="174"/>
      <c r="E73" s="174"/>
      <c r="F73" s="174"/>
      <c r="G73" s="174"/>
      <c r="H73" s="174"/>
      <c r="I73" s="2"/>
    </row>
    <row r="74" spans="2:9">
      <c r="B74" s="2"/>
      <c r="C74" s="174"/>
      <c r="D74" s="174"/>
      <c r="E74" s="174"/>
      <c r="F74" s="174"/>
      <c r="G74" s="174"/>
      <c r="H74" s="174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4"/>
  <sheetViews>
    <sheetView zoomScale="90" zoomScaleNormal="90" workbookViewId="0">
      <selection activeCell="F37" sqref="F37"/>
    </sheetView>
  </sheetViews>
  <sheetFormatPr defaultColWidth="9" defaultRowHeight="16.5"/>
  <cols>
    <col min="1" max="1" width="5.125" style="147" customWidth="1"/>
    <col min="2" max="2" width="17.5" style="147" customWidth="1"/>
    <col min="3" max="7" width="14.375" style="148" customWidth="1"/>
    <col min="8" max="8" width="18.75" style="148" customWidth="1"/>
    <col min="9" max="9" width="12.375" style="147" customWidth="1"/>
    <col min="10" max="10" width="10.125" style="147" customWidth="1"/>
    <col min="11" max="17" width="9" style="147" customWidth="1"/>
    <col min="18" max="33" width="9" style="147"/>
    <col min="34" max="34" width="4.375" style="147" customWidth="1"/>
    <col min="35" max="35" width="13.875" style="147" customWidth="1"/>
    <col min="36" max="16384" width="9" style="147"/>
  </cols>
  <sheetData>
    <row r="1" spans="1:8">
      <c r="A1" s="149" t="s">
        <v>148</v>
      </c>
      <c r="B1" s="149"/>
      <c r="C1" s="150" t="s">
        <v>164</v>
      </c>
      <c r="D1" s="151"/>
      <c r="E1" s="151"/>
      <c r="F1" s="151"/>
      <c r="G1" s="151"/>
      <c r="H1" s="152"/>
    </row>
    <row r="2" spans="1:8">
      <c r="A2" s="149" t="s">
        <v>150</v>
      </c>
      <c r="B2" s="149"/>
      <c r="C2" s="153" t="str">
        <f>'2025年'!$C$2</f>
        <v>一汽解放汽车有限公司</v>
      </c>
      <c r="D2" s="153"/>
      <c r="E2" s="153"/>
      <c r="F2" s="153"/>
      <c r="G2" s="153"/>
      <c r="H2" s="153"/>
    </row>
    <row r="3" spans="1:8">
      <c r="A3" s="149" t="s">
        <v>152</v>
      </c>
      <c r="B3" s="149"/>
      <c r="C3" s="154" t="str">
        <f>'2025年'!C3</f>
        <v>驾驶员座总成</v>
      </c>
      <c r="D3" s="154" t="str">
        <f>'2025年'!D3</f>
        <v>前座总成</v>
      </c>
      <c r="E3" s="154" t="str">
        <f>'2025年'!E3</f>
        <v>中间座总成</v>
      </c>
      <c r="F3" s="154">
        <f>'2025年'!F3</f>
        <v>0</v>
      </c>
      <c r="G3" s="154">
        <f>'2025年'!G3</f>
        <v>0</v>
      </c>
      <c r="H3" s="155" t="s">
        <v>58</v>
      </c>
    </row>
    <row r="4" spans="1:8">
      <c r="A4" s="149" t="s">
        <v>153</v>
      </c>
      <c r="B4" s="149"/>
      <c r="C4" s="154" t="str">
        <f>'2025年'!C4</f>
        <v>6800010-J22-C00</v>
      </c>
      <c r="D4" s="154" t="str">
        <f>'2025年'!D4</f>
        <v>6900010-J22-C00</v>
      </c>
      <c r="E4" s="154" t="str">
        <f>'2025年'!E4</f>
        <v>6930010-J20-C00</v>
      </c>
      <c r="F4" s="154">
        <f>'2025年'!F4</f>
        <v>0</v>
      </c>
      <c r="G4" s="154">
        <f>'2025年'!G4</f>
        <v>0</v>
      </c>
      <c r="H4" s="156"/>
    </row>
    <row r="5" ht="57" spans="1:36">
      <c r="A5" s="149" t="s">
        <v>154</v>
      </c>
      <c r="B5" s="149"/>
      <c r="C5" s="157" t="str">
        <f>'2025年'!C5</f>
        <v>3.1平台、阻尼可调、气动升降、速降、集成安全带、坐垫延伸、</v>
      </c>
      <c r="D5" s="157" t="str">
        <f>'2025年'!D5</f>
        <v>坐垫翻折、三点式安全带</v>
      </c>
      <c r="E5" s="157" t="str">
        <f>'2025年'!E5</f>
        <v>侧翻、二点式安全带</v>
      </c>
      <c r="F5" s="157">
        <f>'2025年'!F5</f>
        <v>0</v>
      </c>
      <c r="G5" s="157">
        <f>'2025年'!G5</f>
        <v>0</v>
      </c>
      <c r="H5" s="158"/>
      <c r="AJ5" s="147" t="s">
        <v>59</v>
      </c>
    </row>
    <row r="6" spans="1:36">
      <c r="A6" s="159" t="s">
        <v>21</v>
      </c>
      <c r="B6" s="160" t="s">
        <v>155</v>
      </c>
      <c r="C6" s="161">
        <f>销量!C13</f>
        <v>20000</v>
      </c>
      <c r="D6" s="161">
        <f>销量!D13</f>
        <v>20000</v>
      </c>
      <c r="E6" s="161">
        <f>销量!E13</f>
        <v>100</v>
      </c>
      <c r="F6" s="161">
        <f>销量!F13</f>
        <v>0</v>
      </c>
      <c r="G6" s="161">
        <f>销量!G13</f>
        <v>0</v>
      </c>
      <c r="H6" s="162">
        <f>+SUM(C6:G6)</f>
        <v>40100</v>
      </c>
      <c r="AH6" s="159" t="s">
        <v>21</v>
      </c>
      <c r="AI6" s="160" t="s">
        <v>3</v>
      </c>
      <c r="AJ6" s="147" t="s">
        <v>60</v>
      </c>
    </row>
    <row r="7" spans="1:36">
      <c r="A7" s="149">
        <v>1</v>
      </c>
      <c r="B7" s="160" t="s">
        <v>61</v>
      </c>
      <c r="C7" s="162">
        <f>C6*销量!C8</f>
        <v>37000000</v>
      </c>
      <c r="D7" s="162">
        <f>D6*销量!D8</f>
        <v>12600000</v>
      </c>
      <c r="E7" s="162">
        <f>E6*销量!E8</f>
        <v>58700</v>
      </c>
      <c r="F7" s="162">
        <f>F6*销量!F8</f>
        <v>0</v>
      </c>
      <c r="G7" s="162">
        <f>G6*销量!G8</f>
        <v>0</v>
      </c>
      <c r="H7" s="162">
        <f t="shared" ref="H7:H13" si="0">+SUM(C7:G7)</f>
        <v>49658700</v>
      </c>
      <c r="I7" s="148"/>
      <c r="AH7" s="159" t="s">
        <v>62</v>
      </c>
      <c r="AI7" s="160" t="s">
        <v>61</v>
      </c>
      <c r="AJ7" s="147" t="s">
        <v>60</v>
      </c>
    </row>
    <row r="8" spans="1:36">
      <c r="A8" s="149">
        <v>2</v>
      </c>
      <c r="B8" s="149" t="s">
        <v>63</v>
      </c>
      <c r="C8" s="162">
        <f>C7*(1-销量!$K$10)</f>
        <v>6863268.75</v>
      </c>
      <c r="D8" s="162">
        <f>D7*(1-销量!$K$10)</f>
        <v>2337221.25</v>
      </c>
      <c r="E8" s="162">
        <f>E7*(1-销量!$K$10)</f>
        <v>10888.483125</v>
      </c>
      <c r="F8" s="162">
        <f>F7*(1-销量!$K$10)</f>
        <v>0</v>
      </c>
      <c r="G8" s="162">
        <f>G7*(1-销量!$K$10)</f>
        <v>0</v>
      </c>
      <c r="H8" s="162">
        <f t="shared" si="0"/>
        <v>9211378.483125</v>
      </c>
      <c r="I8" s="175"/>
      <c r="AH8" s="159" t="s">
        <v>64</v>
      </c>
      <c r="AI8" s="149" t="s">
        <v>65</v>
      </c>
      <c r="AJ8" s="147" t="s">
        <v>60</v>
      </c>
    </row>
    <row r="9" spans="1:36">
      <c r="A9" s="149">
        <v>3</v>
      </c>
      <c r="B9" s="160" t="s">
        <v>66</v>
      </c>
      <c r="C9" s="162">
        <f>+C7-C8</f>
        <v>30136731.25</v>
      </c>
      <c r="D9" s="162">
        <f>+D7-D8</f>
        <v>10262778.75</v>
      </c>
      <c r="E9" s="162">
        <f t="shared" ref="E9:H9" si="1">+E7-E8</f>
        <v>47811.516875</v>
      </c>
      <c r="F9" s="162">
        <f t="shared" si="1"/>
        <v>0</v>
      </c>
      <c r="G9" s="162">
        <f t="shared" si="1"/>
        <v>0</v>
      </c>
      <c r="H9" s="162">
        <f t="shared" si="1"/>
        <v>40447321.516875</v>
      </c>
      <c r="AH9" s="159" t="s">
        <v>67</v>
      </c>
      <c r="AI9" s="160" t="s">
        <v>66</v>
      </c>
      <c r="AJ9" s="147" t="s">
        <v>68</v>
      </c>
    </row>
    <row r="10" spans="1:36">
      <c r="A10" s="149">
        <v>4</v>
      </c>
      <c r="B10" s="159" t="s">
        <v>69</v>
      </c>
      <c r="C10" s="162">
        <f>C6*C33</f>
        <v>23938486.0032118</v>
      </c>
      <c r="D10" s="162">
        <f>D6*D33</f>
        <v>9880677.22542191</v>
      </c>
      <c r="E10" s="162">
        <f t="shared" ref="E10:G10" si="2">E6*E33</f>
        <v>30918.679399954</v>
      </c>
      <c r="F10" s="162">
        <f t="shared" si="2"/>
        <v>0</v>
      </c>
      <c r="G10" s="162">
        <f t="shared" si="2"/>
        <v>0</v>
      </c>
      <c r="H10" s="162">
        <f t="shared" si="0"/>
        <v>33850081.9080337</v>
      </c>
      <c r="AH10" s="159" t="s">
        <v>70</v>
      </c>
      <c r="AI10" s="159" t="s">
        <v>69</v>
      </c>
      <c r="AJ10" s="147" t="s">
        <v>71</v>
      </c>
    </row>
    <row r="11" spans="1:35">
      <c r="A11" s="149">
        <v>5</v>
      </c>
      <c r="B11" s="159" t="s">
        <v>72</v>
      </c>
      <c r="C11" s="162">
        <f>+C6*C36</f>
        <v>455100</v>
      </c>
      <c r="D11" s="162">
        <f>+D6*D36</f>
        <v>154980</v>
      </c>
      <c r="E11" s="162">
        <f t="shared" ref="E11:G11" si="3">+E6*E36</f>
        <v>466.908334490293</v>
      </c>
      <c r="F11" s="162">
        <f t="shared" si="3"/>
        <v>0</v>
      </c>
      <c r="G11" s="162">
        <f t="shared" si="3"/>
        <v>0</v>
      </c>
      <c r="H11" s="162">
        <f t="shared" si="0"/>
        <v>610546.90833449</v>
      </c>
      <c r="AH11" s="159" t="s">
        <v>73</v>
      </c>
      <c r="AI11" s="159" t="s">
        <v>72</v>
      </c>
    </row>
    <row r="12" spans="1:35">
      <c r="A12" s="149">
        <v>6</v>
      </c>
      <c r="B12" s="159" t="s">
        <v>74</v>
      </c>
      <c r="C12" s="162">
        <f>+C6*C37</f>
        <v>410700</v>
      </c>
      <c r="D12" s="162">
        <f>+D6*D37</f>
        <v>139860</v>
      </c>
      <c r="E12" s="162">
        <f t="shared" ref="E12:G12" si="4">+E6*E37</f>
        <v>421.356301857093</v>
      </c>
      <c r="F12" s="162">
        <f t="shared" si="4"/>
        <v>0</v>
      </c>
      <c r="G12" s="162">
        <f t="shared" si="4"/>
        <v>0</v>
      </c>
      <c r="H12" s="162">
        <f t="shared" si="0"/>
        <v>550981.356301857</v>
      </c>
      <c r="AH12" s="159" t="s">
        <v>75</v>
      </c>
      <c r="AI12" s="159" t="s">
        <v>74</v>
      </c>
    </row>
    <row r="13" spans="1:36">
      <c r="A13" s="149">
        <v>7</v>
      </c>
      <c r="B13" s="159" t="s">
        <v>76</v>
      </c>
      <c r="C13" s="162">
        <f>+C6*C38</f>
        <v>592000</v>
      </c>
      <c r="D13" s="162">
        <f>+D6*D38</f>
        <v>201600</v>
      </c>
      <c r="E13" s="162">
        <f t="shared" ref="E13:G13" si="5">+E6*E38</f>
        <v>607.360435109324</v>
      </c>
      <c r="F13" s="162">
        <f t="shared" si="5"/>
        <v>0</v>
      </c>
      <c r="G13" s="162">
        <f t="shared" si="5"/>
        <v>0</v>
      </c>
      <c r="H13" s="162">
        <f t="shared" si="0"/>
        <v>794207.360435109</v>
      </c>
      <c r="AH13" s="159" t="s">
        <v>77</v>
      </c>
      <c r="AI13" s="159" t="s">
        <v>76</v>
      </c>
      <c r="AJ13" s="147" t="s">
        <v>60</v>
      </c>
    </row>
    <row r="14" spans="1:35">
      <c r="A14" s="149">
        <v>8</v>
      </c>
      <c r="B14" s="163" t="s">
        <v>78</v>
      </c>
      <c r="C14" s="162">
        <f>SUM(C11:C13)</f>
        <v>1457800</v>
      </c>
      <c r="D14" s="162">
        <f>SUM(D11:D13)</f>
        <v>496440</v>
      </c>
      <c r="E14" s="162">
        <f t="shared" ref="E14:H14" si="6">SUM(E11:E13)</f>
        <v>1495.62507145671</v>
      </c>
      <c r="F14" s="162">
        <f t="shared" si="6"/>
        <v>0</v>
      </c>
      <c r="G14" s="162">
        <f t="shared" si="6"/>
        <v>0</v>
      </c>
      <c r="H14" s="162">
        <f t="shared" si="6"/>
        <v>1955735.62507146</v>
      </c>
      <c r="AH14" s="159" t="s">
        <v>79</v>
      </c>
      <c r="AI14" s="163" t="s">
        <v>78</v>
      </c>
    </row>
    <row r="15" spans="1:35">
      <c r="A15" s="149">
        <v>9</v>
      </c>
      <c r="B15" s="163" t="s">
        <v>80</v>
      </c>
      <c r="C15" s="162">
        <f>+C9-C10-C14</f>
        <v>4740445.24678819</v>
      </c>
      <c r="D15" s="162">
        <f>+D9-D10-D14</f>
        <v>-114338.475421917</v>
      </c>
      <c r="E15" s="162">
        <f t="shared" ref="E15:H15" si="7">+E9-E10-E14</f>
        <v>15397.2124035893</v>
      </c>
      <c r="F15" s="162">
        <f t="shared" si="7"/>
        <v>0</v>
      </c>
      <c r="G15" s="162">
        <f t="shared" si="7"/>
        <v>0</v>
      </c>
      <c r="H15" s="162">
        <f t="shared" si="7"/>
        <v>4641503.98376987</v>
      </c>
      <c r="AH15" s="159" t="s">
        <v>81</v>
      </c>
      <c r="AI15" s="163" t="s">
        <v>80</v>
      </c>
    </row>
    <row r="16" spans="1:35">
      <c r="A16" s="149">
        <v>10</v>
      </c>
      <c r="B16" s="159" t="s">
        <v>82</v>
      </c>
      <c r="C16" s="164">
        <f>+C15/C9</f>
        <v>0.157297923502841</v>
      </c>
      <c r="D16" s="164">
        <f>+D15/D9</f>
        <v>-0.011141083541523</v>
      </c>
      <c r="E16" s="164">
        <f t="shared" ref="E16:H16" si="8">+E15/E9</f>
        <v>0.322039822410243</v>
      </c>
      <c r="F16" s="164" t="e">
        <f t="shared" si="8"/>
        <v>#DIV/0!</v>
      </c>
      <c r="G16" s="164" t="e">
        <f t="shared" si="8"/>
        <v>#DIV/0!</v>
      </c>
      <c r="H16" s="164">
        <f t="shared" si="8"/>
        <v>0.114754297928811</v>
      </c>
      <c r="I16" s="176"/>
      <c r="J16" s="176"/>
      <c r="K16" s="176"/>
      <c r="AH16" s="159" t="s">
        <v>83</v>
      </c>
      <c r="AI16" s="159" t="s">
        <v>82</v>
      </c>
    </row>
    <row r="17" spans="1:35">
      <c r="A17" s="149">
        <v>11</v>
      </c>
      <c r="B17" s="159" t="s">
        <v>84</v>
      </c>
      <c r="C17" s="162">
        <f>C6*C43+C18</f>
        <v>1513401.99501247</v>
      </c>
      <c r="D17" s="162">
        <f>D6*D43+D18</f>
        <v>620361.995012469</v>
      </c>
      <c r="E17" s="162">
        <f t="shared" ref="E17:G17" si="9">E6*E43+E18</f>
        <v>2185.34697037492</v>
      </c>
      <c r="F17" s="162">
        <f t="shared" si="9"/>
        <v>0</v>
      </c>
      <c r="G17" s="162">
        <f t="shared" si="9"/>
        <v>0</v>
      </c>
      <c r="H17" s="162">
        <f t="shared" ref="H17" si="10">+SUM(C17:G17)</f>
        <v>2135949.33699531</v>
      </c>
      <c r="I17" s="175"/>
      <c r="AH17" s="159" t="s">
        <v>85</v>
      </c>
      <c r="AI17" s="159" t="s">
        <v>84</v>
      </c>
    </row>
    <row r="18" s="145" customFormat="1" spans="1:11">
      <c r="A18" s="149">
        <v>12</v>
      </c>
      <c r="B18" s="165" t="s">
        <v>156</v>
      </c>
      <c r="C18" s="166">
        <f>$H$18/$H$6*C6</f>
        <v>159201.995012469</v>
      </c>
      <c r="D18" s="166">
        <f>$H$18/$H$6*D6</f>
        <v>159201.995012469</v>
      </c>
      <c r="E18" s="166">
        <f t="shared" ref="E18:G18" si="11">$H$18/$H$6*E6</f>
        <v>796.009975062344</v>
      </c>
      <c r="F18" s="166">
        <f t="shared" si="11"/>
        <v>0</v>
      </c>
      <c r="G18" s="166">
        <f t="shared" si="11"/>
        <v>0</v>
      </c>
      <c r="H18" s="162">
        <f>项目投资!H26</f>
        <v>319200</v>
      </c>
      <c r="I18" s="177" t="s">
        <v>157</v>
      </c>
      <c r="J18" s="177"/>
      <c r="K18" s="177"/>
    </row>
    <row r="19" spans="1:36">
      <c r="A19" s="149">
        <v>13</v>
      </c>
      <c r="B19" s="159" t="s">
        <v>86</v>
      </c>
      <c r="C19" s="162">
        <f>C6*C44</f>
        <v>310800</v>
      </c>
      <c r="D19" s="162">
        <f>D6*D44</f>
        <v>105840</v>
      </c>
      <c r="E19" s="162">
        <f t="shared" ref="E19:G19" si="12">E6*E44</f>
        <v>318.864228432395</v>
      </c>
      <c r="F19" s="162">
        <f t="shared" si="12"/>
        <v>0</v>
      </c>
      <c r="G19" s="162">
        <f t="shared" si="12"/>
        <v>0</v>
      </c>
      <c r="H19" s="162">
        <f t="shared" ref="H19:H20" si="13">+SUM(C19:G19)</f>
        <v>416958.864228432</v>
      </c>
      <c r="I19" s="145"/>
      <c r="AH19" s="159" t="s">
        <v>87</v>
      </c>
      <c r="AI19" s="159" t="s">
        <v>86</v>
      </c>
      <c r="AJ19" s="147" t="s">
        <v>60</v>
      </c>
    </row>
    <row r="20" spans="1:35">
      <c r="A20" s="149">
        <v>14</v>
      </c>
      <c r="B20" s="159" t="s">
        <v>88</v>
      </c>
      <c r="C20" s="162">
        <f>C6*C45</f>
        <v>1195100</v>
      </c>
      <c r="D20" s="162">
        <f>D6*D45</f>
        <v>406980</v>
      </c>
      <c r="E20" s="162">
        <f t="shared" ref="E20:G20" si="14">E6*E45</f>
        <v>1226.10887837695</v>
      </c>
      <c r="F20" s="162">
        <f t="shared" si="14"/>
        <v>0</v>
      </c>
      <c r="G20" s="162">
        <f t="shared" si="14"/>
        <v>0</v>
      </c>
      <c r="H20" s="162">
        <f t="shared" si="13"/>
        <v>1603306.10887838</v>
      </c>
      <c r="AH20" s="159" t="s">
        <v>89</v>
      </c>
      <c r="AI20" s="159" t="s">
        <v>88</v>
      </c>
    </row>
    <row r="21" spans="1:35">
      <c r="A21" s="149">
        <v>15</v>
      </c>
      <c r="B21" s="159" t="s">
        <v>90</v>
      </c>
      <c r="C21" s="167">
        <f>$H$21/$H$6*C6</f>
        <v>15960.0997506234</v>
      </c>
      <c r="D21" s="167">
        <f>$H$21/$H$6*D6</f>
        <v>15960.0997506234</v>
      </c>
      <c r="E21" s="167">
        <f t="shared" ref="E21:G21" si="15">$H$21/$H$6*E6</f>
        <v>79.8004987531172</v>
      </c>
      <c r="F21" s="167">
        <f t="shared" si="15"/>
        <v>0</v>
      </c>
      <c r="G21" s="167">
        <f t="shared" si="15"/>
        <v>0</v>
      </c>
      <c r="H21" s="162">
        <f>项目投资!H27</f>
        <v>32000</v>
      </c>
      <c r="AH21" s="159"/>
      <c r="AI21" s="159"/>
    </row>
    <row r="22" spans="1:35">
      <c r="A22" s="149">
        <v>16</v>
      </c>
      <c r="B22" s="159" t="s">
        <v>91</v>
      </c>
      <c r="C22" s="162">
        <f>C6*C47</f>
        <v>1313500</v>
      </c>
      <c r="D22" s="162">
        <f>D6*D47</f>
        <v>447300</v>
      </c>
      <c r="E22" s="162">
        <f t="shared" ref="E22:G22" si="16">E6*E47</f>
        <v>1347.58096539881</v>
      </c>
      <c r="F22" s="162">
        <f t="shared" si="16"/>
        <v>0</v>
      </c>
      <c r="G22" s="162">
        <f t="shared" si="16"/>
        <v>0</v>
      </c>
      <c r="H22" s="162">
        <f t="shared" ref="H22" si="17">+SUM(C22:G22)</f>
        <v>1762147.5809654</v>
      </c>
      <c r="AH22" s="159" t="s">
        <v>92</v>
      </c>
      <c r="AI22" s="159" t="s">
        <v>91</v>
      </c>
    </row>
    <row r="23" spans="1:35">
      <c r="A23" s="149">
        <v>17</v>
      </c>
      <c r="B23" s="163" t="s">
        <v>93</v>
      </c>
      <c r="C23" s="167">
        <f>+C22+C21+C20+C19+C17</f>
        <v>4348762.09476309</v>
      </c>
      <c r="D23" s="167">
        <f>+D22+D21+D20+D19+D17</f>
        <v>1596442.09476309</v>
      </c>
      <c r="E23" s="167">
        <f t="shared" ref="E23:H23" si="18">+E22+E21+E20+E19+E17</f>
        <v>5157.70154133619</v>
      </c>
      <c r="F23" s="167">
        <f t="shared" si="18"/>
        <v>0</v>
      </c>
      <c r="G23" s="167">
        <f t="shared" si="18"/>
        <v>0</v>
      </c>
      <c r="H23" s="167">
        <f t="shared" si="18"/>
        <v>5950361.89106752</v>
      </c>
      <c r="AH23" s="159" t="s">
        <v>94</v>
      </c>
      <c r="AI23" s="163" t="s">
        <v>93</v>
      </c>
    </row>
    <row r="24" spans="1:35">
      <c r="A24" s="149">
        <v>18</v>
      </c>
      <c r="B24" s="168" t="s">
        <v>95</v>
      </c>
      <c r="C24" s="167">
        <f>+C15-C23</f>
        <v>391683.152025096</v>
      </c>
      <c r="D24" s="167">
        <f>+D15-D23</f>
        <v>-1710780.57018501</v>
      </c>
      <c r="E24" s="167">
        <f t="shared" ref="E24:H24" si="19">+E15-E23</f>
        <v>10239.5108622531</v>
      </c>
      <c r="F24" s="167">
        <f t="shared" si="19"/>
        <v>0</v>
      </c>
      <c r="G24" s="167">
        <f t="shared" si="19"/>
        <v>0</v>
      </c>
      <c r="H24" s="167">
        <f t="shared" si="19"/>
        <v>-1308857.90729766</v>
      </c>
      <c r="J24" s="178"/>
      <c r="AH24" s="159" t="s">
        <v>96</v>
      </c>
      <c r="AI24" s="159" t="s">
        <v>95</v>
      </c>
    </row>
    <row r="25" spans="1:35">
      <c r="A25" s="149">
        <v>19</v>
      </c>
      <c r="B25" s="159" t="s">
        <v>158</v>
      </c>
      <c r="C25" s="167">
        <f>IF(C24&lt;0,0,C24*0.15)</f>
        <v>58752.4728037644</v>
      </c>
      <c r="D25" s="167">
        <f t="shared" ref="D25:H25" si="20">IF(D24&lt;0,0,D24*0.15)</f>
        <v>0</v>
      </c>
      <c r="E25" s="167">
        <f t="shared" ref="E25:G25" si="21">IF(E24&lt;0,0,E24*0.15)</f>
        <v>1535.92662933797</v>
      </c>
      <c r="F25" s="167">
        <f t="shared" si="21"/>
        <v>0</v>
      </c>
      <c r="G25" s="167">
        <f t="shared" si="21"/>
        <v>0</v>
      </c>
      <c r="H25" s="167">
        <f t="shared" si="20"/>
        <v>0</v>
      </c>
      <c r="I25" s="2"/>
      <c r="J25" s="2"/>
      <c r="K25" s="2"/>
      <c r="AH25" s="159" t="s">
        <v>97</v>
      </c>
      <c r="AI25" s="159" t="s">
        <v>38</v>
      </c>
    </row>
    <row r="26" spans="1:35">
      <c r="A26" s="149">
        <v>20</v>
      </c>
      <c r="B26" s="159" t="s">
        <v>98</v>
      </c>
      <c r="C26" s="167">
        <f>C24-C25</f>
        <v>332930.679221332</v>
      </c>
      <c r="D26" s="167">
        <f>D24-D25</f>
        <v>-1710780.57018501</v>
      </c>
      <c r="E26" s="167">
        <f t="shared" ref="E26:H26" si="22">E24-E25</f>
        <v>8703.58423291516</v>
      </c>
      <c r="F26" s="167">
        <f t="shared" si="22"/>
        <v>0</v>
      </c>
      <c r="G26" s="167">
        <f t="shared" si="22"/>
        <v>0</v>
      </c>
      <c r="H26" s="167">
        <f t="shared" si="22"/>
        <v>-1308857.90729766</v>
      </c>
      <c r="I26" s="2"/>
      <c r="J26" s="2"/>
      <c r="K26" s="2"/>
      <c r="AH26" s="159" t="s">
        <v>99</v>
      </c>
      <c r="AI26" s="159" t="s">
        <v>98</v>
      </c>
    </row>
    <row r="27" spans="1:35">
      <c r="A27" s="149">
        <v>21</v>
      </c>
      <c r="B27" s="159" t="s">
        <v>102</v>
      </c>
      <c r="C27" s="169">
        <f>C26/C9</f>
        <v>0.0110473387594526</v>
      </c>
      <c r="D27" s="169">
        <f t="shared" ref="D27:H27" si="23">D26/D9</f>
        <v>-0.166697598365843</v>
      </c>
      <c r="E27" s="169">
        <f t="shared" si="23"/>
        <v>0.182039491774965</v>
      </c>
      <c r="F27" s="169" t="e">
        <f t="shared" si="23"/>
        <v>#DIV/0!</v>
      </c>
      <c r="G27" s="169" t="e">
        <f t="shared" si="23"/>
        <v>#DIV/0!</v>
      </c>
      <c r="H27" s="169">
        <f t="shared" si="23"/>
        <v>-0.0323595693908084</v>
      </c>
      <c r="I27" s="2"/>
      <c r="J27" s="2"/>
      <c r="K27" s="2"/>
      <c r="AH27" s="159" t="s">
        <v>101</v>
      </c>
      <c r="AI27" s="159" t="s">
        <v>102</v>
      </c>
    </row>
    <row r="28" spans="9:11">
      <c r="I28" s="2"/>
      <c r="J28" s="2"/>
      <c r="K28" s="2"/>
    </row>
    <row r="29" spans="1:34">
      <c r="A29" s="147" t="s">
        <v>103</v>
      </c>
      <c r="H29" s="148" t="s">
        <v>159</v>
      </c>
      <c r="I29" s="2"/>
      <c r="J29" s="2"/>
      <c r="K29" s="2"/>
      <c r="AH29" s="147" t="s">
        <v>103</v>
      </c>
    </row>
    <row r="30" ht="21" customHeight="1" spans="1:35">
      <c r="A30" s="159" t="s">
        <v>104</v>
      </c>
      <c r="B30" s="163" t="s">
        <v>105</v>
      </c>
      <c r="C30" s="167"/>
      <c r="D30" s="167"/>
      <c r="E30" s="167"/>
      <c r="F30" s="167"/>
      <c r="G30" s="167"/>
      <c r="H30" s="167"/>
      <c r="I30" s="2"/>
      <c r="J30" s="2"/>
      <c r="K30" s="2"/>
      <c r="M30" s="2"/>
      <c r="AH30" s="159" t="s">
        <v>106</v>
      </c>
      <c r="AI30" s="163" t="s">
        <v>105</v>
      </c>
    </row>
    <row r="31" spans="1:35">
      <c r="A31" s="149">
        <v>1</v>
      </c>
      <c r="B31" s="165" t="s">
        <v>107</v>
      </c>
      <c r="C31" s="170">
        <f>销量!C8</f>
        <v>1850</v>
      </c>
      <c r="D31" s="170">
        <f>销量!D8</f>
        <v>630</v>
      </c>
      <c r="E31" s="170">
        <f>销量!E8</f>
        <v>587</v>
      </c>
      <c r="F31" s="170">
        <f>销量!F8</f>
        <v>0</v>
      </c>
      <c r="G31" s="170">
        <f>销量!G8</f>
        <v>0</v>
      </c>
      <c r="H31" s="167"/>
      <c r="I31" s="2"/>
      <c r="J31" s="2"/>
      <c r="K31" s="2"/>
      <c r="M31" s="2"/>
      <c r="AH31" s="159" t="s">
        <v>62</v>
      </c>
      <c r="AI31" s="159" t="s">
        <v>107</v>
      </c>
    </row>
    <row r="32" spans="1:35">
      <c r="A32" s="149">
        <v>2</v>
      </c>
      <c r="B32" s="159" t="s">
        <v>160</v>
      </c>
      <c r="C32" s="162">
        <f>C9/C6</f>
        <v>1506.8365625</v>
      </c>
      <c r="D32" s="162">
        <f t="shared" ref="D32:G32" si="24">D9/D6</f>
        <v>513.1389375</v>
      </c>
      <c r="E32" s="162">
        <f t="shared" si="24"/>
        <v>478.11516875</v>
      </c>
      <c r="F32" s="162" t="e">
        <f t="shared" si="24"/>
        <v>#DIV/0!</v>
      </c>
      <c r="G32" s="162" t="e">
        <f t="shared" si="24"/>
        <v>#DIV/0!</v>
      </c>
      <c r="H32" s="167"/>
      <c r="I32" s="2"/>
      <c r="J32" s="2"/>
      <c r="K32" s="2"/>
      <c r="L32" s="2"/>
      <c r="M32" s="2"/>
      <c r="N32" s="2"/>
      <c r="O32" s="2"/>
      <c r="AH32" s="159"/>
      <c r="AI32" s="159"/>
    </row>
    <row r="33" spans="1:35">
      <c r="A33" s="149">
        <v>3</v>
      </c>
      <c r="B33" s="165" t="s">
        <v>108</v>
      </c>
      <c r="C33" s="162">
        <f>材料成本!D28</f>
        <v>1196.92430016059</v>
      </c>
      <c r="D33" s="162">
        <f>材料成本!E28</f>
        <v>494.033861271096</v>
      </c>
      <c r="E33" s="162">
        <f>材料成本!F28</f>
        <v>309.18679399954</v>
      </c>
      <c r="F33" s="162">
        <f>材料成本!G28</f>
        <v>0</v>
      </c>
      <c r="G33" s="162">
        <f>材料成本!H28</f>
        <v>0</v>
      </c>
      <c r="H33" s="167"/>
      <c r="J33" s="2"/>
      <c r="K33" s="2"/>
      <c r="L33" s="2"/>
      <c r="M33" s="2"/>
      <c r="N33" s="2"/>
      <c r="O33" s="2"/>
      <c r="AH33" s="159" t="s">
        <v>64</v>
      </c>
      <c r="AI33" s="159" t="s">
        <v>108</v>
      </c>
    </row>
    <row r="34" ht="17.25" customHeight="1" spans="1:35">
      <c r="A34" s="149">
        <v>4</v>
      </c>
      <c r="B34" s="159" t="s">
        <v>110</v>
      </c>
      <c r="C34" s="171">
        <f>C32-C33</f>
        <v>309.91226233941</v>
      </c>
      <c r="D34" s="171">
        <f>D32-D33</f>
        <v>19.1050762289042</v>
      </c>
      <c r="E34" s="171">
        <f t="shared" ref="E34:G34" si="25">E32-E33</f>
        <v>168.92837475046</v>
      </c>
      <c r="F34" s="171" t="e">
        <f t="shared" si="25"/>
        <v>#DIV/0!</v>
      </c>
      <c r="G34" s="171" t="e">
        <f t="shared" si="25"/>
        <v>#DIV/0!</v>
      </c>
      <c r="H34" s="167"/>
      <c r="J34" s="2"/>
      <c r="K34" s="2"/>
      <c r="L34" s="2"/>
      <c r="M34" s="2"/>
      <c r="N34" s="2"/>
      <c r="O34" s="2"/>
      <c r="AH34" s="159" t="s">
        <v>109</v>
      </c>
      <c r="AI34" s="159" t="s">
        <v>110</v>
      </c>
    </row>
    <row r="35" spans="1:35">
      <c r="A35" s="159" t="s">
        <v>106</v>
      </c>
      <c r="B35" s="163" t="s">
        <v>10</v>
      </c>
      <c r="C35" s="167"/>
      <c r="D35" s="167"/>
      <c r="E35" s="167"/>
      <c r="F35" s="167"/>
      <c r="G35" s="167"/>
      <c r="H35" s="167"/>
      <c r="I35" s="2"/>
      <c r="J35" s="2"/>
      <c r="K35" s="2"/>
      <c r="L35" s="2"/>
      <c r="M35" s="2"/>
      <c r="N35" s="2"/>
      <c r="O35" s="2"/>
      <c r="P35" s="2"/>
      <c r="Q35" s="2"/>
      <c r="R35" s="2"/>
      <c r="AH35" s="159" t="s">
        <v>112</v>
      </c>
      <c r="AI35" s="163" t="s">
        <v>10</v>
      </c>
    </row>
    <row r="36" spans="1:35">
      <c r="A36" s="149">
        <v>1</v>
      </c>
      <c r="B36" s="159" t="s">
        <v>113</v>
      </c>
      <c r="C36" s="166">
        <f>'2025年'!C36</f>
        <v>22.755</v>
      </c>
      <c r="D36" s="166">
        <f>'2025年'!D36</f>
        <v>7.749</v>
      </c>
      <c r="E36" s="166">
        <f>'2025年'!E36</f>
        <v>4.66908334490293</v>
      </c>
      <c r="F36" s="166">
        <f>'2025年'!F36</f>
        <v>0</v>
      </c>
      <c r="G36" s="166">
        <f>'2025年'!G36</f>
        <v>0</v>
      </c>
      <c r="H36" s="170"/>
      <c r="I36" s="2"/>
      <c r="J36" s="2"/>
      <c r="K36" s="2"/>
      <c r="L36" s="2"/>
      <c r="M36" s="2"/>
      <c r="N36" s="2"/>
      <c r="O36" s="2"/>
      <c r="P36" s="2"/>
      <c r="Q36" s="2"/>
      <c r="R36" s="2"/>
      <c r="AH36" s="159" t="s">
        <v>109</v>
      </c>
      <c r="AI36" s="159" t="s">
        <v>113</v>
      </c>
    </row>
    <row r="37" spans="1:35">
      <c r="A37" s="149">
        <v>2</v>
      </c>
      <c r="B37" s="159" t="s">
        <v>114</v>
      </c>
      <c r="C37" s="166">
        <f>'2025年'!C37</f>
        <v>20.535</v>
      </c>
      <c r="D37" s="166">
        <f>'2025年'!D37</f>
        <v>6.993</v>
      </c>
      <c r="E37" s="166">
        <f>'2025年'!E37</f>
        <v>4.21356301857093</v>
      </c>
      <c r="F37" s="166">
        <f>'2025年'!F37</f>
        <v>0</v>
      </c>
      <c r="G37" s="166">
        <f>'2025年'!G37</f>
        <v>0</v>
      </c>
      <c r="H37" s="170"/>
      <c r="I37" s="2"/>
      <c r="J37" s="2"/>
      <c r="K37" s="2"/>
      <c r="L37" s="2"/>
      <c r="M37" s="2"/>
      <c r="N37" s="2"/>
      <c r="O37" s="2"/>
      <c r="P37" s="2"/>
      <c r="Q37" s="2"/>
      <c r="R37" s="2"/>
      <c r="AH37" s="159" t="s">
        <v>67</v>
      </c>
      <c r="AI37" s="159" t="s">
        <v>114</v>
      </c>
    </row>
    <row r="38" spans="1:35">
      <c r="A38" s="149">
        <v>3</v>
      </c>
      <c r="B38" s="159" t="s">
        <v>115</v>
      </c>
      <c r="C38" s="166">
        <f>'2025年'!C38</f>
        <v>29.6</v>
      </c>
      <c r="D38" s="166">
        <f>'2025年'!D38</f>
        <v>10.08</v>
      </c>
      <c r="E38" s="166">
        <f>'2025年'!E38</f>
        <v>6.07360435109324</v>
      </c>
      <c r="F38" s="166">
        <f>'2025年'!F38</f>
        <v>0</v>
      </c>
      <c r="G38" s="166">
        <f>'2025年'!G38</f>
        <v>0</v>
      </c>
      <c r="H38" s="170"/>
      <c r="I38" s="2"/>
      <c r="J38" s="2"/>
      <c r="K38" s="2"/>
      <c r="L38" s="2"/>
      <c r="M38" s="2"/>
      <c r="N38" s="2"/>
      <c r="O38" s="2"/>
      <c r="P38" s="2"/>
      <c r="Q38" s="2"/>
      <c r="R38" s="2"/>
      <c r="AH38" s="159" t="s">
        <v>73</v>
      </c>
      <c r="AI38" s="159" t="s">
        <v>115</v>
      </c>
    </row>
    <row r="39" spans="1:35">
      <c r="A39" s="159" t="s">
        <v>112</v>
      </c>
      <c r="B39" s="163" t="s">
        <v>117</v>
      </c>
      <c r="C39" s="167"/>
      <c r="D39" s="167"/>
      <c r="E39" s="167"/>
      <c r="F39" s="167"/>
      <c r="G39" s="167"/>
      <c r="H39" s="167"/>
      <c r="AH39" s="159" t="s">
        <v>116</v>
      </c>
      <c r="AI39" s="163" t="s">
        <v>117</v>
      </c>
    </row>
    <row r="40" spans="1:35">
      <c r="A40" s="149">
        <v>1</v>
      </c>
      <c r="B40" s="159" t="s">
        <v>118</v>
      </c>
      <c r="C40" s="167">
        <f>C34-C36-C37-C38</f>
        <v>237.02226233941</v>
      </c>
      <c r="D40" s="167">
        <f>D34-D36-D37-D38</f>
        <v>-5.71692377109582</v>
      </c>
      <c r="E40" s="167">
        <f t="shared" ref="E40:G40" si="26">E34-E36-E37-E38</f>
        <v>153.972124035893</v>
      </c>
      <c r="F40" s="167" t="e">
        <f t="shared" si="26"/>
        <v>#DIV/0!</v>
      </c>
      <c r="G40" s="167" t="e">
        <f t="shared" si="26"/>
        <v>#DIV/0!</v>
      </c>
      <c r="H40" s="167"/>
      <c r="AH40" s="159" t="s">
        <v>62</v>
      </c>
      <c r="AI40" s="159" t="s">
        <v>118</v>
      </c>
    </row>
    <row r="41" spans="1:35">
      <c r="A41" s="149">
        <v>2</v>
      </c>
      <c r="B41" s="159" t="s">
        <v>119</v>
      </c>
      <c r="C41" s="167"/>
      <c r="D41" s="167"/>
      <c r="E41" s="167"/>
      <c r="F41" s="167"/>
      <c r="G41" s="167"/>
      <c r="H41" s="167"/>
      <c r="AH41" s="159" t="s">
        <v>64</v>
      </c>
      <c r="AI41" s="159" t="s">
        <v>119</v>
      </c>
    </row>
    <row r="42" spans="1:35">
      <c r="A42" s="159" t="s">
        <v>116</v>
      </c>
      <c r="B42" s="163" t="s">
        <v>121</v>
      </c>
      <c r="C42" s="167"/>
      <c r="D42" s="167"/>
      <c r="E42" s="167"/>
      <c r="F42" s="167"/>
      <c r="G42" s="167"/>
      <c r="H42" s="167"/>
      <c r="AH42" s="159" t="s">
        <v>120</v>
      </c>
      <c r="AI42" s="163" t="s">
        <v>121</v>
      </c>
    </row>
    <row r="43" spans="1:35">
      <c r="A43" s="149">
        <v>1</v>
      </c>
      <c r="B43" s="168" t="s">
        <v>122</v>
      </c>
      <c r="C43" s="166">
        <f>'2025年'!C43</f>
        <v>67.71</v>
      </c>
      <c r="D43" s="166">
        <f>'2025年'!D43</f>
        <v>23.058</v>
      </c>
      <c r="E43" s="166">
        <f>'2025年'!E43</f>
        <v>13.8933699531258</v>
      </c>
      <c r="F43" s="166">
        <f>'2025年'!F43</f>
        <v>0</v>
      </c>
      <c r="G43" s="166">
        <f>'2025年'!G43</f>
        <v>0</v>
      </c>
      <c r="H43" s="167"/>
      <c r="AH43" s="159" t="s">
        <v>62</v>
      </c>
      <c r="AI43" s="159" t="s">
        <v>122</v>
      </c>
    </row>
    <row r="44" spans="1:35">
      <c r="A44" s="149">
        <v>2</v>
      </c>
      <c r="B44" s="168" t="s">
        <v>123</v>
      </c>
      <c r="C44" s="166">
        <f>'2025年'!C44</f>
        <v>15.54</v>
      </c>
      <c r="D44" s="166">
        <f>'2025年'!D44</f>
        <v>5.292</v>
      </c>
      <c r="E44" s="166">
        <f>'2025年'!E44</f>
        <v>3.18864228432395</v>
      </c>
      <c r="F44" s="166">
        <f>'2025年'!F44</f>
        <v>0</v>
      </c>
      <c r="G44" s="166">
        <f>'2025年'!G44</f>
        <v>0</v>
      </c>
      <c r="H44" s="167"/>
      <c r="AH44" s="159" t="s">
        <v>64</v>
      </c>
      <c r="AI44" s="159" t="s">
        <v>123</v>
      </c>
    </row>
    <row r="45" spans="1:35">
      <c r="A45" s="149">
        <v>3</v>
      </c>
      <c r="B45" s="168" t="s">
        <v>124</v>
      </c>
      <c r="C45" s="166">
        <f>'2025年'!C45</f>
        <v>59.755</v>
      </c>
      <c r="D45" s="166">
        <f>'2025年'!D45</f>
        <v>20.349</v>
      </c>
      <c r="E45" s="166">
        <f>'2025年'!E45</f>
        <v>12.2610887837695</v>
      </c>
      <c r="F45" s="166">
        <f>'2025年'!F45</f>
        <v>0</v>
      </c>
      <c r="G45" s="166">
        <f>'2025年'!G45</f>
        <v>0</v>
      </c>
      <c r="H45" s="167"/>
      <c r="AH45" s="159" t="s">
        <v>109</v>
      </c>
      <c r="AI45" s="159" t="s">
        <v>124</v>
      </c>
    </row>
    <row r="46" s="146" customFormat="1" spans="1:35">
      <c r="A46" s="149">
        <v>4</v>
      </c>
      <c r="B46" s="168" t="s">
        <v>125</v>
      </c>
      <c r="C46" s="172">
        <f>C21/C6</f>
        <v>0.798004987531172</v>
      </c>
      <c r="D46" s="172">
        <f>D21/D6</f>
        <v>0.798004987531172</v>
      </c>
      <c r="E46" s="172">
        <f t="shared" ref="E46:G46" si="27">E21/E6</f>
        <v>0.798004987531172</v>
      </c>
      <c r="F46" s="172" t="e">
        <f t="shared" si="27"/>
        <v>#DIV/0!</v>
      </c>
      <c r="G46" s="172" t="e">
        <f t="shared" si="27"/>
        <v>#DIV/0!</v>
      </c>
      <c r="H46" s="172"/>
      <c r="AH46" s="168" t="s">
        <v>70</v>
      </c>
      <c r="AI46" s="168" t="s">
        <v>127</v>
      </c>
    </row>
    <row r="47" s="146" customFormat="1" spans="1:35">
      <c r="A47" s="149">
        <v>5</v>
      </c>
      <c r="B47" s="168" t="s">
        <v>127</v>
      </c>
      <c r="C47" s="166">
        <f>'2025年'!C47</f>
        <v>65.675</v>
      </c>
      <c r="D47" s="166">
        <f>'2025年'!D47</f>
        <v>22.365</v>
      </c>
      <c r="E47" s="166">
        <f>'2025年'!E47</f>
        <v>13.4758096539881</v>
      </c>
      <c r="F47" s="166">
        <f>'2025年'!F47</f>
        <v>0</v>
      </c>
      <c r="G47" s="166">
        <f>'2025年'!G47</f>
        <v>0</v>
      </c>
      <c r="H47" s="172"/>
      <c r="AH47" s="168" t="s">
        <v>70</v>
      </c>
      <c r="AI47" s="168" t="s">
        <v>127</v>
      </c>
    </row>
    <row r="48" spans="1:35">
      <c r="A48" s="159" t="s">
        <v>120</v>
      </c>
      <c r="B48" s="163" t="s">
        <v>138</v>
      </c>
      <c r="C48" s="167">
        <f>C40-C43-C44-C45-C47-C46</f>
        <v>27.5442573518784</v>
      </c>
      <c r="D48" s="167">
        <f>D40-D43-D44-D45-D47-D46</f>
        <v>-77.578928758627</v>
      </c>
      <c r="E48" s="167">
        <f t="shared" ref="E48:G48" si="28">E40-E43-E44-E45-E47-E46</f>
        <v>110.355208373155</v>
      </c>
      <c r="F48" s="167" t="e">
        <f t="shared" si="28"/>
        <v>#DIV/0!</v>
      </c>
      <c r="G48" s="167" t="e">
        <f t="shared" si="28"/>
        <v>#DIV/0!</v>
      </c>
      <c r="H48" s="167"/>
      <c r="AH48" s="159" t="s">
        <v>137</v>
      </c>
      <c r="AI48" s="163" t="s">
        <v>138</v>
      </c>
    </row>
    <row r="51" spans="3:7">
      <c r="C51" s="173"/>
      <c r="D51" s="173"/>
      <c r="E51" s="173"/>
      <c r="F51" s="173"/>
      <c r="G51" s="173"/>
    </row>
    <row r="54" spans="2:13">
      <c r="B54" s="2"/>
      <c r="C54" s="174"/>
      <c r="D54" s="174"/>
      <c r="E54" s="174"/>
      <c r="F54" s="174"/>
      <c r="G54" s="174"/>
      <c r="H54" s="174"/>
      <c r="I54" s="2"/>
      <c r="J54" s="2"/>
      <c r="K54" s="2"/>
      <c r="L54" s="2"/>
      <c r="M54" s="2"/>
    </row>
    <row r="55" spans="2:13">
      <c r="B55" s="2"/>
      <c r="C55" s="174"/>
      <c r="D55" s="174"/>
      <c r="E55" s="174"/>
      <c r="F55" s="174"/>
      <c r="G55" s="174"/>
      <c r="H55" s="174"/>
      <c r="I55" s="2"/>
      <c r="J55" s="2"/>
      <c r="K55" s="2"/>
      <c r="L55" s="2"/>
      <c r="M55" s="2"/>
    </row>
    <row r="56" spans="2:13">
      <c r="B56" s="2"/>
      <c r="C56" s="174"/>
      <c r="D56" s="174"/>
      <c r="E56" s="174"/>
      <c r="F56" s="174"/>
      <c r="G56" s="174"/>
      <c r="H56" s="174"/>
      <c r="I56" s="2"/>
      <c r="J56" s="2"/>
      <c r="K56" s="2"/>
      <c r="L56" s="2"/>
      <c r="M56" s="2"/>
    </row>
    <row r="57" spans="2:13">
      <c r="B57" s="2"/>
      <c r="C57" s="174"/>
      <c r="D57" s="174"/>
      <c r="E57" s="174"/>
      <c r="F57" s="174"/>
      <c r="G57" s="174"/>
      <c r="H57" s="174"/>
      <c r="I57" s="2"/>
      <c r="J57" s="2"/>
      <c r="K57" s="2"/>
      <c r="L57" s="2"/>
      <c r="M57" s="2"/>
    </row>
    <row r="58" spans="2:13">
      <c r="B58" s="2"/>
      <c r="C58" s="174"/>
      <c r="D58" s="174"/>
      <c r="E58" s="174"/>
      <c r="F58" s="174"/>
      <c r="G58" s="174"/>
      <c r="H58" s="174"/>
      <c r="I58" s="2"/>
      <c r="J58" s="2"/>
      <c r="K58" s="2"/>
      <c r="L58" s="2"/>
      <c r="M58" s="2"/>
    </row>
    <row r="59" spans="2:13">
      <c r="B59" s="2"/>
      <c r="C59" s="174"/>
      <c r="D59" s="174"/>
      <c r="E59" s="174"/>
      <c r="F59" s="174"/>
      <c r="G59" s="174"/>
      <c r="H59" s="174"/>
      <c r="I59" s="2"/>
      <c r="J59" s="2"/>
      <c r="K59" s="2"/>
      <c r="L59" s="2"/>
      <c r="M59" s="2"/>
    </row>
    <row r="60" spans="2:13">
      <c r="B60" s="2"/>
      <c r="C60" s="174"/>
      <c r="D60" s="174"/>
      <c r="E60" s="174"/>
      <c r="F60" s="174"/>
      <c r="G60" s="174"/>
      <c r="H60" s="174"/>
      <c r="I60" s="2"/>
      <c r="J60" s="2"/>
      <c r="K60" s="2"/>
      <c r="L60" s="2"/>
      <c r="M60" s="2"/>
    </row>
    <row r="61" spans="2:13">
      <c r="B61" s="2"/>
      <c r="C61" s="174"/>
      <c r="D61" s="174"/>
      <c r="E61" s="174"/>
      <c r="F61" s="174"/>
      <c r="G61" s="174"/>
      <c r="H61" s="174"/>
      <c r="I61" s="2"/>
      <c r="J61" s="2"/>
      <c r="K61" s="2"/>
      <c r="L61" s="2"/>
      <c r="M61" s="2"/>
    </row>
    <row r="62" spans="2:13">
      <c r="B62" s="2"/>
      <c r="C62" s="174"/>
      <c r="D62" s="174"/>
      <c r="E62" s="174"/>
      <c r="F62" s="174"/>
      <c r="G62" s="174"/>
      <c r="H62" s="174"/>
      <c r="I62" s="2"/>
      <c r="J62" s="2"/>
      <c r="K62" s="2"/>
      <c r="L62" s="2"/>
      <c r="M62" s="2"/>
    </row>
    <row r="63" spans="2:13">
      <c r="B63" s="2"/>
      <c r="C63" s="174"/>
      <c r="D63" s="174"/>
      <c r="E63" s="174"/>
      <c r="F63" s="174"/>
      <c r="G63" s="174"/>
      <c r="H63" s="174"/>
      <c r="I63" s="2"/>
      <c r="J63" s="2"/>
      <c r="K63" s="2"/>
      <c r="L63" s="2"/>
      <c r="M63" s="2"/>
    </row>
    <row r="64" spans="2:13">
      <c r="B64" s="2"/>
      <c r="C64" s="174"/>
      <c r="D64" s="174"/>
      <c r="E64" s="174"/>
      <c r="F64" s="174"/>
      <c r="G64" s="174"/>
      <c r="H64" s="174"/>
      <c r="I64" s="2"/>
      <c r="J64" s="2"/>
      <c r="K64" s="2"/>
      <c r="L64" s="2"/>
      <c r="M64" s="2"/>
    </row>
    <row r="65" spans="2:13">
      <c r="B65" s="2"/>
      <c r="C65" s="174"/>
      <c r="D65" s="174"/>
      <c r="E65" s="174"/>
      <c r="F65" s="174"/>
      <c r="G65" s="174"/>
      <c r="H65" s="174"/>
      <c r="I65" s="2"/>
      <c r="J65" s="2"/>
      <c r="K65" s="2"/>
      <c r="L65" s="2"/>
      <c r="M65" s="2"/>
    </row>
    <row r="66" spans="2:13">
      <c r="B66" s="2"/>
      <c r="C66" s="174"/>
      <c r="D66" s="174"/>
      <c r="E66" s="174"/>
      <c r="F66" s="174"/>
      <c r="G66" s="174"/>
      <c r="H66" s="174"/>
      <c r="I66" s="2"/>
      <c r="J66" s="2"/>
      <c r="K66" s="2"/>
      <c r="L66" s="2"/>
      <c r="M66" s="2"/>
    </row>
    <row r="67" spans="2:9">
      <c r="B67" s="2"/>
      <c r="C67" s="174"/>
      <c r="D67" s="174"/>
      <c r="E67" s="174"/>
      <c r="F67" s="174"/>
      <c r="G67" s="174"/>
      <c r="H67" s="174"/>
      <c r="I67" s="2"/>
    </row>
    <row r="68" spans="2:9">
      <c r="B68" s="2"/>
      <c r="C68" s="174"/>
      <c r="D68" s="174"/>
      <c r="E68" s="174"/>
      <c r="F68" s="174"/>
      <c r="G68" s="174"/>
      <c r="H68" s="174"/>
      <c r="I68" s="2"/>
    </row>
    <row r="69" spans="2:9">
      <c r="B69" s="2"/>
      <c r="C69" s="174"/>
      <c r="D69" s="174"/>
      <c r="E69" s="174"/>
      <c r="F69" s="174"/>
      <c r="G69" s="174"/>
      <c r="H69" s="174"/>
      <c r="I69" s="2"/>
    </row>
    <row r="70" spans="2:9">
      <c r="B70" s="2"/>
      <c r="C70" s="174"/>
      <c r="D70" s="174"/>
      <c r="E70" s="174"/>
      <c r="F70" s="174"/>
      <c r="G70" s="174"/>
      <c r="H70" s="174"/>
      <c r="I70" s="2"/>
    </row>
    <row r="71" spans="2:9">
      <c r="B71" s="2"/>
      <c r="C71" s="174"/>
      <c r="D71" s="174"/>
      <c r="E71" s="174"/>
      <c r="F71" s="174"/>
      <c r="G71" s="174"/>
      <c r="H71" s="174"/>
      <c r="I71" s="2"/>
    </row>
    <row r="72" spans="2:9">
      <c r="B72" s="2"/>
      <c r="C72" s="174"/>
      <c r="D72" s="174"/>
      <c r="E72" s="174"/>
      <c r="F72" s="174"/>
      <c r="G72" s="174"/>
      <c r="H72" s="174"/>
      <c r="I72" s="2"/>
    </row>
    <row r="73" spans="2:9">
      <c r="B73" s="2"/>
      <c r="C73" s="174"/>
      <c r="D73" s="174"/>
      <c r="E73" s="174"/>
      <c r="F73" s="174"/>
      <c r="G73" s="174"/>
      <c r="H73" s="174"/>
      <c r="I73" s="2"/>
    </row>
    <row r="74" spans="2:9">
      <c r="B74" s="2"/>
      <c r="C74" s="174"/>
      <c r="D74" s="174"/>
      <c r="E74" s="174"/>
      <c r="F74" s="174"/>
      <c r="G74" s="174"/>
      <c r="H74" s="174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80" zoomScaleNormal="80" workbookViewId="0">
      <pane xSplit="6" ySplit="2" topLeftCell="G3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3.5"/>
  <cols>
    <col min="1" max="1" width="19.5" customWidth="1"/>
    <col min="2" max="2" width="14.875" style="100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ht="41.25" customHeight="1" spans="1:8">
      <c r="A1" s="101" t="s">
        <v>165</v>
      </c>
      <c r="B1" s="101"/>
      <c r="C1" s="101"/>
      <c r="E1" s="102" t="s">
        <v>166</v>
      </c>
      <c r="F1" s="103"/>
      <c r="G1" s="103"/>
      <c r="H1" s="104"/>
    </row>
    <row r="2" ht="23.45" customHeight="1" spans="1:8">
      <c r="A2" s="105" t="s">
        <v>1</v>
      </c>
      <c r="B2" s="106" t="s">
        <v>167</v>
      </c>
      <c r="C2" s="107" t="s">
        <v>168</v>
      </c>
      <c r="E2" s="108" t="s">
        <v>169</v>
      </c>
      <c r="F2" s="108" t="s">
        <v>1</v>
      </c>
      <c r="G2" s="109" t="s">
        <v>170</v>
      </c>
      <c r="H2" s="108" t="s">
        <v>168</v>
      </c>
    </row>
    <row r="3" ht="15.75" customHeight="1" spans="1:8">
      <c r="A3" s="110" t="s">
        <v>171</v>
      </c>
      <c r="B3" s="111"/>
      <c r="C3" s="112"/>
      <c r="E3" s="113" t="s">
        <v>172</v>
      </c>
      <c r="F3" s="114" t="s">
        <v>173</v>
      </c>
      <c r="G3" s="115"/>
      <c r="H3" s="114"/>
    </row>
    <row r="4" ht="15.75" customHeight="1" spans="1:8">
      <c r="A4" s="110" t="s">
        <v>174</v>
      </c>
      <c r="B4" s="111"/>
      <c r="C4" s="116"/>
      <c r="E4" s="117"/>
      <c r="F4" s="114" t="s">
        <v>175</v>
      </c>
      <c r="G4" s="115"/>
      <c r="H4" s="114"/>
    </row>
    <row r="5" ht="15.75" customHeight="1" spans="1:8">
      <c r="A5" s="110" t="s">
        <v>176</v>
      </c>
      <c r="B5" s="118">
        <f>SUM(G3:G4)</f>
        <v>0</v>
      </c>
      <c r="C5" s="112"/>
      <c r="E5" s="119" t="s">
        <v>177</v>
      </c>
      <c r="F5" s="120" t="s">
        <v>178</v>
      </c>
      <c r="G5" s="115"/>
      <c r="H5" s="120"/>
    </row>
    <row r="6" ht="15.75" customHeight="1" spans="1:10">
      <c r="A6" s="110" t="s">
        <v>179</v>
      </c>
      <c r="B6" s="111"/>
      <c r="C6" s="112"/>
      <c r="E6" s="121"/>
      <c r="F6" s="120" t="s">
        <v>180</v>
      </c>
      <c r="G6" s="115">
        <v>140</v>
      </c>
      <c r="H6" s="31"/>
      <c r="J6">
        <v>10000</v>
      </c>
    </row>
    <row r="7" ht="15.75" customHeight="1" spans="1:8">
      <c r="A7" s="122" t="s">
        <v>181</v>
      </c>
      <c r="B7" s="118">
        <f>SUM(B3:B6)</f>
        <v>0</v>
      </c>
      <c r="C7" s="112"/>
      <c r="E7" s="121"/>
      <c r="F7" s="120" t="s">
        <v>182</v>
      </c>
      <c r="G7" s="115">
        <v>28</v>
      </c>
      <c r="H7" s="31"/>
    </row>
    <row r="8" ht="15.75" customHeight="1" spans="1:8">
      <c r="A8" s="123" t="s">
        <v>183</v>
      </c>
      <c r="B8" s="118">
        <f>SUM(G5:G12)</f>
        <v>168</v>
      </c>
      <c r="C8" s="124"/>
      <c r="E8" s="121"/>
      <c r="F8" s="120" t="s">
        <v>184</v>
      </c>
      <c r="G8" s="115">
        <v>0</v>
      </c>
      <c r="H8" s="31"/>
    </row>
    <row r="9" ht="15.75" customHeight="1" spans="1:8">
      <c r="A9" s="110" t="s">
        <v>185</v>
      </c>
      <c r="B9" s="118">
        <f>SUM(G13:G21)</f>
        <v>16</v>
      </c>
      <c r="C9" s="112"/>
      <c r="E9" s="121"/>
      <c r="F9" s="114" t="s">
        <v>186</v>
      </c>
      <c r="G9" s="115">
        <v>0</v>
      </c>
      <c r="H9" s="31"/>
    </row>
    <row r="10" ht="15.75" customHeight="1" spans="1:8">
      <c r="A10" s="116" t="s">
        <v>58</v>
      </c>
      <c r="B10" s="118">
        <f>B7+B8+B9</f>
        <v>184</v>
      </c>
      <c r="C10" s="112"/>
      <c r="E10" s="121"/>
      <c r="F10" s="114" t="s">
        <v>187</v>
      </c>
      <c r="G10" s="125">
        <v>0</v>
      </c>
      <c r="H10" s="31"/>
    </row>
    <row r="11" ht="15.75" customHeight="1" spans="5:8">
      <c r="E11" s="121"/>
      <c r="F11" s="114" t="s">
        <v>188</v>
      </c>
      <c r="G11" s="125">
        <v>0</v>
      </c>
      <c r="H11" s="31"/>
    </row>
    <row r="12" ht="15.75" customHeight="1" spans="5:8">
      <c r="E12" s="126"/>
      <c r="F12" s="114" t="s">
        <v>189</v>
      </c>
      <c r="G12" s="115"/>
      <c r="H12" s="31"/>
    </row>
    <row r="13" ht="15.75" customHeight="1" spans="5:8">
      <c r="E13" s="113" t="s">
        <v>90</v>
      </c>
      <c r="F13" s="114" t="s">
        <v>190</v>
      </c>
      <c r="G13" s="115">
        <v>0</v>
      </c>
      <c r="H13" s="127"/>
    </row>
    <row r="14" ht="15.75" customHeight="1" spans="5:8">
      <c r="E14" s="117"/>
      <c r="F14" s="114" t="s">
        <v>191</v>
      </c>
      <c r="G14" s="115">
        <v>2</v>
      </c>
      <c r="H14" s="128"/>
    </row>
    <row r="15" ht="15.75" customHeight="1" spans="5:8">
      <c r="E15" s="117"/>
      <c r="F15" s="114" t="s">
        <v>192</v>
      </c>
      <c r="G15" s="115">
        <v>1</v>
      </c>
      <c r="H15" s="128"/>
    </row>
    <row r="16" ht="15.75" customHeight="1" spans="5:8">
      <c r="E16" s="117"/>
      <c r="F16" s="114" t="s">
        <v>193</v>
      </c>
      <c r="G16" s="115">
        <v>1</v>
      </c>
      <c r="H16" s="128"/>
    </row>
    <row r="17" ht="15.75" customHeight="1" spans="5:8">
      <c r="E17" s="117"/>
      <c r="F17" s="114" t="s">
        <v>194</v>
      </c>
      <c r="G17" s="115">
        <v>0</v>
      </c>
      <c r="H17" s="127"/>
    </row>
    <row r="18" ht="15.75" customHeight="1" spans="5:8">
      <c r="E18" s="117"/>
      <c r="F18" s="114" t="s">
        <v>195</v>
      </c>
      <c r="G18" s="115">
        <v>2</v>
      </c>
      <c r="H18" s="129"/>
    </row>
    <row r="19" ht="15.75" customHeight="1" spans="5:9">
      <c r="E19" s="117"/>
      <c r="F19" s="114" t="s">
        <v>196</v>
      </c>
      <c r="G19" s="115">
        <v>10</v>
      </c>
      <c r="H19" s="129"/>
      <c r="I19" s="142"/>
    </row>
    <row r="20" ht="15.75" customHeight="1" spans="5:8">
      <c r="E20" s="117"/>
      <c r="F20" s="114" t="s">
        <v>197</v>
      </c>
      <c r="G20" s="115"/>
      <c r="H20" s="114"/>
    </row>
    <row r="21" ht="15.75" customHeight="1" spans="5:8">
      <c r="E21" s="130"/>
      <c r="F21" s="114" t="s">
        <v>39</v>
      </c>
      <c r="G21" s="115">
        <v>0</v>
      </c>
      <c r="H21" s="114"/>
    </row>
    <row r="22" ht="21.75" customHeight="1" spans="5:8">
      <c r="E22" s="108" t="s">
        <v>58</v>
      </c>
      <c r="F22" s="114"/>
      <c r="G22" s="109">
        <f>SUM(G3:G21)</f>
        <v>184</v>
      </c>
      <c r="H22" s="131"/>
    </row>
    <row r="23" ht="30.75" customHeight="1" spans="5:8">
      <c r="E23" s="132" t="s">
        <v>198</v>
      </c>
      <c r="F23" s="132"/>
      <c r="G23" s="132"/>
      <c r="H23" s="132"/>
    </row>
    <row r="25" ht="17.25" spans="1:12">
      <c r="A25" s="133" t="s">
        <v>1</v>
      </c>
      <c r="B25" s="133" t="s">
        <v>167</v>
      </c>
      <c r="C25" s="133" t="s">
        <v>199</v>
      </c>
      <c r="D25" s="134" t="s">
        <v>200</v>
      </c>
      <c r="E25" s="134" t="s">
        <v>201</v>
      </c>
      <c r="F25" s="134" t="s">
        <v>202</v>
      </c>
      <c r="G25" s="134" t="s">
        <v>203</v>
      </c>
      <c r="H25" s="134" t="s">
        <v>204</v>
      </c>
      <c r="I25" s="134" t="s">
        <v>205</v>
      </c>
      <c r="J25" s="134" t="s">
        <v>206</v>
      </c>
      <c r="K25" s="134" t="s">
        <v>58</v>
      </c>
      <c r="L25" s="143" t="s">
        <v>207</v>
      </c>
    </row>
    <row r="26" ht="16.5" spans="1:12">
      <c r="A26" s="135" t="s">
        <v>156</v>
      </c>
      <c r="B26" s="136">
        <f>(B5+B8)*10000</f>
        <v>1680000</v>
      </c>
      <c r="C26" s="137">
        <v>0.05</v>
      </c>
      <c r="D26" s="138">
        <f>B26*(1-C26)/5</f>
        <v>319200</v>
      </c>
      <c r="E26" s="138">
        <f t="shared" ref="E26:H26" si="0">D26</f>
        <v>319200</v>
      </c>
      <c r="F26" s="138">
        <f t="shared" si="0"/>
        <v>319200</v>
      </c>
      <c r="G26" s="138">
        <f t="shared" si="0"/>
        <v>319200</v>
      </c>
      <c r="H26" s="138">
        <f t="shared" si="0"/>
        <v>319200</v>
      </c>
      <c r="I26" s="138"/>
      <c r="J26" s="138"/>
      <c r="K26" s="138">
        <f>SUM(D26:J26)</f>
        <v>1596000</v>
      </c>
      <c r="L26" s="138">
        <f>B26*0.05</f>
        <v>84000</v>
      </c>
    </row>
    <row r="27" ht="16.5" spans="1:12">
      <c r="A27" s="135" t="s">
        <v>208</v>
      </c>
      <c r="B27" s="136">
        <f>B9*10000</f>
        <v>160000</v>
      </c>
      <c r="C27" s="138"/>
      <c r="D27" s="138">
        <f>B27/5</f>
        <v>32000</v>
      </c>
      <c r="E27" s="138">
        <f t="shared" ref="E27:H27" si="1">D27</f>
        <v>32000</v>
      </c>
      <c r="F27" s="138">
        <f t="shared" si="1"/>
        <v>32000</v>
      </c>
      <c r="G27" s="138">
        <f t="shared" si="1"/>
        <v>32000</v>
      </c>
      <c r="H27" s="138">
        <f t="shared" si="1"/>
        <v>32000</v>
      </c>
      <c r="I27" s="138"/>
      <c r="J27" s="138"/>
      <c r="K27" s="138">
        <f>SUM(D27:J27)</f>
        <v>160000</v>
      </c>
      <c r="L27" s="138"/>
    </row>
    <row r="28" ht="16.5" spans="1:12">
      <c r="A28" s="139" t="s">
        <v>146</v>
      </c>
      <c r="B28" s="140"/>
      <c r="C28" s="141"/>
      <c r="D28" s="138">
        <f>SUM(D26:D27)</f>
        <v>351200</v>
      </c>
      <c r="E28" s="138">
        <f t="shared" ref="E28:K28" si="2">SUM(E26:E27)</f>
        <v>351200</v>
      </c>
      <c r="F28" s="138">
        <f t="shared" si="2"/>
        <v>351200</v>
      </c>
      <c r="G28" s="138">
        <f t="shared" si="2"/>
        <v>351200</v>
      </c>
      <c r="H28" s="138">
        <f t="shared" si="2"/>
        <v>351200</v>
      </c>
      <c r="I28" s="138">
        <f t="shared" si="2"/>
        <v>0</v>
      </c>
      <c r="J28" s="138">
        <f t="shared" si="2"/>
        <v>0</v>
      </c>
      <c r="K28" s="138">
        <f t="shared" si="2"/>
        <v>1756000</v>
      </c>
      <c r="L28" s="144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风</cp:lastModifiedBy>
  <dcterms:created xsi:type="dcterms:W3CDTF">2006-09-13T11:21:00Z</dcterms:created>
  <dcterms:modified xsi:type="dcterms:W3CDTF">2025-04-10T03:22:51Z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C2B17AB7F5A446BBA3E82E60E31A3197_13</vt:lpwstr>
  </property>
</Properties>
</file>