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tabRatio="780" firstSheet="5" activeTab="6"/>
  </bookViews>
  <sheets>
    <sheet name="长春+2" sheetId="1" state="hidden" r:id="rId1"/>
    <sheet name="成都1+5" sheetId="4" state="hidden" r:id="rId2"/>
    <sheet name="西安+25" sheetId="2" state="hidden" r:id="rId3"/>
    <sheet name="CQC-21" sheetId="22" r:id="rId4"/>
    <sheet name="2024-6-21" sheetId="19" r:id="rId5"/>
    <sheet name="CCAP" sheetId="13" r:id="rId6"/>
    <sheet name="河北36+北京84+1卧铺 3.26" sheetId="15" r:id="rId7"/>
    <sheet name="河北39" sheetId="7" state="hidden" r:id="rId8"/>
    <sheet name="汇总" sheetId="9" r:id="rId9"/>
    <sheet name="型式试验计划2023" sheetId="10" state="hidden" r:id="rId10"/>
    <sheet name="Sheet2" sheetId="17" state="hidden" r:id="rId11"/>
    <sheet name="Sheet1" sheetId="8" state="hidden" r:id="rId12"/>
    <sheet name="湖南6+24" sheetId="5" state="hidden" r:id="rId13"/>
    <sheet name="潍坊16" sheetId="6" state="hidden" r:id="rId14"/>
  </sheets>
  <definedNames>
    <definedName name="_xlnm._FilterDatabase" localSheetId="3" hidden="1">'CQC-21'!$A$1:$S$85</definedName>
    <definedName name="_xlnm._FilterDatabase" localSheetId="4" hidden="1">'2024-6-21'!$A$1:$P$153</definedName>
    <definedName name="_xlnm._FilterDatabase" localSheetId="5" hidden="1">CCAP!$A$1:$K$56</definedName>
    <definedName name="_xlnm._FilterDatabase" localSheetId="6" hidden="1">'河北36+北京84+1卧铺 3.26'!$A$1:$N$132</definedName>
    <definedName name="_xlnm._FilterDatabase" localSheetId="7" hidden="1">河北39!$A$1:$N$41</definedName>
    <definedName name="_xlnm._FilterDatabase" localSheetId="9" hidden="1">型式试验计划2023!$A$1:$J$123</definedName>
    <definedName name="_xlnm._FilterDatabase" localSheetId="12" hidden="1">'湖南6+24'!$A$2:$L$32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<sst xmlns="http://schemas.openxmlformats.org/spreadsheetml/2006/main" count="5502" uniqueCount="1552">
  <si>
    <t>长春光华荣昌自愿性认证+自我声明清单</t>
  </si>
  <si>
    <t>序号</t>
  </si>
  <si>
    <t>生产者</t>
  </si>
  <si>
    <t>生产企业</t>
  </si>
  <si>
    <t>认证模式</t>
  </si>
  <si>
    <t>自愿性认证证书号</t>
  </si>
  <si>
    <t>自我声明编号</t>
  </si>
  <si>
    <t>自我声明时间</t>
  </si>
  <si>
    <t xml:space="preserve"> 有效期至</t>
  </si>
  <si>
    <t>产品型号</t>
  </si>
  <si>
    <t>标准</t>
  </si>
  <si>
    <t>备注1</t>
  </si>
  <si>
    <t>备注2</t>
  </si>
  <si>
    <t>北京光华荣昌汽车部件有限公司</t>
  </si>
  <si>
    <t>长春光华荣昌汽车部件有限公司</t>
  </si>
  <si>
    <t>基于自愿性产品认证结果</t>
  </si>
  <si>
    <t>CQC20013258370</t>
  </si>
  <si>
    <t xml:space="preserve"> 2020981114001358</t>
  </si>
  <si>
    <t>2020-08-04</t>
  </si>
  <si>
    <t>2030-08-03</t>
  </si>
  <si>
    <t xml:space="preserve"> 6900010-B27-C00/6900010-B27-C02/6900010-D04-C00/6900010AD04-C00</t>
  </si>
  <si>
    <t xml:space="preserve"> GB 11550-2009;GB 15083-2019;GB 8410-2006</t>
  </si>
  <si>
    <t>CQC20013258371</t>
  </si>
  <si>
    <t xml:space="preserve"> 2020981114001359</t>
  </si>
  <si>
    <t>6800010-B27-C02/6800010BB27-C00/6800010-B27-C00/6800010-D03-C00/6800010AD03-C00/6800010BD03-C00/6800010CD03-C00/6800010DD03-C00/6800010ED03-C00/6800010FD03-C00/6800010GD03-C00/6800010HD03-C00/6800010JD03-C00/6800010KD03-C00/6800010LD03-C00/6800010MD03-C00/6800010ND03-C00/6800010PD03-C00</t>
  </si>
  <si>
    <t>GB 11550-2009;GB 15083-2019;GB 8410-2006</t>
  </si>
  <si>
    <t>成都光华智能自愿性认证+自我声明清单</t>
  </si>
  <si>
    <t>成都光华智能汽车部件有限公司</t>
  </si>
  <si>
    <t xml:space="preserve"> 基于型式试验+工厂自查</t>
  </si>
  <si>
    <t>未要求自愿性</t>
  </si>
  <si>
    <t>2020001110000239</t>
  </si>
  <si>
    <t>2020-09-22</t>
  </si>
  <si>
    <t xml:space="preserve"> 2030-09-21</t>
  </si>
  <si>
    <t>左侧外后视镜总成（低配）550401C35DBA（带转向信号550401C35DBG）、右侧外后视镜总成（低配）550401C35DBB（带转向信号550401C35DBH）、左侧外后视镜总成（中配）550401C35DBC （带转向信号550401C35DBG）、右侧外后视镜总成（中配）550401C35DBD （带转向信号550401C35DBH）、左侧外后视镜总成（高配）550401C35DBE（带转向信号550401C35DBG）、右侧外后视镜总成（高配）550401C35DBF（带转向信号550401C35DBH）、左侧外后视镜总成（次高配）550401C35DBI（带转向信号550401C35DBG）/右侧外后视镜总成（次高配）550401C35DBJ（带转向信号550401C35DBH）</t>
  </si>
  <si>
    <t xml:space="preserve"> GB 15084-2013,GB 17509-2008,CNCA-C11-07:2014,CNCA-C11-08:2014</t>
  </si>
  <si>
    <t>原河北转成都</t>
  </si>
  <si>
    <t xml:space="preserve"> 基于强制性产品认证结果</t>
  </si>
  <si>
    <t>2020971110002206</t>
  </si>
  <si>
    <t xml:space="preserve"> 2020-08-11</t>
  </si>
  <si>
    <t>2030-08-10</t>
  </si>
  <si>
    <t>内后视镜总成ISTYPJ02（3GD.857.511）, 内后视镜总成ISTYPJ01（18D.857.511）</t>
  </si>
  <si>
    <t>GB 15084-2013,CNCA-C11-08:2014</t>
  </si>
  <si>
    <t>2018091110020015
（原CCAP的3C证书）</t>
  </si>
  <si>
    <t>待注销</t>
  </si>
  <si>
    <t>2020971110002207</t>
  </si>
  <si>
    <t xml:space="preserve"> BC316后视镜总成-左 （镜面电动调节+转向灯）5CG ASP 000 （5CG 857 501 D）, BC316后视镜总成-右 （镜面电动调节+转向灯）5CG ASP 000 （5CG 857 502 D）, BC316后视镜总成-左 （镜面电动调节+照地灯+转向灯）5CG ASP 000 （5CG 857 501 E）, BC316后视镜总成-右 （镜面电动调节+照地灯+转向灯））5CG ASP 000（5CG 857 502 E）, BC316后视镜总成-左 （镜面电动调节+转向灯）5CG ASP 000 （5CG 857 501 K ）, BC316后视镜总成-左 （镜面电动调节+照地灯+转向灯）5CG ASP 000 （5CG 857 501 L）</t>
  </si>
  <si>
    <t xml:space="preserve"> GB 17509-2008,GB 15084-2013,CNCA-C11-08:2014</t>
  </si>
  <si>
    <t>2018091110020014
（原CCAP的3C证书）</t>
  </si>
  <si>
    <t>2020971110002205</t>
  </si>
  <si>
    <t>BC311后视镜总成-左 （镜面电动调节+电加热+转向灯）6RM ASP 000 （6RM 857 501）, BC311后视镜总成-右 （镜面电动调节+电加热+转向灯）6RM ASP 000 （6RM 857 502A）, BC311后视镜总成-左 （镜面电动调节+电加热+转向灯）6RM ASP 000 （6RM 857 501 A）</t>
  </si>
  <si>
    <t>2018091110020016
（原CCAP的3C证书）</t>
  </si>
  <si>
    <t xml:space="preserve"> 2020971110002209</t>
  </si>
  <si>
    <t>2020-08-17</t>
  </si>
  <si>
    <t xml:space="preserve"> 2030-08-16</t>
  </si>
  <si>
    <t>BC316外后视镜高配总成-左 （镜面电动调节+发热片+电折叠+照地灯+转向灯）5CG ASP 000（5CG 857 501 AG）、BC316外后视镜高配总成-右 （镜面电动调节+发热片+电折叠+照地灯+转向灯）5CG ASP 000（5CG 857 502 AB）、BC316外后视镜顶配总成-左 （镜面电动调节+发热片+电折叠+照地灯+转向灯+摄像头）5CG ASP 000（5CG 857 501 AH）、BC316外后视镜顶配总成-右 （镜面电动调节+发热片+电折叠+照地灯+转向灯+摄像头）5CG ASP 000（5CG 857 502 AC）</t>
  </si>
  <si>
    <t>GB 17509-2008,GB 15084-2013,CNCA-C11-08:2014</t>
  </si>
  <si>
    <t>2019091110020023
（原CCAP的3C证书）</t>
  </si>
  <si>
    <t>2021001110000230</t>
  </si>
  <si>
    <t xml:space="preserve"> 2021-10-28</t>
  </si>
  <si>
    <t xml:space="preserve"> 2031-10-27</t>
  </si>
  <si>
    <t xml:space="preserve"> BC316外后视镜高配总成-左 （镜面电动调节+发热片+电折叠+logo灯+转向灯）5CG ASP 000 （5CG 857 501 AN）、BC316外后视镜高配总成-右 （镜面电动调节+发热片+电折叠+logo灯+转向灯）5CG ASP 000（5CG 857 502 AH）、BC316外后视镜顶配总成-左 （镜面电动调节+发热片+电折叠+logo灯+转向灯+摄像头）5CG ASP 000（5CG 857 501 AS）、BC316外后视镜顶配总成-右 （镜面电动调节+发热片+电折叠+logo灯+转向灯+摄像头）5CG ASP 000（5CG 857 502 AM）</t>
  </si>
  <si>
    <t>西安光华荣昌自愿性认证+自我声明清单</t>
  </si>
  <si>
    <t>西安光华荣昌汽车部件有限公司</t>
  </si>
  <si>
    <t>CQC21107316244</t>
  </si>
  <si>
    <t xml:space="preserve"> 2021981114000747</t>
  </si>
  <si>
    <t xml:space="preserve"> 2021-10-19</t>
  </si>
  <si>
    <t>2031-10-18</t>
  </si>
  <si>
    <t>DZ15221510150</t>
  </si>
  <si>
    <t>CQC21107316254</t>
  </si>
  <si>
    <t>2021981114000737</t>
  </si>
  <si>
    <t>2021-10-19</t>
  </si>
  <si>
    <t xml:space="preserve"> 2031-10-18</t>
  </si>
  <si>
    <t>DZ13241510018/DZ13241510019/DZ14251510145</t>
  </si>
  <si>
    <t>CQC21107316245</t>
  </si>
  <si>
    <t xml:space="preserve"> 2021981114000746</t>
  </si>
  <si>
    <t>DZ14251510092/DZ14251510107/DZ14251510064</t>
  </si>
  <si>
    <t>CQC21107316253</t>
  </si>
  <si>
    <t xml:space="preserve"> 2021981114000738</t>
  </si>
  <si>
    <t>DZ14251510091/DZ14251510095</t>
  </si>
  <si>
    <t>CQC21107316242</t>
  </si>
  <si>
    <t>2021981114000749</t>
  </si>
  <si>
    <t>DZ13241510201/DZ13241510026</t>
  </si>
  <si>
    <t>GB 15083-2019;GB 8410-2006</t>
  </si>
  <si>
    <t>CQC21107316252</t>
  </si>
  <si>
    <t>2021981114000739</t>
  </si>
  <si>
    <t>X3000-6900000/DZ14251510067/DZ13241510044</t>
  </si>
  <si>
    <t>CQC21107316249</t>
  </si>
  <si>
    <t xml:space="preserve"> 2021981114000742</t>
  </si>
  <si>
    <t>DZ15221510113/DZ15221510111/DZ15221511024/DZ15221510157/DZ15221510117/DZ15221510137/DZ15221510119/DZ15221510138/MZ15221510113/MZ15221510014/DZ15221510158/DZ15221510145/DZ15221510114/DZ15221510161/DZ15221510183/DZ15221510188/DZ15221510187</t>
  </si>
  <si>
    <t>CQC21107316246</t>
  </si>
  <si>
    <t xml:space="preserve"> 2021981114000745</t>
  </si>
  <si>
    <t xml:space="preserve"> 2021-10-21</t>
  </si>
  <si>
    <t xml:space="preserve"> 2031-10-20</t>
  </si>
  <si>
    <t>DZ15221510013/DZ15221510051/DZ15221510115/DZ15221510211/DZ15221519995/DZ15221510148/DZ15221510179/DZ15221511021/DZ15221511027/DZ15221510185/DZ15221510186</t>
  </si>
  <si>
    <t>CQC21107316251</t>
  </si>
  <si>
    <t>2021981114000740</t>
  </si>
  <si>
    <t>DZ15221519998/DZ15221510012/DZ15221510052/DZ15221510118/DZ15221510146/DZ15221511022/DZ15221510151</t>
  </si>
  <si>
    <t>CQC21107316248</t>
  </si>
  <si>
    <t xml:space="preserve"> 2021981114000743</t>
  </si>
  <si>
    <t>DZ13241510013/SZ151000811</t>
  </si>
  <si>
    <t>CQC21107316250</t>
  </si>
  <si>
    <t xml:space="preserve"> 2021981114000741</t>
  </si>
  <si>
    <t>DZ13241510152/DZ13241510060/DZ13241510084/DZ13241510083/DZ13241510080/DZ13241510161</t>
  </si>
  <si>
    <t>CQC21107316243</t>
  </si>
  <si>
    <t xml:space="preserve"> 2021981114000748</t>
  </si>
  <si>
    <t>DZ13241500142/DZ13241510091/DZ13241510095/DZ13241510090/DZ13241510075/DZ13241510093</t>
  </si>
  <si>
    <t>CQC21107291664</t>
  </si>
  <si>
    <t>2021981114000334</t>
  </si>
  <si>
    <t xml:space="preserve"> 2021-04-29</t>
  </si>
  <si>
    <t>2031-04-28</t>
  </si>
  <si>
    <t>DZ15221519970/DZ15221519962/DZ15221519961/DZ15221519967/DZ15221519956/DZ15221519951/DZ15221519953/DZ15221519954/DZ15221519955</t>
  </si>
  <si>
    <t>CQC21107313552</t>
  </si>
  <si>
    <t xml:space="preserve"> 2021981114000731</t>
  </si>
  <si>
    <t>DZ14251510124/DZ14251510133</t>
  </si>
  <si>
    <t>CQC21107311255</t>
  </si>
  <si>
    <t xml:space="preserve"> 2021981114000729</t>
  </si>
  <si>
    <t>DZ15221510011/DZ15221519997/DZ15221519994/DZ15221510112/DZ15221510147/DZ15221510149/DZ15221510043/DZ15221510164/DZ15221511028</t>
  </si>
  <si>
    <t>CQC21107306493</t>
  </si>
  <si>
    <t xml:space="preserve"> 2021981114000609</t>
  </si>
  <si>
    <t>2021-08-11</t>
  </si>
  <si>
    <t>2031-08-10</t>
  </si>
  <si>
    <t>DZ15221519959</t>
  </si>
  <si>
    <t>CQC20013265572</t>
  </si>
  <si>
    <t xml:space="preserve"> 2020981114002431</t>
  </si>
  <si>
    <t xml:space="preserve"> 2020-09-30</t>
  </si>
  <si>
    <t xml:space="preserve"> 2030-09-29</t>
  </si>
  <si>
    <t>BZ14221510002/BZ14221510007/BZ14221510005/BZ14221510021</t>
  </si>
  <si>
    <t>CQC20013265573</t>
  </si>
  <si>
    <t xml:space="preserve"> 2020981114002429</t>
  </si>
  <si>
    <t>2020-09-30</t>
  </si>
  <si>
    <t>BZ14221510004/BZ14221510008</t>
  </si>
  <si>
    <t>CQC20013265574</t>
  </si>
  <si>
    <t xml:space="preserve"> 2020981114002428</t>
  </si>
  <si>
    <t>BZ14221510003/BZ14221510006</t>
  </si>
  <si>
    <t>CQC21107291665</t>
  </si>
  <si>
    <t>2021981114000333</t>
  </si>
  <si>
    <t xml:space="preserve"> 2031-04-28</t>
  </si>
  <si>
    <t>DZ15221510049/DZ15221510163/DZ15221511020/DZ15221519968/DZ15221519974/DZ15221519965/DZ15221510050</t>
  </si>
  <si>
    <t>CQC21107291754</t>
  </si>
  <si>
    <t xml:space="preserve"> 2021981114000336</t>
  </si>
  <si>
    <t>DZ15221519969/DZ15221519960/DZ15221519966/DZ15221519957</t>
  </si>
  <si>
    <t>CQC21107291666</t>
  </si>
  <si>
    <t xml:space="preserve"> 2021981114000335</t>
  </si>
  <si>
    <t>2021-04-29</t>
  </si>
  <si>
    <t>DZ15221519963/DZ15221519964/DZ15221519958</t>
  </si>
  <si>
    <t>CQC21107316247</t>
  </si>
  <si>
    <t xml:space="preserve"> 2021981114000744</t>
  </si>
  <si>
    <t>DZ13241510014/DZ13241510159/DZ13241510160/DZ14251510040/DZ13241510039</t>
  </si>
  <si>
    <t>CQC21107313551</t>
  </si>
  <si>
    <t>2021981114000755</t>
  </si>
  <si>
    <t xml:space="preserve"> 2021-10-15</t>
  </si>
  <si>
    <t>2031-10-14</t>
  </si>
  <si>
    <t>DZ14251510122/DZ14251510132/DZ14251510067</t>
  </si>
  <si>
    <t>CQC21107314341</t>
  </si>
  <si>
    <t xml:space="preserve"> 2021981114000730</t>
  </si>
  <si>
    <t>X3000-6800000/DZ14251510073/DZ13241510043/DZ13241510048/DZ14251510121/DZ14251510123/DZ14251510125/DZ14251510126/DZ14251510127/DZ14251510128/DZ14251510129/DZ14251510131/DZ14251510087</t>
  </si>
  <si>
    <t>CQC22107334393</t>
  </si>
  <si>
    <t xml:space="preserve"> 2022981114000175</t>
  </si>
  <si>
    <t xml:space="preserve"> 2022-03-23</t>
  </si>
  <si>
    <t xml:space="preserve"> 2032-03-22</t>
  </si>
  <si>
    <t>DZ16251510102</t>
  </si>
  <si>
    <t>CQC22107334394</t>
  </si>
  <si>
    <t xml:space="preserve"> 2022981114000174</t>
  </si>
  <si>
    <t>DZ16251510101</t>
  </si>
  <si>
    <t>基于型式试验+工厂自查</t>
  </si>
  <si>
    <t xml:space="preserve"> 2020001114000847</t>
  </si>
  <si>
    <t>2020-11-23</t>
  </si>
  <si>
    <t>2030-11-22</t>
  </si>
  <si>
    <t xml:space="preserve"> 驾驶员座椅总成 DZ15221510150</t>
  </si>
  <si>
    <t xml:space="preserve"> GB 15083-2019, GB11550-2009, GB 8410-2006, CNCA-C11-12: 2014</t>
  </si>
  <si>
    <t>已注销</t>
  </si>
  <si>
    <t>基于强制性产品认证结果</t>
  </si>
  <si>
    <t xml:space="preserve"> 2020971114005213</t>
  </si>
  <si>
    <t xml:space="preserve"> 2020-07-28</t>
  </si>
  <si>
    <t xml:space="preserve"> 2030-07-27</t>
  </si>
  <si>
    <t xml:space="preserve"> 右固定座椅总成DZ14251510092</t>
  </si>
  <si>
    <t xml:space="preserve"> GB 15083-2019,GB 8410-2006,GB 11550-2009,CNCA-C11-12:2014</t>
  </si>
  <si>
    <t>(2019091114004909)</t>
  </si>
  <si>
    <t>2020971114002489</t>
  </si>
  <si>
    <t>2020-04-09</t>
  </si>
  <si>
    <t xml:space="preserve"> 2030-04-08</t>
  </si>
  <si>
    <t xml:space="preserve"> 驾驶员座椅总成DZ14251510091, 驾驶员座椅总成DZ14251510095</t>
  </si>
  <si>
    <t>GB 11550-2009,GB 15083-2019,GB 8410-2006,CNCA-C11-12:2014</t>
  </si>
  <si>
    <t>(2019091114004908)</t>
  </si>
  <si>
    <t>2020971114005206</t>
  </si>
  <si>
    <t xml:space="preserve"> 副驾驶员座椅及头枕总成DZ15221519998, 副驾驶员座椅及头枕总成DZ15221510012, 副驾驶员座椅及头枕总成DZ15221510052, 副驾驶员座椅总成DZ15221510118, 副驾驶员座椅总成DZ15221510146, 副驾驶员座椅总成 DZ15221511022， 副驾驶员座椅总成 DZ15221510151</t>
  </si>
  <si>
    <t>(2014091114002325)</t>
  </si>
  <si>
    <t xml:space="preserve"> 2020971114002490</t>
  </si>
  <si>
    <t>左液压座椅及头枕总成DZ13241510013, 驾驶员座椅总成 SZ151000811</t>
  </si>
  <si>
    <t xml:space="preserve"> GB 11550-2009,GB 15083-2019,GB 8410-2006,CNCA-C11-12:2014</t>
  </si>
  <si>
    <t>(2012091114001902)</t>
  </si>
  <si>
    <t xml:space="preserve"> 2020971114005202</t>
  </si>
  <si>
    <t>右空气悬浮座椅及头枕总成DZ13241510142, 左空气悬浮座椅及头枕总成DZ13241510091, 左空气悬浮座椅及头枕总成DZ13241510095, 左空气悬浮座椅及头枕总成DZ13241510090, 左空气悬浮座椅及头枕总成DZ13241510075, 驾驶员座椅总成DZ13241510093</t>
  </si>
  <si>
    <t>(2012091114001900)</t>
  </si>
  <si>
    <t>2020971114005203</t>
  </si>
  <si>
    <t>左固定座椅及头枕总成 有防尘罩DZ13241510152, 副司机座椅及头枕总成 有防尘罩DZ13241510060, 副司机座椅及头枕总成 有防尘罩DZ13241510084, 副司机座椅及头枕总成 无防尘罩DZ13241510083, 副司机座椅及头枕总成 无防尘罩DZ13241510080</t>
  </si>
  <si>
    <t xml:space="preserve"> GB 15083-2019,GB 8410-2006,GB 11550-2009,CNCA-C11-12: 2014</t>
  </si>
  <si>
    <t>(2012091114001901)</t>
  </si>
  <si>
    <t>2020971114005204</t>
  </si>
  <si>
    <t>右固定座椅及头枕总成 DZ13241510014, 驾驶员座椅总成 DZ13241510159, 驾驶员座椅总成 DZ13241510160</t>
  </si>
  <si>
    <t>GB 15083-2019,GB 8410-2006,GB 11550-2009,CNCA-C11-12:2014</t>
  </si>
  <si>
    <t>(2012091114001903)</t>
  </si>
  <si>
    <t>2020971114005205</t>
  </si>
  <si>
    <t xml:space="preserve"> 驾驶员座椅及头枕总成（气囊减震）DZ15221510011, 驾驶员座椅及头枕总成（气囊）DZ15221519997, 驾驶员座椅总成（气囊减震）DZ15221519994, 驾驶员座椅总成（气囊减震）DZ15221510112, 驾驶员座椅总成（气囊减震）DZ15221510147, 驾驶员座椅总成 DZ15221510149</t>
  </si>
  <si>
    <t>(2014091114002324)</t>
  </si>
  <si>
    <t xml:space="preserve"> 2020971114005207</t>
  </si>
  <si>
    <t>驾驶员座椅及头枕总成DZ15221510013, 驾驶员座椅及头枕总成DZ15221510051, 驾驶员座椅及头枕总成DZ15221510115, 驾驶员座椅及头枕总成DZ15221510211, 驾驶员座椅及头枕总成DZ15221519995, 驾驶员座椅总成 DZ15221510148, 驾驶员座椅总成 DZ15221510179, 驾驶员座椅总成 DZ15221511021, 驾驶员座椅总成 DZ15221511027</t>
  </si>
  <si>
    <t>(2014091114002326)</t>
  </si>
  <si>
    <t xml:space="preserve"> 2020971114005208</t>
  </si>
  <si>
    <t xml:space="preserve"> 驾驶员座椅总成DZ15221510113, 驾驶员座椅总成DZ15221510111, 驾驶员座椅总成DZ15221511024, 驾驶员座椅总成DZ15221510157, 驾驶员座椅总成DZ15221510117, 驾驶员座椅总成DZ15221510137, 驾驶员座椅总成DZ15221510119, 驾驶员座椅总成DZ15221510138, 驾驶员座椅总成MZ15221510113, 驾驶员座椅总成MZ15221510014, 驾驶员座椅总成DZ15221510158, 驾驶员座椅总成DZ15221510145, 驾驶员座椅总成DZ15221510114, 驾驶员座椅总成DZ15221510161, 驾驶员座椅总成 DZ15221510183</t>
  </si>
  <si>
    <t>(2017091114003995)</t>
  </si>
  <si>
    <t xml:space="preserve"> 2020971114005209</t>
  </si>
  <si>
    <t>驾驶员座椅总成X3000-6800000, 驾驶员座椅总成DZ14251510073, 驾驶员座椅总成DZ13241510043, 驾驶员座椅总成DZ13241510048</t>
  </si>
  <si>
    <t>(2018091114004407)</t>
  </si>
  <si>
    <t>2020971114005210</t>
  </si>
  <si>
    <t xml:space="preserve"> 右固定座椅及头枕总成X3000-6900000, 右固定座椅及头枕总成DZ14251510067, 右固定座椅及头枕总成DZ13241510044</t>
  </si>
  <si>
    <t>(2018091114004408)</t>
  </si>
  <si>
    <t xml:space="preserve"> 2020971114005211</t>
  </si>
  <si>
    <t xml:space="preserve"> 陕汽重卡第三座椅总成DZ13241510201, 陕汽重卡中间座椅总成DZ13241510026</t>
  </si>
  <si>
    <t>GB 15083-2019,GB 8410-2006,CNCA-C11-12: 2014</t>
  </si>
  <si>
    <t>(2018091114004572)</t>
  </si>
  <si>
    <t>2020971114005212</t>
  </si>
  <si>
    <t xml:space="preserve"> 中间座椅总成DZ15221510049, 中间座椅总成DZ15221510163, 中间座椅总成 DZ15221511020</t>
  </si>
  <si>
    <t xml:space="preserve"> GB 15083-2019,GB 8410-2006,CNCA-C11-12:2014</t>
  </si>
  <si>
    <t>(2018091114004573)</t>
  </si>
  <si>
    <t xml:space="preserve"> 2020971114005214</t>
  </si>
  <si>
    <t>右固定座椅总成DZ13241510018, 右固定座椅总成DZ13241510019</t>
  </si>
  <si>
    <t>(2019091114020406)</t>
  </si>
  <si>
    <t>证书编号</t>
  </si>
  <si>
    <t>申请编号</t>
  </si>
  <si>
    <t>委托人</t>
  </si>
  <si>
    <t>制造商</t>
  </si>
  <si>
    <t>生产厂</t>
  </si>
  <si>
    <t>产品名称</t>
  </si>
  <si>
    <r>
      <rPr>
        <b/>
        <sz val="10"/>
        <rFont val="微软雅黑"/>
        <charset val="134"/>
      </rPr>
      <t>规格型号</t>
    </r>
  </si>
  <si>
    <t>发证日期</t>
  </si>
  <si>
    <t>首次发证日期</t>
  </si>
  <si>
    <t>证书到期日期</t>
  </si>
  <si>
    <t>证书状态</t>
  </si>
  <si>
    <t>车型</t>
  </si>
  <si>
    <r>
      <rPr>
        <b/>
        <sz val="10"/>
        <rFont val="宋体"/>
        <charset val="134"/>
      </rPr>
      <t>备注</t>
    </r>
    <r>
      <rPr>
        <b/>
        <sz val="10"/>
        <rFont val="Arial"/>
        <charset val="0"/>
      </rPr>
      <t>1</t>
    </r>
  </si>
  <si>
    <r>
      <rPr>
        <b/>
        <sz val="10"/>
        <rFont val="宋体"/>
        <charset val="134"/>
      </rPr>
      <t>备注</t>
    </r>
    <r>
      <rPr>
        <b/>
        <sz val="10"/>
        <rFont val="Arial"/>
        <charset val="0"/>
      </rPr>
      <t>2</t>
    </r>
  </si>
  <si>
    <r>
      <rPr>
        <b/>
        <sz val="10"/>
        <rFont val="宋体"/>
        <charset val="134"/>
      </rPr>
      <t>备注</t>
    </r>
    <r>
      <rPr>
        <b/>
        <sz val="10"/>
        <rFont val="Arial"/>
        <charset val="0"/>
      </rPr>
      <t>3</t>
    </r>
  </si>
  <si>
    <r>
      <rPr>
        <b/>
        <sz val="10"/>
        <rFont val="宋体"/>
        <charset val="134"/>
      </rPr>
      <t>备注</t>
    </r>
    <r>
      <rPr>
        <b/>
        <sz val="10"/>
        <rFont val="Arial"/>
        <charset val="0"/>
      </rPr>
      <t>4</t>
    </r>
  </si>
  <si>
    <r>
      <rPr>
        <b/>
        <sz val="10"/>
        <rFont val="Arial"/>
        <charset val="0"/>
      </rPr>
      <t>2023</t>
    </r>
    <r>
      <rPr>
        <b/>
        <sz val="10"/>
        <rFont val="宋体"/>
        <charset val="134"/>
      </rPr>
      <t>年</t>
    </r>
    <r>
      <rPr>
        <b/>
        <sz val="10"/>
        <rFont val="Arial"/>
        <charset val="0"/>
      </rPr>
      <t>10-12</t>
    </r>
    <r>
      <rPr>
        <b/>
        <sz val="10"/>
        <rFont val="宋体"/>
        <charset val="134"/>
      </rPr>
      <t>销量</t>
    </r>
  </si>
  <si>
    <r>
      <rPr>
        <b/>
        <sz val="10"/>
        <rFont val="Arial"/>
        <charset val="0"/>
      </rPr>
      <t>2024</t>
    </r>
    <r>
      <rPr>
        <b/>
        <sz val="10"/>
        <rFont val="宋体"/>
        <charset val="134"/>
      </rPr>
      <t>年</t>
    </r>
    <r>
      <rPr>
        <b/>
        <sz val="10"/>
        <rFont val="Arial"/>
        <charset val="0"/>
      </rPr>
      <t>1-8</t>
    </r>
    <r>
      <rPr>
        <b/>
        <sz val="10"/>
        <rFont val="宋体"/>
        <charset val="134"/>
      </rPr>
      <t>月销量</t>
    </r>
  </si>
  <si>
    <t>CQC20013271411</t>
  </si>
  <si>
    <t>V2023CQC107303-1119100</t>
  </si>
  <si>
    <t>河北光华荣昌汽车部件有限公司</t>
  </si>
  <si>
    <t>汽车座椅及头枕</t>
  </si>
  <si>
    <t>6800010EH26-C00</t>
  </si>
  <si>
    <t>2020-10-27</t>
  </si>
  <si>
    <t>2031-09-22</t>
  </si>
  <si>
    <t>有效</t>
  </si>
  <si>
    <t>J6F主驾</t>
  </si>
  <si>
    <t>V2022CQC107303-1029574：2022-12-01取消6800010DH26-C00，增加6800010AH95-C00</t>
  </si>
  <si>
    <t>V2023CQC107303-1053608：2023.3.8增加6800010LH26-C00</t>
  </si>
  <si>
    <r>
      <rPr>
        <sz val="10"/>
        <rFont val="Arial"/>
        <charset val="0"/>
      </rPr>
      <t xml:space="preserve">V2023CQC107303-1119100  
</t>
    </r>
    <r>
      <rPr>
        <b/>
        <sz val="10"/>
        <rFont val="Arial"/>
        <charset val="0"/>
      </rPr>
      <t>2023-09-18</t>
    </r>
    <r>
      <rPr>
        <sz val="10"/>
        <rFont val="Arial"/>
        <charset val="0"/>
      </rPr>
      <t xml:space="preserve">
</t>
    </r>
    <r>
      <rPr>
        <sz val="10"/>
        <rFont val="宋体"/>
        <charset val="0"/>
      </rPr>
      <t>增加</t>
    </r>
    <r>
      <rPr>
        <sz val="10"/>
        <rFont val="Arial"/>
        <charset val="0"/>
      </rPr>
      <t>BE411</t>
    </r>
    <r>
      <rPr>
        <sz val="10"/>
        <rFont val="宋体"/>
        <charset val="0"/>
      </rPr>
      <t>、</t>
    </r>
    <r>
      <rPr>
        <sz val="10"/>
        <rFont val="Arial"/>
        <charset val="0"/>
      </rPr>
      <t>MA95</t>
    </r>
  </si>
  <si>
    <t>6800010-H05-C00</t>
  </si>
  <si>
    <t>6800010-E411</t>
  </si>
  <si>
    <t>6800010AA95-C00</t>
  </si>
  <si>
    <t>6800010CH26-C00</t>
  </si>
  <si>
    <t>6800010JH26-C00</t>
  </si>
  <si>
    <t>6800010AH95-C00</t>
  </si>
  <si>
    <t>6800010LH26-C00</t>
  </si>
  <si>
    <t>6800010BE411</t>
  </si>
  <si>
    <t>6800010MA95</t>
  </si>
  <si>
    <t>CQC20013271403</t>
  </si>
  <si>
    <t>V2023CQC107303-1119099</t>
  </si>
  <si>
    <r>
      <rPr>
        <sz val="10"/>
        <rFont val="微软雅黑"/>
        <charset val="134"/>
      </rPr>
      <t>（</t>
    </r>
    <r>
      <rPr>
        <sz val="10"/>
        <rFont val="Arial"/>
        <charset val="0"/>
      </rPr>
      <t>6905020CH26-C00 6905100-H26-C00 6903010AH26-C00 6900015-H26-C00</t>
    </r>
    <r>
      <rPr>
        <sz val="10"/>
        <rFont val="微软雅黑"/>
        <charset val="134"/>
      </rPr>
      <t>）</t>
    </r>
  </si>
  <si>
    <t>一汽轻卡减震副驾</t>
  </si>
  <si>
    <t>V2022CQC107303-1029112：2022-11-30 增加(6905020-H95-C00 6905100-H95-C00 6903010-H95-C00 6900015-H26-C00)/(6905020-H95-C00 6905100-H87-C00 6903010-H87-C00 6900015-H26-C00)</t>
  </si>
  <si>
    <t>V2023CQC107303-1100832 ：2023-07-25增加（6905020AE411 6905100AE411 6903010AE411 6900015-H26-C00）/（6905020MA96 6905100MA98 6903010MA98 6900015-H26-C00）/（6905020MA96 6905100MA96 6903010MA96 6900015-H26-C00）；</t>
  </si>
  <si>
    <r>
      <rPr>
        <sz val="10"/>
        <rFont val="宋体"/>
        <charset val="0"/>
      </rPr>
      <t xml:space="preserve">V2023CQC107303-1119099
</t>
    </r>
    <r>
      <rPr>
        <b/>
        <sz val="10"/>
        <rFont val="宋体"/>
        <charset val="0"/>
      </rPr>
      <t>2023-09-18</t>
    </r>
    <r>
      <rPr>
        <sz val="10"/>
        <rFont val="宋体"/>
        <charset val="0"/>
      </rPr>
      <t>增加型号：（</t>
    </r>
    <r>
      <rPr>
        <sz val="10"/>
        <rFont val="Arial"/>
        <charset val="0"/>
      </rPr>
      <t>6905020MA95 6905100MA95 6903010MA95 6900015-H26-C00</t>
    </r>
    <r>
      <rPr>
        <sz val="10"/>
        <rFont val="宋体"/>
        <charset val="0"/>
      </rPr>
      <t>）</t>
    </r>
  </si>
  <si>
    <r>
      <rPr>
        <sz val="10"/>
        <rFont val="微软雅黑"/>
        <charset val="134"/>
      </rPr>
      <t>（</t>
    </r>
    <r>
      <rPr>
        <sz val="10"/>
        <rFont val="Arial"/>
        <charset val="0"/>
      </rPr>
      <t>6905020BH26-C00 6905100-H26-C00 6903010-H26-C00 6900015-H26-C00</t>
    </r>
    <r>
      <rPr>
        <sz val="10"/>
        <rFont val="微软雅黑"/>
        <charset val="134"/>
      </rPr>
      <t>）</t>
    </r>
  </si>
  <si>
    <r>
      <rPr>
        <sz val="10"/>
        <rFont val="微软雅黑"/>
        <charset val="134"/>
      </rPr>
      <t>（</t>
    </r>
    <r>
      <rPr>
        <sz val="10"/>
        <rFont val="Arial"/>
        <charset val="0"/>
      </rPr>
      <t xml:space="preserve"> 6905020-H05-C00 6905100-H05-C00 6903010-H05-C00 6900015-H26-C00</t>
    </r>
    <r>
      <rPr>
        <sz val="10"/>
        <rFont val="微软雅黑"/>
        <charset val="134"/>
      </rPr>
      <t>）</t>
    </r>
  </si>
  <si>
    <r>
      <rPr>
        <sz val="10"/>
        <rFont val="微软雅黑"/>
        <charset val="134"/>
      </rPr>
      <t>（</t>
    </r>
    <r>
      <rPr>
        <sz val="10"/>
        <rFont val="Arial"/>
        <charset val="0"/>
      </rPr>
      <t>6905020-E411 6905100-E411 6903010-E411 6900015-H26-C00</t>
    </r>
    <r>
      <rPr>
        <sz val="10"/>
        <rFont val="微软雅黑"/>
        <charset val="134"/>
      </rPr>
      <t>）</t>
    </r>
  </si>
  <si>
    <r>
      <rPr>
        <sz val="10"/>
        <rFont val="微软雅黑"/>
        <charset val="134"/>
      </rPr>
      <t>（</t>
    </r>
    <r>
      <rPr>
        <sz val="10"/>
        <rFont val="Arial"/>
        <charset val="0"/>
      </rPr>
      <t>6905020CH26-C00 6905100-H22-C00 6903010AH22-C00 6900015-H26-C00</t>
    </r>
    <r>
      <rPr>
        <sz val="10"/>
        <rFont val="微软雅黑"/>
        <charset val="134"/>
      </rPr>
      <t>）</t>
    </r>
  </si>
  <si>
    <r>
      <rPr>
        <sz val="10"/>
        <rFont val="微软雅黑"/>
        <charset val="134"/>
      </rPr>
      <t>（</t>
    </r>
    <r>
      <rPr>
        <sz val="10"/>
        <rFont val="Arial"/>
        <charset val="0"/>
      </rPr>
      <t>6905020BH26-C00 6905100-H22-C00 6903010-H22-C00 6900015-H26-C00</t>
    </r>
    <r>
      <rPr>
        <sz val="10"/>
        <rFont val="微软雅黑"/>
        <charset val="134"/>
      </rPr>
      <t>）</t>
    </r>
  </si>
  <si>
    <r>
      <rPr>
        <sz val="10"/>
        <rFont val="微软雅黑"/>
        <charset val="134"/>
      </rPr>
      <t>（</t>
    </r>
    <r>
      <rPr>
        <sz val="10"/>
        <rFont val="Arial"/>
        <charset val="0"/>
      </rPr>
      <t>6905020BA95-C00 6905100BA95-C00 6903010BA95-C00 6900015-H26-C00)</t>
    </r>
  </si>
  <si>
    <t>( 6900501BA95-C00 6905100AA97-C00 6903010AA97-C00 6900015-H26-C00)</t>
  </si>
  <si>
    <t>(6905020-H95-C00 6905100-H95-C00 6903010-H95-C00 6900015-H26-C00)</t>
  </si>
  <si>
    <t>(6905020-H95-C00 6905100-H87-C00 6903010-H87-C00 6900015-H26-C00)</t>
  </si>
  <si>
    <r>
      <rPr>
        <sz val="10"/>
        <rFont val="微软雅黑"/>
        <charset val="134"/>
      </rPr>
      <t>（</t>
    </r>
    <r>
      <rPr>
        <sz val="10"/>
        <rFont val="Arial"/>
        <charset val="0"/>
      </rPr>
      <t>6905020AE411 6905100AE411 6903010AE411 6900015-H26-C00</t>
    </r>
    <r>
      <rPr>
        <sz val="10"/>
        <rFont val="微软雅黑"/>
        <charset val="134"/>
      </rPr>
      <t>）</t>
    </r>
  </si>
  <si>
    <r>
      <rPr>
        <sz val="10"/>
        <rFont val="微软雅黑"/>
        <charset val="134"/>
      </rPr>
      <t>（</t>
    </r>
    <r>
      <rPr>
        <sz val="10"/>
        <rFont val="Arial"/>
        <charset val="0"/>
      </rPr>
      <t>6905020MA96 6905100MA98 6903010MA98 6900015-H26-C00</t>
    </r>
    <r>
      <rPr>
        <sz val="10"/>
        <rFont val="微软雅黑"/>
        <charset val="134"/>
      </rPr>
      <t>）</t>
    </r>
  </si>
  <si>
    <r>
      <rPr>
        <sz val="10"/>
        <rFont val="微软雅黑"/>
        <charset val="134"/>
      </rPr>
      <t>（</t>
    </r>
    <r>
      <rPr>
        <sz val="10"/>
        <rFont val="Arial"/>
        <charset val="0"/>
      </rPr>
      <t>6905020MA96 6905100MA96 6903010MA96 6900015-H26-C00</t>
    </r>
    <r>
      <rPr>
        <sz val="10"/>
        <rFont val="微软雅黑"/>
        <charset val="134"/>
      </rPr>
      <t>）</t>
    </r>
  </si>
  <si>
    <r>
      <rPr>
        <sz val="10"/>
        <rFont val="宋体"/>
        <charset val="134"/>
      </rPr>
      <t>（</t>
    </r>
    <r>
      <rPr>
        <sz val="10"/>
        <rFont val="Arial"/>
        <charset val="134"/>
      </rPr>
      <t>6905020MA95 6905100MA95 6903010MA95 6900015-H26-C00</t>
    </r>
    <r>
      <rPr>
        <sz val="10"/>
        <rFont val="宋体"/>
        <charset val="134"/>
      </rPr>
      <t>）</t>
    </r>
  </si>
  <si>
    <t>CQC21107321604</t>
  </si>
  <si>
    <t>V2023CQC107303-1100833</t>
  </si>
  <si>
    <t>6800010HH26-C00</t>
  </si>
  <si>
    <t>2021-11-25</t>
  </si>
  <si>
    <t>2031-11-25</t>
  </si>
  <si>
    <t>一汽轻卡减震主驾</t>
  </si>
  <si>
    <t>V2022CQC107303-1029111 ：2022-11-30增加6800010DH26-C00/6800010-H95-C00</t>
  </si>
  <si>
    <t>V2023CQC107303-1100833：2023-07-25增加6800010MA96/6800010MA98</t>
  </si>
  <si>
    <t>6800010BH26-C00</t>
  </si>
  <si>
    <t>6800010CA95-C00</t>
  </si>
  <si>
    <t>6800010DH26-C00</t>
  </si>
  <si>
    <t>6800010-H95-C00</t>
  </si>
  <si>
    <t>6800010MA96</t>
  </si>
  <si>
    <t>6800010MA98</t>
  </si>
  <si>
    <t>CQC22107332353</t>
  </si>
  <si>
    <t>V2024CQC107303-1259821</t>
  </si>
  <si>
    <t>A9609109720</t>
  </si>
  <si>
    <t>2024-09-09</t>
  </si>
  <si>
    <t>2022-03-03</t>
  </si>
  <si>
    <t>2032-03-02</t>
  </si>
  <si>
    <t>H6高配主驾</t>
  </si>
  <si>
    <t>V2022CQC107303-1037264：2022-12-29增加A9609100753</t>
  </si>
  <si>
    <r>
      <rPr>
        <sz val="10"/>
        <rFont val="Arial"/>
        <charset val="0"/>
      </rPr>
      <t xml:space="preserve">V2024CQC107303-1259821
</t>
    </r>
    <r>
      <rPr>
        <b/>
        <sz val="10"/>
        <rFont val="Arial"/>
        <charset val="0"/>
      </rPr>
      <t>2024-08-16</t>
    </r>
    <r>
      <rPr>
        <sz val="10"/>
        <rFont val="Arial"/>
        <charset val="0"/>
      </rPr>
      <t xml:space="preserve">
</t>
    </r>
    <r>
      <rPr>
        <sz val="10"/>
        <rFont val="宋体"/>
        <charset val="0"/>
      </rPr>
      <t>增加其他座椅</t>
    </r>
  </si>
  <si>
    <t>A9609109820</t>
  </si>
  <si>
    <t>A9609100753</t>
  </si>
  <si>
    <t>CQC21107321763</t>
  </si>
  <si>
    <t>V2024CQC107304-1234801</t>
  </si>
  <si>
    <t>汽车后视镜</t>
  </si>
  <si>
    <t>8219010-A95-C00</t>
  </si>
  <si>
    <t>GB 15084-2022</t>
  </si>
  <si>
    <t>2021-11-23</t>
  </si>
  <si>
    <t>2031-11-23</t>
  </si>
  <si>
    <t>M46汽车补盲镜</t>
  </si>
  <si>
    <r>
      <rPr>
        <sz val="10"/>
        <rFont val="Arial"/>
        <charset val="0"/>
      </rPr>
      <t xml:space="preserve">V2024CQC107304-1234801 
</t>
    </r>
    <r>
      <rPr>
        <b/>
        <sz val="10"/>
        <rFont val="Arial"/>
        <charset val="0"/>
      </rPr>
      <t>2024-06-24</t>
    </r>
    <r>
      <rPr>
        <sz val="10"/>
        <rFont val="Arial"/>
        <charset val="0"/>
      </rPr>
      <t xml:space="preserve">
GB15084</t>
    </r>
    <r>
      <rPr>
        <sz val="10"/>
        <rFont val="宋体"/>
        <charset val="0"/>
      </rPr>
      <t>标准变更</t>
    </r>
  </si>
  <si>
    <t>CQC21107321762</t>
  </si>
  <si>
    <t>8219020-M46-C00</t>
  </si>
  <si>
    <t>M46汽车前下镜</t>
  </si>
  <si>
    <t>CQC21107321761</t>
  </si>
  <si>
    <t>8202015-M46-C00</t>
  </si>
  <si>
    <t>M46汽车外后视镜</t>
  </si>
  <si>
    <t>8202020-M46-C00</t>
  </si>
  <si>
    <t>CQC22107332351</t>
  </si>
  <si>
    <t>V2024CQC107303-1259822</t>
  </si>
  <si>
    <t>A9609109520</t>
  </si>
  <si>
    <t>H6标配主驾</t>
  </si>
  <si>
    <r>
      <rPr>
        <sz val="10"/>
        <rFont val="Arial"/>
        <charset val="0"/>
      </rPr>
      <t xml:space="preserve">V2024CQC107303-1259822
</t>
    </r>
    <r>
      <rPr>
        <b/>
        <sz val="10"/>
        <rFont val="Arial"/>
        <charset val="0"/>
      </rPr>
      <t xml:space="preserve">2024-08-16
</t>
    </r>
    <r>
      <rPr>
        <sz val="10"/>
        <rFont val="宋体"/>
        <charset val="0"/>
      </rPr>
      <t>增加同种座椅</t>
    </r>
  </si>
  <si>
    <t>A9609109620</t>
  </si>
  <si>
    <t>A9609109920</t>
  </si>
  <si>
    <t>CQC22107332352</t>
  </si>
  <si>
    <t>V2024CQC107303-1259820</t>
  </si>
  <si>
    <t>A9609103909</t>
  </si>
  <si>
    <r>
      <rPr>
        <sz val="10"/>
        <rFont val="Arial"/>
        <charset val="0"/>
      </rPr>
      <t>H6</t>
    </r>
    <r>
      <rPr>
        <sz val="10"/>
        <rFont val="宋体"/>
        <charset val="134"/>
      </rPr>
      <t>副驾</t>
    </r>
  </si>
  <si>
    <r>
      <rPr>
        <sz val="10"/>
        <rFont val="Arial"/>
        <charset val="0"/>
      </rPr>
      <t xml:space="preserve">V2024CQC107303-1259820 
</t>
    </r>
    <r>
      <rPr>
        <b/>
        <sz val="10"/>
        <rFont val="Arial"/>
        <charset val="0"/>
      </rPr>
      <t>2024-08-16</t>
    </r>
    <r>
      <rPr>
        <sz val="10"/>
        <rFont val="Arial"/>
        <charset val="0"/>
      </rPr>
      <t xml:space="preserve">
</t>
    </r>
    <r>
      <rPr>
        <sz val="10"/>
        <rFont val="宋体"/>
        <charset val="0"/>
      </rPr>
      <t>增加其他座椅</t>
    </r>
  </si>
  <si>
    <t>CQC20013271405</t>
  </si>
  <si>
    <t>V2022CQC013004-993502</t>
  </si>
  <si>
    <t>M4681010104A0</t>
  </si>
  <si>
    <t>2022-10-10</t>
  </si>
  <si>
    <r>
      <rPr>
        <sz val="10"/>
        <rFont val="Arial"/>
        <charset val="0"/>
      </rPr>
      <t>M4</t>
    </r>
    <r>
      <rPr>
        <sz val="10"/>
        <rFont val="宋体"/>
        <charset val="134"/>
      </rPr>
      <t>中重卡气囊减震司机座椅</t>
    </r>
  </si>
  <si>
    <t>CQC20013271404</t>
  </si>
  <si>
    <t>V2024CQC107303-1165167</t>
  </si>
  <si>
    <t>M4681020101A0</t>
  </si>
  <si>
    <t>M4中重卡副司机座椅</t>
  </si>
  <si>
    <r>
      <rPr>
        <sz val="10"/>
        <rFont val="Arial"/>
        <charset val="0"/>
      </rPr>
      <t xml:space="preserve">V2024CQC107303-1165167
</t>
    </r>
    <r>
      <rPr>
        <b/>
        <sz val="10"/>
        <rFont val="Arial"/>
        <charset val="0"/>
      </rPr>
      <t>2024-02-01</t>
    </r>
    <r>
      <rPr>
        <sz val="10"/>
        <rFont val="Arial"/>
        <charset val="0"/>
      </rPr>
      <t xml:space="preserve">
</t>
    </r>
    <r>
      <rPr>
        <sz val="10"/>
        <rFont val="宋体"/>
        <charset val="0"/>
      </rPr>
      <t>增加</t>
    </r>
    <r>
      <rPr>
        <sz val="10"/>
        <rFont val="Arial"/>
        <charset val="0"/>
      </rPr>
      <t>M468</t>
    </r>
    <r>
      <rPr>
        <b/>
        <sz val="10"/>
        <rFont val="Arial"/>
        <charset val="0"/>
      </rPr>
      <t>1-B</t>
    </r>
  </si>
  <si>
    <t>M4681-B</t>
  </si>
  <si>
    <t>CQC20013271406</t>
  </si>
  <si>
    <t>V2024CQC107303-1165171</t>
  </si>
  <si>
    <t>M4681010101A0</t>
  </si>
  <si>
    <t>M4中重卡机械减震司机座椅</t>
  </si>
  <si>
    <r>
      <rPr>
        <sz val="10"/>
        <rFont val="Arial"/>
        <charset val="0"/>
      </rPr>
      <t xml:space="preserve">V2024CQC107303-1165171
</t>
    </r>
    <r>
      <rPr>
        <b/>
        <sz val="10"/>
        <rFont val="Arial"/>
        <charset val="0"/>
      </rPr>
      <t xml:space="preserve">2024-02-01
</t>
    </r>
    <r>
      <rPr>
        <sz val="10"/>
        <rFont val="宋体"/>
        <charset val="0"/>
      </rPr>
      <t>增加</t>
    </r>
    <r>
      <rPr>
        <sz val="10"/>
        <rFont val="Arial"/>
        <charset val="0"/>
      </rPr>
      <t>M4681-A</t>
    </r>
  </si>
  <si>
    <t>M4681-A</t>
  </si>
  <si>
    <t>CQC20013271407</t>
  </si>
  <si>
    <t xml:space="preserve">V2024CQC107303-1262255 </t>
  </si>
  <si>
    <t>L1681020112A0</t>
  </si>
  <si>
    <t>1730副座</t>
  </si>
  <si>
    <r>
      <rPr>
        <sz val="10"/>
        <rFont val="Arial"/>
        <charset val="0"/>
      </rPr>
      <t xml:space="preserve">V2023CQC107303-1131840 
</t>
    </r>
    <r>
      <rPr>
        <b/>
        <sz val="10"/>
        <rFont val="Arial"/>
        <charset val="0"/>
      </rPr>
      <t xml:space="preserve">2023-11-03 
</t>
    </r>
    <r>
      <rPr>
        <sz val="10"/>
        <rFont val="宋体"/>
        <charset val="0"/>
      </rPr>
      <t>增加</t>
    </r>
    <r>
      <rPr>
        <sz val="10"/>
        <rFont val="Arial"/>
        <charset val="0"/>
      </rPr>
      <t xml:space="preserve">54/57 </t>
    </r>
  </si>
  <si>
    <r>
      <rPr>
        <sz val="10"/>
        <rFont val="Arial"/>
        <charset val="0"/>
      </rPr>
      <t xml:space="preserve">V2024CQC107303-1262255 
</t>
    </r>
    <r>
      <rPr>
        <b/>
        <sz val="10"/>
        <rFont val="Arial"/>
        <charset val="0"/>
      </rPr>
      <t xml:space="preserve">2024-08-23
</t>
    </r>
    <r>
      <rPr>
        <sz val="10"/>
        <rFont val="宋体"/>
        <charset val="0"/>
      </rPr>
      <t>增加</t>
    </r>
    <r>
      <rPr>
        <sz val="10"/>
        <rFont val="Arial"/>
        <charset val="0"/>
      </rPr>
      <t>644/647</t>
    </r>
  </si>
  <si>
    <t>L168100000095</t>
  </si>
  <si>
    <t>L1681020114A0</t>
  </si>
  <si>
    <t>L168100000097</t>
  </si>
  <si>
    <t>L168100000041</t>
  </si>
  <si>
    <t>L1681020116A0</t>
  </si>
  <si>
    <t>L168100000094</t>
  </si>
  <si>
    <t>L168100000554</t>
  </si>
  <si>
    <t>L168100000557</t>
  </si>
  <si>
    <t>L168100000644</t>
  </si>
  <si>
    <t>L168100000647</t>
  </si>
  <si>
    <t>CQC20013271408</t>
  </si>
  <si>
    <t>V2024CQC107303-1262254</t>
  </si>
  <si>
    <t>L1681010104A0</t>
  </si>
  <si>
    <t>M4QKZY-01</t>
  </si>
  <si>
    <r>
      <rPr>
        <sz val="10"/>
        <rFont val="Arial"/>
        <charset val="0"/>
      </rPr>
      <t xml:space="preserve">V2023CQC107303-1131839 
</t>
    </r>
    <r>
      <rPr>
        <b/>
        <sz val="10"/>
        <rFont val="Arial"/>
        <charset val="0"/>
      </rPr>
      <t xml:space="preserve">2023-11-03
</t>
    </r>
    <r>
      <rPr>
        <sz val="10"/>
        <rFont val="宋体"/>
        <charset val="0"/>
      </rPr>
      <t>增加</t>
    </r>
    <r>
      <rPr>
        <sz val="10"/>
        <rFont val="Arial"/>
        <charset val="0"/>
      </rPr>
      <t>553</t>
    </r>
  </si>
  <si>
    <r>
      <rPr>
        <sz val="10"/>
        <rFont val="Arial"/>
        <charset val="0"/>
      </rPr>
      <t xml:space="preserve">V2024CQC107303-1262254  
</t>
    </r>
    <r>
      <rPr>
        <b/>
        <sz val="10"/>
        <rFont val="Arial"/>
        <charset val="0"/>
      </rPr>
      <t>2024-08-23</t>
    </r>
    <r>
      <rPr>
        <sz val="10"/>
        <rFont val="Arial"/>
        <charset val="0"/>
      </rPr>
      <t xml:space="preserve">
</t>
    </r>
    <r>
      <rPr>
        <sz val="10"/>
        <rFont val="宋体"/>
        <charset val="0"/>
      </rPr>
      <t>增加</t>
    </r>
    <r>
      <rPr>
        <sz val="10"/>
        <rFont val="Arial"/>
        <charset val="0"/>
      </rPr>
      <t>643</t>
    </r>
  </si>
  <si>
    <t>L168100000096</t>
  </si>
  <si>
    <t>L168100000023</t>
  </si>
  <si>
    <t>L168100000553</t>
  </si>
  <si>
    <t>L168100000643</t>
  </si>
  <si>
    <t>CQC20013271412</t>
  </si>
  <si>
    <t>V2022CQC013004-993500</t>
  </si>
  <si>
    <r>
      <rPr>
        <sz val="10"/>
        <rFont val="微软雅黑"/>
        <charset val="134"/>
      </rPr>
      <t>（</t>
    </r>
    <r>
      <rPr>
        <sz val="10"/>
        <rFont val="Arial"/>
        <charset val="0"/>
      </rPr>
      <t xml:space="preserve">6905020AH26-C00 6905100-H26-C00 6903010AH26-C00 6900015-H26-C00 </t>
    </r>
    <r>
      <rPr>
        <sz val="10"/>
        <rFont val="微软雅黑"/>
        <charset val="134"/>
      </rPr>
      <t>）</t>
    </r>
  </si>
  <si>
    <t>J7F副驾</t>
  </si>
  <si>
    <r>
      <rPr>
        <sz val="10"/>
        <rFont val="微软雅黑"/>
        <charset val="134"/>
      </rPr>
      <t>（</t>
    </r>
    <r>
      <rPr>
        <sz val="10"/>
        <rFont val="Arial"/>
        <charset val="0"/>
      </rPr>
      <t xml:space="preserve">6905020-H26-C00 6905100-H26-C00 6903010-H26-C00 6900015-H26-C00 </t>
    </r>
    <r>
      <rPr>
        <sz val="10"/>
        <rFont val="微软雅黑"/>
        <charset val="134"/>
      </rPr>
      <t>）</t>
    </r>
  </si>
  <si>
    <r>
      <rPr>
        <sz val="10"/>
        <rFont val="微软雅黑"/>
        <charset val="134"/>
      </rPr>
      <t>（</t>
    </r>
    <r>
      <rPr>
        <sz val="10"/>
        <rFont val="Arial"/>
        <charset val="0"/>
      </rPr>
      <t xml:space="preserve">6905020AH26-C00 6905100-H22-C00 6903010AH22-C00 6900015-H26-C00 </t>
    </r>
    <r>
      <rPr>
        <sz val="10"/>
        <rFont val="微软雅黑"/>
        <charset val="134"/>
      </rPr>
      <t>）</t>
    </r>
  </si>
  <si>
    <r>
      <rPr>
        <sz val="10"/>
        <rFont val="微软雅黑"/>
        <charset val="134"/>
      </rPr>
      <t>（</t>
    </r>
    <r>
      <rPr>
        <sz val="10"/>
        <rFont val="Arial"/>
        <charset val="0"/>
      </rPr>
      <t>6905020-H26-C00 6905100-H22-C00 6903010-H22-C00 6900015-H26-C00</t>
    </r>
  </si>
  <si>
    <t>CQC20013271413</t>
  </si>
  <si>
    <t>6800010-H26-C00</t>
  </si>
  <si>
    <t>J7F主驾</t>
  </si>
  <si>
    <t>6800010AH26-C00</t>
  </si>
  <si>
    <t>6800010FH26-C00</t>
  </si>
  <si>
    <t>6800010GH26-C00</t>
  </si>
  <si>
    <t>CQC22107344422</t>
  </si>
  <si>
    <t>V2022CQC107303-979304</t>
  </si>
  <si>
    <t>2022-08-26</t>
  </si>
  <si>
    <t>2022-06-06</t>
  </si>
  <si>
    <t>2032-06-05</t>
  </si>
  <si>
    <t>北奔H20副驾</t>
  </si>
  <si>
    <t>CQC22107344429</t>
  </si>
  <si>
    <t>V2024CQC107303-1219851</t>
  </si>
  <si>
    <t>北奔H20主驾</t>
  </si>
  <si>
    <r>
      <rPr>
        <sz val="10"/>
        <rFont val="Arial"/>
        <charset val="0"/>
      </rPr>
      <t xml:space="preserve">V2024CQC107303-1219851
</t>
    </r>
    <r>
      <rPr>
        <b/>
        <sz val="10"/>
        <rFont val="Arial"/>
        <charset val="0"/>
      </rPr>
      <t xml:space="preserve">2024-05-23
</t>
    </r>
    <r>
      <rPr>
        <sz val="10"/>
        <rFont val="宋体"/>
        <charset val="0"/>
      </rPr>
      <t>增加型号</t>
    </r>
  </si>
  <si>
    <t>CQC22107330953</t>
  </si>
  <si>
    <t>V2023CQC107304-1092323</t>
  </si>
  <si>
    <r>
      <rPr>
        <sz val="10"/>
        <rFont val="Arial"/>
        <charset val="0"/>
      </rPr>
      <t>A9608106619</t>
    </r>
    <r>
      <rPr>
        <sz val="10"/>
        <rFont val="微软雅黑"/>
        <charset val="134"/>
      </rPr>
      <t>（</t>
    </r>
    <r>
      <rPr>
        <sz val="10"/>
        <rFont val="Arial"/>
        <charset val="0"/>
      </rPr>
      <t>REM0010146</t>
    </r>
    <r>
      <rPr>
        <sz val="10"/>
        <rFont val="微软雅黑"/>
        <charset val="134"/>
      </rPr>
      <t>）</t>
    </r>
  </si>
  <si>
    <t>2023-07-12</t>
  </si>
  <si>
    <t>2022-02-14</t>
  </si>
  <si>
    <t>2032-02-14</t>
  </si>
  <si>
    <t>H6外后视镜</t>
  </si>
  <si>
    <t>V2023CQC107304-1092323：2023-06-29 GB15084变更</t>
  </si>
  <si>
    <r>
      <rPr>
        <sz val="10"/>
        <rFont val="Arial"/>
        <charset val="0"/>
      </rPr>
      <t>A9608106519</t>
    </r>
    <r>
      <rPr>
        <sz val="10"/>
        <rFont val="微软雅黑"/>
        <charset val="134"/>
      </rPr>
      <t>（</t>
    </r>
    <r>
      <rPr>
        <sz val="10"/>
        <rFont val="Arial"/>
        <charset val="0"/>
      </rPr>
      <t>REM0010206</t>
    </r>
    <r>
      <rPr>
        <sz val="10"/>
        <rFont val="微软雅黑"/>
        <charset val="134"/>
      </rPr>
      <t>）</t>
    </r>
  </si>
  <si>
    <t>CQC22107330954</t>
  </si>
  <si>
    <t>V2023CQC107304-1092322</t>
  </si>
  <si>
    <r>
      <rPr>
        <sz val="10"/>
        <rFont val="Arial"/>
        <charset val="0"/>
      </rPr>
      <t>A0028107516</t>
    </r>
    <r>
      <rPr>
        <sz val="10"/>
        <rFont val="微软雅黑"/>
        <charset val="134"/>
      </rPr>
      <t>（</t>
    </r>
    <r>
      <rPr>
        <sz val="10"/>
        <rFont val="Arial"/>
        <charset val="0"/>
      </rPr>
      <t>RSM0010035</t>
    </r>
    <r>
      <rPr>
        <sz val="10"/>
        <rFont val="微软雅黑"/>
        <charset val="134"/>
      </rPr>
      <t>）</t>
    </r>
  </si>
  <si>
    <t>H6补盲镜</t>
  </si>
  <si>
    <r>
      <rPr>
        <sz val="10"/>
        <rFont val="Arial"/>
        <charset val="0"/>
      </rPr>
      <t>A0028107616</t>
    </r>
    <r>
      <rPr>
        <sz val="10"/>
        <rFont val="微软雅黑"/>
        <charset val="134"/>
      </rPr>
      <t>（</t>
    </r>
    <r>
      <rPr>
        <sz val="10"/>
        <rFont val="Arial"/>
        <charset val="0"/>
      </rPr>
      <t>RSM0010073</t>
    </r>
    <r>
      <rPr>
        <sz val="10"/>
        <rFont val="微软雅黑"/>
        <charset val="134"/>
      </rPr>
      <t>）</t>
    </r>
  </si>
  <si>
    <t>河北光华荣昌自愿性认证+自我声明清单</t>
  </si>
  <si>
    <t>有效期至</t>
  </si>
  <si>
    <t>二维码</t>
  </si>
  <si>
    <t>强检报告</t>
  </si>
  <si>
    <t>头枕报告</t>
  </si>
  <si>
    <t>有效期</t>
  </si>
  <si>
    <t>2020001110000128</t>
  </si>
  <si>
    <t>84703DG3500-000 8201110A-MA501 FNB8201200
M20内视镜 MA501内视镜 内视镜总成</t>
  </si>
  <si>
    <t>CCAP2022091110020180</t>
  </si>
  <si>
    <t>2022981110000047</t>
  </si>
  <si>
    <t>T7H左后视镜总成(含广角镜) RC775503(WG1664778091/2), T7H右后视镜总成(含广角镜) RC775504(WG1664778092/2), T7H中宽体左后视镜总成(含广角镜) RC775503(WG1664778041/2), T7H中宽体右后视镜总成(含广角镜) RC775504(WG1664778042/2), C7左后视镜总成(含广角镜) RC775503(712W63730-7021/2), C7右后视镜总成(含广角镜) RC775504(712W63730-7025/2), T7H左后视镜总成(电动) (含广角镜) RC775503(WG1664778081/2), T7H右后视镜总成(电动) (含广角镜) RC775504(WG1664778082/2), T7H中宽体左后视镜总成(电动)(含广角镜) RC775503（WG1664778021/2）, T7H中宽体右后视镜总成(电动)(含广角镜) RC775504(WG1664778022/2), C7左后视镜总成（电动）(含广角镜) RC775503(712W63730-0021/2), C7右后视镜总成（电动）(含广角镜) RC775504(712W63730-0025/2), C7宽体左后视镜总成（电动）(含广角镜) RC775503(712W63730-0001/2), C7宽体右后视镜总成（电动）(含广角镜) RC775504(712W63730-0005/2)</t>
  </si>
  <si>
    <t>CCAP2022091110020174</t>
  </si>
  <si>
    <t>2022981110000053</t>
  </si>
  <si>
    <t>豪泺补盲镜 WG1642770099/3</t>
  </si>
  <si>
    <t>CCAP2022091110020175</t>
  </si>
  <si>
    <t>2022981110000052</t>
  </si>
  <si>
    <t>N07补盲镜WG1664771040-RC770003</t>
  </si>
  <si>
    <t>CAP2022091110020176</t>
  </si>
  <si>
    <t>2022981110000051</t>
  </si>
  <si>
    <t>T7补盲镜WG1664771041</t>
  </si>
  <si>
    <t>CCAP2022091110020177</t>
  </si>
  <si>
    <t>2022981110000050</t>
  </si>
  <si>
    <t>曼项目前下视镜812W63730-6656</t>
  </si>
  <si>
    <t>CCAP2022091110020178</t>
  </si>
  <si>
    <t>2022981110000049</t>
  </si>
  <si>
    <t>曼项目补盲镜712W63730-6573</t>
  </si>
  <si>
    <t>CCAP2022091110020179</t>
  </si>
  <si>
    <t>2022981110000048</t>
  </si>
  <si>
    <t>豪泺电加热左后视镜(含广角镜)TG16427700030/1, 豪泺电加热右后视镜(含广角镜)TG16427700040/1, 矿山车左后视镜(含广角镜)TG16427700010/1, 矿山车右后视镜(含广角镜)TG16427700020/1, 低速牵引车左后视镜(含广角镜)TZ16057700010, 北奔左置左后视镜(含广角镜)500 810 0916, 北奔左置右后视镜(含广角镜)500 810 1016, 瑞沃右后视镜(含广角镜) G0821010070A0</t>
  </si>
  <si>
    <t xml:space="preserve"> </t>
  </si>
  <si>
    <t>2023001110000059</t>
  </si>
  <si>
    <t>左外后视镜总成（V5541A/B00042918、B00042919、B00042920、B00034690、B00034694、B00034691、B00034692、B00042925、B00042162）；右外后视镜总成（V5542A/B00042921、B00042922、B00042923、B00034696、B00034700、B00034697、B00034698、B00042924、B00042163）</t>
  </si>
  <si>
    <t>2021001110000229</t>
  </si>
  <si>
    <t>内后视镜总成ISTYPJ02（3GD.857.511）、内后视镜总成ISTYPJ01（18D.857.511）</t>
  </si>
  <si>
    <t>2021001110000036</t>
  </si>
  <si>
    <t>H6左外后视镜总成A9608106619（REM0010146）/H6右外后视镜总成A9608106519（REM0010206）</t>
  </si>
  <si>
    <t>GB 15084-2013</t>
  </si>
  <si>
    <t>2021001110000035</t>
  </si>
  <si>
    <t>H6补盲镜总成A0028107516 （RSM0010035）</t>
  </si>
  <si>
    <t>2020001110000190</t>
  </si>
  <si>
    <t>华菱左后视镜（含广角镜）、82M-02101、82M-02103华菱右后视镜（含广角镜）</t>
  </si>
  <si>
    <t>2020001110000172</t>
  </si>
  <si>
    <t>华菱室内镜8201B-110</t>
  </si>
  <si>
    <t>GB15084-2013GB,CNCA-C11-08：2014；</t>
  </si>
  <si>
    <t>2020001110000191</t>
  </si>
  <si>
    <t>华菱下视镜82M-19071</t>
  </si>
  <si>
    <t>BC311后视镜总成-右 （镜面电动调节+电加热+转向灯）6RM ASP 000 （6RM 857 502 A）, BC311后视镜总成-左 （镜面电动调节+电加热+转向灯）6RM ASP 000 （6RM 857 501 A）、BC311后视镜总成-右 （镜面电动调节+电加热+转向灯）6RM ASP 000 （6RM 857 502 ）、BC311后视镜总成-左 （镜面电动调节+电加热+转向灯）6RM ASP 000 （6RM 857 501）</t>
  </si>
  <si>
    <t>GB 17509-2008,GB 15084-2022</t>
  </si>
  <si>
    <t>2020971110001701</t>
  </si>
  <si>
    <t>B40L-F05低配左外后视镜总成（含侧转向灯B40L-F05-DENG-LH） B40L-F05-S-LH(B00009686), B40L-F05低配右外后视镜总成（含侧转向灯B40L-F05-DENG-RH）B40L-F05-S-RH(B00009697), B40L-F05中配左外后视镜总成（含侧转向灯B40L-F05-DENG-LH）B40L-F05-S-LH(B00009687), B40L-F05中配右外后视镜总成（含侧转向灯B40L-F05-DENG-RH）B40L-F05-S-RH(B00009698), B40L-F05高配左外后视镜总成（含侧转向灯B40L-F05-DENG-LH）B40L-F05-D-LH(B00011407), B40L-F05高配右外后视镜总成（含侧转向灯B40L-F05-DENG-RH）B40L-F05-D-RH(B00011408), B40L-F05中高配左外后视镜总成（含侧转向灯B40L-F05-DENG-LH）B40L-F05-D-LH(B00014346), B40L-F05中高配右外后视镜总成（含侧转向灯B40L-F05-DENG-RH）B40L-F05-D-RH(B00014347), B40L-C24左外后视镜总成(含侧转向灯B40L-F05-DENG-LH）B40L-F05-D-LH(B00021105）, B40L-C24右外后视镜总成(含侧转向灯B40L-F05-DENG-RH）B40L-F05-D-RH(B00021106）, B40L-C24左外后视镜总成（亚光漆）(含侧转向灯B40L-F05-DENG-LH）B40L-F05-D-LH(B00020072）, B40L-C24右外后视镜总成（亚光漆）(含侧转向灯B40L-F05-DENG-RH）B40L-F05-D-RH(B00020073）,B40L-Z37左外后视镜总成(含侧转向灯B40L-F05-DENG-LH）B40L-F05-S-LH(B00028501）,B40L-Z37右外后视镜总成(含侧转向灯B40L-F05-DENG-RH）B40L-F05-S-RH(B00028520）</t>
  </si>
  <si>
    <t>GB 15084-2022,GB 17509-2008</t>
  </si>
  <si>
    <t>2020971110002156</t>
  </si>
  <si>
    <t>L0821034001A0 1995补盲镜</t>
  </si>
  <si>
    <t>2020971110001735</t>
  </si>
  <si>
    <t>B80C-M01低配左外后视镜（含侧转向灯0A5206L-Z02） B80C-M01-LH(B00011434), B80C-M01低配右外后视镜（含侧转向灯0A5206R-Z02）B80C-M01-RH(B00011435), B80C-M01高配左外后视镜（含侧转向灯0A5206L-Z02）B80C-M01-LH(B00011436), B80C-M01高配右外后视镜（含侧转向灯0A5206R-Z02）B80C-M01-RH(B00011437), B80CJ-M01低配左外后视镜（含侧转向灯0A5206L-Z02）B80C-M01-LH(B00014219), B80CJ-M01低配右外后视镜（含侧转向灯0A5206R-Z02）B80C-M01-RH(B00014220), B80CJ-M01高配左外后视镜（含侧转向灯0A5206L-Z02）B80C-M01-LH(B00014222), B80CJ-M01高配右外后视镜（含侧转向灯0A5206R-Z02）B80C-M01-RH(B00014221), B80C-M09低配左外后视镜（含侧转向灯0A5206L-Z02）B80C-M01-LH(B00019680), B80C-M09低配右外后视镜（含侧转向灯0A5206R-Z02）B80C-M01-RH(B00019681), B80C-C11左外后视镜(钢琴漆）（含侧转向灯0A5206L-Z02）B80C-M01-LH(B00020677), B80C-C11右外后视镜(钢琴漆）（含侧转向灯0A5206R-Z02）B80C-M01-RH(B00020678)</t>
  </si>
  <si>
    <t>GB 15084-2013,GB 17509-2008,CNCA-C11-07:2014,CNCA-C11-08:2014</t>
  </si>
  <si>
    <t>2020971110001814</t>
  </si>
  <si>
    <t>B40后视镜左低配（带转向灯B40331100011AA（左））B00002608,B40后视镜右低配（带转向灯B40331100010AA (右））B00002609,B40外视镜 B40231200011AA,B40231200010AA,（带转向灯B40331100011AA（左）B40331100010AA (右））</t>
  </si>
  <si>
    <t>GB 15084-2013, GB 17509-2008, CNCA-C11-08:2014</t>
  </si>
  <si>
    <t>2020971110002157</t>
  </si>
  <si>
    <t>1B22082100011 2200前下视镜 G0821020001A0 捷运高顶前下视镜 L0821020007A0 A2(1995车身)前下视镜</t>
  </si>
  <si>
    <t>2020971110002155</t>
  </si>
  <si>
    <t>1B20082100005 捷运前下视镜, 1B24982104005 前下视镜, L0821020008A0 奥铃下视镜, 5008108916 北奔前下视镜</t>
  </si>
  <si>
    <t>20971110002154</t>
  </si>
  <si>
    <t>L0821034002A0 H3补盲镜 L0821030006A0 补盲镜总成 H0821030100A0 ETX补盲镜</t>
  </si>
  <si>
    <t>20971110002153</t>
  </si>
  <si>
    <t>L0821010127A0/L0821010205A0驭菱左后视镜/驭菱右后视镜</t>
  </si>
  <si>
    <t>2020971110002152</t>
  </si>
  <si>
    <t>1B18082100017 奥铃左后视镜 1B18082100018 奥铃右后视镜 下视镜不在本次认证范围 1B18082100037 奥铃左后视镜 　 1B18082100038 奥铃右后视镜 　 1B18082100039 奥铃右后视镜 下视镜不在本次认证范围 1B18082100501 奥铃左后视镜 1B18082100502 奥铃右后视镜 1B18082100057 奥铃左后视镜 1B18082100058 奥铃右后视镜 下视镜不在本次认证范围 1B17882100030 1780左后视镜 1B17882100031 1780右后视镜 1B17882100032 1780右后视镜 下视镜不在本次认证范围 1B15882100300 1029左后视镜 1B15882100310 1029右后视镜 1B16082101001 1029左后视镜 1B16082101002 1029右后视镜</t>
  </si>
  <si>
    <t>2020971110002151</t>
  </si>
  <si>
    <t>1B17837100002 1029室内镜, 1B17837100003 1029室内镜, 1B17837100001 1029室内镜, 1B16937100071 1029室内镜, 1B16937100015 1029室内镜, G0821010037A0 1029室内镜, LG1611771004 1029室内镜, G0823010016A0 1029室内镜, G0823010014A0G0823010015A0 1580室内镜, 1029内后视镜 G0823010017A0</t>
  </si>
  <si>
    <t>2020971110002150</t>
  </si>
  <si>
    <t>L0821010126A0,L0821010203A0 H3左/右后视镜（含广角镜）； L0821010130A0/L0821010208A0 左/右汽车后视镜总成（含广角镜）； L0821010057A0 奥铃窄车左后视镜； L0821010058A0 奥铃窄车右后视镜； L0821010177A0 奥铃宽车左后视镜；L0821010178A0 奥铃宽车右后视镜; L0821010133A0 H3宽车左后视镜；L0821010210A0 H3宽车右后视镜； G0821010176A0 左后视镜总成；G0821010225A0 右后视镜总成</t>
  </si>
  <si>
    <t>2020971110002149</t>
  </si>
  <si>
    <t>1B18382103000 1028室内镜 2013年 4月3日 　时代灰 镜杆尺寸不同 1B15837100001 1580室内镜 萨普灰 L0823020901A0 1028室内镜（黑色） 2014年 11月17日 G0823020101A0 内后视镜总成 2016年 3月29日 L0371120120A0 内后视镜总成 2016年 7月8日</t>
  </si>
  <si>
    <t>2020971110002199</t>
  </si>
  <si>
    <t>汽车内后视镜1K16982100002</t>
  </si>
  <si>
    <t>2020971110002254</t>
  </si>
  <si>
    <t>ETX2280左后视镜总成(含广角镜)H1821010100A0, ETX 2280右后视镜总成(含广角镜)H1821010200A0, ETX左后视镜总成(含广角镜)H0821010100A0, ETX右后视镜总成(含广角镜)H0821010200A0, 2200右后视镜(含广角镜)G0821010007A0, 2200左后视镜(含广角镜)G0821010158A0</t>
  </si>
  <si>
    <t>GB 15084-2013,CCAP-GZ-8202:2019</t>
  </si>
  <si>
    <t>2020971110002249</t>
  </si>
  <si>
    <t>豪泺补盲镜WG1642770099/3</t>
  </si>
  <si>
    <t>2020971110002248</t>
  </si>
  <si>
    <t>豪泺左后视镜(含广角镜）WG1642777010/1, 豪泺右后视镜(含广角镜）WG1642777020/1, 捷运左后视镜(含广角镜）1B20082100203, 捷运右后视镜(含广角镜）1B20082100204, 捷运左后视镜(含广角镜）1B20082100004, 捷运右后视镜(含广角镜）1B20082100206</t>
  </si>
  <si>
    <t>2020971110002245</t>
  </si>
  <si>
    <t>ETX改型左后视镜总成(含广角镜)H0821010104A0, ETX改型右后视镜总成(含广角镜)H0821010203A0, VT车型左后视镜(含广角镜)H2821010100A0, VT车型右后视镜(含广角镜)H2821010200A0, ETX改型左后视镜总成(含广角镜)H0821012001A0, ETX改型右后视镜总成(含广角镜)H0821012002A0, 新ETX改型电动左后视镜(含广角镜)H0821010106A0, 新ETX改型电动右后视镜(含广角镜)H0821010205A0</t>
  </si>
  <si>
    <t>2020971110002244</t>
  </si>
  <si>
    <t>H4补盲外后视镜总成H4821030001A0</t>
  </si>
  <si>
    <t>2020971110002243</t>
  </si>
  <si>
    <t>H4(镜杆式)左外后视镜(含广角镜) H4821010009A0, H4(镜杆式)右外后视镜(含广角镜) H4821010010A0</t>
  </si>
  <si>
    <t>2020971110002242</t>
  </si>
  <si>
    <t>2020971110002241</t>
  </si>
  <si>
    <t>2020971110002240</t>
  </si>
  <si>
    <t>2020971110002239</t>
  </si>
  <si>
    <t>VT高顶前下视镜H2821020001A0, VT平顶前下视镜H2821020002A0, ETX改型平顶前下视镜H0821022002A0, ETX改型高顶前下视镜H0821022001A0</t>
  </si>
  <si>
    <t>2020971110002238</t>
  </si>
  <si>
    <t>豪泺电加热左后视镜(含广角镜)TG16427700030/1, 豪泺电加热右后视镜(含广角镜)TG16427700040/1, 矿山车左后视镜(含广角镜)TG16427700010/1, 矿山车右后视镜(含广角镜)TG16427700020/1, 低速牵引车左后视镜(含广角镜)TZ16057700010, 北奔左置左后视镜(含广角镜)500 810 0916, 北奔左置右后视镜(含广角镜)500 810 1016</t>
  </si>
  <si>
    <t>2020971110002237</t>
  </si>
  <si>
    <t>H4前下视镜H4821020001A0</t>
  </si>
  <si>
    <t>2020971110002236</t>
  </si>
  <si>
    <t>MV3内视镜8201010-M01-C00/A, K1内视镜1B16282300001</t>
  </si>
  <si>
    <t>2020971110002235</t>
  </si>
  <si>
    <t>T7H左后视镜总成(含广角镜)WG1664778091/2, T7H右后视镜总成(含广角镜)WG1664778092/2, T7H中宽体左后视镜总成(含广角镜)WG1664778041/2, T7H中宽体右后视镜总成(含广角镜)WG1664778042/2, C7左后视镜总成(含广角镜)712W63730-7021/2, C7右后视镜总成(含广角镜)712W63730-7025/2, T7H左后视镜总成(电动) (含广角镜)WG1664778081/2, T7H右后视镜总成(电动) (含广角镜)WG1664778082/2, T7H中宽体左后视镜总成(电动)(含广角镜)WG1664778021/2, T7H中宽体右后视镜总成(电动)(含广角镜)WG1664778022/2, C7左后视镜总成（电动）(含广角镜)712W63730-0021/2, C7右后视镜总成（电动）(含广角镜)712W63730-0025/2, C7宽体左后视镜总成（电动）(含广角镜)712W63730-0001/2, C7宽体右后视镜总成（电动）(含广角镜)712W63730-0005/2</t>
  </si>
  <si>
    <t>2020971110002234</t>
  </si>
  <si>
    <t>奥铃左后视镜1B18082100067, 奥铃右后视镜1B18082100068</t>
  </si>
  <si>
    <t>2020971110002233</t>
  </si>
  <si>
    <t>MV3左外后视镜总成(含广角镜)8202015-M01-C00/C, MV3右外后视镜总成(含广角镜)8202020-M01-C00/C, 低速牵引车右后视镜总成（含广角镜）TG16057700020</t>
  </si>
  <si>
    <t>2020971110002231</t>
  </si>
  <si>
    <t>曼项目补盲镜 712W63730-6573</t>
  </si>
  <si>
    <t>2020971110002229</t>
  </si>
  <si>
    <t>ETX补盲镜1B24982104004, 捷运补盲镜1B20082100006</t>
  </si>
  <si>
    <t>2020971110002223</t>
  </si>
  <si>
    <t>奥驰补盲镜8202035-Y64-01, MV3补盲镜总成8219010-A95-C00/B</t>
  </si>
  <si>
    <t>2020971110002222</t>
  </si>
  <si>
    <t>奥驰A左后视镜(含广角镜)8202015-Y64-01, 奥驰A右后视镜(含广角镜)8202020-Y64-01, 奥驰V左后视镜(含广角镜)8202015-P73-01, 奥驰V右后视镜(含广角镜)8202020-P73-01</t>
  </si>
  <si>
    <t>2020971110002221</t>
  </si>
  <si>
    <t>奥驰前下视镜8202045-Y64-01</t>
  </si>
  <si>
    <t>2020971110002217</t>
  </si>
  <si>
    <t>H3下视镜L0821020107A0, 下视镜总成RC770004(LG1613770057), 北奔改型前下视镜5008100316</t>
  </si>
  <si>
    <t>CCAP2019091110001453</t>
  </si>
  <si>
    <t>2023981110000222</t>
  </si>
  <si>
    <t>CCAP2015091110000865</t>
  </si>
  <si>
    <t>2023981110000219</t>
  </si>
  <si>
    <t>CCAP2015091110000939</t>
  </si>
  <si>
    <t>2023981110000221</t>
  </si>
  <si>
    <t>驭菱左后视镜L0821010127A0, 驭菱右后视镜L0821010205A0</t>
  </si>
  <si>
    <t>CCAP2015091110000881</t>
  </si>
  <si>
    <t>2023981110000220</t>
  </si>
  <si>
    <t>CCAP2013091110000577</t>
  </si>
  <si>
    <t>2023981110000122</t>
  </si>
  <si>
    <t>奥铃左后视镜1B18082100017, 奥铃右后视镜1B18082100018, 奥铃左后视镜1B18082100037, 奥铃右后视镜1B18082100038, 奥铃右后视镜1B18082100039, 奥铃左后视镜1B18082100501, 奥铃右后视镜1B18082100502, 奥铃左后视镜1B18082100057, 奥铃右后视镜1B18082100058, 1780左后视镜1B17882100030, 1780右后视镜1B17882100031, 1780右后视镜1B17882100032, 1029左后视镜1B15882100300, 1029右后视镜1B15882100310, 1029左后视镜1B16082101001, 1029右后视镜1B16082101002</t>
  </si>
  <si>
    <t>CCAP2013091110000582</t>
  </si>
  <si>
    <t>2023981110000123</t>
  </si>
  <si>
    <t>CCAP2013091110000584</t>
  </si>
  <si>
    <t>2023981110000124</t>
  </si>
  <si>
    <t>1028室内镜1B18382103000, 1580室内镜1B15837100001, 1028室内镜L0823020901A0, 内后视镜总成G0823020101A0, 内后视镜总成L0371120120A0</t>
  </si>
  <si>
    <t>CCAP2013091110000588</t>
  </si>
  <si>
    <t>2023981110000125</t>
  </si>
  <si>
    <t>1029内后视镜1B17837100002, 1029内后视镜1B17837100003, 1029内后视镜1B17837100001, 1029内后视镜1B16937100071, 1029内后视镜1B16937100015, 1029内后视镜G0821010037A0, 1029内后视镜LG1611771004, 1029内后视镜G0823010016A0, 1029内后视镜G0823010014A0, 1029内后视镜G0823010015A0</t>
  </si>
  <si>
    <t>CCAP2013091110000590</t>
  </si>
  <si>
    <t>2023981110000126</t>
  </si>
  <si>
    <t>CCAP2014091110000733</t>
  </si>
  <si>
    <t>2023981110000127</t>
  </si>
  <si>
    <t>1995补盲镜L0821034001A0</t>
  </si>
  <si>
    <t>CCAP2014091110000738</t>
  </si>
  <si>
    <t>2023981110000128</t>
  </si>
  <si>
    <t>CCAP2015091110000864</t>
  </si>
  <si>
    <t>2023981110000129</t>
  </si>
  <si>
    <t>CCAP2015091110000877</t>
  </si>
  <si>
    <t>2023981110000130</t>
  </si>
  <si>
    <t>H3补盲镜L0821034002A0, 补盲镜总成L0821030006A0, ETX补盲镜H0821030100A0</t>
  </si>
  <si>
    <t>CCAP2015091110000878</t>
  </si>
  <si>
    <t>2023981110000131</t>
  </si>
  <si>
    <t>H3左后视镜(含广角镜)L0821010126A0, H3右后视镜(含广角镜)L0821010203A0, 捷运左后视镜(含广角镜)L0821010130A0, 捷运右后视镜(含广角镜)L0821010208A0, 奥铃窄车左后视镜(含广角镜)L0821010057A0, 奥铃窄车右后视镜(含广角镜)L0821010058A0, 奥铃宽车左后视镜(含广角镜)L0821010177A0, 奥铃宽车右后视镜(含广角镜)L0821010178A0, H3宽车左后视镜(含广角镜)L0821010133A0, H3宽车右后视镜(含广角镜)L0821010210A0, 左后视镜总成(含广角镜)G0821010176A0, 右后视镜总成(含广角镜)G0821010225A0</t>
  </si>
  <si>
    <t>CCAP2015091110000879</t>
  </si>
  <si>
    <t>2023981110000132</t>
  </si>
  <si>
    <t>捷运下视镜1B20082100005, 下视镜1B24982104005, F1780下视镜G0821020007A0, 奥铃下视镜L0821020008A0, 北奔前下视镜5008108916</t>
  </si>
  <si>
    <t>CCAP2015091110000880</t>
  </si>
  <si>
    <t>2023981110000133</t>
  </si>
  <si>
    <t>2200下视镜1B22082100011, 捷运高顶下视镜G0821020001A0, A2(1995车身)下视镜L0821020007A0</t>
  </si>
  <si>
    <t>CCAP2018091110001427</t>
  </si>
  <si>
    <t>2023981110000134</t>
  </si>
  <si>
    <t>CCAP2015091110000882</t>
  </si>
  <si>
    <t>2023981110000135</t>
  </si>
  <si>
    <t>CCAP2017091110001219</t>
  </si>
  <si>
    <t>2023981110000136</t>
  </si>
  <si>
    <t>CCAP2019091110020038</t>
  </si>
  <si>
    <t>2023981110000120</t>
  </si>
  <si>
    <t>CCAP2018091110001423</t>
  </si>
  <si>
    <t>2023981110000137</t>
  </si>
  <si>
    <t>CCAP2018091110001425</t>
  </si>
  <si>
    <t>2023981110000138</t>
  </si>
  <si>
    <t>CCAP2018091110001426</t>
  </si>
  <si>
    <t>2023981110000139</t>
  </si>
  <si>
    <t>CCAP2018091110001429</t>
  </si>
  <si>
    <t>2023981110000140</t>
  </si>
  <si>
    <t>CCAP2019091110001471</t>
  </si>
  <si>
    <t>2023981110000141</t>
  </si>
  <si>
    <t>CCAP2018091110001420</t>
  </si>
  <si>
    <t>2023981110000121</t>
  </si>
  <si>
    <t>2022981110000043</t>
  </si>
  <si>
    <t>A0028107516（RSM0010035）、A0028107616（RSM0010073）</t>
  </si>
  <si>
    <t>2022981110000042</t>
  </si>
  <si>
    <t>A9608106619（REM0010146）/A9608106519（REM0010206）</t>
  </si>
  <si>
    <t>2021981110000331</t>
  </si>
  <si>
    <t>2021981110000332</t>
  </si>
  <si>
    <t>8202015-M46-C00/8202020-M46-C00</t>
  </si>
  <si>
    <t>2021981110000333</t>
  </si>
  <si>
    <t>2023001114001186</t>
  </si>
  <si>
    <t>2023/09/28</t>
  </si>
  <si>
    <t>E6800D</t>
  </si>
  <si>
    <t>68EN2531-00030</t>
  </si>
  <si>
    <t>√</t>
  </si>
  <si>
    <t>2020001114000673</t>
  </si>
  <si>
    <t>驾驶员座椅总成H468100000007/驾驶员座椅总成H468100000008/驾驶员座椅总成H468100000015/驾驶员座椅总成H468100000019/驾驶员座椅总成H468100000013/驾驶员座椅总成H468100000014/驾驶员座椅总成H468100000016/驾驶员座椅总成H468100000203/驾驶员座椅总成H468100000208/驾驶员座椅总成H468100000063/驾驶员座椅总成H468100000044/驾驶员座椅总成H468100000213/驾驶员座椅总成H468100000226/驾驶员座椅总成H468100000214/驾驶员座椅总成H468100000225/驾驶员座椅总成H468100000224/驾驶员座椅总成H468100000222/驾驶员座椅总成H468100000348/驾驶员座椅总成H468100000360</t>
  </si>
  <si>
    <t>GB 15083-2019, GB11550-2009, GB 8410-2006, CNCA-C11-12: 2014</t>
  </si>
  <si>
    <t xml:space="preserve">QG23441ZZ3561
</t>
  </si>
  <si>
    <t>2023001114000863</t>
  </si>
  <si>
    <t>E6900C</t>
  </si>
  <si>
    <t>71EN2531-00010</t>
  </si>
  <si>
    <t>2023001114000862</t>
  </si>
  <si>
    <t>E6800C</t>
  </si>
  <si>
    <t>68EN2531-00010/9900152906/9900152905/  9900152903</t>
  </si>
  <si>
    <t>2023001114000864</t>
  </si>
  <si>
    <t>E6900D</t>
  </si>
  <si>
    <t>E6900D（71EN2531-00020）/E6900D（68EN2531-00020）</t>
  </si>
  <si>
    <t>2021001114001016</t>
  </si>
  <si>
    <t>乘客三人座椅总成（固定）FTK007（K068100000030)、乘客三人座椅总成（固定）FTK007(K068100000034）</t>
  </si>
  <si>
    <t>GB 11550-2009,GB 13057-2014,GB 8410-2006,CNCA-C11-12:2014</t>
  </si>
  <si>
    <t>2021001114001017</t>
  </si>
  <si>
    <t>第三排三人座椅FTK008(K068100000032)、第三排三人座椅FTK008(K068100000036)</t>
  </si>
  <si>
    <t>2021001114001015</t>
  </si>
  <si>
    <t>乘客双人座椅（固定）FTK004(K068100000031)、乘客双人座椅（固定）FTK004(K068100000035)</t>
  </si>
  <si>
    <t>2021001114000727</t>
  </si>
  <si>
    <t>H6调温悬架主驾座椅 A9609106612、H6调温悬架主驾座椅（无安全带预紧）A9609106712</t>
  </si>
  <si>
    <t>2021001114000726</t>
  </si>
  <si>
    <t>H6标准悬架主驾座椅 A9609106312、H6标准悬架主驾座椅（加热）A9609106412、H6标准悬架副驾座椅A9609106512</t>
  </si>
  <si>
    <t>2020001114000676</t>
  </si>
  <si>
    <t>副驾驶员座椅总成H4681021100A0/副驾驶员座椅总成H4681020105A0/副驾驶员座椅总成H4681020107A0/副驾驶员座椅总成H468100000053/副驾驶员座椅总成H468100000054/副驾驶员座椅总成H468100000055</t>
  </si>
  <si>
    <t>QG23441ZZ3601</t>
  </si>
  <si>
    <t>2020001114000677</t>
  </si>
  <si>
    <t>副驾驶员座椅总成H0681020100A0/副驾驶员座椅总成H068100000003</t>
  </si>
  <si>
    <t>QA20442L90972</t>
  </si>
  <si>
    <t>2020001114000672</t>
  </si>
  <si>
    <t xml:space="preserve">驾驶员座椅总成H0681010100A0/驾驶员座椅总成H068100000004 </t>
  </si>
  <si>
    <t>QG23441ZZP311</t>
  </si>
  <si>
    <t>2020001114000498</t>
  </si>
  <si>
    <t>后排座椅及头枕总成A00031097、后排座椅及头枕总成B40302050010AA、后排座椅及头枕总成B00000145、后排座椅及头枕总成B00005038、后排座椅及头枕总成B00006796、后排座椅及头枕总成B00006794、后排座椅及头枕总成B00006793、后排座椅及头枕总成B00022659、后排座椅及头枕总成B00022936</t>
  </si>
  <si>
    <r>
      <rPr>
        <sz val="11"/>
        <color theme="1"/>
        <rFont val="微软雅黑"/>
        <charset val="134"/>
      </rPr>
      <t xml:space="preserve">QG20431ZZY051
</t>
    </r>
    <r>
      <rPr>
        <b/>
        <sz val="11"/>
        <color theme="1"/>
        <rFont val="微软雅黑"/>
        <charset val="134"/>
      </rPr>
      <t>2020-8-3</t>
    </r>
  </si>
  <si>
    <t>2020001114000465</t>
  </si>
  <si>
    <t>后排座椅左及头枕总成
B40L-F05(B00007332) ;B40L-F05(B00007325) ;B40L-F05(B00014361) ;B40L-F05(B00014569)；B40L-C49(B00044842)；B40L-C49(B00044843)</t>
  </si>
  <si>
    <t>GB15083-2019、GB11550-2009、GB8410-2006</t>
  </si>
  <si>
    <t>QG20431ZZY081
2020-8-3</t>
  </si>
  <si>
    <t>2020001114000466</t>
  </si>
  <si>
    <t>后排座椅右及头枕总成
B40L-F05(B00007348) ;B40L-F05(B00007347) ;B40L-F05(B00014409) ;B40L-F05(B00014575);B40L-C49(B00044844);B40L-C49(B00044841)</t>
  </si>
  <si>
    <r>
      <rPr>
        <sz val="11"/>
        <color theme="1"/>
        <rFont val="微软雅黑"/>
        <charset val="134"/>
      </rPr>
      <t xml:space="preserve">QG20431ZZY091
</t>
    </r>
    <r>
      <rPr>
        <b/>
        <sz val="11"/>
        <color theme="1"/>
        <rFont val="微软雅黑"/>
        <charset val="134"/>
      </rPr>
      <t>2020-8-3</t>
    </r>
  </si>
  <si>
    <t>2021001114000725</t>
  </si>
  <si>
    <t>H6副驾功能座椅 A9609103909</t>
  </si>
  <si>
    <t>QG23441ZZ0C71</t>
  </si>
  <si>
    <t>2022981114000351</t>
  </si>
  <si>
    <t>8869100101/5179100001/5179100101/5179100201/5179100401/5179100301/5179100501</t>
  </si>
  <si>
    <t>QG23441ZZ6H31</t>
  </si>
  <si>
    <t>2020981114003512</t>
  </si>
  <si>
    <t>（6905020CH26-C00 6905100-H26-C00 6903010AH26-C00 6900015-H26-C00）/（6905020BH26-C00 6905100-H26-C00 6903010-H26-C00 6900015-H26-C00）/（ 6905020-H05-C00 6905100-H05-C00 6903010-H05-C00 6900015-H26-C00） /（6905020-E411 6905100-E411 6903010-E411 6900015-H26-C00）/（6905020CH26-C00 6905100-H22-C00 6903010AH22-C00 6900015-H26-C00）/（6905020BH26-C00 6905100-H22-C00 6903010-H22-C00 6900015-H26-C00）/（6905020BA95-C00 6905100BA95-C00 6903010BA95-C00 6900015-H26-C00)/( 6900501BA95-C00 6905100AA97-C00 6903010AA97-C00 6900015-H26-C00)/(6905020-H95-C00 6905100-H95-C00 6903010-H95-C00 6900015-H26-C00)/(6905020-H95-C00 6905100-H87-C00 6903010-H87-C00 6900015-H26-C00)/（6905020AE411 6905100AE411 6903010AE411 6900015-H26-C00）/（6905020MA96 6905100MA98 6903010MA98 6900015-H26-C00）/（6905020MA96 6905100MA96 6903010MA96 6900015-H26-C00）/（6905020MA95 6905100MA95 6903010MA95 6900015-H26-C00）</t>
  </si>
  <si>
    <t xml:space="preserve">
GB 11550-2009;GB 15083-2019;GB 8410-2006</t>
  </si>
  <si>
    <t>QG23441ZZ6H91</t>
  </si>
  <si>
    <t>2020981114003511</t>
  </si>
  <si>
    <t>6800010EH26-C00/6800010-H05-C00/6800010-E411/6800010AA95-C00/6800010CH26-C00/6800010JH26-C00/6800010AH95-C00/6800010LH26-C00/6800010BE411/6800010MA95</t>
  </si>
  <si>
    <t>QG23441ZZ5H71</t>
  </si>
  <si>
    <t>CCAP2022091114020998</t>
  </si>
  <si>
    <t>2022981114000480</t>
  </si>
  <si>
    <t xml:space="preserve"> 2022-09-05</t>
  </si>
  <si>
    <t>副驾驶员座椅总成QKZY-04（L168100000149）, 副驾驶员座椅总成QKZY-04（L168100000150）, 副驾驶员座椅总成QKZY-04（L168100000164）, 副驾驶员座椅总成QKZY-04（L168100000354）</t>
  </si>
  <si>
    <t>GB 11550-2009,GB 15083-2019,GB 8410-2006</t>
  </si>
  <si>
    <t>CCAP2022091114020997</t>
  </si>
  <si>
    <t>2022981114000481</t>
  </si>
  <si>
    <t>副驾驶员座椅总成QKZY-03（L168100000147）, 副驾驶员座椅总成QKZY-03（L168100000148）, 副驾驶员座椅总成QKZY-03（L168100000163）, 副驾驶员座椅总成QKZY-03（L168100000355）, 副驾驶员座椅总成QKZY-03（L168100000425）, 副驾驶员座椅总成QKZY-03（L168100000426）</t>
  </si>
  <si>
    <t>CCAP2022091114020996</t>
  </si>
  <si>
    <t>2022981114000482</t>
  </si>
  <si>
    <t>减震驾驶员座椅总成QKZY-02（L168100000113）, 减震驾驶员座椅总成QKZY-02（L168100000162）, 减震驾驶员座椅总成QKZY-02（L168100000197）, 减震驾驶员座椅总成QKZY-02（L168100000114）, 减震驾驶员座椅总成QKZY-02（L168100000352）, 减震驾驶员座椅总成QKZY-02（L168100000353）, 减震驾驶员座椅总成QKZY-02（L168100000540）, 减震驾驶员座椅总成QKZY-02（L168100000541）</t>
  </si>
  <si>
    <t>CCAP2022091114020995</t>
  </si>
  <si>
    <t>2022981114000479</t>
  </si>
  <si>
    <t>驾驶员座椅总成QKZY-01（L168100000146）, 驾驶员座椅总成QKZY-01（L168100000156）, 驾驶员座椅总成QKZY-01（L168100000160）, 驾驶员座椅总成QKZY-01（L168100000161）, 驾驶员座椅总成QKZY-01（L168100000193）, 驾驶员座椅总成QKZY-01（L168100000195）, 驾驶员座椅总成QKZY-01（L168100000196）, 驾驶员座椅总成QKZY-01（L168100000109）, 驾驶员座椅总成QKZY-01（L168100000157）, 驾驶员座椅总成QKZY-01（L168100000349）, 驾驶员座椅总成QKZY-01（L168100000356）, 驾驶员座椅总成QKZY-01（L168100000194）, 驾驶员座椅总成QKZY-01（L168100000350）, 驾驶员座椅总成QKZY-01（L168100000351）, 驾驶员座椅总成QKZY-01（L168100000539）</t>
  </si>
  <si>
    <t>2021981114000874</t>
  </si>
  <si>
    <t>6800010HH26-C00/6800010BH26-C00/6800010CA95-C00/6800010DH26-C00/6800010-H95-C00/6800010MA96/6800010MA98</t>
  </si>
  <si>
    <t>QG23441ZZ6H71</t>
  </si>
  <si>
    <t>2022981114000141</t>
  </si>
  <si>
    <t xml:space="preserve">A9609109720/A9609109820/A9609100753 </t>
  </si>
  <si>
    <t>QG23441ZZ0C61</t>
  </si>
  <si>
    <t>2022981114000142</t>
  </si>
  <si>
    <t>2022981114000143</t>
  </si>
  <si>
    <t>A9609109520/A9609109620/A9609109920</t>
  </si>
  <si>
    <t>QG23441ZZ0C51</t>
  </si>
  <si>
    <t>2020981114003509</t>
  </si>
  <si>
    <t>6800010-H26-C00/6800010AH26-C00/6800010FH26-C00/6800010GH26-C00</t>
  </si>
  <si>
    <t>QG23441ZZ5H91</t>
  </si>
  <si>
    <t>2020981114003510</t>
  </si>
  <si>
    <t>（6905020AH26-C00 6905100-H26-C00 6903010AH26-C00 6900015-H26-C00 ）/（6905020-H26-C00 6905100-H26-C00 6903010-H26-C00 6900015-H26-C00 ）/（6905020AH26-C00 6905100-H22-C00 6903010AH22-C00 6900015-H26-C00 ）/（6905020-H26-C00 6905100-H22-C00 6903010-H22-C00 6900015-H26-C00）</t>
  </si>
  <si>
    <t>QG23441ZZ6H11</t>
  </si>
  <si>
    <t>CCAP2021091114020815</t>
  </si>
  <si>
    <t>2021981114000871</t>
  </si>
  <si>
    <t>驾驶员座椅本体及头枕总成K1681010002A0, 驾驶员座椅本体及头枕总成 K1681015001A0 , 副驾驶员座椅本体及头枕总成K1681025001A0, 驾驶员座椅本体及头枕总成K1681010001A0, 副驾驶员座椅本体及头枕总成K1681020002A0, 副驾驶员座椅本体及头枕总成K1681020001A0</t>
  </si>
  <si>
    <t>GB 15083-2019,GB 8410-2006,GB 11550-2009</t>
  </si>
  <si>
    <t>2022981114000352</t>
  </si>
  <si>
    <t>5179100003/5179100103</t>
  </si>
  <si>
    <t>CCAP2021091114020746</t>
  </si>
  <si>
    <t>2021981114000598</t>
  </si>
  <si>
    <t>副驾驶员座椅总成FT-AJ-02</t>
  </si>
  <si>
    <t>QG23441ZZP321</t>
  </si>
  <si>
    <t>CCAP2021091114020745</t>
  </si>
  <si>
    <t>2021981114000599</t>
  </si>
  <si>
    <t>驾驶员座椅总成FT-AJ-01</t>
  </si>
  <si>
    <t>QG23441ZZP331</t>
  </si>
  <si>
    <t>CCAP2020091114020596</t>
  </si>
  <si>
    <t>2020981114003669</t>
  </si>
  <si>
    <t>驾驶员座椅总成H068100000005, 驾驶员座椅总成H068100000007, 驾驶员座椅总成H0681010100A0</t>
  </si>
  <si>
    <t>CCAP2022091114020899</t>
  </si>
  <si>
    <t>2022981114000194</t>
  </si>
  <si>
    <t>驾驶员座椅总成FTTYN-01（V168100000193）, 驾驶员座椅总成FTTYN-01（V168100000381）</t>
  </si>
  <si>
    <t>CCAP2022091114020857</t>
  </si>
  <si>
    <t>2022981114000007</t>
  </si>
  <si>
    <t>驾驶员座椅总成H468100000044, 驾驶员座椅总成H468100000064, 驾驶员座椅总成H468100000096, 驾驶员座椅总成H568100000138, 驾驶员座椅总成H568100000139, 驾驶员座椅总成H568100000140</t>
  </si>
  <si>
    <t>CCAP2021091114020851</t>
  </si>
  <si>
    <t>2021981114000952</t>
  </si>
  <si>
    <t>副驾驶员座椅总成H4681021100A0, 副驾驶员座椅总成H4681020105A0, 副驾驶员座椅总成H4681020107A0, 副驾驶员座椅总成H468100000053, 副驾驶员座椅总成H468100000054, 副驾驶员座椅总成H468100000055, 副驾驶员座椅总成H468100000046, 副驾驶员座椅总成H468100000062, 副驾驶员座椅总成H568100000141</t>
  </si>
  <si>
    <t>2024001114000212</t>
  </si>
  <si>
    <t>副驾驶员座椅总成RC510078</t>
  </si>
  <si>
    <t>2023001114001467</t>
  </si>
  <si>
    <t>FTK107</t>
  </si>
  <si>
    <t>GB13057:2014</t>
  </si>
  <si>
    <t>2023001114001466</t>
  </si>
  <si>
    <t>FTK104</t>
  </si>
  <si>
    <t>2021001114000055</t>
  </si>
  <si>
    <t>驾驶员座椅总成RC510038</t>
  </si>
  <si>
    <t>QG21431W95681
2021-02-23</t>
  </si>
  <si>
    <t>2023001114000552</t>
  </si>
  <si>
    <t>副驾驶员座椅总成RC517012</t>
  </si>
  <si>
    <t>2023001114000551</t>
  </si>
  <si>
    <t>驾驶员座椅总成RC517011</t>
  </si>
  <si>
    <t>2023001114000553</t>
  </si>
  <si>
    <t>驾驶员座椅总成RC517009</t>
  </si>
  <si>
    <t>2023001114000554</t>
  </si>
  <si>
    <t>副驾驶员座椅总成RC517010</t>
  </si>
  <si>
    <t>2023001114000555</t>
  </si>
  <si>
    <t>中间座椅总成RC515901</t>
  </si>
  <si>
    <t>2023001114000543</t>
  </si>
  <si>
    <t>M4ZKZY-A-01</t>
  </si>
  <si>
    <t>M468100000170
SHT0015757</t>
  </si>
  <si>
    <t>2023001114000544</t>
  </si>
  <si>
    <t>M4ZKZY-B-01</t>
  </si>
  <si>
    <t>M468100000171</t>
  </si>
  <si>
    <t>2022001114000622</t>
  </si>
  <si>
    <t>2022001114000621</t>
  </si>
  <si>
    <t>驾驶员座椅总成RC510077</t>
  </si>
  <si>
    <t>2021001114000421</t>
  </si>
  <si>
    <t>副驾驶员座椅总成RC510025</t>
  </si>
  <si>
    <t>2021001114000056</t>
  </si>
  <si>
    <t>副驾驶员座椅总成RC510031</t>
  </si>
  <si>
    <r>
      <rPr>
        <sz val="11"/>
        <color theme="1"/>
        <rFont val="微软雅黑"/>
        <charset val="134"/>
      </rPr>
      <t xml:space="preserve">QG21431W95671
</t>
    </r>
    <r>
      <rPr>
        <b/>
        <sz val="11"/>
        <color theme="1"/>
        <rFont val="微软雅黑"/>
        <charset val="134"/>
      </rPr>
      <t>2021-02-23</t>
    </r>
  </si>
  <si>
    <t>2021001114000057</t>
  </si>
  <si>
    <t>驾驶员座椅总成RC515904</t>
  </si>
  <si>
    <r>
      <rPr>
        <sz val="11"/>
        <color theme="1"/>
        <rFont val="微软雅黑"/>
        <charset val="134"/>
      </rPr>
      <t xml:space="preserve">QG21431W95661
</t>
    </r>
    <r>
      <rPr>
        <b/>
        <sz val="11"/>
        <color theme="1"/>
        <rFont val="微软雅黑"/>
        <charset val="134"/>
      </rPr>
      <t>2021-02-23</t>
    </r>
  </si>
  <si>
    <t>2021001114000058</t>
  </si>
  <si>
    <t>副驾驶员座椅总成RC510015</t>
  </si>
  <si>
    <r>
      <rPr>
        <sz val="11"/>
        <color theme="1"/>
        <rFont val="微软雅黑"/>
        <charset val="134"/>
      </rPr>
      <t xml:space="preserve">QG21431W95651
</t>
    </r>
    <r>
      <rPr>
        <b/>
        <sz val="11"/>
        <color theme="1"/>
        <rFont val="微软雅黑"/>
        <charset val="134"/>
      </rPr>
      <t>2021-02-23</t>
    </r>
  </si>
  <si>
    <t>2021001114000059</t>
  </si>
  <si>
    <t>驾驶员座椅总成RC515902</t>
  </si>
  <si>
    <r>
      <rPr>
        <sz val="11"/>
        <color theme="1"/>
        <rFont val="微软雅黑"/>
        <charset val="134"/>
      </rPr>
      <t xml:space="preserve">QG21431W95641
</t>
    </r>
    <r>
      <rPr>
        <b/>
        <sz val="11"/>
        <color theme="1"/>
        <rFont val="微软雅黑"/>
        <charset val="134"/>
      </rPr>
      <t>2021-02-23</t>
    </r>
  </si>
  <si>
    <t>2021001114000060</t>
  </si>
  <si>
    <t>副驾驶员座椅总成RC515903</t>
  </si>
  <si>
    <r>
      <rPr>
        <sz val="11"/>
        <color theme="1"/>
        <rFont val="微软雅黑"/>
        <charset val="134"/>
      </rPr>
      <t xml:space="preserve">QG21431W95631
</t>
    </r>
    <r>
      <rPr>
        <b/>
        <sz val="11"/>
        <color theme="1"/>
        <rFont val="微软雅黑"/>
        <charset val="134"/>
      </rPr>
      <t>2021-02-23</t>
    </r>
  </si>
  <si>
    <t>2021001114000548</t>
  </si>
  <si>
    <t>2080副座椅总成 (PVC)RC510043 （LG1613510160）、2080副座椅总成RC510043（LG1613510060）</t>
  </si>
  <si>
    <t>QG23441ZZP351</t>
  </si>
  <si>
    <t>2021001114000549</t>
  </si>
  <si>
    <t>轻卡驾驶室主座椅总成（PVC）RC510040 （LG1611510310）、轻卡驾驶室主座椅总成RC510040（LG1611510210）、轻卡驾驶室主座椅总成（通风加热）（PVC）RC510040（LG1611510320）</t>
  </si>
  <si>
    <t>QG23441ZZP301</t>
  </si>
  <si>
    <t>2020001114000858</t>
  </si>
  <si>
    <t>副驾驶员座椅总成6900010-25A01</t>
  </si>
  <si>
    <r>
      <rPr>
        <sz val="11"/>
        <color theme="1"/>
        <rFont val="微软雅黑"/>
        <charset val="134"/>
      </rPr>
      <t xml:space="preserve">QG20431ZZ5G91
</t>
    </r>
    <r>
      <rPr>
        <b/>
        <sz val="11"/>
        <color theme="1"/>
        <rFont val="微软雅黑"/>
        <charset val="134"/>
      </rPr>
      <t>2020-09-30</t>
    </r>
  </si>
  <si>
    <t>QG20441ZZ6G11</t>
  </si>
  <si>
    <t>2020001114000859</t>
  </si>
  <si>
    <t>驾驶员座椅总成6800010-25A01，驾驶员座椅总成6800010-25A01P</t>
  </si>
  <si>
    <r>
      <rPr>
        <sz val="11"/>
        <color theme="1"/>
        <rFont val="微软雅黑"/>
        <charset val="134"/>
      </rPr>
      <t xml:space="preserve">QG20431ZZ5G81
</t>
    </r>
    <r>
      <rPr>
        <b/>
        <sz val="11"/>
        <color theme="1"/>
        <rFont val="微软雅黑"/>
        <charset val="134"/>
      </rPr>
      <t>2020-9-30</t>
    </r>
  </si>
  <si>
    <t>QG20441ZZ6G01</t>
  </si>
  <si>
    <t>CCAP2021091114020780</t>
  </si>
  <si>
    <t>2021981114000732</t>
  </si>
  <si>
    <t>轻卡驾驶室主座椅总成（PVC）RC510040 （LG1611510310）, 轻卡驾驶室主座椅总成RC510040 （LG1611510210）, 轻卡驾驶室主座椅总成（通风加热）（PVC）RC510040 （LG1611510320）, 轻卡驾驶室主座椅总成（PVC）RC510040 （LZ161351000330）, 轻卡驾驶室主座椅总成（通风加热）（PVC）RC510040 （LZ161351000340）, 轻卡驾驶室主座椅总成（通风加热）RC510040 （LZ161251000004）, 轻卡驾驶室主座椅总成（PVC）RC510040 （LZ161251000601/2）, 轻卡驾驶室主座椅总成（加热）（PVC）RC510040 （LZ161251000602/1）, 轻卡驾驶室主座椅总成（通风加热）（PVC）RC510040 （LZ161251000603/1）, 轻卡驾驶室主座椅总成（PVC）RC510040 （LZ161351000601/1）, 轻卡驾驶室主座椅总成（加热）（PVC）RC510040 （LZ161351000602/1）, 轻卡驾驶室主座椅总成（通风加热）（PVC）RC510040 （LZ161351000603/1）, 轻卡驾驶室主座椅总成（PVC）RC510040 （LZ161251000701）, 轻卡驾驶室主座椅总成（加热）（PVC）RC510040 （LZ161251000702/1）, 轻卡驾驶室主座椅总成（通风加热）（PVC）RC510040 （LZ161251000703/1）, 轻卡驾驶室主座椅总成（PVC）RC510040 （LZ161351000701）, 轻卡驾驶室主座椅总成（加热）（PVC）RC510040 （LZ161351000702/1）, 轻卡驾驶室主座椅总成（通风加热）（PVC）RC510040 （LZ161351000703/1）, 轻卡驾驶室主座椅总成（PVC）RC510040 （LZ161251008201）, 轻卡驾驶室主座椅总成（PVC）RC510040 （LZ161351000325）, 轻卡驾驶室主座椅总成（PVC）RC510040 （LZ161251000325）</t>
  </si>
  <si>
    <t>CCAP2021091114020781</t>
  </si>
  <si>
    <t>2021981114000733</t>
  </si>
  <si>
    <t>2080副座椅总成 (PVC)RC510043 （LG1613510160）, 2080副座椅总成 RC510043 （LG1613510060）, 2080副座椅总成（通风加热）(PVC)RC510043 （LG1613510360）, 2080副座椅总成 (PVC)RC510043 （LZ161351000621/2）, 2080副座椅总成（通风加热）(PVC)RC510043 （LZ161351000622/1）, 2080副座椅总成(PVC)RC510043 （LZ161351000721）, 2080副座椅总成（通风加热）(PVC)RC510043 （LZ161351000722）</t>
  </si>
  <si>
    <t>CCAP2022091114020858</t>
  </si>
  <si>
    <t>2022981114000033</t>
  </si>
  <si>
    <t>1880副座椅总成 (PVC)RC510042 （LG1612510170）, 1880副座椅总成RC510042 （LG1612510070）, 1880副座椅总成（通风加热）PVC RC510042 （LG1612510090）, 1880副座椅总成PVCRC510042 （LZ161251000621/1）, 1880副座椅总成（通风加热）PVCRC510042 （LZ161251000622/2）, 1880副座椅总成PVCRC510042 （LZ161251000721）, 1880副座椅总成PVCRC510042 （LZ161251008202）</t>
  </si>
  <si>
    <t>QG23441ZZP341</t>
  </si>
  <si>
    <t>2020981114003508</t>
  </si>
  <si>
    <t>M4681020101A0、M4681-B</t>
  </si>
  <si>
    <t>2020981114003506</t>
  </si>
  <si>
    <t>M4681010101A0、M4681-A</t>
  </si>
  <si>
    <t>2020981114003504</t>
  </si>
  <si>
    <t>L1681010104A0/L168100000096/L168100000023/L168100000553</t>
  </si>
  <si>
    <t>QG23441ZZ0C31</t>
  </si>
  <si>
    <t>2020981114003505</t>
  </si>
  <si>
    <t>L1681020112A0/L168100000095/L1681020114A0/L168100000097/L168100000041/L1681020116A0/L168100000094/L168100000554/L168100000557</t>
  </si>
  <si>
    <t>QG23441ZZ0C41</t>
  </si>
  <si>
    <t>2020981114003507</t>
  </si>
  <si>
    <t>首次颁发证书日期</t>
  </si>
  <si>
    <t>认证产品</t>
  </si>
  <si>
    <t>产品标准和技术要求</t>
  </si>
  <si>
    <t>项目编号</t>
  </si>
  <si>
    <t>认证委托人</t>
  </si>
  <si>
    <t>状态/版本</t>
  </si>
  <si>
    <t>产品单元信息</t>
  </si>
  <si>
    <t>报告编号</t>
  </si>
  <si>
    <t>备注3</t>
  </si>
  <si>
    <t>备注4</t>
  </si>
  <si>
    <t>备注5</t>
  </si>
  <si>
    <t>汽车座椅及座椅头枕</t>
  </si>
  <si>
    <t>20210911100111K5-1</t>
  </si>
  <si>
    <t>申：河北光华荣昌汽车部件有限公司</t>
  </si>
  <si>
    <t>有效/02</t>
  </si>
  <si>
    <r>
      <rPr>
        <sz val="10"/>
        <color rgb="FF333333"/>
        <rFont val="微软雅黑"/>
        <charset val="134"/>
      </rPr>
      <t xml:space="preserve">QG23431ZZP261
</t>
    </r>
    <r>
      <rPr>
        <b/>
        <sz val="10"/>
        <color rgb="FF333333"/>
        <rFont val="微软雅黑"/>
        <charset val="134"/>
      </rPr>
      <t>2024-06-18</t>
    </r>
  </si>
  <si>
    <r>
      <rPr>
        <sz val="10"/>
        <color rgb="FF333333"/>
        <rFont val="微软雅黑"/>
        <charset val="134"/>
      </rPr>
      <t xml:space="preserve">20210911100111K5-1：新增整椅LG1613510360
</t>
    </r>
    <r>
      <rPr>
        <b/>
        <sz val="10"/>
        <color rgb="FF333333"/>
        <rFont val="微软雅黑"/>
        <charset val="134"/>
      </rPr>
      <t>2022/3/19</t>
    </r>
  </si>
  <si>
    <r>
      <rPr>
        <sz val="10"/>
        <color theme="1"/>
        <rFont val="微软雅黑"/>
        <charset val="134"/>
      </rPr>
      <t>20210911100111K7
 新增RC510043（
LZ161351000621/2、LZ161351000622/1、
LZ161351000721、
LZ161351000722）</t>
    </r>
    <r>
      <rPr>
        <b/>
        <sz val="10"/>
        <color theme="1"/>
        <rFont val="微软雅黑"/>
        <charset val="134"/>
      </rPr>
      <t>2024/05/10</t>
    </r>
  </si>
  <si>
    <t>20210911100111K5-2</t>
  </si>
  <si>
    <r>
      <rPr>
        <sz val="10"/>
        <color rgb="FF333333"/>
        <rFont val="微软雅黑"/>
        <charset val="134"/>
      </rPr>
      <t xml:space="preserve">QG23431ZZP271
</t>
    </r>
    <r>
      <rPr>
        <b/>
        <sz val="10"/>
        <color rgb="FF333333"/>
        <rFont val="微软雅黑"/>
        <charset val="134"/>
      </rPr>
      <t>2024-06-18</t>
    </r>
  </si>
  <si>
    <r>
      <rPr>
        <sz val="10"/>
        <color rgb="FF333333"/>
        <rFont val="微软雅黑"/>
        <charset val="134"/>
      </rPr>
      <t xml:space="preserve">20210911100111K5-2：新增整椅LG1612510090
</t>
    </r>
    <r>
      <rPr>
        <b/>
        <sz val="10"/>
        <color rgb="FF333333"/>
        <rFont val="微软雅黑"/>
        <charset val="134"/>
      </rPr>
      <t>2022/3/19</t>
    </r>
  </si>
  <si>
    <r>
      <rPr>
        <sz val="10"/>
        <color theme="1"/>
        <rFont val="微软雅黑"/>
        <charset val="134"/>
      </rPr>
      <t xml:space="preserve">20210911100111K7
新增RC510042
（LZ161251000621/1）
（LZ161251000622/2）
（LZ161251000721）
（LZ161251000722）
（LZ161251008202）
</t>
    </r>
    <r>
      <rPr>
        <b/>
        <sz val="10"/>
        <color theme="1"/>
        <rFont val="微软雅黑"/>
        <charset val="134"/>
      </rPr>
      <t>2024/05/10</t>
    </r>
  </si>
  <si>
    <t>机动车辆间接视野装置</t>
  </si>
  <si>
    <t>20210911100111K4</t>
  </si>
  <si>
    <t>T7H左后视镜总成(含广角镜) WG1664778091/2, T7H右后视镜总成(含广角镜) WG1664778092/2, T7H中宽体左后视镜总成(含广角镜) WG1664778041/2, T7H中宽体右后视镜总成(含广角镜) WG1664778042/2, C7左后视镜总成(含广角镜) 712W63730-7021/2, C7右后视镜总成(含广角镜) 712W63730-7025/2, T7H左后视镜总成(电动) (含广角镜) WG1664778081/2, T7H右后视镜总成(电动) (含广角镜) WG1664778082/2, T7H中宽体左后视镜总成(电动)(含广角镜)WG1664778021/2, T7H中宽体右后视镜总成(电动)(含广角镜) WG1664778022/2 , C7左后视镜总成（电动）(含广角镜) 712W63730-0021/2, C7右后视镜总成（电动）(含广角镜) 712W63730-0025/2, C7宽体左后视镜总成（电动）(含广角镜) 712W63730-0001/2, C7宽体右后视镜总成（电动）(含广角镜) 712W63730-0005/2</t>
  </si>
  <si>
    <r>
      <rPr>
        <sz val="10"/>
        <color rgb="FF333333"/>
        <rFont val="微软雅黑"/>
        <charset val="134"/>
      </rPr>
      <t xml:space="preserve">QG23331ZZP871
</t>
    </r>
    <r>
      <rPr>
        <b/>
        <sz val="10"/>
        <color rgb="FF333333"/>
        <rFont val="微软雅黑"/>
        <charset val="134"/>
      </rPr>
      <t>2024-06-15</t>
    </r>
  </si>
  <si>
    <r>
      <rPr>
        <sz val="10"/>
        <color theme="1"/>
        <rFont val="微软雅黑"/>
        <charset val="134"/>
      </rPr>
      <t xml:space="preserve">20210911100111B1
标准变更
</t>
    </r>
    <r>
      <rPr>
        <b/>
        <sz val="10"/>
        <color theme="1"/>
        <rFont val="微软雅黑"/>
        <charset val="134"/>
      </rPr>
      <t>2023/07/20</t>
    </r>
  </si>
  <si>
    <r>
      <rPr>
        <sz val="10"/>
        <color theme="1"/>
        <rFont val="微软雅黑"/>
        <charset val="134"/>
      </rPr>
      <t xml:space="preserve">20210911100111B2
左右后视镜分别增加型号
</t>
    </r>
    <r>
      <rPr>
        <b/>
        <sz val="10"/>
        <color theme="1"/>
        <rFont val="微软雅黑"/>
        <charset val="134"/>
      </rPr>
      <t>2024/03/29</t>
    </r>
  </si>
  <si>
    <t>20210911100111B1</t>
  </si>
  <si>
    <t>有效/01</t>
  </si>
  <si>
    <r>
      <rPr>
        <sz val="10"/>
        <color rgb="FF333333"/>
        <rFont val="微软雅黑"/>
        <charset val="134"/>
      </rPr>
      <t xml:space="preserve">QG23331ZZN131
</t>
    </r>
    <r>
      <rPr>
        <b/>
        <sz val="10"/>
        <color rgb="FF333333"/>
        <rFont val="微软雅黑"/>
        <charset val="134"/>
      </rPr>
      <t>2024-06-15</t>
    </r>
  </si>
  <si>
    <r>
      <rPr>
        <sz val="10"/>
        <color rgb="FF333333"/>
        <rFont val="微软雅黑"/>
        <charset val="134"/>
      </rPr>
      <t xml:space="preserve">QG23331ZZN101
</t>
    </r>
    <r>
      <rPr>
        <b/>
        <sz val="10"/>
        <color rgb="FF333333"/>
        <rFont val="微软雅黑"/>
        <charset val="134"/>
      </rPr>
      <t>2024-06-15</t>
    </r>
  </si>
  <si>
    <r>
      <rPr>
        <sz val="10"/>
        <color rgb="FF333333"/>
        <rFont val="微软雅黑"/>
        <charset val="134"/>
      </rPr>
      <t xml:space="preserve">QG23331ZZN141
</t>
    </r>
    <r>
      <rPr>
        <b/>
        <sz val="10"/>
        <color rgb="FF333333"/>
        <rFont val="微软雅黑"/>
        <charset val="134"/>
      </rPr>
      <t xml:space="preserve">2024-06-15
</t>
    </r>
    <r>
      <rPr>
        <sz val="10"/>
        <color rgb="FF333333"/>
        <rFont val="微软雅黑"/>
        <charset val="134"/>
      </rPr>
      <t>QG23331ZZV481</t>
    </r>
    <r>
      <rPr>
        <b/>
        <sz val="10"/>
        <color rgb="FF333333"/>
        <rFont val="微软雅黑"/>
        <charset val="134"/>
      </rPr>
      <t xml:space="preserve">
2024-07-13
</t>
    </r>
    <r>
      <rPr>
        <sz val="10"/>
        <color rgb="FF333333"/>
        <rFont val="微软雅黑"/>
        <charset val="134"/>
      </rPr>
      <t>QA23MH1GD6122</t>
    </r>
    <r>
      <rPr>
        <b/>
        <sz val="10"/>
        <color rgb="FF333333"/>
        <rFont val="微软雅黑"/>
        <charset val="134"/>
      </rPr>
      <t xml:space="preserve">
2024-12-28</t>
    </r>
  </si>
  <si>
    <t>CCAP2022091110020176</t>
  </si>
  <si>
    <r>
      <rPr>
        <sz val="10"/>
        <color rgb="FF333333"/>
        <rFont val="微软雅黑"/>
        <charset val="134"/>
      </rPr>
      <t xml:space="preserve">QG23331ZZN221
</t>
    </r>
    <r>
      <rPr>
        <b/>
        <sz val="10"/>
        <color rgb="FF333333"/>
        <rFont val="微软雅黑"/>
        <charset val="134"/>
      </rPr>
      <t>2024-06-15</t>
    </r>
  </si>
  <si>
    <r>
      <rPr>
        <sz val="10"/>
        <color rgb="FF333333"/>
        <rFont val="微软雅黑"/>
        <charset val="134"/>
      </rPr>
      <t xml:space="preserve">QG23331ZZN231
</t>
    </r>
    <r>
      <rPr>
        <b/>
        <sz val="10"/>
        <color rgb="FF333333"/>
        <rFont val="微软雅黑"/>
        <charset val="134"/>
      </rPr>
      <t>2024-06-15</t>
    </r>
  </si>
  <si>
    <r>
      <rPr>
        <sz val="10"/>
        <color rgb="FF333333"/>
        <rFont val="微软雅黑"/>
        <charset val="134"/>
      </rPr>
      <t xml:space="preserve">QG23331ZZN071
</t>
    </r>
    <r>
      <rPr>
        <b/>
        <sz val="10"/>
        <color rgb="FF333333"/>
        <rFont val="微软雅黑"/>
        <charset val="134"/>
      </rPr>
      <t>2024-06-15</t>
    </r>
  </si>
  <si>
    <t>20210911100111K2</t>
  </si>
  <si>
    <t>有效/03</t>
  </si>
  <si>
    <r>
      <rPr>
        <sz val="10"/>
        <color rgb="FF333333"/>
        <rFont val="微软雅黑"/>
        <charset val="134"/>
      </rPr>
      <t xml:space="preserve">QG23431ZZP251
</t>
    </r>
    <r>
      <rPr>
        <b/>
        <sz val="10"/>
        <color rgb="FF333333"/>
        <rFont val="微软雅黑"/>
        <charset val="134"/>
      </rPr>
      <t>2024-06-18</t>
    </r>
  </si>
  <si>
    <r>
      <rPr>
        <sz val="10"/>
        <color rgb="FF333333"/>
        <rFont val="微软雅黑"/>
        <charset val="134"/>
      </rPr>
      <t>20210911100111K2：新增RC510040（LZ161351000330）、
RC510040（LZ161351000340）</t>
    </r>
    <r>
      <rPr>
        <b/>
        <sz val="10"/>
        <color rgb="FF333333"/>
        <rFont val="微软雅黑"/>
        <charset val="134"/>
      </rPr>
      <t>2021/09/30</t>
    </r>
  </si>
  <si>
    <r>
      <rPr>
        <sz val="10"/>
        <color theme="1"/>
        <rFont val="微软雅黑"/>
        <charset val="134"/>
      </rPr>
      <t xml:space="preserve">20210911100111K6
新增RC510040 （LZ161251000004）
</t>
    </r>
    <r>
      <rPr>
        <b/>
        <sz val="10"/>
        <color theme="1"/>
        <rFont val="微软雅黑"/>
        <charset val="134"/>
      </rPr>
      <t>2023/12/25</t>
    </r>
  </si>
  <si>
    <r>
      <rPr>
        <sz val="10"/>
        <color theme="1"/>
        <rFont val="微软雅黑"/>
        <charset val="134"/>
      </rPr>
      <t xml:space="preserve">20210911100111K7 
新增RC510040 （LZ161251000601/2）（LZ161251000602/1）（LZ161251000603/1）（LZ161351000601/1）（LZ161351000602/1）（LZ161351000603/1）（LZ161251000701）（LZ161251000702/1）（LZ161251000703/1）（LZ161351000701） （LZ161351000702/1）（LZ161351000703/1）（LZ161251008201）（LZ161351000325）（LZ161251000325）
</t>
    </r>
    <r>
      <rPr>
        <b/>
        <sz val="10"/>
        <color theme="1"/>
        <rFont val="微软雅黑"/>
        <charset val="134"/>
      </rPr>
      <t>2024/05/10</t>
    </r>
  </si>
  <si>
    <t>20130911100111B31</t>
  </si>
  <si>
    <t>申：北京光华荣昌汽车部件有限公司</t>
  </si>
  <si>
    <t>有效/00</t>
  </si>
  <si>
    <r>
      <rPr>
        <sz val="10"/>
        <color theme="1"/>
        <rFont val="微软雅黑"/>
        <charset val="134"/>
      </rPr>
      <t xml:space="preserve">20130911100111B31：
面料变更
</t>
    </r>
    <r>
      <rPr>
        <b/>
        <sz val="10"/>
        <color theme="1"/>
        <rFont val="微软雅黑"/>
        <charset val="134"/>
      </rPr>
      <t>2023/09/05</t>
    </r>
  </si>
  <si>
    <t>20130911100111K56</t>
  </si>
  <si>
    <r>
      <rPr>
        <sz val="10"/>
        <color rgb="FF333333"/>
        <rFont val="微软雅黑"/>
        <charset val="134"/>
      </rPr>
      <t xml:space="preserve">GGJ06.2023.MY28.11.2820
</t>
    </r>
    <r>
      <rPr>
        <b/>
        <sz val="10"/>
        <color rgb="FF333333"/>
        <rFont val="微软雅黑"/>
        <charset val="134"/>
      </rPr>
      <t>2024-07-11</t>
    </r>
  </si>
  <si>
    <r>
      <rPr>
        <sz val="10"/>
        <color theme="1"/>
        <rFont val="微软雅黑"/>
        <charset val="134"/>
      </rPr>
      <t xml:space="preserve">20130911100111K57：
新增L168100000425/L168100000426
</t>
    </r>
    <r>
      <rPr>
        <b/>
        <sz val="10"/>
        <color theme="1"/>
        <rFont val="微软雅黑"/>
        <charset val="134"/>
      </rPr>
      <t>2023/09/13</t>
    </r>
  </si>
  <si>
    <t>20130911100111K57</t>
  </si>
  <si>
    <r>
      <rPr>
        <sz val="10"/>
        <color theme="1"/>
        <rFont val="微软雅黑"/>
        <charset val="134"/>
      </rPr>
      <t xml:space="preserve">20130911100111K57：新增L168100000540/L168100000541
</t>
    </r>
    <r>
      <rPr>
        <b/>
        <sz val="10"/>
        <color theme="1"/>
        <rFont val="微软雅黑"/>
        <charset val="134"/>
      </rPr>
      <t>2023/09/13</t>
    </r>
  </si>
  <si>
    <t>驾驶员座椅总成QKZY-01（L168100000146）, 驾驶员座椅总成QKZY-01（L168100000156）, 驾驶员座椅总成QKZY-01（L168100000160）, 驾驶员座椅总成QKZY-01（L168100000161）, 驾驶员座椅总成QKZY-01（L168100000193）, 驾驶员座椅总成QKZY-01（L168100000195）, 驾驶员座椅总成QKZY-01（L168100000196）, 驾驶员座椅总成QKZY-01（L168100000109）, 驾驶员座椅总成QKZY-01（L168100000157）, 驾驶员座椅总成QKZY-01（L168100000349）, 驾驶员座椅总成QKZY-01（L168100000356）, 驾驶员座椅总成QKZY-01（L168100000194）, 驾驶员座椅总成QKZY-01（L168100000350）, 驾驶员座椅总成QKZY-01（L168100000351）， 驾驶员座椅总成QKZY-01（L168100000539）</t>
  </si>
  <si>
    <r>
      <rPr>
        <sz val="10"/>
        <color theme="1"/>
        <rFont val="微软雅黑"/>
        <charset val="134"/>
      </rPr>
      <t xml:space="preserve">20130911100111K57：新增（L168100000539）
</t>
    </r>
    <r>
      <rPr>
        <b/>
        <sz val="10"/>
        <color theme="1"/>
        <rFont val="微软雅黑"/>
        <charset val="134"/>
      </rPr>
      <t>2023/09/13</t>
    </r>
  </si>
  <si>
    <t>20130911100111K55</t>
  </si>
  <si>
    <r>
      <rPr>
        <sz val="10"/>
        <color rgb="FF333333"/>
        <rFont val="微软雅黑"/>
        <charset val="134"/>
      </rPr>
      <t xml:space="preserve">05201-GGJ06.2023.3C28.01.358
</t>
    </r>
    <r>
      <rPr>
        <b/>
        <sz val="10"/>
        <color rgb="FF333333"/>
        <rFont val="微软雅黑"/>
        <charset val="134"/>
      </rPr>
      <t xml:space="preserve">2024-1-31
</t>
    </r>
    <r>
      <rPr>
        <sz val="10"/>
        <color rgb="FF333333"/>
        <rFont val="微软雅黑"/>
        <charset val="134"/>
      </rPr>
      <t>QG23431ZZ3591</t>
    </r>
    <r>
      <rPr>
        <b/>
        <sz val="10"/>
        <color rgb="FF333333"/>
        <rFont val="微软雅黑"/>
        <charset val="134"/>
      </rPr>
      <t xml:space="preserve">
2024-02-01</t>
    </r>
  </si>
  <si>
    <r>
      <rPr>
        <sz val="10"/>
        <color theme="1"/>
        <rFont val="微软雅黑"/>
        <charset val="134"/>
      </rPr>
      <t xml:space="preserve">20130911100111K54：增加型号H468100000062
</t>
    </r>
    <r>
      <rPr>
        <b/>
        <sz val="10"/>
        <color theme="1"/>
        <rFont val="微软雅黑"/>
        <charset val="134"/>
      </rPr>
      <t>2022-04-22</t>
    </r>
  </si>
  <si>
    <r>
      <rPr>
        <sz val="10"/>
        <color theme="1"/>
        <rFont val="微软雅黑"/>
        <charset val="134"/>
      </rPr>
      <t xml:space="preserve">20130911100111B26 ：安全带及面料变更：H468100000062主料：CM800更为NM202
H468100000055辅料：NM100更为CM700  H468100000062、H468100000046
安全带：浙江松原汽车安全系统有限公司更为芜湖金安世腾汽车安全系统有限公司
</t>
    </r>
    <r>
      <rPr>
        <b/>
        <sz val="10"/>
        <color theme="1"/>
        <rFont val="微软雅黑"/>
        <charset val="134"/>
      </rPr>
      <t>2022-04-22</t>
    </r>
  </si>
  <si>
    <r>
      <rPr>
        <sz val="10"/>
        <color theme="1"/>
        <rFont val="微软雅黑"/>
        <charset val="134"/>
      </rPr>
      <t xml:space="preserve">20130911100111B27 ：更改安全带供应商--H468100000062、H468100000046
安全带由芜湖金安世腾汽车安全系统有限公司更为浙江松原汽车安全系统有限公司
</t>
    </r>
    <r>
      <rPr>
        <b/>
        <sz val="10"/>
        <color theme="1"/>
        <rFont val="微软雅黑"/>
        <charset val="134"/>
      </rPr>
      <t>2022-08-03</t>
    </r>
  </si>
  <si>
    <r>
      <rPr>
        <sz val="10"/>
        <color theme="1"/>
        <rFont val="微软雅黑"/>
        <charset val="134"/>
      </rPr>
      <t xml:space="preserve">20130911100111K55：增加H568100000141
</t>
    </r>
    <r>
      <rPr>
        <b/>
        <sz val="10"/>
        <color theme="1"/>
        <rFont val="微软雅黑"/>
        <charset val="134"/>
      </rPr>
      <t>2022-08-09</t>
    </r>
  </si>
  <si>
    <r>
      <rPr>
        <sz val="10"/>
        <color rgb="FF333333"/>
        <rFont val="微软雅黑"/>
        <charset val="134"/>
      </rPr>
      <t xml:space="preserve">05201-GGJ06.2023.3C28.01.357
</t>
    </r>
    <r>
      <rPr>
        <b/>
        <sz val="10"/>
        <color rgb="FF333333"/>
        <rFont val="微软雅黑"/>
        <charset val="134"/>
      </rPr>
      <t>2024-1-31</t>
    </r>
    <r>
      <rPr>
        <sz val="10"/>
        <color rgb="FF333333"/>
        <rFont val="微软雅黑"/>
        <charset val="134"/>
      </rPr>
      <t xml:space="preserve">
QG23431ZZ3551
</t>
    </r>
    <r>
      <rPr>
        <b/>
        <sz val="10"/>
        <color rgb="FF333333"/>
        <rFont val="微软雅黑"/>
        <charset val="134"/>
      </rPr>
      <t>2024-2-1</t>
    </r>
  </si>
  <si>
    <r>
      <rPr>
        <sz val="10"/>
        <color theme="1"/>
        <rFont val="微软雅黑"/>
        <charset val="134"/>
      </rPr>
      <t xml:space="preserve">20130911100111K54：增加型号H468100000064/H468100000096
</t>
    </r>
    <r>
      <rPr>
        <b/>
        <sz val="10"/>
        <color theme="1"/>
        <rFont val="微软雅黑"/>
        <charset val="134"/>
      </rPr>
      <t>2022-04-22</t>
    </r>
  </si>
  <si>
    <r>
      <rPr>
        <sz val="10"/>
        <color theme="1"/>
        <rFont val="微软雅黑"/>
        <charset val="134"/>
      </rPr>
      <t xml:space="preserve">20130911100111B26：H468100000064主料CM900更为NM202
H468100000096主料CM800更为NM202
安全带：浙江松原汽车安全系统有限公司更为芜湖金安世腾汽车安全系统有限公司
</t>
    </r>
    <r>
      <rPr>
        <b/>
        <sz val="10"/>
        <color theme="1"/>
        <rFont val="微软雅黑"/>
        <charset val="134"/>
      </rPr>
      <t>2022-04-22</t>
    </r>
  </si>
  <si>
    <r>
      <rPr>
        <sz val="10"/>
        <color theme="1"/>
        <rFont val="微软雅黑"/>
        <charset val="134"/>
      </rPr>
      <t xml:space="preserve">20130911100111B27 ：H468100000044、H468100000064、H468100000096、
安全带：芜湖金安世腾汽车安全系统有限公司更为浙江松原汽车安全系统有限公司
</t>
    </r>
    <r>
      <rPr>
        <b/>
        <sz val="10"/>
        <color theme="1"/>
        <rFont val="微软雅黑"/>
        <charset val="134"/>
      </rPr>
      <t>2022-08-03</t>
    </r>
  </si>
  <si>
    <r>
      <rPr>
        <sz val="10"/>
        <color theme="1"/>
        <rFont val="微软雅黑"/>
        <charset val="134"/>
      </rPr>
      <t xml:space="preserve">20130911100111K55 ：新增型号H568100000138/H568100000139/H568100000140
</t>
    </r>
    <r>
      <rPr>
        <b/>
        <sz val="10"/>
        <color theme="1"/>
        <rFont val="微软雅黑"/>
        <charset val="134"/>
      </rPr>
      <t>2022-08-09</t>
    </r>
  </si>
  <si>
    <t>20130911100111B27</t>
  </si>
  <si>
    <r>
      <rPr>
        <sz val="10"/>
        <color rgb="FF333333"/>
        <rFont val="微软雅黑"/>
        <charset val="134"/>
      </rPr>
      <t xml:space="preserve">20130911100111B27：申请人、制造商营业执照注册地址变更
</t>
    </r>
    <r>
      <rPr>
        <b/>
        <sz val="10"/>
        <color rgb="FF333333"/>
        <rFont val="微软雅黑"/>
        <charset val="134"/>
      </rPr>
      <t>2022-08-03</t>
    </r>
  </si>
  <si>
    <t>驾驶员座椅本体及头枕总成K1681010002A0, 驾驶员座椅本体及头枕总成 K1681015001A0 , 副驾驶员座椅本体及头枕总成K1681025001A0, 驾驶员座椅本体及头枕总成K1681010001A0, 副驾驶员座椅本体及头枕总成K1681020002A0, 副驾驶员座椅本体及头枕总成K1681020001A0</t>
  </si>
  <si>
    <r>
      <rPr>
        <sz val="10"/>
        <color rgb="FF333333"/>
        <rFont val="微软雅黑"/>
        <charset val="134"/>
      </rPr>
      <t xml:space="preserve">QG23431ZZP291
</t>
    </r>
    <r>
      <rPr>
        <b/>
        <sz val="10"/>
        <color rgb="FF333333"/>
        <rFont val="微软雅黑"/>
        <charset val="134"/>
      </rPr>
      <t>2024-06-18</t>
    </r>
  </si>
  <si>
    <r>
      <rPr>
        <sz val="10"/>
        <color rgb="FF333333"/>
        <rFont val="微软雅黑"/>
        <charset val="134"/>
      </rPr>
      <t xml:space="preserve">QG23431ZZP281
</t>
    </r>
    <r>
      <rPr>
        <b/>
        <sz val="10"/>
        <color rgb="FF333333"/>
        <rFont val="微软雅黑"/>
        <charset val="134"/>
      </rPr>
      <t>2024-06-18</t>
    </r>
  </si>
  <si>
    <t>CCAP2021091111021467</t>
  </si>
  <si>
    <t>汽车内饰件</t>
  </si>
  <si>
    <t>GB 8410-2006</t>
  </si>
  <si>
    <t>汽车内饰件 L1681040104A0M4奥铃卧铺总成（面料+海绵 +底衬+PUR+ 木板）, L1681040106A0M4奥铃卧铺总成1880（面料 +海绵 +底衬  +PUR+ 木板）, M4704010200A0中重卡卧铺总成（面料 +海绵 +网布+聚氨酯+ 木板）, L0681040100A0欧马可升级1800卧铺总成（涤纶 +聚氨酯 +涤纶+PUR+ 木板）</t>
  </si>
  <si>
    <r>
      <rPr>
        <sz val="10"/>
        <color rgb="FF333333"/>
        <rFont val="微软雅黑"/>
        <charset val="134"/>
      </rPr>
      <t xml:space="preserve">QG23431ZZP241
</t>
    </r>
    <r>
      <rPr>
        <b/>
        <sz val="10"/>
        <color rgb="FF333333"/>
        <rFont val="微软雅黑"/>
        <charset val="134"/>
      </rPr>
      <t>2024-06-29</t>
    </r>
  </si>
  <si>
    <r>
      <rPr>
        <sz val="10"/>
        <color theme="1"/>
        <rFont val="微软雅黑"/>
        <charset val="134"/>
      </rPr>
      <t xml:space="preserve">20130911100111B29
标准变更
</t>
    </r>
    <r>
      <rPr>
        <b/>
        <sz val="10"/>
        <color theme="1"/>
        <rFont val="微软雅黑"/>
        <charset val="134"/>
      </rPr>
      <t>2023-07-17</t>
    </r>
  </si>
  <si>
    <t xml:space="preserve">20130911100111B30 </t>
  </si>
  <si>
    <r>
      <rPr>
        <sz val="10"/>
        <color rgb="FF333333"/>
        <rFont val="微软雅黑"/>
        <charset val="134"/>
      </rPr>
      <t xml:space="preserve">QG23331ZZV511
</t>
    </r>
    <r>
      <rPr>
        <b/>
        <sz val="10"/>
        <color rgb="FF333333"/>
        <rFont val="微软雅黑"/>
        <charset val="134"/>
      </rPr>
      <t>2024-07-13</t>
    </r>
  </si>
  <si>
    <r>
      <rPr>
        <sz val="10"/>
        <color theme="1"/>
        <rFont val="微软雅黑"/>
        <charset val="134"/>
      </rPr>
      <t xml:space="preserve">20130911100111B30
标准变更
</t>
    </r>
    <r>
      <rPr>
        <b/>
        <sz val="10"/>
        <color theme="1"/>
        <rFont val="微软雅黑"/>
        <charset val="134"/>
      </rPr>
      <t>2023-8-29</t>
    </r>
  </si>
  <si>
    <t>CCAP2019091110001452</t>
  </si>
  <si>
    <t>CCAP2019091110001451</t>
  </si>
  <si>
    <r>
      <rPr>
        <strike/>
        <sz val="10"/>
        <rFont val="微软雅黑"/>
        <charset val="134"/>
      </rPr>
      <t xml:space="preserve">20130911100111B27：申请人、制造商营业执照注册地址变更
</t>
    </r>
    <r>
      <rPr>
        <b/>
        <strike/>
        <sz val="10"/>
        <rFont val="微软雅黑"/>
        <charset val="134"/>
      </rPr>
      <t>2022-08-03</t>
    </r>
  </si>
  <si>
    <r>
      <rPr>
        <strike/>
        <sz val="10"/>
        <rFont val="微软雅黑"/>
        <charset val="134"/>
      </rPr>
      <t xml:space="preserve">20130911100111S6:
停产注销
</t>
    </r>
    <r>
      <rPr>
        <b/>
        <strike/>
        <sz val="10"/>
        <rFont val="微软雅黑"/>
        <charset val="134"/>
      </rPr>
      <t>2024-06-12</t>
    </r>
  </si>
  <si>
    <r>
      <rPr>
        <sz val="10"/>
        <color rgb="FF333333"/>
        <rFont val="微软雅黑"/>
        <charset val="134"/>
      </rPr>
      <t xml:space="preserve">QG23331ZZN251
</t>
    </r>
    <r>
      <rPr>
        <b/>
        <sz val="10"/>
        <color rgb="FF333333"/>
        <rFont val="微软雅黑"/>
        <charset val="134"/>
      </rPr>
      <t>2024-06-15</t>
    </r>
  </si>
  <si>
    <t>CCAP2018091110001424</t>
  </si>
  <si>
    <r>
      <rPr>
        <sz val="10"/>
        <color rgb="FF333333"/>
        <rFont val="微软雅黑"/>
        <charset val="134"/>
      </rPr>
      <t xml:space="preserve">QG23331ZZN191
</t>
    </r>
    <r>
      <rPr>
        <b/>
        <sz val="10"/>
        <color rgb="FF333333"/>
        <rFont val="微软雅黑"/>
        <charset val="134"/>
      </rPr>
      <t>2024-06-15</t>
    </r>
  </si>
  <si>
    <t>CCAP2018091110001422</t>
  </si>
  <si>
    <t>CCAP2018091110001421</t>
  </si>
  <si>
    <r>
      <rPr>
        <sz val="10"/>
        <color rgb="FF333333"/>
        <rFont val="微软雅黑"/>
        <charset val="134"/>
      </rPr>
      <t xml:space="preserve">QG23331ZZN081
</t>
    </r>
    <r>
      <rPr>
        <b/>
        <sz val="10"/>
        <color rgb="FF333333"/>
        <rFont val="微软雅黑"/>
        <charset val="134"/>
      </rPr>
      <t>2024-06-15</t>
    </r>
  </si>
  <si>
    <r>
      <rPr>
        <sz val="10"/>
        <color rgb="FF333333"/>
        <rFont val="微软雅黑"/>
        <charset val="134"/>
      </rPr>
      <t xml:space="preserve">QG23331ZZQ241
</t>
    </r>
    <r>
      <rPr>
        <b/>
        <sz val="10"/>
        <color rgb="FF333333"/>
        <rFont val="微软雅黑"/>
        <charset val="134"/>
      </rPr>
      <t>2024-06-18</t>
    </r>
  </si>
  <si>
    <r>
      <rPr>
        <sz val="10"/>
        <color rgb="FF333333"/>
        <rFont val="微软雅黑"/>
        <charset val="134"/>
      </rPr>
      <t xml:space="preserve">QG23331ZZN061
</t>
    </r>
    <r>
      <rPr>
        <b/>
        <sz val="10"/>
        <color rgb="FF333333"/>
        <rFont val="微软雅黑"/>
        <charset val="134"/>
      </rPr>
      <t>2024-06-15</t>
    </r>
  </si>
  <si>
    <r>
      <rPr>
        <sz val="10"/>
        <color rgb="FF333333"/>
        <rFont val="微软雅黑"/>
        <charset val="134"/>
      </rPr>
      <t xml:space="preserve">QG23331ZZV491
</t>
    </r>
    <r>
      <rPr>
        <b/>
        <sz val="10"/>
        <color rgb="FF333333"/>
        <rFont val="微软雅黑"/>
        <charset val="134"/>
      </rPr>
      <t>2024-07-13</t>
    </r>
  </si>
  <si>
    <r>
      <rPr>
        <sz val="10"/>
        <color rgb="FF333333"/>
        <rFont val="微软雅黑"/>
        <charset val="134"/>
      </rPr>
      <t xml:space="preserve">QG23331ZZN241
</t>
    </r>
    <r>
      <rPr>
        <b/>
        <sz val="10"/>
        <color rgb="FF333333"/>
        <rFont val="微软雅黑"/>
        <charset val="134"/>
      </rPr>
      <t>2024-06-15</t>
    </r>
  </si>
  <si>
    <r>
      <rPr>
        <sz val="10"/>
        <color rgb="FF333333"/>
        <rFont val="微软雅黑"/>
        <charset val="134"/>
      </rPr>
      <t xml:space="preserve">QG23331ZZN261
</t>
    </r>
    <r>
      <rPr>
        <b/>
        <sz val="10"/>
        <color rgb="FF333333"/>
        <rFont val="微软雅黑"/>
        <charset val="134"/>
      </rPr>
      <t>2024-06-15</t>
    </r>
  </si>
  <si>
    <r>
      <rPr>
        <sz val="10"/>
        <color rgb="FF333333"/>
        <rFont val="微软雅黑"/>
        <charset val="134"/>
      </rPr>
      <t xml:space="preserve">QG23331ZZN091
</t>
    </r>
    <r>
      <rPr>
        <b/>
        <sz val="10"/>
        <color rgb="FF333333"/>
        <rFont val="微软雅黑"/>
        <charset val="134"/>
      </rPr>
      <t>2024-06-15</t>
    </r>
  </si>
  <si>
    <r>
      <rPr>
        <sz val="10"/>
        <color rgb="FF333333"/>
        <rFont val="微软雅黑"/>
        <charset val="134"/>
      </rPr>
      <t xml:space="preserve">QG23331ZZN211
</t>
    </r>
    <r>
      <rPr>
        <b/>
        <sz val="10"/>
        <color rgb="FF333333"/>
        <rFont val="微软雅黑"/>
        <charset val="134"/>
      </rPr>
      <t>2024-06-15</t>
    </r>
  </si>
  <si>
    <r>
      <rPr>
        <sz val="10"/>
        <color rgb="FF333333"/>
        <rFont val="微软雅黑"/>
        <charset val="134"/>
      </rPr>
      <t xml:space="preserve">QG23331ZZV501
</t>
    </r>
    <r>
      <rPr>
        <b/>
        <sz val="10"/>
        <color rgb="FF333333"/>
        <rFont val="微软雅黑"/>
        <charset val="134"/>
      </rPr>
      <t>2024-07-13</t>
    </r>
  </si>
  <si>
    <r>
      <rPr>
        <sz val="10"/>
        <color rgb="FF333333"/>
        <rFont val="微软雅黑"/>
        <charset val="134"/>
      </rPr>
      <t xml:space="preserve">QG23331ZZN151
</t>
    </r>
    <r>
      <rPr>
        <b/>
        <sz val="10"/>
        <color rgb="FF333333"/>
        <rFont val="微软雅黑"/>
        <charset val="134"/>
      </rPr>
      <t>2024-06-15</t>
    </r>
  </si>
  <si>
    <r>
      <rPr>
        <sz val="10"/>
        <color rgb="FF333333"/>
        <rFont val="微软雅黑"/>
        <charset val="134"/>
      </rPr>
      <t xml:space="preserve">QG23331ZZN181
</t>
    </r>
    <r>
      <rPr>
        <b/>
        <sz val="10"/>
        <color rgb="FF333333"/>
        <rFont val="微软雅黑"/>
        <charset val="134"/>
      </rPr>
      <t>2024-06-15</t>
    </r>
  </si>
  <si>
    <t>CCAP2014091110000736</t>
  </si>
  <si>
    <t>K1左后视镜1B16282100001, K1右后视镜1B16282100002</t>
  </si>
  <si>
    <r>
      <rPr>
        <sz val="10"/>
        <color rgb="FF333333"/>
        <rFont val="微软雅黑"/>
        <charset val="134"/>
      </rPr>
      <t xml:space="preserve">QG23331ZZN171
</t>
    </r>
    <r>
      <rPr>
        <b/>
        <sz val="10"/>
        <color rgb="FF333333"/>
        <rFont val="微软雅黑"/>
        <charset val="134"/>
      </rPr>
      <t>2024-06-15</t>
    </r>
  </si>
  <si>
    <r>
      <rPr>
        <sz val="10"/>
        <color rgb="FF333333"/>
        <rFont val="微软雅黑"/>
        <charset val="134"/>
      </rPr>
      <t xml:space="preserve">QG23331ZZN121
</t>
    </r>
    <r>
      <rPr>
        <b/>
        <sz val="10"/>
        <color rgb="FF333333"/>
        <rFont val="微软雅黑"/>
        <charset val="134"/>
      </rPr>
      <t>2024-06-15</t>
    </r>
  </si>
  <si>
    <r>
      <rPr>
        <sz val="10"/>
        <color rgb="FF333333"/>
        <rFont val="微软雅黑"/>
        <charset val="134"/>
      </rPr>
      <t xml:space="preserve">QG23331ZZN111
</t>
    </r>
    <r>
      <rPr>
        <b/>
        <sz val="10"/>
        <color rgb="FF333333"/>
        <rFont val="微软雅黑"/>
        <charset val="134"/>
      </rPr>
      <t>2024-06-15</t>
    </r>
  </si>
  <si>
    <r>
      <rPr>
        <sz val="10"/>
        <color rgb="FF333333"/>
        <rFont val="微软雅黑"/>
        <charset val="134"/>
      </rPr>
      <t xml:space="preserve">QG23331ZZN161
</t>
    </r>
    <r>
      <rPr>
        <b/>
        <sz val="10"/>
        <color rgb="FF333333"/>
        <rFont val="微软雅黑"/>
        <charset val="134"/>
      </rPr>
      <t>2024-06-15</t>
    </r>
  </si>
  <si>
    <t>CCAP2013091110000578</t>
  </si>
  <si>
    <r>
      <rPr>
        <sz val="10"/>
        <color rgb="FF333333"/>
        <rFont val="微软雅黑"/>
        <charset val="134"/>
      </rPr>
      <t xml:space="preserve">QG23331ZZN201
</t>
    </r>
    <r>
      <rPr>
        <b/>
        <sz val="10"/>
        <color rgb="FF333333"/>
        <rFont val="微软雅黑"/>
        <charset val="134"/>
      </rPr>
      <t>2024-06-15</t>
    </r>
  </si>
  <si>
    <t>2020-11-18</t>
  </si>
  <si>
    <t>2030-11-17</t>
  </si>
  <si>
    <t xml:space="preserve"> M4681010101A0、M4681-A</t>
  </si>
  <si>
    <t>原潍坊产品</t>
  </si>
  <si>
    <t xml:space="preserve"> M4681020101A0、M4681-B</t>
  </si>
  <si>
    <t xml:space="preserve"> 2020981114003504</t>
  </si>
  <si>
    <t xml:space="preserve"> M4681010104A0</t>
  </si>
  <si>
    <t xml:space="preserve"> 2020981114003505</t>
  </si>
  <si>
    <t xml:space="preserve"> 2021981114000732</t>
  </si>
  <si>
    <t>轻卡驾驶室主座椅总成（PVC）RC510040 （LG1611510310）, 轻卡驾驶室主座椅总成RC510040 （LG1611510210）, 轻卡驾驶室主座椅总成（通风加热）（PVC）RC510040 （LG1611510320）, 轻卡驾驶室主座椅总成（PVC）RC510040 （LZ161351000330）, 轻卡驾驶室主座椅总成（通风加热）（PVC）RC510040 （LZ161351000340）, 轻卡驾驶室主座椅总成（通风加热）RC510040 （LZ161251000004）</t>
  </si>
  <si>
    <t xml:space="preserve"> GB 11550-2009,GB 15083-2019,GB 8410-2006,CCAP-GZ-6800：2020</t>
  </si>
  <si>
    <t xml:space="preserve"> 2021981114000733</t>
  </si>
  <si>
    <t>2080副座椅总成 (PVC)RC510043 （LG1613510160）, 2080副座椅总成 RC510043 （LG1613510060）, 2080副座椅总成（通风加热）(PVC)RC510043 （LG1613510360）</t>
  </si>
  <si>
    <t>2080</t>
  </si>
  <si>
    <t xml:space="preserve"> 2021-03-05</t>
  </si>
  <si>
    <t>2031-03-04</t>
  </si>
  <si>
    <t xml:space="preserve"> 副驾驶员座椅总成RC510031</t>
  </si>
  <si>
    <t xml:space="preserve"> 2021001114000057</t>
  </si>
  <si>
    <t xml:space="preserve"> 驾驶员座椅总成RC515904</t>
  </si>
  <si>
    <t xml:space="preserve"> 副驾驶员座椅总成RC510015</t>
  </si>
  <si>
    <t xml:space="preserve"> 驾驶员座椅总成RC515902</t>
  </si>
  <si>
    <t xml:space="preserve"> 2021001114000060</t>
  </si>
  <si>
    <t xml:space="preserve"> 2021001114000421</t>
  </si>
  <si>
    <t xml:space="preserve"> 2021-06-02</t>
  </si>
  <si>
    <t xml:space="preserve"> 2031-06-01</t>
  </si>
  <si>
    <t xml:space="preserve"> 副驾驶员座椅总成RC510025</t>
  </si>
  <si>
    <t xml:space="preserve"> 驾驶员座椅总成RC510038
（WG1662511033/2、WG1662511068/2、AZ16D251000020/2、AZ16D251000022/2、16D251000012/2、WG1662511181/2、WG1662511183/2、AZ16D251000021/2、WG1662511072/2、WG1662511182/2、AZ16D251000036/2、YZ166251000038/1、YZ166251000042/1、AZ166251000022/1）</t>
  </si>
  <si>
    <t xml:space="preserve"> 2021001114000548</t>
  </si>
  <si>
    <t>2021-07-05</t>
  </si>
  <si>
    <t>2031-07-04</t>
  </si>
  <si>
    <t xml:space="preserve"> 2080副座椅总成 (PVC)RC510043 （LG1613510160）、2080副座椅总成RC510043（LG1613510060）</t>
  </si>
  <si>
    <t>已重新认证，待注销</t>
  </si>
  <si>
    <t xml:space="preserve"> 2021001114000549</t>
  </si>
  <si>
    <t xml:space="preserve"> 2021-07-05</t>
  </si>
  <si>
    <t xml:space="preserve"> 2031-07-04</t>
  </si>
  <si>
    <t xml:space="preserve"> 轻卡驾驶室主座椅总成（PVC）RC510040 （LG1611510310）、轻卡驾驶室主座椅总成RC510040（LG1611510210）、轻卡驾驶室主座椅总成（通风加热）（PVC）RC510040（LG1611510320）</t>
  </si>
  <si>
    <t xml:space="preserve"> 2020-11-27</t>
  </si>
  <si>
    <t xml:space="preserve"> 2030-11-26</t>
  </si>
  <si>
    <t xml:space="preserve"> 副驾驶员座椅总成6900010-25A01</t>
  </si>
  <si>
    <t xml:space="preserve"> 驾驶员座椅总成6800010-25A01，驾驶员座椅总成6800010-25A01P</t>
  </si>
  <si>
    <t xml:space="preserve"> 2020-05-08</t>
  </si>
  <si>
    <t>2030-05-07</t>
  </si>
  <si>
    <t xml:space="preserve"> 84703DG3500-000 8201110A-MA501 FNB8201200</t>
  </si>
  <si>
    <t>2021-12-02</t>
  </si>
  <si>
    <t xml:space="preserve"> 2031-12-01</t>
  </si>
  <si>
    <t>2021-11-29</t>
  </si>
  <si>
    <t xml:space="preserve"> 2031-11-28</t>
  </si>
  <si>
    <r>
      <rPr>
        <sz val="12"/>
        <color theme="1"/>
        <rFont val="宋体"/>
        <charset val="134"/>
        <scheme val="minor"/>
      </rPr>
      <t xml:space="preserve"> GB 11550-2009,GB 15083-2019,GB 8410-2006</t>
    </r>
    <r>
      <rPr>
        <strike/>
        <sz val="12"/>
        <color theme="1"/>
        <rFont val="宋体"/>
        <charset val="134"/>
        <scheme val="minor"/>
      </rPr>
      <t>,CCAP-GZ-6800：2020</t>
    </r>
  </si>
  <si>
    <t xml:space="preserve"> 2021-11-25</t>
  </si>
  <si>
    <t xml:space="preserve"> 2031-11-24</t>
  </si>
  <si>
    <t xml:space="preserve"> GB 15084-2013</t>
  </si>
  <si>
    <t xml:space="preserve"> 8202015-M46-C00/8202020-M46-C00</t>
  </si>
  <si>
    <t xml:space="preserve"> 2020981114003510</t>
  </si>
  <si>
    <t xml:space="preserve"> 2030-11-17</t>
  </si>
  <si>
    <t xml:space="preserve">（6905020AH26-C00 6905100-H26-C00 6903010AH26-C00 6900015-H26-C00 ）/（6905020-H26-C00 6905100-H26-C00 6903010-H26-C00 6900015-H26-C00 ）/（6905020AH26-C00 6905100-H22-C00 6903010AH22-C00 6900015-H26-C00 ）/（6905020-H26-C00 6905100-H22-C00 6903010-H22-C00 6900015-H26-C00 </t>
  </si>
  <si>
    <t xml:space="preserve"> 2020981114003511</t>
  </si>
  <si>
    <t xml:space="preserve"> 2020981114003512</t>
  </si>
  <si>
    <r>
      <rPr>
        <sz val="12"/>
        <color rgb="FF555555"/>
        <rFont val="Arial"/>
        <charset val="134"/>
      </rPr>
      <t xml:space="preserve">	</t>
    </r>
    <r>
      <rPr>
        <sz val="12"/>
        <color rgb="FF555555"/>
        <rFont val="宋体"/>
        <charset val="134"/>
      </rPr>
      <t>6800010-H26-C00/6800010AH26-C00/6800010FH26-C00/6800010GH26-C00</t>
    </r>
  </si>
  <si>
    <t xml:space="preserve"> 2021981114000599</t>
  </si>
  <si>
    <t xml:space="preserve"> 2021-07-22</t>
  </si>
  <si>
    <t>2031-07-21</t>
  </si>
  <si>
    <t xml:space="preserve">驾驶员座椅总成FT-AJ-01 </t>
  </si>
  <si>
    <t>奥杰</t>
  </si>
  <si>
    <t xml:space="preserve"> 2021-01-05</t>
  </si>
  <si>
    <t>2031-01-04</t>
  </si>
  <si>
    <t>H3</t>
  </si>
  <si>
    <t xml:space="preserve"> 2021-11-15</t>
  </si>
  <si>
    <t xml:space="preserve"> 2031-11-14</t>
  </si>
  <si>
    <t xml:space="preserve"> 第三排三人座椅FTK008(K068100000032)、第三排三人座椅FTK008(K068100000036)</t>
  </si>
  <si>
    <t xml:space="preserve"> GB 11550-2009,GB 13057-2014,GB 8410-2006,CNCA-C11-12:2014</t>
  </si>
  <si>
    <t>2031-10-27</t>
  </si>
  <si>
    <t xml:space="preserve"> GB15084:2022</t>
  </si>
  <si>
    <t xml:space="preserve"> 2021001114000727</t>
  </si>
  <si>
    <t>2021-08-06</t>
  </si>
  <si>
    <t xml:space="preserve"> 2031-08-05</t>
  </si>
  <si>
    <t>已重新认证CQC</t>
  </si>
  <si>
    <t xml:space="preserve"> 2021001114000725</t>
  </si>
  <si>
    <t xml:space="preserve"> H6副驾功能座椅 A9609103909</t>
  </si>
  <si>
    <t xml:space="preserve"> 2021001114000726</t>
  </si>
  <si>
    <t xml:space="preserve"> 2020001114000676</t>
  </si>
  <si>
    <t>2020-10-23</t>
  </si>
  <si>
    <t xml:space="preserve"> 2030-10-22</t>
  </si>
  <si>
    <t xml:space="preserve"> 副驾驶员座椅总成H4681021100A0/副驾驶员座椅总成H4681020105A0/副驾驶员座椅总成H4681020107A0/副驾驶员座椅总成H468100000053/副驾驶员座椅总成H468100000054/副驾驶员座椅总成H468100000055</t>
  </si>
  <si>
    <t>已重新认证CCAP</t>
  </si>
  <si>
    <t xml:space="preserve"> 2020001114000677</t>
  </si>
  <si>
    <t xml:space="preserve"> 副驾驶员座椅总成H0681020100A0/副驾驶员座椅总成H068100000003</t>
  </si>
  <si>
    <t xml:space="preserve"> 驾驶员座椅总成H0681010100A0/驾驶员座椅总成H068100000004</t>
  </si>
  <si>
    <t xml:space="preserve"> 2020-08-20</t>
  </si>
  <si>
    <t xml:space="preserve"> 2030-08-19</t>
  </si>
  <si>
    <t xml:space="preserve"> 2020001114000465</t>
  </si>
  <si>
    <t xml:space="preserve"> 2020-08-10</t>
  </si>
  <si>
    <t>2030-08-09</t>
  </si>
  <si>
    <t xml:space="preserve"> B40L-F05(B00007332) ;B40L-F05(B00007325) ;B40L-F05(B00014361) ;B40L-F05(B00014569)</t>
  </si>
  <si>
    <t xml:space="preserve"> 2020001114000466</t>
  </si>
  <si>
    <t xml:space="preserve"> B40L-F05(B00007348) ;B40L-F05(B00007347) ;B40L-F05(B00014409) ;B40L-F05(B00014575)</t>
  </si>
  <si>
    <t xml:space="preserve"> 2020001110000190</t>
  </si>
  <si>
    <t>2020-07-28</t>
  </si>
  <si>
    <t xml:space="preserve"> 82M-02101、82M-02103</t>
  </si>
  <si>
    <t xml:space="preserve"> GB 15084-2013,CNCA-C11-08:2014</t>
  </si>
  <si>
    <t>华菱左后视镜（含广角镜）、华菱右后视镜（含广角镜）</t>
  </si>
  <si>
    <t xml:space="preserve"> 2020001110000191</t>
  </si>
  <si>
    <t xml:space="preserve"> 82M-19071</t>
  </si>
  <si>
    <t>华菱下视镜</t>
  </si>
  <si>
    <t xml:space="preserve"> 2020001110000172</t>
  </si>
  <si>
    <t xml:space="preserve"> 2020-06-23</t>
  </si>
  <si>
    <t xml:space="preserve"> 2030-06-22</t>
  </si>
  <si>
    <t xml:space="preserve"> 8201B-110</t>
  </si>
  <si>
    <t xml:space="preserve"> GB15084-2013GB,CNCA-C11-08：2014；</t>
  </si>
  <si>
    <t>华菱室内镜</t>
  </si>
  <si>
    <t>2022-06-08</t>
  </si>
  <si>
    <t>2023-06-17</t>
  </si>
  <si>
    <t>YZ166251000006/1</t>
  </si>
  <si>
    <t xml:space="preserve"> 2020-06-04</t>
  </si>
  <si>
    <t xml:space="preserve"> 2030-06-03</t>
  </si>
  <si>
    <t>B40L-F05低配左外后视镜总成（含侧转向灯B40L-F05-DENG-LH） B40L-F05-S-LH(B00009686), B40L-F05低配右外后视镜总成（含侧转向灯B40L-F05-DENG-RH）B40L-F05-S-RH(B00009697), B40L-F05中配左外后视镜总成（含侧转向灯B40L-F05-DENG-LH）B40L-F05-S-LH(B00009687), B40L-F05中配右外后视镜总成（含侧转向灯B40L-F05-DENG-RH）B40L-F05-S-RH(B00009698), B40L-F05高配左外后视镜总成（含侧转向灯B40L-F05-DENG-LH）B40L-F05-D-LH(B00011407), B40L-F05高配右外后视镜总成（含侧转向灯B40L-F05-DENG-RH）B40L-F05-D-RH(B00011408), B40L-F05中高配左外后视镜总成（含侧转向灯B40L-F05-DENG-LH）B40L-F05-D-LH(B00014346), B40L-F05中高配右外后视镜总成（含侧转向灯B40L-F05-DENG-RH）B40L-F05-D-RH(B00014347), B40L-C24左外后视镜总成(含侧转向灯B40L-F05-DENG-LH）B40L-F05-D-LH(B00021105）, B40L-C24右外后视镜总成(含侧转向灯B40L-F05-DENG-RH）B40L-F05-D-RH(B00021106）, B40L-C24左外后视镜总成（亚光漆）(含侧转向灯B40L-F05-DENG-LH）B40L-F05-D-LH(B00020072）, B40L-C24右外后视镜总成（亚光漆）(含侧转向灯B40L-F05-DENG-RH）B40L-F05-D-RH(B00020073）,B40L-Z37左外后视镜总成(含侧转向灯B40L-F05-DENG-LH）B40L-F05-S-LH(B00028501）,B40L-Z37右外后视镜总成(含侧转向灯B40L-F05-DENG-RH）B40L-F05-S-RH(B00028520</t>
  </si>
  <si>
    <t>2018091110001418</t>
  </si>
  <si>
    <t xml:space="preserve"> 2023981110000220</t>
  </si>
  <si>
    <t xml:space="preserve"> 2023-09-14</t>
  </si>
  <si>
    <t>2033-09-13</t>
  </si>
  <si>
    <t xml:space="preserve"> H3下视镜L0821020107A0, 下视镜总成RC770004(LG1613770057), 北奔改型前下视镜5008100316</t>
  </si>
  <si>
    <t xml:space="preserve"> GB 15084-2022,CNCA-00C-008-2019</t>
  </si>
  <si>
    <t>2015091110000881
2020971110002217</t>
  </si>
  <si>
    <t>关联</t>
  </si>
  <si>
    <t>不转</t>
  </si>
  <si>
    <t xml:space="preserve"> 2020971110002221</t>
  </si>
  <si>
    <t>2030-08-19</t>
  </si>
  <si>
    <t>2015091110000882</t>
  </si>
  <si>
    <t>未关联</t>
  </si>
  <si>
    <t xml:space="preserve"> 奥驰A左后视镜(含广角镜)8202015-Y64-01, 奥驰A右后视镜(含广角镜)8202020-Y64-01, 奥驰V左后视镜(含广角镜)8202015-P73-01, 奥驰V右后视镜(含广角镜)8202020-P73-01</t>
  </si>
  <si>
    <t>2015091110000865</t>
  </si>
  <si>
    <t>未转</t>
  </si>
  <si>
    <t xml:space="preserve"> 2020971110002223</t>
  </si>
  <si>
    <t>2015091110000864</t>
  </si>
  <si>
    <t xml:space="preserve"> ETX补盲镜1B24982104004, 捷运补盲镜1B20082100006</t>
  </si>
  <si>
    <t>2014091110000738</t>
  </si>
  <si>
    <t xml:space="preserve"> 曼项目补盲镜 712W63730-6573</t>
  </si>
  <si>
    <t>2019091110001471</t>
  </si>
  <si>
    <t>2020-08-20</t>
  </si>
  <si>
    <t xml:space="preserve"> MV3左外后视镜总成(含广角镜)8202015-M01-C00/C, MV3右外后视镜总成(含广角镜)8202020-M01-C00/C, 低速牵引车右后视镜总成（含广角镜）TG16057700020</t>
  </si>
  <si>
    <t>2019091110001453</t>
  </si>
  <si>
    <t xml:space="preserve"> CCAP2013091110000578</t>
  </si>
  <si>
    <t xml:space="preserve"> 2020971110002234</t>
  </si>
  <si>
    <t xml:space="preserve"> 奥铃左后视镜1B18082100067, 奥铃右后视镜1B18082100068</t>
  </si>
  <si>
    <t>2013091110000578</t>
  </si>
  <si>
    <t>2023-7-26</t>
  </si>
  <si>
    <t>2033-7-25</t>
  </si>
  <si>
    <t xml:space="preserve"> T7H左后视镜总成(含广角镜)WG1664778091/2, T7H右后视镜总成(含广角镜)WG1664778092/2, T7H中宽体左后视镜总成(含广角镜)WG1664778041/2, T7H中宽体右后视镜总成(含广角镜)WG1664778042/2, C7左后视镜总成(含广角镜)712W63730-7021/2, C7右后视镜总成(含广角镜)712W63730-7025/2, T7H左后视镜总成(电动) (含广角镜)WG1664778081/2, T7H右后视镜总成(电动) (含广角镜)WG1664778082/2, T7H中宽体左后视镜总成(电动)(含广角镜)WG1664778021/2, T7H中宽体右后视镜总成(电动)(含广角镜)WG1664778022/2, C7左后视镜总成（电动）(含广角镜)712W63730-0021/2, C7右后视镜总成（电动）(含广角镜)712W63730-0025/2, C7宽体左后视镜总成（电动）(含广角镜)712W63730-0001/2, C7宽体右后视镜总成（电动）(含广角镜)712W63730-0005/2</t>
  </si>
  <si>
    <t xml:space="preserve"> GB 15084-2022,CNCA-C11-08:2014</t>
  </si>
  <si>
    <t>2019091110020038</t>
  </si>
  <si>
    <t xml:space="preserve"> 2020971110002236</t>
  </si>
  <si>
    <t xml:space="preserve"> MV3内视镜8201010-M01-C00/A, K1内视镜1B16282300001</t>
  </si>
  <si>
    <t>2019091110001452</t>
  </si>
  <si>
    <t xml:space="preserve"> CCAP2019091110001451</t>
  </si>
  <si>
    <t>2019091110001451</t>
  </si>
  <si>
    <t xml:space="preserve"> 2020971110002238</t>
  </si>
  <si>
    <t xml:space="preserve"> 豪泺电加热左后视镜(含广角镜)TG16427700030/1, 豪泺电加热右后视镜(含广角镜)TG16427700040/1, 矿山车左后视镜(含广角镜)TG16427700010/1, 矿山车右后视镜(含广角镜)TG16427700020/1, 低速牵引车左后视镜(含广角镜)TZ16057700010, 北奔左置左后视镜(含广角镜)500 810 0916, 北奔左置右后视镜(含广角镜)500 810 1016</t>
  </si>
  <si>
    <t>2017091110001219</t>
  </si>
  <si>
    <t xml:space="preserve"> VT高顶前下视镜H2821020001A0, VT平顶前下视镜H2821020002A0, ETX改型平顶前下视镜H0821022002A0, ETX改型高顶前下视镜H0821022001A0</t>
  </si>
  <si>
    <t>2018091110001427</t>
  </si>
  <si>
    <t xml:space="preserve"> 曼项目前下视镜812W63730-6656</t>
  </si>
  <si>
    <t>2018091110001429</t>
  </si>
  <si>
    <t xml:space="preserve"> T7补盲镜WG1664771041</t>
  </si>
  <si>
    <t>2018091110001426</t>
  </si>
  <si>
    <t xml:space="preserve"> 2020971110002242</t>
  </si>
  <si>
    <t xml:space="preserve"> N07补盲镜WG1664771040-RC770003</t>
  </si>
  <si>
    <t>2018091110001425</t>
  </si>
  <si>
    <t xml:space="preserve"> 2020971110002243</t>
  </si>
  <si>
    <t>2018091110001424</t>
  </si>
  <si>
    <t xml:space="preserve"> CCAP2018091110001423</t>
  </si>
  <si>
    <t xml:space="preserve"> H4补盲外后视镜总成H4821030001A0</t>
  </si>
  <si>
    <t>2018091110001423</t>
  </si>
  <si>
    <t xml:space="preserve"> 2020971110002245</t>
  </si>
  <si>
    <t xml:space="preserve"> ETX改型左后视镜总成(含广角镜)H0821010104A0, ETX改型右后视镜总成(含广角镜)H0821010203A0, VT车型左后视镜(含广角镜)H2821010100A0, VT车型右后视镜(含广角镜)H2821010200A0, ETX改型左后视镜总成(含广角镜)H0821012001A0, ETX改型右后视镜总成(含广角镜)H0821012002A0, 新ETX改型电动左后视镜(含广角镜)H0821010106A0, 新ETX改型电动右后视镜(含广角镜)H0821010205A0</t>
  </si>
  <si>
    <t>2018091110001422</t>
  </si>
  <si>
    <t xml:space="preserve"> 2020971110002248</t>
  </si>
  <si>
    <t xml:space="preserve"> 豪泺左后视镜(含广角镜）WG1642777010/1, 豪泺右后视镜(含广角镜）WG1642777020/1, 捷运左后视镜(含广角镜）1B20082100203, 捷运右后视镜(含广角镜）1B20082100204, 捷运左后视镜(含广角镜）1B20082100004, 捷运右后视镜(含广角镜）1B20082100206</t>
  </si>
  <si>
    <t>2013091110000582</t>
  </si>
  <si>
    <t>2013091110000590</t>
  </si>
  <si>
    <t xml:space="preserve"> 2020971110002254</t>
  </si>
  <si>
    <t xml:space="preserve"> GB 15084-2013,CCAP-GZ-8202:2019</t>
  </si>
  <si>
    <t>2018091110001421</t>
  </si>
  <si>
    <t xml:space="preserve"> CCAP2018091110001420</t>
  </si>
  <si>
    <t>2018091110001420</t>
  </si>
  <si>
    <t>2023-07-27</t>
  </si>
  <si>
    <t>2033-07-26</t>
  </si>
  <si>
    <t>CNCA-00C-008：2019
GB 15084-2022</t>
  </si>
  <si>
    <t>2013091110000584
2020971110002149</t>
  </si>
  <si>
    <t xml:space="preserve"> CCAP2015091110000878</t>
  </si>
  <si>
    <t>2015091110000878</t>
  </si>
  <si>
    <t xml:space="preserve">2023981110000125 </t>
  </si>
  <si>
    <t>2013091110000588
2020971110002151</t>
  </si>
  <si>
    <t xml:space="preserve"> 2020971110002152</t>
  </si>
  <si>
    <t xml:space="preserve"> 2020-07-22</t>
  </si>
  <si>
    <t>2030-07-21</t>
  </si>
  <si>
    <t>2013091110000577</t>
  </si>
  <si>
    <t>2023-09-14</t>
  </si>
  <si>
    <r>
      <rPr>
        <strike/>
        <sz val="12"/>
        <color rgb="FF555555"/>
        <rFont val="宋体"/>
        <charset val="134"/>
      </rPr>
      <t xml:space="preserve">
</t>
    </r>
    <r>
      <rPr>
        <sz val="12"/>
        <color theme="1"/>
        <rFont val="宋体"/>
        <charset val="134"/>
      </rPr>
      <t xml:space="preserve"> L0821010127A0/L0821010205A0驭菱左后视镜/驭菱右后视镜</t>
    </r>
  </si>
  <si>
    <t>2015091110000939</t>
  </si>
  <si>
    <t xml:space="preserve"> 2020971110002154</t>
  </si>
  <si>
    <t xml:space="preserve"> L0821034002A0 H3补盲镜 L0821030006A0 补盲镜总成 H0821030100A0 ETX补盲镜</t>
  </si>
  <si>
    <t>2015091110000877</t>
  </si>
  <si>
    <t xml:space="preserve"> CCAP2015091110000879</t>
  </si>
  <si>
    <t>2015091110000879</t>
  </si>
  <si>
    <t xml:space="preserve">
2023981110000127</t>
  </si>
  <si>
    <t xml:space="preserve"> L0821034001A0 1995补盲镜</t>
  </si>
  <si>
    <t>2014091110000733
2020971110002156</t>
  </si>
  <si>
    <t xml:space="preserve"> 1B22082100011 2200前下视镜 G0821020001A0 捷运高顶前下视镜 L0821020007A0 A2(1995车身)前下视镜</t>
  </si>
  <si>
    <t xml:space="preserve">2015091110000880
2020971110002157 </t>
  </si>
  <si>
    <t xml:space="preserve"> 2020971110001814</t>
  </si>
  <si>
    <t xml:space="preserve"> 2020-06-11</t>
  </si>
  <si>
    <t xml:space="preserve"> 2030-06-10</t>
  </si>
  <si>
    <t xml:space="preserve"> GB 15084-2013, GB 17509-2008, CNCA-C11-08:2014</t>
  </si>
  <si>
    <t>2019091110001450</t>
  </si>
  <si>
    <t xml:space="preserve"> 2020971110001735</t>
  </si>
  <si>
    <t xml:space="preserve"> B80C-M01低配左外后视镜（含侧转向灯0A5206L-Z02） B80C-M01-LH(B00011434), B80C-M01低配右外后视镜（含侧转向灯0A5206R-Z02）B80C-M01-RH(B00011435), B80C-M01高配左外后视镜（含侧转向灯0A5206L-Z02）B80C-M01-LH(B00011436), B80C-M01高配右外后视镜（含侧转向灯0A5206R-Z02）B80C-M01-RH(B00011437), B80CJ-M01低配左外后视镜（含侧转向灯0A5206L-Z02）B80C-M01-LH(B00014219), B80CJ-M01低配右外后视镜（含侧转向灯0A5206R-Z02）B80C-M01-RH(B00014220), B80CJ-M01高配左外后视镜（含侧转向灯0A5206L-Z02）B80C-M01-LH(B00014222), B80CJ-M01高配右外后视镜（含侧转向灯0A5206R-Z02）B80C-M01-RH(B00014221), B80C-M09低配左外后视镜（含侧转向灯0A5206L-Z02）B80C-M01-LH(B00019680), B80C-M09低配右外后视镜（含侧转向灯0A5206R-Z02）B80C-M01-RH(B00019681), B80C-C11左外后视镜(钢琴漆）（含侧转向灯0A5206L-Z02）B80C-M01-LH(B00020677), B80C-C11右外后视镜(钢琴漆）（含侧转向灯0A5206R-Z02）B80C-M01-RH(B00020678)</t>
  </si>
  <si>
    <t>2018091110001419</t>
  </si>
  <si>
    <t>2021-12-30</t>
  </si>
  <si>
    <t>2031-12-29</t>
  </si>
  <si>
    <r>
      <rPr>
        <sz val="11"/>
        <color theme="1"/>
        <rFont val="宋体"/>
        <charset val="134"/>
        <scheme val="minor"/>
      </rPr>
      <t>GB 11550-2009,GB 15083-2019,GB 8410-2006</t>
    </r>
    <r>
      <rPr>
        <strike/>
        <sz val="11"/>
        <color theme="1"/>
        <rFont val="宋体"/>
        <charset val="134"/>
        <scheme val="minor"/>
      </rPr>
      <t>,CCAP-GZ-6800：2020</t>
    </r>
  </si>
  <si>
    <t>H4副座椅</t>
  </si>
  <si>
    <t>2022-01-10</t>
  </si>
  <si>
    <t>2032-01-09</t>
  </si>
  <si>
    <t>H4-2.2</t>
  </si>
  <si>
    <t>汽车内饰件 L1681040104A0M4奥铃卧铺总成（面料+海绵 +底衬+PUR+ 木板）, L1681040106A0M4奥铃卧铺总成1880（面料 +海绵 +底衬  +PUR+ 木板）, M4704010200A0中重卡卧铺总成（面料 +海绵 +网布+聚氨酯+ 木板）, L0681040100A0欧马可升级1800卧铺总成（涤纶 +聚氨酯 +涤纶+PUR+ 木板）</t>
  </si>
  <si>
    <t>GB 8410-2006,CCAP-GZ-5101:2020</t>
  </si>
  <si>
    <t>内饰件</t>
  </si>
  <si>
    <t xml:space="preserve"> 河北光华荣昌汽车部件有限公司</t>
  </si>
  <si>
    <t xml:space="preserve"> CCAP2022091114020858</t>
  </si>
  <si>
    <t>2022-01-11</t>
  </si>
  <si>
    <t>2032-01-10</t>
  </si>
  <si>
    <t>1880副座椅总成 (PVC)RC510042 （LG1612510170）, 1880副座椅总成RC510042 （LG1612510070）, 1880副座椅总成（通风加热）PVC RC510042 （LG1612510090）</t>
  </si>
  <si>
    <t>2022-03-10</t>
  </si>
  <si>
    <t>2032-03-09</t>
  </si>
  <si>
    <t>H6驾驶员</t>
  </si>
  <si>
    <t>H6副驾</t>
  </si>
  <si>
    <t>A9609109720/A9609109820/A9609100753</t>
  </si>
  <si>
    <t>H6驾驶员高配</t>
  </si>
  <si>
    <t xml:space="preserve">	2022-06-23</t>
  </si>
  <si>
    <t xml:space="preserve">	2032-06-22</t>
  </si>
  <si>
    <t>北奔座椅</t>
  </si>
  <si>
    <t>8869100101/5179100001/5179100101/5179100201</t>
  </si>
  <si>
    <t>北奔座椅主</t>
  </si>
  <si>
    <t>济南重汽后视镜</t>
  </si>
  <si>
    <t>T7H左后视镜总成(含广角镜) WG1664778091/2, T7H右后视镜总成(含广角镜) WG1664778092/2, T7H中宽体左后视镜总成(含广角镜) WG1664778041/2, T7H中宽体右后视镜总成(含广角镜) WG1664778042/2, C7左后视镜总成(含广角镜) 712W63730-7021/2, C7右后视镜总成(含广角镜) 712W63730-7025/2, T7H左后视镜总成(电动) (含广角镜) WG1664778081/2, T7H右后视镜总成(电动) (含广角镜) WG1664778082/2, T7H中宽体左后视镜总成(电动)(含广角镜)WG1664778021/2, T7H中宽体右后视镜总成(电动)(含广角镜) WG1664778022/2 , C7左后视镜总成（电动）(含广角镜) 712W63730-0021/2, C7右后视镜总成（电动）(含广角镜) 712W63730-0025/2, C7宽体左后视镜总成（电动）(含广角镜) 712W63730-0001/2, C7宽体右后视镜总成（电动）(含广角镜) 712W63730-0005/2</t>
  </si>
  <si>
    <t xml:space="preserve">	2022981110000049</t>
  </si>
  <si>
    <t xml:space="preserve">	2022981110000050</t>
  </si>
  <si>
    <t>(CCAP2022091110020176</t>
  </si>
  <si>
    <t xml:space="preserve">	2022981110000051</t>
  </si>
  <si>
    <t xml:space="preserve">	CCAP2022091110020175</t>
  </si>
  <si>
    <t xml:space="preserve">	2022981110000053</t>
  </si>
  <si>
    <t xml:space="preserve">	2022-03-31</t>
  </si>
  <si>
    <t>2032-03-30</t>
  </si>
  <si>
    <t>图雅诺</t>
  </si>
  <si>
    <t>2022-09-05</t>
  </si>
  <si>
    <t>2032-09-04</t>
  </si>
  <si>
    <t>驾驶员座椅总成QKZY-01（L168100000146）, 驾驶员座椅总成QKZY-01（L168100000156）, 驾驶员座椅总成QKZY-01（L168100000160）, 驾驶员座椅总成QKZY-01（L168100000161）, 驾驶员座椅总成QKZY-01（L168100000193）, 驾驶员座椅总成QKZY-01（L168100000195）, 驾驶员座椅总成QKZY-01（L168100000196）, 驾驶员座椅总成QKZY-01（L168100000109）, 驾驶员座椅总成QKZY-01（L168100000157）, 驾驶员座椅总成QKZY-01（L168100000349）, 驾驶员座椅总成QKZY-01（L168100000356）, 驾驶员座椅总成QKZY-01（L168100000194）, 驾驶员座椅总成QKZY-01（L168100000350）, 驾驶员座椅总成QKZY-01（L168100000351），驾驶员座椅总成QKZY-01（L168100000539）</t>
  </si>
  <si>
    <t>欧马可主</t>
  </si>
  <si>
    <t>欧马可基础主驾M4中期改款</t>
  </si>
  <si>
    <t>欧马可副</t>
  </si>
  <si>
    <t>欧马可1880副座
M4中期改款</t>
  </si>
  <si>
    <t>副驾驶员座椅总成QKZY-03（L168100000147）, 副驾驶员座椅总成QKZY-03（L168100000148）, 副驾驶员座椅总成QKZY-03（L168100000163）, 副驾驶员座椅总成QKZY-03（L168100000355），副驾驶员座椅总成QKZY-03（L168100000425）, 副驾驶员座椅总成QKZY-03（L168100000426）</t>
  </si>
  <si>
    <t>欧马可2060副座M4中期改款</t>
  </si>
  <si>
    <t>减震驾驶员座椅总成QKZY-02（L168100000113）, 减震驾驶员座椅总成QKZY-02（L168100000162）, 减震驾驶员座椅总成QKZY-02（L168100000197）, 减震驾驶员座椅总成QKZY-02（L168100000114）, 减震驾驶员座椅总成QKZY-02（L168100000352）, 减震驾驶员座椅总成QKZY-02（L168100000353），减震驾驶员座椅总成QKZY-02（L168100000540）, 减震驾驶员座椅总成QKZY-02（L168100000541）</t>
  </si>
  <si>
    <t>欧马可减震主</t>
  </si>
  <si>
    <t>欧马可减震主驾M4中期改款</t>
  </si>
  <si>
    <t>2023-07-10</t>
  </si>
  <si>
    <t>2033-07-09</t>
  </si>
  <si>
    <t>G3</t>
  </si>
  <si>
    <t>E6800C/E6800C（68EN2531-00010）/E6800C（ 9900152906）/ E6800C（9900152905）</t>
  </si>
  <si>
    <t xml:space="preserve">E6900D（71EN2531-00020）/E6900D（68EN2531-00020）  </t>
  </si>
  <si>
    <t>2023-04-25</t>
  </si>
  <si>
    <t>2033-04-24</t>
  </si>
  <si>
    <t>左外后视镜总成（V5541A/B00034690、B00034691、B00034692、B00034694、B00042918、B00042919、B00042920、B00042925、B00042162）/右外后视镜总成（V5542A/B00034696、B00034697、B00034698、B00034700、B00042921、B00042922、B00042923、B00042924、B00042163）</t>
  </si>
  <si>
    <t>B41V？</t>
  </si>
  <si>
    <t>2021-03-30</t>
  </si>
  <si>
    <t>2031-03-29</t>
  </si>
  <si>
    <t>H6外镜</t>
  </si>
  <si>
    <t>2030-10-22</t>
  </si>
  <si>
    <t>驾驶员座椅总成H468100000007/驾驶员座椅总成H468100000008/驾驶员座椅总成H468100000015/驾驶员座椅总成H468100000019/驾驶员座椅总成H468100000013/驾驶员座椅总成H468100000014/驾驶员座椅总成H468100000016/驾驶员座椅总成H468100000203/驾驶员座椅总成H468100000208/驾驶员座椅总成H468100000063/驾驶员座椅总成H468100000044/驾驶员座椅总成H468100000213/驾驶员座椅总成H468100000226/驾驶员座椅总成H468100000214/驾驶员座椅总成H468100000225/驾驶员座椅总成H468100000224/驾驶员座椅总成H468100000222</t>
  </si>
  <si>
    <t>H4-2.0</t>
  </si>
  <si>
    <t>2021-11-15</t>
  </si>
  <si>
    <t>2031-11-14</t>
  </si>
  <si>
    <t>2022-02-23</t>
  </si>
  <si>
    <t>2032-02-22</t>
  </si>
  <si>
    <t>H6后视镜</t>
  </si>
  <si>
    <t>2023-05-10</t>
  </si>
  <si>
    <t>2033-05-09</t>
  </si>
  <si>
    <t>YZ167151000040/1、AZ166251000021/2</t>
  </si>
  <si>
    <t>YZ167151000039/1</t>
  </si>
  <si>
    <t>YZ167151000047/1、LZ161751100410/1、LZ161751100420/1、LZ161751100430/1</t>
  </si>
  <si>
    <t>YZ167151000048/1、LZ161751100440/1、LZ161751100445/1、LZ161751100450/1、LZ161751100455/1</t>
  </si>
  <si>
    <t>LZ161751100460/1、LZ161751100465/1</t>
  </si>
  <si>
    <t>潍坊光华荣昌汽车技术有限公司</t>
  </si>
  <si>
    <t>2020971114006591</t>
  </si>
  <si>
    <t>2020-10-20</t>
  </si>
  <si>
    <t>K1第二排单人座椅本体及头枕总成 K1681030005A0/K1681030017A0/K1681030044A0/K1681030055A0/K1681030078A0; K1第三排单人座椅本体及头枕总成 K1681030006A0/K1681030018A0/K1681030045A0/K1681030056A0/K1681030079A0; K1第四排单人座椅本体及头枕总成K1681030007A0; K1乘客第二排单人座总成K1681030509A0; K1乘客第三排单人座椅总成 K1681030607A0; K1第四排单人座椅本体及头枕总成 K1681030037A0; K1乘客第三排单人座椅本体及头枕总成 K1681035104AA/K1681035104B1; K1乘客第二排单人座椅本体及头枕总成K1681035109A0/K1681035109A1</t>
  </si>
  <si>
    <t>2020971114006589</t>
  </si>
  <si>
    <t>K1乘客第一排双人联体座本体及头枕总成 K1681030001A0/K1681030015A0/K1681030030A0/K1681030042A0/K1681030051A0/K1681030030A1/K1681035018A0; K1乘客第一排双人联体座本体及头枕总成 K1681030002A0/K1681030016A0/K1681030031A0/K1681030043A0/K1681030052A0/K1681030077A0/K1681030031A1; K1乘客第四排双人联体座本体及头枕总成K1681030004A0/K1681030032A0/K1681030038A0; K1乘客第二排双人座椅本体及头枕总成K1681035111A0/K1681035111B0/K1681030712A0/K1681030713A0; K1乘客第一排双人座椅本体及头枕总成K1681035110A0/K1681035110B0/K1681030217A0; K1乘客第三排双人座椅本体及头枕总成K1681035112A0/K1681035112B0/K1681030901A0/K1681030902A0; K1乘客第一排双人联体座椅总成K1681030319A0; K1乘客第二排双人联体座椅总成K1681030714A0; K1乘客第一排双人联体座椅总成 K1681030218A0; K1乘客第三排双人联体座椅总成K1681033700A0</t>
  </si>
  <si>
    <t>2020971114006586</t>
  </si>
  <si>
    <t>K1侧翻座椅本体及头枕总成（左）K1681031015A0/K1681031013A0/K1681031053A0/ K1681031051A0;K1侧翻座椅本体及头枕总成（右）K1681031014A0/K1681031016A0/ K1681031054A0/K1681031052A0;K1侧翻座椅本体及头枕总成（左）K1681035015A0;K1侧翻座椅本体及头枕总成（右）K1681035016A0; K1681031411A0,K1681031412A0,K1681031413A0侧翻座椅本体及头枕总成</t>
  </si>
  <si>
    <t>2020971114006587</t>
  </si>
  <si>
    <t>K1乘客第四排四人联体左座椅及头枕总成 K1681030019A0/K1681030014A0; K1乘客第四排四人联体右座椅及头枕总成 K1681030024A0/K1681030023A0</t>
  </si>
  <si>
    <t xml:space="preserve"> 2023001114001186</t>
  </si>
  <si>
    <t>2023-09-28</t>
  </si>
  <si>
    <t>2033-09-27</t>
  </si>
  <si>
    <t xml:space="preserve"> 2024001114000212</t>
  </si>
  <si>
    <t>2024-02-21</t>
  </si>
  <si>
    <t>2034-02-20</t>
  </si>
  <si>
    <t xml:space="preserve"> 2023981110000122</t>
  </si>
  <si>
    <t>申注销</t>
  </si>
  <si>
    <t>是否保留</t>
  </si>
  <si>
    <t>2020971114007309</t>
  </si>
  <si>
    <t xml:space="preserve"> 2020-10-12</t>
  </si>
  <si>
    <t xml:space="preserve"> 2030-10-11</t>
  </si>
  <si>
    <t>C50E后排座椅及头枕总成 400202-C50E-01(120123200000/120123200200/120123300000/120123300100/120123500000/120123200100/120123500100/120123300200/120123100200/120123100100/120123202000/120123201000/120123202000-IE12/120123201000-IE12), C50E后排座椅及头枕总成 400202-C50E-02(120123400000/120123400100/120123400200/120123100300/120123203000/120123203000-IE12)</t>
  </si>
  <si>
    <t>GB 11550-2009,GB 15083-2006,GB 8410-2006,CNCA-C11-12:2014</t>
  </si>
  <si>
    <t>2019091114020073</t>
  </si>
  <si>
    <t>注销</t>
  </si>
  <si>
    <t>否</t>
  </si>
  <si>
    <t>2020971110002355</t>
  </si>
  <si>
    <t xml:space="preserve"> 2020-09-15</t>
  </si>
  <si>
    <t xml:space="preserve"> 2030-09-14</t>
  </si>
  <si>
    <t>M50N低配左后视镜（含左转向灯OA5183L -Z02）A00075666, M50N低配右后视镜（含右转向灯OA5183R -Z02）A00075665, M31RB左外后视镜（含侧转向灯0A5183L-Z02）A00081643, M31RB右外后视镜（含侧转向灯0A5183L-Z02）A00081642</t>
  </si>
  <si>
    <t>2019091110020049</t>
  </si>
  <si>
    <t xml:space="preserve"> 2020971114005864</t>
  </si>
  <si>
    <t xml:space="preserve"> 2020-08-25</t>
  </si>
  <si>
    <t xml:space="preserve"> 2030-08-24</t>
  </si>
  <si>
    <t xml:space="preserve"> 前排座椅及头枕总成-右MRB-31B (A00081182/A00081183/A00081184）</t>
  </si>
  <si>
    <t xml:space="preserve"> GB 15083-2019,GB 8410-2006,GB 11550-2009, CNCA-C11-12: 2014</t>
  </si>
  <si>
    <t>2017091114003847</t>
  </si>
  <si>
    <t xml:space="preserve"> 2020971114005865</t>
  </si>
  <si>
    <t xml:space="preserve"> 前排座椅及头枕总成-左MRB-31A（A00081179/A00081180/A00081181）</t>
  </si>
  <si>
    <t>GB 15083-2019,GB 8410-2006,GB 11550-2009, CNCA-C11-12: 2014</t>
  </si>
  <si>
    <t>2017091114003846</t>
  </si>
  <si>
    <t>2020971110002220</t>
  </si>
  <si>
    <t xml:space="preserve"> 华菱补盲镜82H08-19062</t>
  </si>
  <si>
    <t>2015091110000936</t>
  </si>
  <si>
    <t xml:space="preserve"> 2020971110002217</t>
  </si>
  <si>
    <r>
      <rPr>
        <sz val="12"/>
        <color rgb="FF555555"/>
        <rFont val="宋体"/>
        <charset val="134"/>
      </rPr>
      <t xml:space="preserve"> H3下视镜L0821020107A0,</t>
    </r>
    <r>
      <rPr>
        <sz val="12"/>
        <color rgb="FFFF0000"/>
        <rFont val="宋体"/>
        <charset val="134"/>
      </rPr>
      <t xml:space="preserve"> 下视镜总成RC770004(LG1613770057), 北奔改型前下视镜5008100316</t>
    </r>
  </si>
  <si>
    <t>2015091110000881</t>
  </si>
  <si>
    <t xml:space="preserve"> 2020971110002222</t>
  </si>
  <si>
    <t xml:space="preserve"> CCAP2014091110000735</t>
  </si>
  <si>
    <t xml:space="preserve"> 2020971110002224</t>
  </si>
  <si>
    <t xml:space="preserve"> F2400左后视镜G0821010077A0, F2400右后视镜G0821010078A0</t>
  </si>
  <si>
    <t>2014091110000735</t>
  </si>
  <si>
    <t xml:space="preserve"> 2020971110002225</t>
  </si>
  <si>
    <t xml:space="preserve"> K1左后视镜1B16282100001, K1右后视镜1B16282100002</t>
  </si>
  <si>
    <t>2014091110000736</t>
  </si>
  <si>
    <t xml:space="preserve"> 2020971110002230</t>
  </si>
  <si>
    <t>时代H2左后视镜LG1611771001, 时代H2右后视镜(含广角镜）LG1611771002</t>
  </si>
  <si>
    <t>2013091110000589</t>
  </si>
  <si>
    <t>2020971110002232</t>
  </si>
  <si>
    <t xml:space="preserve"> M20改款左后视镜（低配） 84702DG3511, M20改款右后视镜（低配） 84701DG3511, M20改款左后视镜（高配） 84702DG3521, M20改款右后视镜（高配） 84701DG3521</t>
  </si>
  <si>
    <t>2019091110001470</t>
  </si>
  <si>
    <r>
      <rPr>
        <sz val="12"/>
        <color rgb="FF555555"/>
        <rFont val="宋体"/>
        <charset val="134"/>
      </rPr>
      <t xml:space="preserve"> MV3内视镜8201010-M01-C00/A,</t>
    </r>
    <r>
      <rPr>
        <sz val="12"/>
        <color rgb="FFFF0000"/>
        <rFont val="宋体"/>
        <charset val="134"/>
      </rPr>
      <t xml:space="preserve"> K1内视镜1B16282300001</t>
    </r>
  </si>
  <si>
    <r>
      <rPr>
        <sz val="12"/>
        <color rgb="FF555555"/>
        <rFont val="宋体"/>
        <charset val="134"/>
      </rPr>
      <t xml:space="preserve"> ETX改型左后视镜总成(含广角镜)H0821010104A0, ETX改型右后视镜总成(含广角镜)H0821010203A0, VT车型左后视镜(含广角镜)H2821010100A0, VT车型右后视镜(含广角镜)H2821010200A0, ETX改型左后视镜总成(含广角镜)H0821012001A0, ETX改型右后视镜总成(含广角镜)H0821012002A0, </t>
    </r>
    <r>
      <rPr>
        <sz val="12"/>
        <color rgb="FFFF0000"/>
        <rFont val="宋体"/>
        <charset val="134"/>
      </rPr>
      <t>新ETX改型电动左后视镜(含广角镜)H0821010106A0, 新ETX改型电动右后视镜(含广角镜)H0821010205A0</t>
    </r>
  </si>
  <si>
    <t xml:space="preserve"> 2020971110002246</t>
  </si>
  <si>
    <t xml:space="preserve"> 北奔左后视镜5008101716, 北奔右后视镜5008101816</t>
  </si>
  <si>
    <t>2018091110001388</t>
  </si>
  <si>
    <t>2020971110002247</t>
  </si>
  <si>
    <t>重汽轻卡左后视镜(含广角镜)LG1611771011, 重汽轻卡右后视镜(含广角镜)LG1611771012</t>
  </si>
  <si>
    <t>2017091110001218</t>
  </si>
  <si>
    <t xml:space="preserve"> ETX2280左后视镜总成(含广角镜)H1821010100A0, ETX 2280右后视镜总成(含广角镜)H1821010200A0, ETX左后视镜总成(含广角镜)H0821010100A0, ETX右后视镜总成(含广角镜)H0821010200A0, 2200右后视镜(含广角镜)G0821010007A0, 2200左后视镜(含广角镜)G0821010158A0</t>
  </si>
  <si>
    <t xml:space="preserve"> 2020971110002214</t>
  </si>
  <si>
    <t xml:space="preserve"> 2020-08-18</t>
  </si>
  <si>
    <t xml:space="preserve"> 2030-08-17</t>
  </si>
  <si>
    <t>M50N高配左后视镜（含左转向灯OA5183L -Z02）A00072706, M50N高配右后视镜（含右转向灯OA5183R -Z02）A00072705</t>
  </si>
  <si>
    <t>2019091110020050</t>
  </si>
  <si>
    <t xml:space="preserve"> 汽车内后视镜1K16982100002</t>
  </si>
  <si>
    <t xml:space="preserve"> 2020971110002149</t>
  </si>
  <si>
    <t xml:space="preserve"> 1B18382103000 1028室内镜 2013年 4月3日 　时代灰 镜杆尺寸不同 1B15837100001 1580室内镜 萨普灰 L0823020901A0 1028室内镜（黑色） 2014年 11月17日 G0823020101A0 内后视镜总成 2016年 3月29日 L0371120120A0 内后视镜总成 2016年 7月8日</t>
  </si>
  <si>
    <t>2013091110000584</t>
  </si>
  <si>
    <t xml:space="preserve"> 2020971110002150</t>
  </si>
  <si>
    <t xml:space="preserve"> L0821010126A0,L0821010203A0 H3左/右后视镜（含广角镜）； L0821010130A0/L0821010208A0 左/右汽车后视镜总成（含广角镜）； L0821010057A0 奥铃窄车左后视镜； L0821010058A0 奥铃窄车右后视镜； L0821010177A0 奥铃宽车左后视镜；L0821010178A0 奥铃宽车右后视镜; L0821010133A0 H3宽车左后视镜；L0821010210A0 H3宽车右后视镜； G0821010176A0 左后视镜总成；G0821010225A0 右后视镜总成</t>
  </si>
  <si>
    <t xml:space="preserve"> 2020971110002151</t>
  </si>
  <si>
    <t xml:space="preserve"> 1B17837100002 1029室内镜, 1B17837100003 1029室内镜, 1B17837100001 1029室内镜, 1B16937100071 1029室内镜, 1B16937100015 1029室内镜, G0821010037A0 1029室内镜, LG1611771004 1029室内镜, G0823010016A0 1029室内镜, G0823010014A0G0823010015A0 1580室内镜, 1029内后视镜 G0823010017A0</t>
  </si>
  <si>
    <t>2013091110000588</t>
  </si>
  <si>
    <t xml:space="preserve"> 1B18082100017 奥铃左后视镜 1B18082100018 奥铃右后视镜 下视镜不在本次认证范围 1B18082100037 奥铃左后视镜 　 1B18082100038 奥铃右后视镜 　 1B18082100039 奥铃右后视镜 下视镜不在本次认证范围 1B18082100501 奥铃左后视镜 1B18082100502 奥铃右后视镜 1B18082100057 奥铃左后视镜 1B18082100058 奥铃右后视镜 下视镜不在本次认证范围 1B17882100030 1780左后视镜 1B17882100031 1780右后视镜 1B17882100032 1780右后视镜 下视镜不在本次认证范围 1B15882100300 1029左后视镜 1B15882100310 1029右后视镜 1B16082101001 1029左后视镜 1B16082101002 1029右后视镜</t>
  </si>
  <si>
    <t>2020971110002153</t>
  </si>
  <si>
    <t xml:space="preserve"> 1B20082100005 捷运前下视镜, 1B24982104005 前下视镜, L0821020008A0 奥铃下视镜, 5008108916 北奔前下视镜</t>
  </si>
  <si>
    <t xml:space="preserve"> 2020971110002156</t>
  </si>
  <si>
    <t>2014091110000733</t>
  </si>
  <si>
    <t>2015091110000880</t>
  </si>
  <si>
    <t>B40后视镜左低配(带侧转向灯B40331100011AA）B00002608, B40后视镜右低配(带侧转向灯B40331100010AA）B00002609, B40后视镜左高配(带侧转向灯B40331100011AA）B40231200011AA, B40后视镜右高配(带侧转向灯B40331100010AA）B40231200010AA</t>
  </si>
  <si>
    <t>2020971110001736</t>
  </si>
  <si>
    <t xml:space="preserve"> C30D低配左外后视镜（带侧转向灯OA2181L-Z02) 550401-C30D-01（A00063929、E00113269）, C30D低配右外后视镜（带侧转向灯OA2181R-Z02 ) 550401-C30D-01（A00063928、E00113268）,C30D中配左外后视镜（带侧转向灯OA2181L-Z02) 550401-C30D-02（A00074225、E00113267）,C30D中配右外后视镜（带侧转向灯OA2181R-Z02) 550401-C30D-02（A00074224、E00113266）</t>
  </si>
  <si>
    <t xml:space="preserve"> GB 15084-2013,CNCA-C11-08:2014,GB 17509-2008</t>
  </si>
  <si>
    <t>2018091110001440</t>
  </si>
  <si>
    <t xml:space="preserve"> 2020971110001737</t>
  </si>
  <si>
    <t xml:space="preserve"> 左侧外后视镜总成（低配）（带转向信号550401C35DBG）550401C35DBA, 右侧外后视镜总成（低配）（带转向信号550401C35DBH） 550401C35DBB, 左侧外后视镜总成（中配）（带转向信号550401C35DBG） 550401C35DBC, 右侧外后视镜总成（中配）（带转向信号550401C35DBH） 550401C35DBD, 左侧外后视镜总成（高配）（带转向信号550401C35DBG） 550401C35DBE, 右侧外后视镜总成（高配）（带转向信号550401C35DBH） 550401C35DBF</t>
  </si>
  <si>
    <t xml:space="preserve"> GB15084-2013GB 17509-2008,CNCA-C11-08：2014；CNCA-C11-07：2014</t>
  </si>
  <si>
    <t>2019091110001469</t>
  </si>
  <si>
    <t>座椅</t>
  </si>
  <si>
    <t>后视镜</t>
  </si>
  <si>
    <t>合计</t>
  </si>
  <si>
    <t>基于强制性认证</t>
  </si>
  <si>
    <t>基于自愿性认证</t>
  </si>
  <si>
    <t xml:space="preserve">          总计</t>
  </si>
  <si>
    <t>M4 中卡驾驶员</t>
  </si>
  <si>
    <t>QG21431ZZS091</t>
  </si>
  <si>
    <t>M4 中卡副驾驶员</t>
  </si>
  <si>
    <t>QG21431ZZS101</t>
  </si>
  <si>
    <t>L1681010104A0/L168100000096/L168100000023</t>
  </si>
  <si>
    <t>QG21431ZZ8D11</t>
  </si>
  <si>
    <t>M4 中卡驾驶员座椅(气囊)</t>
  </si>
  <si>
    <t>QG21431ZZH181</t>
  </si>
  <si>
    <t>L1681020112A0/L168100000095/L1681020114A0/L168100000097/L168100000041/L1681020116A0/L168100000094</t>
  </si>
  <si>
    <t>QG21431ZZ8D31</t>
  </si>
  <si>
    <t>轻卡驾驶室主座椅总成（PVC）RC510040 （LG1611510310）, 轻卡驾驶室主座椅总成RC510040 （LG1611510210）, 轻卡驾驶室主座椅总成（通风加热）（PVC）RC510040 （LG1611510320）, 轻卡驾驶室主座椅总成（PVC）RC510040 （LZ161351000330）, 轻卡驾驶室主座椅总成（通风加热）（PVC）RC510040 （LZ161351000340）</t>
  </si>
  <si>
    <t>统帅主</t>
  </si>
  <si>
    <t>QG23431ZZP251</t>
  </si>
  <si>
    <t>QG23431ZZP261</t>
  </si>
  <si>
    <t xml:space="preserve"> 驾驶员座椅总成RC510038</t>
  </si>
  <si>
    <t>6800010HH26-C00/6800010BH26-C00/6800010CA95-C00/6800010DH26-C00/6800010-H95-C00</t>
  </si>
  <si>
    <t>6800010EH26-C00/6800010-H05-C00/6800010-E411/6800010AA95-C00/6800010CH26-C00/6800010JH26-C00/6800010AH95-C00/6800010LH26-C00</t>
  </si>
  <si>
    <t xml:space="preserve"> （6905020CH26-C00 6905100-H26-C00 6903010AH26-C00 6900015-H26-C00）/（6905020BH26-C00 6905100-H26-C00 6903010-H26-C00 6900015-H26-C00）/（ 6905020-H05-C00 6905100-H05-C00 6903010-H05-C00 6900015-H26-C00） /（6905020-E411 6905100-E411 6903010-E411 6900015-H26-C00）/（6905020CH26-C00 6905100-H22-C00 6903010AH22-C00 6900015-H26-C00）/（6905020BH26-C00 6905100-H22-C00 6903010-H22-C00 6900015-H26-C00）</t>
  </si>
  <si>
    <t>QG23431ZZP281</t>
  </si>
  <si>
    <t>QG23431ZZP291</t>
  </si>
  <si>
    <t xml:space="preserve"> GB15084:2013</t>
  </si>
  <si>
    <t>QG23331ZZZ281</t>
  </si>
  <si>
    <t>QG23431ZZ3591</t>
  </si>
  <si>
    <t xml:space="preserve"> B40L-F05低配左外后视镜总成（含侧转向灯B40L-F05-DENG-LH） B40L-F05-S-LH(B00009686), B40L-F05低配右外后视镜总成（含侧转向灯B40L-F05-DENG-RH）B40L-F05-S-RH(B00009697), B40L-F05中配左外后视镜总成（含侧转向灯B40L-F05-DENG-LH）B40L-F05-S-LH(B00009687), B40L-F05中配右外后视镜总成（含侧转向灯B40L-F05-DENG-RH）B40L-F05-S-RH(B00009698), B40L-F05高配左外后视镜总成（含侧转向灯B40L-F05-DENG-LH）B40L-F05-D-LH(B00011407), B40L-F05高配右外后视镜总成（含侧转向灯B40L-F05-DENG-RH）B40L-F05-D-RH(B00011408), B40L-F05中高配左外后视镜总成（含侧转向灯B40L-F05-DENG-LH）B40L-F05-D-LH(B00014346), B40L-F05中高配右外后视镜总成（含侧转向灯B40L-F05-DENG-RH）B40L-F05-D-RH(B00014347), B40L-C24左外后视镜总成(含侧转向灯B40L-F05-DENG-LH）B40L-F05-D-LH(B00021105）, B40L-C24右外后视镜总成(含侧转向灯B40L-F05-DENG-RH）B40L-F05-D-RH(B00021106）, B40L-C24左外后视镜总成（亚光漆）(含侧转向灯B40L-F05-DENG-LH）B40L-F05-D-LH(B00020072）, B40L-C24右外后视镜总成（亚光漆）(含侧转向灯B40L-F05-DENG-RH）B40L-F05-D-RH(B00020073）,B40L-Z37左外后视镜总成(含侧转向灯B40L-F05-DENG-LH）B40L-F05-S-LH(B00028501）,B40L-Z37右外后视镜总成(含侧转向灯B40L-F05-DENG-RH）B40L-F05-S-RH(B00028520）</t>
  </si>
  <si>
    <t>QG23331ZZZ341</t>
  </si>
  <si>
    <t>QG23331ZZV491</t>
  </si>
  <si>
    <t>QG23331ZZN061</t>
  </si>
  <si>
    <t>QG23331ZZV501</t>
  </si>
  <si>
    <t>QG23331ZZN151</t>
  </si>
  <si>
    <t>QG23331ZZN181</t>
  </si>
  <si>
    <t>QG23331ZZN101</t>
  </si>
  <si>
    <t>QG23331ZZV511</t>
  </si>
  <si>
    <t xml:space="preserve"> 2020971110002235</t>
  </si>
  <si>
    <t>QG23331ZZP871</t>
  </si>
  <si>
    <t>QG23331ZZN251</t>
  </si>
  <si>
    <t>QG23331ZZN141
QG23331ZZV481</t>
  </si>
  <si>
    <t>2024/6/15
2024/7/13</t>
  </si>
  <si>
    <t>QG23331ZZN221</t>
  </si>
  <si>
    <t>QG23331ZZN1911</t>
  </si>
  <si>
    <t>QG23331ZZN161</t>
  </si>
  <si>
    <t>QG23331ZZN071</t>
  </si>
  <si>
    <t>QG23331ZZN081</t>
  </si>
  <si>
    <t>QG23331ZZN111</t>
  </si>
  <si>
    <t>QG23331ZZN091</t>
  </si>
  <si>
    <t>QG23331ZZN121</t>
  </si>
  <si>
    <t>QG23331ZZN201</t>
  </si>
  <si>
    <t>QG23331ZZQ241</t>
  </si>
  <si>
    <t>QG23331ZZN211</t>
  </si>
  <si>
    <t>QG23331ZZN261</t>
  </si>
  <si>
    <t>QG23331ZZN171</t>
  </si>
  <si>
    <t>QG23331ZZN241</t>
  </si>
  <si>
    <t xml:space="preserve">	副驾驶员座椅总成H4681021100A0, 副驾驶员座椅总成H4681020105A0, 副驾驶员座椅总成H4681020107A0, 副驾驶员座椅总成H468100000053, 副驾驶员座椅总成H468100000054, 副驾驶员座椅总成H468100000055, 副驾驶员座椅总成H468100000046, 副驾驶员座椅总成H468100000062, 副驾驶员座椅总成H568100000141</t>
  </si>
  <si>
    <t xml:space="preserve">	驾驶员座椅总成H468100000044, 驾驶员座椅总成H468100000064, 驾驶员座椅总成H468100000096, 驾驶员座椅总成H568100000138, 驾驶员座椅总成H568100000139, 驾驶员座椅总成H568100000140</t>
  </si>
  <si>
    <t xml:space="preserve">	1880副座椅总成 (PVC)RC510042 （LG1612510170）, 1880副座椅总成RC510042 （LG1612510070）, 1880副座椅总成（通风加热）PVC RC510042 （LG1612510090）</t>
  </si>
  <si>
    <t>QG23431ZZP271</t>
  </si>
  <si>
    <t xml:space="preserve">A9609109520/A9609109620/A9609109920 	</t>
  </si>
  <si>
    <t xml:space="preserve">	A9609103909</t>
  </si>
  <si>
    <t xml:space="preserve">	A9609109720/A9609109820/A9609100753 </t>
  </si>
  <si>
    <t>QG22431W9G461</t>
  </si>
  <si>
    <t xml:space="preserve">8869100101/5179100001/5179100101/5179100201 </t>
  </si>
  <si>
    <t>QG22431W9G431</t>
  </si>
  <si>
    <t>QG23331ZZN131</t>
  </si>
  <si>
    <t xml:space="preserve">	T7H左后视镜总成(含广角镜) WG1664778091/2, T7H右后视镜总成(含广角镜) WG1664778092/2, T7H中宽体左后视镜总成(含广角镜) WG1664778041/2, T7H中宽体右后视镜总成(含广角镜) WG1664778042/2, C7左后视镜总成(含广角镜) 712W63730-7021/2, C7右后视镜总成(含广角镜) 712W63730-7025/2, T7H左后视镜总成(电动) (含广角镜) WG1664778081/2, T7H右后视镜总成(电动) (含广角镜) WG1664778082/2, T7H中宽体左后视镜总成(电动)(含广角镜)WG1664778021/2, T7H中宽体右后视镜总成(电动)(含广角镜) WG1664778022/2 , C7左后视镜总成（电动）(含广角镜) 712W63730-0021/2, C7右后视镜总成（电动）(含广角镜) 712W63730-0025/2, C7宽体左后视镜总成（电动）(含广角镜) 712W63730-0001/2, C7宽体右后视镜总成（电动）(含广角镜) 712W63730-0005/2</t>
  </si>
  <si>
    <t xml:space="preserve">	曼项目前下视镜812W63730-6656</t>
  </si>
  <si>
    <t xml:space="preserve">	N07补盲镜WG1664771040-RC770003</t>
  </si>
  <si>
    <t>QG23331ZZN231</t>
  </si>
  <si>
    <t>驾驶员座椅总成QKZY-01（L168100000146）, 驾驶员座椅总成QKZY-01（L168100000156）, 驾驶员座椅总成QKZY-01（L168100000160）, 驾驶员座椅总成QKZY-01（L168100000161）, 驾驶员座椅总成QKZY-01（L168100000193）, 驾驶员座椅总成QKZY-01（L168100000195）, 驾驶员座椅总成QKZY-01（L168100000196）, 驾驶员座椅总成QKZY-01（L168100000109）, 驾驶员座椅总成QKZY-01（L168100000157）, 驾驶员座椅总成QKZY-01（L168100000349）, 驾驶员座椅总成QKZY-01（L168100000356）, 驾驶员座椅总成QKZY-01（L168100000194）, 驾驶员座椅总成QKZY-01（L168100000350）, 驾驶员座椅总成QKZY-01（L168100000351）</t>
  </si>
  <si>
    <t>QG22431W9R191</t>
  </si>
  <si>
    <t>QG22431W9U121</t>
  </si>
  <si>
    <t>副驾驶员座椅总成QKZY-03（L168100000147）, 副驾驶员座椅总成QKZY-03（L168100000148）, 副驾驶员座椅总成QKZY-03（L168100000163）, 副驾驶员座椅总成QKZY-03（L168100000355）</t>
  </si>
  <si>
    <t>QG22431W9R201</t>
  </si>
  <si>
    <t>减震驾驶员座椅总成QKZY-02（L168100000113）, 减震驾驶员座椅总成QKZY-02（L168100000162）, 减震驾驶员座椅总成QKZY-02（L168100000197）, 减震驾驶员座椅总成QKZY-02（L168100000114）, 减震驾驶员座椅总成QKZY-02（L168100000352）, 减震驾驶员座椅总成QKZY-02（L168100000353）</t>
  </si>
  <si>
    <t>QG22431W9R211</t>
  </si>
  <si>
    <t>左外后视镜总成V5541A/B00034690、左外后视镜总成 V5541A/B00034691、左外后视镜总成V5541A/B00034692、左外后视镜总成V5541A/B00034694、右外后视镜总成V5542A/B00034696、右外后视镜总成V5542A/B00034697、右外后视镜总成V5542A/B00034698、右外后视镜总成V5542A/B00034700</t>
  </si>
  <si>
    <t>QG23431ZZ3551</t>
  </si>
  <si>
    <t>05201-GGJ06.2023.3C28.01.1769</t>
  </si>
  <si>
    <t>05201-GGJ06.2023.3C28.01.1766</t>
  </si>
  <si>
    <t>YZ167151000047/1</t>
  </si>
  <si>
    <t>05201-GGJ06.2023.3C28.01.1777</t>
  </si>
  <si>
    <t>YZ167151000048/1</t>
  </si>
  <si>
    <t>05201-GGJ06.2023.3C28.01.1772</t>
  </si>
  <si>
    <t>LZ161751100460/1</t>
  </si>
  <si>
    <t>05201-GGJ06.2023.3C28.01.1775</t>
  </si>
  <si>
    <t>M468100000170</t>
  </si>
  <si>
    <t>05201-GGJ06.2023.3C28.01.1501</t>
  </si>
  <si>
    <t xml:space="preserve">05201-GGJ06.2023.3C28.01.1504  </t>
  </si>
  <si>
    <t>是</t>
  </si>
  <si>
    <t>湖南光华荣昌自愿性认证+自我声明清单</t>
  </si>
  <si>
    <t>湖南光华荣昌汽车部件有限公司</t>
  </si>
  <si>
    <t xml:space="preserve"> 2020001114000718</t>
  </si>
  <si>
    <t>2020-10-30</t>
  </si>
  <si>
    <t xml:space="preserve"> 2030-10-29</t>
  </si>
  <si>
    <t>M20B前排驾驶员座椅及头枕总成</t>
  </si>
  <si>
    <t>GB 15083-2019，GB 8410-2006,GB 11550-2009, CNCA-C11-12: 2014</t>
  </si>
  <si>
    <t>原景德镇产品</t>
  </si>
  <si>
    <t>2020001114000727</t>
  </si>
  <si>
    <t>M20D中排左独立座椅及头枕总成、M20E中排右独立座椅及头枕总成</t>
  </si>
  <si>
    <t>2020001114000726</t>
  </si>
  <si>
    <t xml:space="preserve"> M20C前排副驾驶员座椅及头枕总成、M20A前排驾驶员座椅及头枕总成</t>
  </si>
  <si>
    <t>2020001114000728</t>
  </si>
  <si>
    <t>M20F中排左侧座椅及头枕总成</t>
  </si>
  <si>
    <t>2020001114000729</t>
  </si>
  <si>
    <t>M20G中排右侧座椅及头枕总成</t>
  </si>
  <si>
    <t>2020001114000730</t>
  </si>
  <si>
    <t>M20I第三排座椅及头枕总成</t>
  </si>
  <si>
    <t xml:space="preserve"> 2021001114001046</t>
  </si>
  <si>
    <t>2031-11-24</t>
  </si>
  <si>
    <t xml:space="preserve"> 第二排四分位座椅及头枕总成P2/3-A（P168100000153）、第二排四分位座椅及头枕总成P2/3-A（P168100000155）、第二排四分位座椅及头枕总成P2/3-A（P168100000157）、第二排四分位座椅及头枕总成P2/3-A（P168100000159）</t>
  </si>
  <si>
    <t>2021001114001048</t>
  </si>
  <si>
    <t>第二排六分位座椅及头枕总成P2/3-B（P168100000154）、第二排六分位座椅及头枕总成P2/3-B（P168100000156）、第二排六分位座椅及头枕总成P2/3-B(P168100000158)、第二排六分位座椅及头枕总成P2/3-B（P168100000160）</t>
  </si>
  <si>
    <t xml:space="preserve"> 2021001114000995</t>
  </si>
  <si>
    <t>2021-11-16</t>
  </si>
  <si>
    <t>2031-11-15</t>
  </si>
  <si>
    <t>乘客三人座椅及头枕总成P2-B(P168100000138)、乘客三人座椅及头枕总成P2-B(P168100000139)</t>
  </si>
  <si>
    <t>2021001114000994</t>
  </si>
  <si>
    <t xml:space="preserve"> 驾驶员座椅及头枕总成P2-A(P168100000134)、副驾驶员座椅及头枕总成P2-A(P168100000136)、驾驶员座椅及头枕总成P2-A(P168100000135)、副驾驶员座椅及头枕总成P2-A(P168100000137)</t>
  </si>
  <si>
    <t xml:space="preserve"> 2020971114005265</t>
  </si>
  <si>
    <t>2020-07-30</t>
  </si>
  <si>
    <t xml:space="preserve"> 2030-07-29</t>
  </si>
  <si>
    <t xml:space="preserve"> 驾驶员座椅本体及头枕总成400201-C32B-02（A00051435）, 驾驶员座椅本体及头枕总成400201-C32B-02(A00051433), 驾驶员座椅本体及头枕总成400201-C32B-02(A00051430), 驾驶员座椅本体及头枕总成400201-C32B-02(A00078627), 驾驶员座椅本体及头枕总成400201-C32B-02(A00092456), 驾驶员座椅本体及头枕总成400201-C32B-02(A00092455), 驾驶员座椅本体及头枕总成400201-C32B-02(A00092457), 驾驶员座椅本体及头枕总成400201-C32B-02(A00109597), 驾驶员座椅本体及头枕总成400201-C32B-02(A00111085)</t>
  </si>
  <si>
    <t>2018091114004422</t>
  </si>
  <si>
    <t>2020971114005266</t>
  </si>
  <si>
    <t xml:space="preserve"> 副驾驶员座椅本体及头枕总成400201-C32B-01(A00051450), 驾驶员座椅本体及头枕总成400201-C32B-01(A00051295), 副驾驶员座椅本体及头枕总成400201-C32B-01(A00051448), 副驾驶员座椅本体及头枕总成400201-C32B-01(A00051445), 副驾驶员座椅本体及头枕总成400201-C32B-01(A00051441), 驾驶员座椅本体及头枕总成400201-C32B-01(A00078626), 副驾驶员座椅本体及头枕总成400201-C32B-01(A00078628), 副驾驶员座椅本体及头枕总成400201-C32B-01(A00092460), 副驾驶员座椅本体及头枕总成400201-C32B-01(A00092459), 副驾驶员座椅本体及头枕总成400201-C32B-01(A00092458), 副驾驶员座椅本体及头枕总成400201-C32B-01(A00109596), 副驾驶员座椅本体及头枕总成400201-C32B-01(A00111079), 副驾驶员座椅本体及头枕总成400201-C32B-01(A00111111), 副驾驶员座椅本体及头枕总成400201-C32B-01(A00111112)</t>
  </si>
  <si>
    <t>2018091114004423</t>
  </si>
  <si>
    <t>2020971114005267</t>
  </si>
  <si>
    <t xml:space="preserve"> 后排乘员座椅及头枕总成400202-C32B-01 (120623100300), 后排乘员座椅及头枕总成400202-C32B-01 (120623100100), 后排乘员座椅及头枕总成400202-C32B-01 (120623100500), 后排乘员座椅及头枕总成400202-C32B-01 (120623100401), 后排乘员座椅及头枕总成400202-C32B-01 (120623100402), 后排乘员座椅及头枕总成400202-C32B-01 (120623100600), 后排乘员座椅及头枕总成400202-C32B-01 (SCS0011606), 后排乘员座椅及头枕总成400202-C32B-01 (SCS0011607)</t>
  </si>
  <si>
    <t>2018091114004424</t>
  </si>
  <si>
    <t xml:space="preserve"> 2020971114005258</t>
  </si>
  <si>
    <t xml:space="preserve"> C40D后排座椅及头枕总成（豪华）D4208A, C40D后排座椅及头枕总成（尊贵＋智能网联版）D4208A, H40D后排座椅及头枕总成（织物）D4208A, H40D后排座椅及头枕总成（织物+PVC＋超纤）D4208A, H40D后排座椅及头枕总成（PVC+超纤）D4208A, H40D后排座椅及头枕总成(PVC+超纤)D4208A, C40D-C06后排座椅及头枕总成(PVC+超纤)D4208A, C40DB-C01后排座椅及头枕总成(全黑PVC)D4208A, C40DB-C01后排座椅及头枕总成(红棕超纤）D4208A, C40D-M14后排座椅及头枕总成(黑红PVC）D4208A, C40D-M14后排座椅及头枕总成（黑棕、全黑超纤）D4208A, C40DB-C01后排座椅及头枕总成(织物)D4208A，C40DB-F01后排座椅总成(织物)D4208A，C40DB-F01后排座椅总成(超纤+PVC)D4208A，C40D-F09后排座椅总成(PVC)D4208A，C40D-F09后排座椅总成(超纤+PVC)D4208A</t>
  </si>
  <si>
    <t xml:space="preserve"> GB 15083-2019,GB 11550-2009,CNCA-C11-12:2014</t>
  </si>
  <si>
    <t>2017091114003701</t>
  </si>
  <si>
    <t xml:space="preserve"> 2020971114005256</t>
  </si>
  <si>
    <t>中间头枕总成D4213B，两侧头枕总成D4212B，后排座椅及头枕总成 D4208B（A00082372/A00082369/A00082351）, 中间头枕总成D4213B，两侧头枕总成D4212B，后排座椅及头枕总成D4208B（A00093873/A00093877/A00093997）, 中间头枕总成D4213B，两侧头枕总成D4212B，后排座椅及头枕总成 D4208B （A00093718/A00093720/A00093722）, 中间头枕总成D4213B，两侧头枕总成D4212B，后排座椅及头枕总成 D4208B （A00093872/A00093876/A00093883）, 中间头枕总成D4213B，两侧头枕总成D4212B，后排座椅及头枕总成 D4208B （A00093873/A00093877/A00093884）,中间头枕总成D4213B，两侧头枕总成D4212B，后排座椅及头枕总成 D4208B（A00082363/A00082360/A00082348），中间头枕总成D4213B，两侧头枕总成D4212B，后排座椅及头枕总成D4208B（A00107669/A00107670/A00107662）</t>
  </si>
  <si>
    <t xml:space="preserve"> GB 15083-2019，GB 8410-2006,GB 11550-2009, CNCA-C11-12: 2014</t>
  </si>
  <si>
    <t>2018091114004279</t>
  </si>
  <si>
    <t xml:space="preserve"> 2020971114005263</t>
  </si>
  <si>
    <t xml:space="preserve"> 后排座椅及头枕总成P203-D（P1681033317A0）, 后排座椅及头枕总成P203-D（P1681033318A0）, 后排座椅及头枕总成P203-D（P168100000038）, 后排座椅及头枕总成P203-D（P168100000041）, 后排座椅及头枕总成P202-D（P168100000029），后排座椅及头枕总成P203-D(P168100000067)，后排座椅及头枕总成P203-D(P168100000073)</t>
  </si>
  <si>
    <t>2019091114020167</t>
  </si>
  <si>
    <t xml:space="preserve"> 2020971114005259</t>
  </si>
  <si>
    <t xml:space="preserve"> 主驾座椅及头枕总成P203-A(P1681010135A0）, 主驾座椅及头枕总成P203-A（P1681010136A0）, 主驾座椅及头枕总成P203-A（P1681010143A0）, 主驾座椅及头枕总成P203-A（P1681010144A0）, 主驾座椅及头枕总成P203-A（P1681010141A0）, 主驾座椅及头枕总成P203-A（P1681010149A0）, 主驾座椅及头枕总成P202-A（P168100000027），主驾座椅及头枕总成P203-A(P168100000065)，主驾座椅及头枕总成P203-A(P168100000071)</t>
  </si>
  <si>
    <t>2019091114020164</t>
  </si>
  <si>
    <t xml:space="preserve"> 2020971114005260</t>
  </si>
  <si>
    <t xml:space="preserve"> 主驾座椅及头枕总成P203-B（P1681010142A0）, 主驾座椅及头枕总成P203-B（P1681010138A0）, 主驾座椅及头枕总成P203-B（P1681010147A0）, 主驾座椅及头枕总成P203-B（P1681010137A0）, 主驾座椅及头枕总成P203-B（P168100000036）, 主驾座椅及头枕总成P203-B（P1681010139A0）, 主驾座椅及头枕总成P202-B（P168100000030），主驾座椅及头枕总成P203-B(P168100000068)，主驾座椅及头枕总成P203-B(P168100000074)，驾驶员座椅总成P203-B(P168100000083)，驾驶员座椅总成P203-B(P168100000084)</t>
  </si>
  <si>
    <t>2019091114020165</t>
  </si>
  <si>
    <t>2020971114005264</t>
  </si>
  <si>
    <t xml:space="preserve"> 后排座椅及头枕总成P203-E（P1681033319A0）, 后排座椅及头枕总成P203-E（P1681033320A0）, 后排座椅及头枕总成P203-E（P168100000039）, 后排座椅及头枕总成P203-E（P168100000040）, 后排座椅及头枕总成P203-E（P168100000033）, 后排座椅及头枕总成P203-E（P168100000034）, 后排座椅及头枕总成P202-E（P168100000032），后排座椅及头枕总成P203-E(P168100000070)，后排座椅及头枕总成P203-E(P168100000076)，乘客三人座椅总成P203-E(P168100000081)，乘客三人座椅总成P203-E(P168100000086)</t>
  </si>
  <si>
    <t>2019091114020168</t>
  </si>
  <si>
    <t xml:space="preserve"> 2020971114005262</t>
  </si>
  <si>
    <t xml:space="preserve"> 副驾座椅及头枕总成P203-C（P1681020145A0）, 副驾座椅及头枕总成P203-C（P1681020144A0）, 副驾座椅及头枕总成P203-C（P1681020148A0）, 副驾座椅及头枕总成P203-C（P1681020146A0）, 副驾座椅及头枕总成P203-C（P1681020153A0）, 副驾座椅及头枕总成P203-C（P1681020152A0）, 副驾座椅及头枕总成P203-C（P1681020150A0）, 副驾座椅及头枕总成P203-C（P1681020151A0）, 副驾座椅及头枕总成P203-C（P1681020149A0）, 副驾座椅及头枕总成P203-C（P1681020141A0）, 副驾座椅及头枕总成P203-C（P168100000037）, 副驾座椅及头枕总成P203-C（P1681020142A0）, 副驾座椅及头枕总成P202-C（P168100000028）, 副驾座椅及头枕总成P202-C（P168100000031），副驾座椅及头枕总成P203-C(P168100000066)，副驾座椅及头枕总成P203-C(P168100000072)，副驾座椅及头枕总成P203-C(P168100000069)，副驾座椅及头枕总成P203-C(P168100000075)，副驾座椅总成P203-C(P168100000082)，副驾座椅总成P203-C(P168100000085)</t>
  </si>
  <si>
    <t>2019091114020166</t>
  </si>
  <si>
    <t xml:space="preserve"> 2020001114000698</t>
  </si>
  <si>
    <t>2020-10-29</t>
  </si>
  <si>
    <t>2030-10-28</t>
  </si>
  <si>
    <t xml:space="preserve"> C40DB-C01后排固定式头枕座椅总成D4208C</t>
  </si>
  <si>
    <t xml:space="preserve"> 2020971114006175</t>
  </si>
  <si>
    <t>2020-09-02</t>
  </si>
  <si>
    <t>2030-09-01</t>
  </si>
  <si>
    <t xml:space="preserve"> 前排座椅总成-右D4201D（A00109642）, 前排座椅总成-右D4201D（A00109640）, 前排座椅总成-右D4201D（A00109639）、前排座椅总成-右D4201D（A00109641）、前排座椅总成-右D4201D（A00108171）</t>
  </si>
  <si>
    <t>2019091114020399</t>
  </si>
  <si>
    <t xml:space="preserve"> 2020971114006176</t>
  </si>
  <si>
    <t xml:space="preserve"> 2020-09-02</t>
  </si>
  <si>
    <t xml:space="preserve"> 2030-09-01</t>
  </si>
  <si>
    <t xml:space="preserve"> 前排座椅总成-左D4201E(A00109614), 前排座椅总成-左D4201E(A00109619)、前排座椅总成-左D4201E(A00108173)</t>
  </si>
  <si>
    <t>2019091114020398</t>
  </si>
  <si>
    <t xml:space="preserve"> 2020971114005543</t>
  </si>
  <si>
    <t xml:space="preserve"> 400202-C33D-02（A00054228/A00055144/A00054229/A00055145）后排座椅及头枕总成（分体式+真皮+皮革）；400202-C33D-02A00043328/A00043331/A00043333/A00043335）C33D后排座椅及头枕总成（分体式+织物+皮革）；400202-C33D-02（A00055237/A00055243/A00055247/A00055251）H33D后排座椅及头枕总成（分体式+织物）；400202-C33D-02（A00055239/A00055245/A00055249/A00055253）H33D后排座椅及头枕总成（分体式+真皮+皮革）；400202-C33D-02（A00076457/A00076464/A00076459/A00076461）,400202-C33D-02（A00084600/A00084601/A00084602/A00084603）C33D后排座椅及头枕总成（分体式+超纤+PVC）;400202-C33D-02（A00092112/A00092111/A00092113/A00092114） C33D后排座椅及头枕总成（分体式+织物+PVC）;C33DB后排座椅及头枕总成（分体式+全织物）400202-C33D-02(E00114167/E00114168/E00114171/E00114172);C33DB后排座椅及头枕总成（分体式+超纤+PVC）400202-C33D-02(E00114166/E00114169/E00114170/E00114173)</t>
  </si>
  <si>
    <t xml:space="preserve"> GB 11550-2009,GB 15083-2006,CNCA-C11-12:2014</t>
  </si>
  <si>
    <t>2015091114002771</t>
  </si>
  <si>
    <t>2020971114005544</t>
  </si>
  <si>
    <t xml:space="preserve"> 400202-C33D-01（A00043320/A00043324）后排座椅及头枕总成（整体式+织物）; E00011488/4R27-1C1-1000-Z、E00011482/4R27-1D1-2000-Z后排座椅及头枕总成（整体式+织物）;400202-C33D-01（A00057084/A00057089） C33D后排座椅及头枕总成（整体式+带中间头枕+织物+PVC）;400202-C33D-01（A00055231/A00055235）H33D后排座椅及头枕总成（整体式+带中间头枕）;400202-C33D-01（A00084941/A00084942）C33D后排座椅及头枕总成（整体式+织物+PVC）</t>
  </si>
  <si>
    <t>2015091114002772</t>
  </si>
  <si>
    <t>2020971114005545</t>
  </si>
  <si>
    <t xml:space="preserve">驾驶员座椅本体及头枕总成 400201-H32B-02(A00055718、A00055717、A00055716) </t>
  </si>
  <si>
    <t>2015091114003019</t>
  </si>
  <si>
    <t xml:space="preserve"> 2020971114005546</t>
  </si>
  <si>
    <t xml:space="preserve"> 400201-C33D-01（A00043326）驾驶员座椅（六向+织物+皮革）;400201-C33D-01（A00043337）C33D驾驶员座椅（六向+双边+真皮）;400201-C33D-01（A00058828）H33D驾驶员座椅（六向+双边+真皮）;400201-C33D-01（A00055230）H33D驾驶员座椅 (六向+单边+织物);400201-C33D-01（A00067712）C33D驾驶员座椅 (手动六向+双边+超纤维);400201-C33D-01（A00076433）,400201-C33D-01（A00084599）C33D前排座椅及头枕总成-左（六向+双边+超纤+PVC）;400201-C33D-01（A00092109）C33D前排座椅及头枕总成-左（六向+单边+织物+PVC）;400201-C33D-01（E00114163）驾驶员座椅总成;400201-C33D-01（E00113964）驾驶员座椅总成</t>
  </si>
  <si>
    <t>2015091114002774</t>
  </si>
  <si>
    <t xml:space="preserve"> 2020971114005268</t>
  </si>
  <si>
    <t xml:space="preserve"> 2020-07-30</t>
  </si>
  <si>
    <t xml:space="preserve"> 副驾驶员座椅及头枕总成（四向+织物）400205-C33D-01（A00043317）, C33D驾驶员座椅及头枕总成（四向+单边+织物）400205-C33D-01（A00043313）, C30DB驾驶员座椅及头枕总成（四向+单边+织物）E00011470/4R27-1A1-0000-Z, C33D副驾驶员座椅及头枕总成（四向+单边+织物）400205-C33D-01（A00058752）, C30DB副驾驶员座椅及头枕总成（四向+单边+织物）E00011470/4R27-1A1-0000-Z, C33D副驾驶员座椅及头枕总成（四向+双边+真皮）400205-C33D-01（A00043340）, C33D驾驶员座椅及头枕总成（四向+单边+织物+皮革）400205-C33D-01（A00057085）, C33D副驾驶员座椅及头枕总成（四向+单边+织物）400205-C33D-01（A00057098）, H33D副驾驶员座椅及头枕总成（四向+双边+真皮）400205-C33D-01（A00057113）, H33D驾驶员座椅及头枕总成（四向+单边+织物）400205-C33D-01（A00055226）, H33D副驾驶员座椅及头枕总成（四向+单边+织物）400205-C33D-01（A00055255）, C33D副驾驶员座椅及头枕总成（四向+单边+织物+PVC ）400205-C33D-01（A00067721）, C33D驾驶员座椅及头枕总成（四向+单边+织物+PVC）400205-C33D-01（A00067711）, C33D副驾驶员座椅及头枕总成（四向+双边+真皮 ）400205-C33D-01（A00067722）, C33D前排座椅及头枕总成-右（四向+双边+超纤+PVC）400205-C33D-01（A00076454）, C33D前排座椅及头枕总成-右（四向+双边+超纤+PVC）400205-C33D-01（A00084671）, C33D前排座椅及头枕总成-右（四向+单边+织物+PVC）400205-C33D-01（A00092110）, 副驾驶员座椅总成400205-C33D-01（E00114164）, 副驾驶员座椅总成400205-C33D-01（E00114165）, 副驾驶员座椅总成400205-C33D-01（E00120956）</t>
  </si>
  <si>
    <t>2015091114002773</t>
  </si>
  <si>
    <t xml:space="preserve"> 2020971114005269</t>
  </si>
  <si>
    <t>驾驶员座椅本体及头枕总成 副驾驶员座椅本体及头枕总成400201-H32B-01 （A00055727、A00055726、A00055722、A00057170） 驾驶员座椅本体及头枕总成400201-H32B-01(A00055712)</t>
  </si>
  <si>
    <t>2015091114003020</t>
  </si>
  <si>
    <t>2020971114005271</t>
  </si>
  <si>
    <t xml:space="preserve"> 后排座椅本体及头枕总成 400202-H32B-01（120623100200、120623100400）</t>
  </si>
  <si>
    <t>2015091114003021</t>
  </si>
  <si>
    <t>潍坊光华荣昌自愿性认证+自我声明清单</t>
  </si>
  <si>
    <t xml:space="preserve"> 2020971114006588</t>
  </si>
  <si>
    <t xml:space="preserve"> 2020-10-20</t>
  </si>
  <si>
    <t>2030-10-19</t>
  </si>
  <si>
    <t xml:space="preserve"> K1驾驶员座椅本体及头枕总成K1681010002A0/K1681010001A0; K1副驾驶员座椅本体及头枕总成K1681020002A0/K1681020001A0; K1驾驶员座椅本体及头枕总成K1681015001A0; K1副驾驶员座椅本体及头枕总成K1681025001A0</t>
  </si>
  <si>
    <t>2016091114003507</t>
  </si>
  <si>
    <t xml:space="preserve"> 2020971114006592</t>
  </si>
  <si>
    <t xml:space="preserve"> K1乘客第三排三人联体座本体及头枕总成K1681035020A0/K1681033100A0/K1681035019A0/K1681035019A1</t>
  </si>
  <si>
    <t xml:space="preserve"> GB 15083-2006, GB11550-2009, GB 8410-2006, CNCA-C11-12: 2014</t>
  </si>
  <si>
    <t>2016091114003511</t>
  </si>
  <si>
    <t xml:space="preserve"> 2020971114006591</t>
  </si>
  <si>
    <t xml:space="preserve"> K1第二排单人座椅本体及头枕总成 K1681030005A0/K1681030017A0/K1681030044A0/K1681030055A0/K1681030078A0; K1第三排单人座椅本体及头枕总成 K1681030006A0/K1681030018A0/K1681030045A0/K1681030056A0/K1681030079A0; K1第四排单人座椅本体及头枕总成K1681030007A0; K1乘客第二排单人座总成K1681030509A0; K1乘客第三排单人座椅总成 K1681030607A0; K1第四排单人座椅本体及头枕总成 K1681030037A0; K1乘客第三排单人座椅本体及头枕总成 K1681035104AA/K1681035104B1; K1乘客第二排单人座椅本体及头枕总成K1681035109A0/K1681035109A1</t>
  </si>
  <si>
    <t>2016091114003505</t>
  </si>
  <si>
    <t>2016091114003506</t>
  </si>
  <si>
    <t>2016091114003508</t>
  </si>
  <si>
    <t xml:space="preserve"> 2020971114006586</t>
  </si>
  <si>
    <t xml:space="preserve"> K1侧翻座椅本体及头枕总成（左）K1681031015A0/K1681031013A0/K1681031053A0/ K1681031051A0;K1侧翻座椅本体及头枕总成（右）K1681031014A0/K1681031016A0/ K1681031054A0/K1681031052A0;K1侧翻座椅本体及头枕总成（左）K1681035015A0;K1侧翻座椅本体及头枕总成（右）K1681035016A0; K1681031411A0,K1681031412A0,K1681031413A0侧翻座椅本体及头枕总成</t>
  </si>
  <si>
    <t>2016091114003509</t>
  </si>
  <si>
    <t>2020971114006585</t>
  </si>
  <si>
    <t>K1乘客第一排三人连体座本体及头枕总成 K1681031018A0/K1681030076A0</t>
  </si>
  <si>
    <t>2016091114003510</t>
  </si>
  <si>
    <t xml:space="preserve"> 2020971114006584</t>
  </si>
  <si>
    <t>乘客第二排双人座椅本体及头枕总成 K1681035103B1/K1681035102A0/K1681035103B0/K1681035103AA; 乘客第三排双人座椅本体及头枕总成 K1681035103AB/K1681035103C0/K1681035103C1</t>
  </si>
  <si>
    <t>2016091114003513</t>
  </si>
  <si>
    <t xml:space="preserve"> 2020971114006583</t>
  </si>
  <si>
    <t>副驾驶员座椅及头枕总成 6905020-A95-C00/6905100-A97-C00/6903010-A97-C00/6900015-A95-C00</t>
  </si>
  <si>
    <t>2018091114004411</t>
  </si>
  <si>
    <t xml:space="preserve"> 2020971114006581</t>
  </si>
  <si>
    <t xml:space="preserve"> 驾驶员座及头枕总成 6800010-A95-C00</t>
  </si>
  <si>
    <t>2018091114004409</t>
  </si>
  <si>
    <t>2020971114006582</t>
  </si>
  <si>
    <t xml:space="preserve"> 副驾驶员座椅及头枕总成 6905020-A95-C00/6905100-A95-C00/6903010-A95-C00/6900015-A95-C00</t>
  </si>
  <si>
    <t>2018091114004410</t>
  </si>
  <si>
    <t xml:space="preserve"> 2020971114005071</t>
  </si>
  <si>
    <t xml:space="preserve"> 2020-07-23</t>
  </si>
  <si>
    <t xml:space="preserve"> 2030-07-22</t>
  </si>
  <si>
    <t xml:space="preserve"> 驾驶员座椅及头枕总成L1681010101A0, 驾驶员座椅及头枕总成L0681018001A0, 驾驶员座椅及头枕总成1B18068100002, 驾驶员座椅及头枕总成L0681010103A0, 驾驶员座椅及头枕总成1B18068100402, 驾驶员座椅及头枕总成1B18068100502, 驾驶员座椅及头枕总成1B18068100702, 驾驶员座椅及头枕总成1B18068100802, 驾驶员座椅及头枕总成L168100000096, 驾驶员座椅及头枕总成L168100000023, 驾驶员座椅及头枕总成 L1681010104A0</t>
  </si>
  <si>
    <t xml:space="preserve"> GB 15083-2006,GB 8410-2006,CNCA-C11-12:2014</t>
  </si>
  <si>
    <t>2016091114003512</t>
  </si>
  <si>
    <t>已转河北</t>
  </si>
  <si>
    <t xml:space="preserve"> 2020971114005073</t>
  </si>
  <si>
    <t xml:space="preserve"> 2060副驾驶员座椅总成L1681020101A0, 2060副驾驶员座椅总成L168100000095, 1880副驾驶员座椅总成L1681020121A0, 1880副驾驶员座椅总成L168100000097, 1995副驾驶员座椅及头枕总成L0681028001A0, 1995副驾驶员座椅及头枕总成L0681020105A0, 1800副驾驶员座椅及头枕总成L0681020101A0, 1995副驾驶员座椅及头枕总成1B20069100002, 1995副驾驶员座椅及头枕总成1B20069100102, 1995副驾驶员座椅及头枕总成1B20069100302, 1995副驾驶员座椅及头枕总成1B20069100802, 1800副驾驶员座椅及头枕总成1B18069100402, 1800副驾驶员座椅及头枕总成1B18069100002, 1800副驾驶员座椅及头枕总成1B18069100812, 奥铃升级副驾驶员座椅总成L0681020106A0, 副驾驶员座椅总成L168100000094, 1880副驾驶员座椅总成L168100000041, 2060副驾驶员座椅总成L1681020112A0, 1880副驾驶员座椅总成L1681020114A0, 1730副驾驶员座椅总成L1681020116A0</t>
  </si>
  <si>
    <t>2017091114003888</t>
  </si>
  <si>
    <t xml:space="preserve"> 2020971114005074</t>
  </si>
  <si>
    <t xml:space="preserve"> M4681010101A0 M4中重卡机械减震司机座椅及头枕总成</t>
  </si>
  <si>
    <t>2017091114003889</t>
  </si>
  <si>
    <t xml:space="preserve"> 2020971114005075</t>
  </si>
  <si>
    <t>M4681010104A0 M4中重卡气囊减震司机座椅及头枕总成</t>
  </si>
  <si>
    <t>2017091114003890</t>
  </si>
  <si>
    <t xml:space="preserve"> 2020971114005077</t>
  </si>
  <si>
    <t xml:space="preserve">  2020-07-23</t>
  </si>
  <si>
    <t>M4681020101A0 M4中重卡副司机座椅及头枕总成</t>
  </si>
  <si>
    <t>2017091114003891</t>
  </si>
  <si>
    <t xml:space="preserve">   ， t0.5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</si>
</sst>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57">
    <font>
      <sz val="11"/>
      <color theme="1"/>
      <name val="宋体"/>
      <charset val="134"/>
      <scheme val="minor"/>
    </font>
    <font>
      <sz val="12"/>
      <color theme="1"/>
      <name val="宋体"/>
      <charset val="134"/>
      <scheme val="minor"/>
    </font>
    <font>
      <b/>
      <sz val="22"/>
      <color theme="1"/>
      <name val="宋体"/>
      <charset val="134"/>
      <scheme val="minor"/>
    </font>
    <font>
      <b/>
      <sz val="12"/>
      <color theme="1"/>
      <name val="宋体"/>
      <charset val="134"/>
      <scheme val="minor"/>
    </font>
    <font>
      <sz val="12"/>
      <color rgb="FF555555"/>
      <name val="宋体"/>
      <charset val="134"/>
    </font>
    <font>
      <sz val="12"/>
      <color rgb="FF555555"/>
      <name val="Arial"/>
      <charset val="134"/>
    </font>
    <font>
      <sz val="12"/>
      <color rgb="FFFF0000"/>
      <name val="宋体"/>
      <charset val="134"/>
      <scheme val="minor"/>
    </font>
    <font>
      <sz val="10"/>
      <name val="Arial"/>
      <charset val="0"/>
    </font>
    <font>
      <strike/>
      <sz val="12"/>
      <color rgb="FF555555"/>
      <name val="宋体"/>
      <charset val="134"/>
    </font>
    <font>
      <sz val="12"/>
      <color rgb="FFFF0000"/>
      <name val="宋体"/>
      <charset val="134"/>
    </font>
    <font>
      <sz val="10"/>
      <color theme="1"/>
      <name val="宋体"/>
      <charset val="134"/>
      <scheme val="minor"/>
    </font>
    <font>
      <sz val="11"/>
      <name val="微软雅黑"/>
      <charset val="0"/>
    </font>
    <font>
      <sz val="10"/>
      <color theme="1"/>
      <name val="微软雅黑"/>
      <charset val="134"/>
    </font>
    <font>
      <sz val="12"/>
      <name val="宋体"/>
      <charset val="134"/>
    </font>
    <font>
      <sz val="11"/>
      <color rgb="FFFF0000"/>
      <name val="宋体"/>
      <charset val="134"/>
      <scheme val="minor"/>
    </font>
    <font>
      <b/>
      <sz val="10"/>
      <color theme="1"/>
      <name val="微软雅黑"/>
      <charset val="134"/>
    </font>
    <font>
      <b/>
      <sz val="10"/>
      <color rgb="FF333333"/>
      <name val="微软雅黑"/>
      <charset val="134"/>
    </font>
    <font>
      <b/>
      <sz val="10"/>
      <color rgb="FF444444"/>
      <name val="微软雅黑"/>
      <charset val="134"/>
    </font>
    <font>
      <sz val="10"/>
      <color rgb="FF333333"/>
      <name val="微软雅黑"/>
      <charset val="134"/>
    </font>
    <font>
      <strike/>
      <sz val="10"/>
      <name val="微软雅黑"/>
      <charset val="134"/>
    </font>
    <font>
      <sz val="11"/>
      <color theme="1"/>
      <name val="微软雅黑"/>
      <charset val="134"/>
    </font>
    <font>
      <b/>
      <sz val="22"/>
      <color theme="1"/>
      <name val="微软雅黑"/>
      <charset val="134"/>
    </font>
    <font>
      <b/>
      <sz val="12"/>
      <color theme="1"/>
      <name val="微软雅黑"/>
      <charset val="134"/>
    </font>
    <font>
      <sz val="11"/>
      <color rgb="FFFF0000"/>
      <name val="微软雅黑"/>
      <charset val="134"/>
    </font>
    <font>
      <b/>
      <sz val="11"/>
      <color theme="1"/>
      <name val="微软雅黑"/>
      <charset val="134"/>
    </font>
    <font>
      <b/>
      <sz val="10"/>
      <name val="Arial"/>
      <charset val="0"/>
    </font>
    <font>
      <b/>
      <sz val="10"/>
      <name val="宋体"/>
      <charset val="134"/>
    </font>
    <font>
      <sz val="10"/>
      <name val="宋体"/>
      <charset val="134"/>
    </font>
    <font>
      <sz val="10"/>
      <name val="宋体"/>
      <charset val="0"/>
    </font>
    <font>
      <u/>
      <sz val="11"/>
      <color theme="10"/>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微软雅黑"/>
      <charset val="134"/>
    </font>
    <font>
      <b/>
      <sz val="10"/>
      <name val="微软雅黑"/>
      <charset val="134"/>
    </font>
    <font>
      <sz val="10"/>
      <name val="Arial"/>
      <charset val="134"/>
    </font>
    <font>
      <strike/>
      <sz val="11"/>
      <color theme="1"/>
      <name val="宋体"/>
      <charset val="134"/>
      <scheme val="minor"/>
    </font>
    <font>
      <strike/>
      <sz val="12"/>
      <color theme="1"/>
      <name val="宋体"/>
      <charset val="134"/>
      <scheme val="minor"/>
    </font>
    <font>
      <b/>
      <sz val="10"/>
      <name val="宋体"/>
      <charset val="0"/>
    </font>
    <font>
      <sz val="12"/>
      <color theme="1"/>
      <name val="宋体"/>
      <charset val="134"/>
    </font>
    <font>
      <b/>
      <strike/>
      <sz val="10"/>
      <name val="微软雅黑"/>
      <charset val="134"/>
    </font>
  </fonts>
  <fills count="42">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tint="-0.25"/>
        <bgColor indexed="64"/>
      </patternFill>
    </fill>
    <fill>
      <patternFill patternType="solid">
        <fgColor rgb="FF00B050"/>
        <bgColor indexed="64"/>
      </patternFill>
    </fill>
    <fill>
      <patternFill patternType="solid">
        <fgColor theme="9" tint="0.4"/>
        <bgColor indexed="64"/>
      </patternFill>
    </fill>
    <fill>
      <patternFill patternType="solid">
        <fgColor rgb="FFEDEDED"/>
        <bgColor indexed="64"/>
      </patternFill>
    </fill>
    <fill>
      <patternFill patternType="solid">
        <fgColor rgb="FFFFFFFF"/>
        <bgColor indexed="64"/>
      </patternFill>
    </fill>
    <fill>
      <patternFill patternType="solid">
        <fgColor theme="5" tint="0.4"/>
        <bgColor indexed="64"/>
      </patternFill>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xf numFmtId="0" fontId="30" fillId="0" borderId="0" applyNumberFormat="0" applyFill="0" applyBorder="0" applyAlignment="0" applyProtection="0">
      <alignment vertical="center"/>
    </xf>
    <xf numFmtId="0" fontId="0" fillId="11" borderId="16"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7" applyNumberFormat="0" applyFill="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6" fillId="0" borderId="0" applyNumberFormat="0" applyFill="0" applyBorder="0" applyAlignment="0" applyProtection="0">
      <alignment vertical="center"/>
    </xf>
    <xf numFmtId="0" fontId="37" fillId="12" borderId="19" applyNumberFormat="0" applyAlignment="0" applyProtection="0">
      <alignment vertical="center"/>
    </xf>
    <xf numFmtId="0" fontId="38" fillId="13" borderId="20" applyNumberFormat="0" applyAlignment="0" applyProtection="0">
      <alignment vertical="center"/>
    </xf>
    <xf numFmtId="0" fontId="39" fillId="13" borderId="19" applyNumberFormat="0" applyAlignment="0" applyProtection="0">
      <alignment vertical="center"/>
    </xf>
    <xf numFmtId="0" fontId="40" fillId="14" borderId="21" applyNumberFormat="0" applyAlignment="0" applyProtection="0">
      <alignment vertical="center"/>
    </xf>
    <xf numFmtId="0" fontId="41" fillId="0" borderId="22" applyNumberFormat="0" applyFill="0" applyAlignment="0" applyProtection="0">
      <alignment vertical="center"/>
    </xf>
    <xf numFmtId="0" fontId="42" fillId="0" borderId="23" applyNumberFormat="0" applyFill="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7" fillId="35" borderId="0" applyNumberFormat="0" applyBorder="0" applyAlignment="0" applyProtection="0">
      <alignment vertical="center"/>
    </xf>
    <xf numFmtId="0" fontId="47" fillId="36" borderId="0" applyNumberFormat="0" applyBorder="0" applyAlignment="0" applyProtection="0">
      <alignment vertical="center"/>
    </xf>
    <xf numFmtId="0" fontId="46" fillId="37" borderId="0" applyNumberFormat="0" applyBorder="0" applyAlignment="0" applyProtection="0">
      <alignment vertical="center"/>
    </xf>
    <xf numFmtId="0" fontId="46" fillId="38" borderId="0" applyNumberFormat="0" applyBorder="0" applyAlignment="0" applyProtection="0">
      <alignment vertical="center"/>
    </xf>
    <xf numFmtId="0" fontId="47" fillId="39" borderId="0" applyNumberFormat="0" applyBorder="0" applyAlignment="0" applyProtection="0">
      <alignment vertical="center"/>
    </xf>
    <xf numFmtId="0" fontId="47" fillId="40" borderId="0" applyNumberFormat="0" applyBorder="0" applyAlignment="0" applyProtection="0">
      <alignment vertical="center"/>
    </xf>
    <xf numFmtId="0" fontId="46" fillId="41" borderId="0" applyNumberFormat="0" applyBorder="0" applyAlignment="0" applyProtection="0">
      <alignment vertical="center"/>
    </xf>
    <xf numFmtId="0" fontId="48" fillId="0" borderId="0">
      <alignment vertical="center"/>
    </xf>
  </cellStyleXfs>
  <cellXfs count="201">
    <xf numFmtId="0" fontId="0" fillId="0" borderId="0" xfId="0"/>
    <xf numFmtId="0" fontId="1" fillId="0" borderId="0" xfId="0" applyFont="1" applyAlignment="1">
      <alignment vertical="center"/>
    </xf>
    <xf numFmtId="0" fontId="0" fillId="0" borderId="0" xfId="0" applyAlignment="1">
      <alignment vertical="center"/>
    </xf>
    <xf numFmtId="49" fontId="0" fillId="0" borderId="0" xfId="0" applyNumberFormat="1" applyAlignment="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0" fontId="4"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xf>
    <xf numFmtId="49" fontId="1" fillId="0"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0" fontId="1" fillId="0" borderId="1" xfId="0" applyFont="1" applyBorder="1" applyAlignment="1">
      <alignment horizontal="left" vertical="center"/>
    </xf>
    <xf numFmtId="0" fontId="0" fillId="0" borderId="1" xfId="0" applyFill="1" applyBorder="1" applyAlignment="1">
      <alignment vertical="center" wrapText="1"/>
    </xf>
    <xf numFmtId="49" fontId="0" fillId="0" borderId="1" xfId="0" applyNumberFormat="1" applyFill="1" applyBorder="1" applyAlignment="1">
      <alignment horizontal="center" vertical="center" wrapText="1"/>
    </xf>
    <xf numFmtId="49" fontId="1" fillId="0" borderId="1" xfId="0" applyNumberFormat="1" applyFont="1" applyBorder="1" applyAlignment="1">
      <alignment vertical="center" wrapText="1"/>
    </xf>
    <xf numFmtId="0" fontId="0" fillId="0" borderId="0" xfId="0" applyFill="1" applyAlignment="1">
      <alignment horizontal="center" vertical="center"/>
    </xf>
    <xf numFmtId="0" fontId="1" fillId="0"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wrapText="1"/>
    </xf>
    <xf numFmtId="0" fontId="1" fillId="0" borderId="0" xfId="0" applyFont="1" applyFill="1" applyAlignment="1">
      <alignment horizontal="center" vertical="center"/>
    </xf>
    <xf numFmtId="49" fontId="0" fillId="0" borderId="0" xfId="0" applyNumberForma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vertical="center" wrapText="1"/>
    </xf>
    <xf numFmtId="49" fontId="1" fillId="0" borderId="1" xfId="0" applyNumberFormat="1" applyFont="1" applyFill="1" applyBorder="1" applyAlignment="1">
      <alignment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ill="1" applyBorder="1" applyAlignment="1">
      <alignment vertical="center"/>
    </xf>
    <xf numFmtId="0" fontId="5" fillId="0" borderId="1" xfId="0" applyFont="1" applyFill="1" applyBorder="1" applyAlignment="1">
      <alignment vertical="center" wrapText="1"/>
    </xf>
    <xf numFmtId="49" fontId="6" fillId="0" borderId="1" xfId="0" applyNumberFormat="1" applyFont="1" applyFill="1" applyBorder="1" applyAlignment="1">
      <alignment horizontal="center" vertical="center"/>
    </xf>
    <xf numFmtId="49" fontId="0" fillId="0" borderId="1" xfId="0" applyNumberFormat="1" applyFill="1" applyBorder="1" applyAlignment="1">
      <alignment vertical="center"/>
    </xf>
    <xf numFmtId="49" fontId="0" fillId="0" borderId="1" xfId="0" applyNumberFormat="1" applyFill="1" applyBorder="1" applyAlignment="1">
      <alignment horizontal="center" vertical="center"/>
    </xf>
    <xf numFmtId="49" fontId="6"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176" fontId="7" fillId="3" borderId="0" xfId="0" applyNumberFormat="1" applyFont="1" applyFill="1" applyBorder="1" applyAlignment="1">
      <alignment horizontal="center" vertical="center" wrapText="1"/>
    </xf>
    <xf numFmtId="0" fontId="1" fillId="0" borderId="1" xfId="0" applyFont="1" applyFill="1" applyBorder="1" applyAlignment="1">
      <alignment vertical="center"/>
    </xf>
    <xf numFmtId="14" fontId="0" fillId="0" borderId="0" xfId="0" applyNumberFormat="1" applyFill="1" applyAlignment="1">
      <alignment vertical="center"/>
    </xf>
    <xf numFmtId="0" fontId="0" fillId="0" borderId="1" xfId="0" applyFill="1" applyBorder="1" applyAlignment="1">
      <alignment horizontal="center" vertical="center"/>
    </xf>
    <xf numFmtId="49" fontId="6"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ill="1" applyBorder="1" applyAlignment="1">
      <alignment vertical="center"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0" fillId="0" borderId="1" xfId="0" applyFont="1" applyFill="1" applyBorder="1" applyAlignment="1">
      <alignment vertical="center" wrapText="1"/>
    </xf>
    <xf numFmtId="0" fontId="10" fillId="0" borderId="1" xfId="0" applyFont="1" applyFill="1" applyBorder="1" applyAlignment="1">
      <alignment vertical="center" wrapText="1"/>
    </xf>
    <xf numFmtId="14" fontId="0" fillId="0" borderId="0" xfId="0" applyNumberFormat="1" applyFill="1" applyAlignment="1">
      <alignment vertical="center" wrapText="1"/>
    </xf>
    <xf numFmtId="176" fontId="11" fillId="0" borderId="1" xfId="0" applyNumberFormat="1" applyFont="1" applyFill="1" applyBorder="1" applyAlignment="1">
      <alignment horizontal="center" vertical="center" wrapText="1"/>
    </xf>
    <xf numFmtId="176" fontId="11" fillId="3"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176" fontId="0" fillId="0" borderId="1" xfId="0" applyNumberFormat="1" applyBorder="1" applyAlignment="1">
      <alignment horizontal="center" vertical="center"/>
    </xf>
    <xf numFmtId="0" fontId="12" fillId="0" borderId="1" xfId="0" applyFont="1" applyFill="1" applyBorder="1" applyAlignment="1">
      <alignment horizontal="center" vertical="center" wrapText="1"/>
    </xf>
    <xf numFmtId="0" fontId="0" fillId="0" borderId="2" xfId="0" applyFill="1" applyBorder="1" applyAlignment="1">
      <alignment vertical="center"/>
    </xf>
    <xf numFmtId="14" fontId="0" fillId="0" borderId="0" xfId="0" applyNumberForma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13" fillId="0" borderId="0" xfId="0" applyFont="1"/>
    <xf numFmtId="0" fontId="0" fillId="0" borderId="0" xfId="0" applyFill="1" applyAlignment="1">
      <alignment horizontal="center" vertical="center" wrapText="1"/>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4" fillId="0" borderId="1" xfId="0" applyFont="1" applyFill="1" applyBorder="1" applyAlignment="1">
      <alignment horizontal="left" vertical="center" wrapText="1"/>
    </xf>
    <xf numFmtId="49" fontId="6" fillId="0" borderId="0" xfId="6" applyNumberFormat="1" applyFont="1" applyFill="1" applyAlignment="1">
      <alignment horizontal="center" vertical="center"/>
    </xf>
    <xf numFmtId="0" fontId="13" fillId="0" borderId="1" xfId="0" applyFont="1" applyFill="1" applyBorder="1" applyAlignment="1">
      <alignment horizontal="left" vertical="center" wrapText="1"/>
    </xf>
    <xf numFmtId="0" fontId="1" fillId="0" borderId="0" xfId="0" applyFont="1" applyFill="1" applyAlignment="1">
      <alignment vertical="center" wrapText="1"/>
    </xf>
    <xf numFmtId="0" fontId="14" fillId="0" borderId="0" xfId="0" applyFont="1" applyFill="1" applyAlignment="1">
      <alignment horizontal="center" vertical="center" wrapText="1"/>
    </xf>
    <xf numFmtId="0" fontId="0" fillId="5" borderId="0" xfId="0" applyFill="1" applyAlignment="1">
      <alignment vertical="center" wrapText="1"/>
    </xf>
    <xf numFmtId="0" fontId="0" fillId="5" borderId="0" xfId="0" applyFill="1" applyAlignment="1">
      <alignment horizontal="center" vertical="center" wrapText="1"/>
    </xf>
    <xf numFmtId="0" fontId="1" fillId="0" borderId="0" xfId="0" applyFont="1" applyFill="1" applyAlignment="1">
      <alignment horizontal="center" vertical="center" wrapText="1"/>
    </xf>
    <xf numFmtId="49" fontId="0" fillId="0" borderId="0" xfId="0" applyNumberFormat="1" applyFill="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vertical="center" wrapText="1"/>
    </xf>
    <xf numFmtId="49" fontId="1" fillId="5"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vertical="center" wrapText="1"/>
    </xf>
    <xf numFmtId="49" fontId="1" fillId="6" borderId="1" xfId="0" applyNumberFormat="1" applyFont="1" applyFill="1" applyBorder="1" applyAlignment="1">
      <alignment horizontal="center" vertical="center" wrapText="1"/>
    </xf>
    <xf numFmtId="0" fontId="0" fillId="0" borderId="1" xfId="0" applyFill="1" applyBorder="1" applyAlignment="1">
      <alignment wrapText="1"/>
    </xf>
    <xf numFmtId="0" fontId="0" fillId="0" borderId="1" xfId="0" applyFill="1" applyBorder="1" applyAlignment="1">
      <alignment horizontal="center" wrapText="1"/>
    </xf>
    <xf numFmtId="0" fontId="9" fillId="0" borderId="1" xfId="0" applyFont="1" applyFill="1" applyBorder="1" applyAlignment="1">
      <alignment horizontal="center" vertical="center" wrapText="1"/>
    </xf>
    <xf numFmtId="0" fontId="14" fillId="0" borderId="1" xfId="0" applyFont="1" applyFill="1" applyBorder="1" applyAlignment="1">
      <alignment horizontal="center" wrapText="1"/>
    </xf>
    <xf numFmtId="0" fontId="4" fillId="5" borderId="1" xfId="0" applyFont="1" applyFill="1" applyBorder="1" applyAlignment="1">
      <alignment vertical="center" wrapText="1"/>
    </xf>
    <xf numFmtId="0" fontId="1" fillId="5" borderId="1" xfId="0" applyFont="1" applyFill="1" applyBorder="1" applyAlignment="1">
      <alignment horizontal="left" vertical="center" wrapText="1"/>
    </xf>
    <xf numFmtId="0" fontId="0" fillId="5" borderId="1" xfId="0" applyFill="1" applyBorder="1" applyAlignment="1">
      <alignment wrapText="1"/>
    </xf>
    <xf numFmtId="0" fontId="1" fillId="5" borderId="1" xfId="0" applyNumberFormat="1" applyFont="1" applyFill="1" applyBorder="1" applyAlignment="1">
      <alignment vertical="center" wrapText="1"/>
    </xf>
    <xf numFmtId="49" fontId="1" fillId="5" borderId="1" xfId="0" applyNumberFormat="1" applyFont="1" applyFill="1" applyBorder="1" applyAlignment="1">
      <alignment vertical="center" wrapText="1"/>
    </xf>
    <xf numFmtId="0" fontId="14" fillId="0" borderId="1" xfId="0" applyFont="1" applyFill="1" applyBorder="1" applyAlignment="1">
      <alignment horizontal="center" vertical="center" wrapText="1"/>
    </xf>
    <xf numFmtId="0" fontId="4" fillId="6" borderId="1" xfId="0" applyFont="1" applyFill="1" applyBorder="1" applyAlignment="1">
      <alignment vertical="center" wrapText="1"/>
    </xf>
    <xf numFmtId="0" fontId="1" fillId="6" borderId="1" xfId="0" applyFont="1" applyFill="1" applyBorder="1" applyAlignment="1">
      <alignment horizontal="left" vertical="center" wrapText="1"/>
    </xf>
    <xf numFmtId="0" fontId="0" fillId="6" borderId="1" xfId="0" applyFill="1" applyBorder="1" applyAlignment="1">
      <alignment wrapText="1"/>
    </xf>
    <xf numFmtId="49" fontId="6" fillId="6" borderId="1" xfId="0" applyNumberFormat="1" applyFont="1" applyFill="1" applyBorder="1" applyAlignment="1">
      <alignment horizontal="center" vertical="center" wrapText="1"/>
    </xf>
    <xf numFmtId="0" fontId="0" fillId="6" borderId="0" xfId="0" applyFill="1" applyAlignment="1">
      <alignment vertical="center" wrapText="1"/>
    </xf>
    <xf numFmtId="49" fontId="6" fillId="5" borderId="1" xfId="0" applyNumberFormat="1" applyFont="1" applyFill="1" applyBorder="1" applyAlignment="1">
      <alignment horizontal="center" vertical="center" wrapText="1"/>
    </xf>
    <xf numFmtId="49" fontId="0" fillId="5" borderId="1" xfId="0" applyNumberFormat="1" applyFill="1" applyBorder="1" applyAlignment="1">
      <alignment vertical="center" wrapText="1"/>
    </xf>
    <xf numFmtId="49" fontId="0" fillId="5" borderId="1" xfId="0" applyNumberFormat="1" applyFill="1" applyBorder="1" applyAlignment="1">
      <alignment horizontal="center" vertical="center" wrapText="1"/>
    </xf>
    <xf numFmtId="0" fontId="0" fillId="5" borderId="1" xfId="0" applyFill="1" applyBorder="1" applyAlignment="1">
      <alignment vertical="center" wrapText="1"/>
    </xf>
    <xf numFmtId="0" fontId="1" fillId="5" borderId="12" xfId="0" applyFont="1" applyFill="1" applyBorder="1" applyAlignment="1">
      <alignment horizontal="center" vertical="center" wrapText="1"/>
    </xf>
    <xf numFmtId="0" fontId="0" fillId="5" borderId="12" xfId="0" applyFill="1" applyBorder="1" applyAlignment="1">
      <alignment horizontal="center" vertical="center" wrapText="1"/>
    </xf>
    <xf numFmtId="49" fontId="0" fillId="5" borderId="12" xfId="0" applyNumberFormat="1" applyFill="1" applyBorder="1" applyAlignment="1">
      <alignment horizontal="center" vertical="center" wrapText="1"/>
    </xf>
    <xf numFmtId="49" fontId="6" fillId="6" borderId="1" xfId="0" applyNumberFormat="1" applyFont="1" applyFill="1" applyBorder="1" applyAlignment="1">
      <alignment vertical="center" wrapText="1"/>
    </xf>
    <xf numFmtId="0" fontId="10" fillId="5" borderId="1" xfId="0" applyFont="1" applyFill="1" applyBorder="1" applyAlignment="1">
      <alignment vertical="center" wrapText="1"/>
    </xf>
    <xf numFmtId="0" fontId="0" fillId="5" borderId="1" xfId="0" applyFont="1" applyFill="1" applyBorder="1" applyAlignment="1">
      <alignment vertical="center" wrapText="1"/>
    </xf>
    <xf numFmtId="0" fontId="0" fillId="5" borderId="0" xfId="0" applyFill="1"/>
    <xf numFmtId="0" fontId="15" fillId="0" borderId="0" xfId="0" applyFont="1" applyAlignment="1">
      <alignment horizontal="center" vertical="center"/>
    </xf>
    <xf numFmtId="0" fontId="12" fillId="0" borderId="0" xfId="0" applyFont="1" applyFill="1" applyAlignment="1">
      <alignment horizontal="center" vertical="center"/>
    </xf>
    <xf numFmtId="0" fontId="12" fillId="0" borderId="0" xfId="0" applyFont="1" applyAlignment="1">
      <alignment horizontal="center" vertical="center"/>
    </xf>
    <xf numFmtId="0" fontId="16" fillId="0"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4" fontId="18" fillId="0" borderId="1" xfId="0" applyNumberFormat="1" applyFont="1" applyBorder="1" applyAlignment="1">
      <alignment horizontal="center" vertical="center"/>
    </xf>
    <xf numFmtId="0" fontId="18" fillId="8" borderId="1" xfId="0" applyFont="1" applyFill="1" applyBorder="1" applyAlignment="1">
      <alignment horizontal="center" vertical="center" wrapText="1"/>
    </xf>
    <xf numFmtId="0" fontId="18" fillId="0" borderId="1" xfId="0" applyFont="1" applyBorder="1" applyAlignment="1">
      <alignment horizontal="center" vertical="center"/>
    </xf>
    <xf numFmtId="14" fontId="12" fillId="0" borderId="1" xfId="0" applyNumberFormat="1" applyFont="1" applyBorder="1" applyAlignment="1">
      <alignment horizontal="center" vertical="center"/>
    </xf>
    <xf numFmtId="176" fontId="18" fillId="8" borderId="1" xfId="0" applyNumberFormat="1" applyFont="1" applyFill="1" applyBorder="1" applyAlignment="1">
      <alignment horizontal="center" vertical="center" wrapText="1"/>
    </xf>
    <xf numFmtId="14" fontId="18" fillId="0" borderId="0" xfId="0" applyNumberFormat="1" applyFont="1" applyAlignment="1">
      <alignment horizontal="center" vertical="center"/>
    </xf>
    <xf numFmtId="0" fontId="19" fillId="9" borderId="1" xfId="0" applyFont="1" applyFill="1" applyBorder="1" applyAlignment="1">
      <alignment horizontal="center" vertical="center" wrapText="1"/>
    </xf>
    <xf numFmtId="14" fontId="19" fillId="9" borderId="1" xfId="0" applyNumberFormat="1" applyFont="1" applyFill="1" applyBorder="1" applyAlignment="1">
      <alignment horizontal="center" vertical="center"/>
    </xf>
    <xf numFmtId="0" fontId="18" fillId="0" borderId="1" xfId="0" applyFont="1" applyBorder="1" applyAlignment="1">
      <alignment horizontal="center" vertical="center" wrapText="1"/>
    </xf>
    <xf numFmtId="176" fontId="18"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9" fillId="9" borderId="1" xfId="0" applyFont="1" applyFill="1" applyBorder="1" applyAlignment="1">
      <alignment horizontal="center" vertical="center"/>
    </xf>
    <xf numFmtId="58" fontId="19" fillId="9" borderId="1" xfId="0" applyNumberFormat="1" applyFont="1" applyFill="1" applyBorder="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center" vertical="center" wrapText="1"/>
    </xf>
    <xf numFmtId="0" fontId="21"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14" fontId="20" fillId="0" borderId="1" xfId="0" applyNumberFormat="1" applyFont="1" applyBorder="1" applyAlignment="1">
      <alignment horizontal="center" vertical="center"/>
    </xf>
    <xf numFmtId="14" fontId="20" fillId="0" borderId="1" xfId="0" applyNumberFormat="1" applyFont="1" applyBorder="1" applyAlignment="1">
      <alignment horizontal="center" vertical="center" wrapText="1"/>
    </xf>
    <xf numFmtId="0" fontId="20" fillId="0" borderId="13" xfId="0" applyFont="1" applyBorder="1" applyAlignment="1">
      <alignment horizontal="center" vertical="center"/>
    </xf>
    <xf numFmtId="0" fontId="20" fillId="0" borderId="13" xfId="0" applyFont="1" applyBorder="1" applyAlignment="1">
      <alignment horizontal="center" vertical="center" wrapText="1"/>
    </xf>
    <xf numFmtId="14" fontId="20" fillId="0" borderId="13" xfId="0" applyNumberFormat="1" applyFont="1" applyBorder="1" applyAlignment="1">
      <alignment horizontal="center" vertical="center"/>
    </xf>
    <xf numFmtId="0" fontId="20" fillId="0" borderId="2" xfId="0" applyFont="1" applyBorder="1" applyAlignment="1">
      <alignment horizontal="center" vertical="center"/>
    </xf>
    <xf numFmtId="0" fontId="20" fillId="0" borderId="2" xfId="0" applyFont="1" applyBorder="1" applyAlignment="1">
      <alignment horizontal="center" vertical="center" wrapText="1"/>
    </xf>
    <xf numFmtId="14" fontId="20" fillId="0" borderId="2" xfId="0" applyNumberFormat="1" applyFont="1" applyBorder="1" applyAlignment="1">
      <alignment horizontal="center" vertical="center"/>
    </xf>
    <xf numFmtId="0" fontId="23" fillId="2" borderId="1" xfId="0" applyFont="1" applyFill="1" applyBorder="1" applyAlignment="1">
      <alignment horizontal="center" vertical="center"/>
    </xf>
    <xf numFmtId="0" fontId="24" fillId="0" borderId="1" xfId="0" applyFont="1" applyBorder="1" applyAlignment="1">
      <alignment horizontal="center" vertical="center" wrapText="1"/>
    </xf>
    <xf numFmtId="0" fontId="20" fillId="2" borderId="1" xfId="0" applyFont="1" applyFill="1" applyBorder="1" applyAlignment="1">
      <alignment horizontal="center" vertical="center"/>
    </xf>
    <xf numFmtId="0" fontId="20" fillId="0" borderId="12" xfId="0" applyFont="1" applyBorder="1" applyAlignment="1">
      <alignment horizontal="center" vertical="center"/>
    </xf>
    <xf numFmtId="0" fontId="20" fillId="0" borderId="12" xfId="0" applyFont="1" applyBorder="1" applyAlignment="1">
      <alignment horizontal="center" vertical="center" wrapText="1"/>
    </xf>
    <xf numFmtId="14" fontId="20" fillId="0" borderId="12" xfId="0" applyNumberFormat="1" applyFont="1" applyBorder="1" applyAlignment="1">
      <alignment horizontal="center" vertical="center"/>
    </xf>
    <xf numFmtId="0" fontId="20" fillId="0" borderId="1" xfId="0" applyNumberFormat="1" applyFont="1" applyBorder="1" applyAlignment="1">
      <alignment horizontal="center" vertical="center"/>
    </xf>
    <xf numFmtId="0" fontId="25" fillId="0" borderId="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7" fillId="0" borderId="1" xfId="0" applyFont="1" applyFill="1" applyBorder="1" applyAlignment="1">
      <alignment horizontal="center" vertical="center" wrapText="1"/>
    </xf>
    <xf numFmtId="14" fontId="7" fillId="0" borderId="13" xfId="0" applyNumberFormat="1" applyFont="1" applyFill="1" applyBorder="1" applyAlignment="1">
      <alignment horizontal="center" vertical="center" wrapText="1"/>
    </xf>
    <xf numFmtId="0" fontId="28" fillId="0" borderId="13"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176" fontId="7" fillId="0" borderId="13" xfId="0" applyNumberFormat="1" applyFont="1" applyFill="1" applyBorder="1" applyAlignment="1">
      <alignment horizontal="center" vertical="center" wrapText="1"/>
    </xf>
    <xf numFmtId="176" fontId="7" fillId="0" borderId="12" xfId="0" applyNumberFormat="1"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3" fillId="0" borderId="13" xfId="0" applyFont="1" applyBorder="1" applyAlignment="1">
      <alignment horizontal="center" vertical="center"/>
    </xf>
    <xf numFmtId="49" fontId="3" fillId="0" borderId="13" xfId="0" applyNumberFormat="1"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49" fontId="0" fillId="0" borderId="1" xfId="0" applyNumberFormat="1" applyBorder="1" applyAlignment="1">
      <alignment vertical="center"/>
    </xf>
    <xf numFmtId="0" fontId="0" fillId="10" borderId="1" xfId="0" applyFill="1" applyBorder="1" applyAlignment="1">
      <alignment horizontal="center" vertical="center"/>
    </xf>
    <xf numFmtId="0" fontId="0" fillId="10" borderId="1" xfId="0" applyFill="1" applyBorder="1" applyAlignment="1">
      <alignment vertical="center" wrapText="1"/>
    </xf>
    <xf numFmtId="0" fontId="0" fillId="10" borderId="1" xfId="0" applyFill="1" applyBorder="1" applyAlignment="1">
      <alignment vertical="center"/>
    </xf>
    <xf numFmtId="49" fontId="0" fillId="10" borderId="1" xfId="0" applyNumberFormat="1" applyFill="1" applyBorder="1" applyAlignment="1">
      <alignment vertical="center"/>
    </xf>
    <xf numFmtId="49" fontId="0" fillId="10" borderId="1" xfId="0" applyNumberFormat="1" applyFill="1" applyBorder="1" applyAlignment="1">
      <alignment horizontal="center" vertical="center"/>
    </xf>
    <xf numFmtId="0" fontId="10" fillId="0" borderId="1" xfId="0" applyFont="1" applyBorder="1" applyAlignment="1">
      <alignment vertical="center" wrapText="1"/>
    </xf>
    <xf numFmtId="0" fontId="10" fillId="0" borderId="0" xfId="0" applyFont="1" applyAlignment="1">
      <alignment vertical="center"/>
    </xf>
    <xf numFmtId="49" fontId="10" fillId="0" borderId="0" xfId="0" applyNumberFormat="1" applyFont="1" applyAlignment="1">
      <alignment vertical="center"/>
    </xf>
    <xf numFmtId="49" fontId="1" fillId="0" borderId="1" xfId="0" applyNumberFormat="1" applyFont="1" applyBorder="1" applyAlignment="1">
      <alignment vertical="center"/>
    </xf>
    <xf numFmtId="0" fontId="20" fillId="0" borderId="1" xfId="0" applyFont="1" applyBorder="1" applyAlignment="1" quotePrefix="1">
      <alignment horizontal="center" vertical="center" wrapText="1"/>
    </xf>
    <xf numFmtId="0" fontId="20" fillId="0" borderId="1" xfId="0" applyFont="1" applyBorder="1" applyAlignment="1" quotePrefix="1">
      <alignment horizontal="center" vertical="center"/>
    </xf>
    <xf numFmtId="0" fontId="20" fillId="0" borderId="13" xfId="0" applyFont="1" applyBorder="1" applyAlignment="1" quotePrefix="1">
      <alignment horizontal="center" vertical="center"/>
    </xf>
    <xf numFmtId="0" fontId="20" fillId="0" borderId="2" xfId="0" applyFont="1" applyBorder="1" applyAlignment="1" quotePrefix="1">
      <alignment horizontal="center" vertical="center"/>
    </xf>
    <xf numFmtId="0" fontId="20" fillId="0" borderId="12" xfId="0" applyFont="1" applyBorder="1" applyAlignment="1" quotePrefix="1">
      <alignment horizontal="center" vertical="center"/>
    </xf>
    <xf numFmtId="0" fontId="20" fillId="0" borderId="1" xfId="0" applyNumberFormat="1" applyFont="1" applyBorder="1" applyAlignment="1" quotePrefix="1">
      <alignment horizontal="center" vertical="center"/>
    </xf>
    <xf numFmtId="49" fontId="0" fillId="0" borderId="1" xfId="0" applyNumberFormat="1" applyFill="1" applyBorder="1" applyAlignment="1" quotePrefix="1">
      <alignment horizontal="center" vertical="center" wrapText="1"/>
    </xf>
    <xf numFmtId="49" fontId="0" fillId="0" borderId="1" xfId="0" applyNumberForma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19"/>
  <sheetViews>
    <sheetView zoomScale="70" zoomScaleNormal="70" workbookViewId="0">
      <selection activeCell="G16" sqref="G16"/>
    </sheetView>
  </sheetViews>
  <sheetFormatPr defaultColWidth="9" defaultRowHeight="14"/>
  <cols>
    <col min="1" max="1" width="5" style="2" customWidth="1"/>
    <col min="2" max="2" width="21.7272727272727" style="2" customWidth="1"/>
    <col min="3" max="3" width="21.9090909090909" style="2" customWidth="1"/>
    <col min="4" max="4" width="23.7272727272727" style="2" customWidth="1"/>
    <col min="5" max="5" width="19.7272727272727" style="3" customWidth="1"/>
    <col min="6" max="6" width="19.2727272727273" style="3" customWidth="1"/>
    <col min="7" max="7" width="13.4545454545455" style="3" customWidth="1"/>
    <col min="8" max="8" width="13.6363636363636" style="3" customWidth="1"/>
    <col min="9" max="9" width="33.7272727272727" style="2" customWidth="1"/>
    <col min="10" max="10" width="21.9090909090909" style="2" customWidth="1"/>
    <col min="11" max="11" width="19.4545454545455" style="2" customWidth="1"/>
    <col min="12" max="12" width="11.0909090909091" style="2" customWidth="1"/>
    <col min="13" max="16384" width="9" style="2"/>
  </cols>
  <sheetData>
    <row r="1" ht="27.5" spans="1:12">
      <c r="A1" s="4" t="s">
        <v>0</v>
      </c>
      <c r="B1" s="4"/>
      <c r="C1" s="4"/>
      <c r="D1" s="4"/>
      <c r="E1" s="4"/>
      <c r="F1" s="4"/>
      <c r="G1" s="4"/>
      <c r="H1" s="4"/>
      <c r="I1" s="4"/>
      <c r="J1" s="4"/>
      <c r="K1" s="4"/>
      <c r="L1" s="4"/>
    </row>
    <row r="2" ht="24" customHeight="1" spans="1:12">
      <c r="A2" s="5" t="s">
        <v>1</v>
      </c>
      <c r="B2" s="5" t="s">
        <v>2</v>
      </c>
      <c r="C2" s="5" t="s">
        <v>3</v>
      </c>
      <c r="D2" s="5" t="s">
        <v>4</v>
      </c>
      <c r="E2" s="6" t="s">
        <v>5</v>
      </c>
      <c r="F2" s="6" t="s">
        <v>6</v>
      </c>
      <c r="G2" s="6" t="s">
        <v>7</v>
      </c>
      <c r="H2" s="6" t="s">
        <v>8</v>
      </c>
      <c r="I2" s="5" t="s">
        <v>9</v>
      </c>
      <c r="J2" s="5" t="s">
        <v>10</v>
      </c>
      <c r="K2" s="5" t="s">
        <v>11</v>
      </c>
      <c r="L2" s="5" t="s">
        <v>12</v>
      </c>
    </row>
    <row r="3" s="1" customFormat="1" ht="93.75" customHeight="1" spans="1:12">
      <c r="A3" s="7">
        <v>1</v>
      </c>
      <c r="B3" s="8" t="s">
        <v>13</v>
      </c>
      <c r="C3" s="8" t="s">
        <v>14</v>
      </c>
      <c r="D3" s="7" t="s">
        <v>15</v>
      </c>
      <c r="E3" s="9" t="s">
        <v>16</v>
      </c>
      <c r="F3" s="9" t="s">
        <v>17</v>
      </c>
      <c r="G3" s="9" t="s">
        <v>18</v>
      </c>
      <c r="H3" s="9" t="s">
        <v>19</v>
      </c>
      <c r="I3" s="8" t="s">
        <v>20</v>
      </c>
      <c r="J3" s="8" t="s">
        <v>21</v>
      </c>
      <c r="K3" s="8"/>
      <c r="L3" s="8"/>
    </row>
    <row r="4" s="1" customFormat="1" ht="63.75" customHeight="1" spans="1:12">
      <c r="A4" s="10">
        <v>2</v>
      </c>
      <c r="B4" s="8" t="s">
        <v>13</v>
      </c>
      <c r="C4" s="8" t="s">
        <v>14</v>
      </c>
      <c r="D4" s="10" t="s">
        <v>15</v>
      </c>
      <c r="E4" s="9" t="s">
        <v>22</v>
      </c>
      <c r="F4" s="11" t="s">
        <v>23</v>
      </c>
      <c r="G4" s="9" t="s">
        <v>18</v>
      </c>
      <c r="H4" s="9" t="s">
        <v>19</v>
      </c>
      <c r="I4" s="12" t="s">
        <v>24</v>
      </c>
      <c r="J4" s="13" t="s">
        <v>25</v>
      </c>
      <c r="K4" s="20"/>
      <c r="L4" s="14"/>
    </row>
    <row r="5" spans="1:12">
      <c r="A5" s="198"/>
      <c r="B5" s="198"/>
      <c r="C5" s="198"/>
      <c r="D5" s="198"/>
      <c r="E5" s="199"/>
      <c r="F5" s="199"/>
      <c r="G5" s="199"/>
      <c r="H5" s="199"/>
      <c r="I5" s="198"/>
      <c r="J5" s="198"/>
      <c r="K5" s="198"/>
      <c r="L5" s="198"/>
    </row>
    <row r="6" spans="1:12">
      <c r="A6" s="198"/>
      <c r="B6" s="198"/>
      <c r="C6" s="198"/>
      <c r="D6" s="198"/>
      <c r="E6" s="199"/>
      <c r="F6" s="199"/>
      <c r="G6" s="199"/>
      <c r="H6" s="199"/>
      <c r="I6" s="198"/>
      <c r="J6" s="198"/>
      <c r="K6" s="198"/>
      <c r="L6" s="198"/>
    </row>
    <row r="7" spans="1:12">
      <c r="A7" s="198"/>
      <c r="B7" s="198"/>
      <c r="C7" s="198"/>
      <c r="D7" s="198"/>
      <c r="E7" s="199"/>
      <c r="F7" s="199"/>
      <c r="G7" s="199"/>
      <c r="H7" s="199"/>
      <c r="I7" s="198"/>
      <c r="J7" s="198"/>
      <c r="K7" s="198"/>
      <c r="L7" s="198"/>
    </row>
    <row r="8" spans="1:12">
      <c r="A8" s="198"/>
      <c r="B8" s="198"/>
      <c r="C8" s="198"/>
      <c r="D8" s="198"/>
      <c r="E8" s="199"/>
      <c r="F8" s="199"/>
      <c r="G8" s="199"/>
      <c r="H8" s="199"/>
      <c r="I8" s="198"/>
      <c r="J8" s="198"/>
      <c r="K8" s="198"/>
      <c r="L8" s="198"/>
    </row>
    <row r="9" spans="1:12">
      <c r="A9" s="198"/>
      <c r="B9" s="198"/>
      <c r="C9" s="198"/>
      <c r="D9" s="198"/>
      <c r="E9" s="199"/>
      <c r="F9" s="199"/>
      <c r="G9" s="199"/>
      <c r="H9" s="199"/>
      <c r="I9" s="198"/>
      <c r="J9" s="198"/>
      <c r="K9" s="198"/>
      <c r="L9" s="198"/>
    </row>
    <row r="10" spans="1:12">
      <c r="A10" s="198"/>
      <c r="B10" s="198"/>
      <c r="C10" s="198"/>
      <c r="D10" s="198"/>
      <c r="E10" s="199"/>
      <c r="F10" s="199"/>
      <c r="G10" s="199"/>
      <c r="H10" s="199"/>
      <c r="I10" s="198"/>
      <c r="J10" s="198"/>
      <c r="K10" s="198"/>
      <c r="L10" s="198"/>
    </row>
    <row r="11" spans="1:12">
      <c r="A11" s="198"/>
      <c r="B11" s="198"/>
      <c r="C11" s="198"/>
      <c r="D11" s="198"/>
      <c r="E11" s="199"/>
      <c r="F11" s="199"/>
      <c r="G11" s="199"/>
      <c r="H11" s="199"/>
      <c r="I11" s="198"/>
      <c r="J11" s="198"/>
      <c r="K11" s="198"/>
      <c r="L11" s="198"/>
    </row>
    <row r="12" spans="1:12">
      <c r="A12" s="198"/>
      <c r="B12" s="198"/>
      <c r="C12" s="198"/>
      <c r="D12" s="198"/>
      <c r="E12" s="199"/>
      <c r="F12" s="199"/>
      <c r="G12" s="199"/>
      <c r="H12" s="199"/>
      <c r="I12" s="198"/>
      <c r="J12" s="198"/>
      <c r="K12" s="198"/>
      <c r="L12" s="198"/>
    </row>
    <row r="13" spans="1:12">
      <c r="A13" s="198"/>
      <c r="B13" s="198"/>
      <c r="C13" s="198"/>
      <c r="D13" s="198"/>
      <c r="E13" s="199"/>
      <c r="F13" s="199"/>
      <c r="G13" s="199"/>
      <c r="H13" s="199"/>
      <c r="I13" s="198"/>
      <c r="J13" s="198"/>
      <c r="K13" s="198"/>
      <c r="L13" s="198"/>
    </row>
    <row r="14" spans="1:12">
      <c r="A14" s="198"/>
      <c r="B14" s="198"/>
      <c r="C14" s="198"/>
      <c r="D14" s="198"/>
      <c r="E14" s="199"/>
      <c r="F14" s="199"/>
      <c r="G14" s="199"/>
      <c r="H14" s="199"/>
      <c r="I14" s="198"/>
      <c r="J14" s="198"/>
      <c r="K14" s="198"/>
      <c r="L14" s="198"/>
    </row>
    <row r="15" spans="1:12">
      <c r="A15" s="198"/>
      <c r="B15" s="198"/>
      <c r="C15" s="198"/>
      <c r="D15" s="198"/>
      <c r="E15" s="199"/>
      <c r="F15" s="199"/>
      <c r="G15" s="199"/>
      <c r="H15" s="199"/>
      <c r="I15" s="198"/>
      <c r="J15" s="198"/>
      <c r="K15" s="198"/>
      <c r="L15" s="198"/>
    </row>
    <row r="17" s="2" customFormat="1"/>
    <row r="18" s="2" customFormat="1"/>
    <row r="19" s="2" customFormat="1"/>
  </sheetData>
  <mergeCells count="1">
    <mergeCell ref="A1:L1"/>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3"/>
  <sheetViews>
    <sheetView zoomScale="80" zoomScaleNormal="80" workbookViewId="0">
      <pane xSplit="1" ySplit="2" topLeftCell="B96" activePane="bottomRight" state="frozen"/>
      <selection/>
      <selection pane="topRight"/>
      <selection pane="bottomLeft"/>
      <selection pane="bottomRight" activeCell="G16" sqref="G16"/>
    </sheetView>
  </sheetViews>
  <sheetFormatPr defaultColWidth="9" defaultRowHeight="15"/>
  <cols>
    <col min="1" max="1" width="5" style="21" customWidth="1"/>
    <col min="2" max="2" width="21.7272727272727" style="25" customWidth="1"/>
    <col min="3" max="3" width="25.1818181818182" style="21" customWidth="1"/>
    <col min="4" max="4" width="28.0909090909091" style="26" customWidth="1"/>
    <col min="5" max="5" width="27.0909090909091" style="26" customWidth="1"/>
    <col min="6" max="6" width="52.7272727272727" style="21" customWidth="1"/>
    <col min="7" max="7" width="21.9090909090909" style="21" customWidth="1"/>
    <col min="8" max="8" width="23.6363636363636" style="21" customWidth="1"/>
    <col min="9" max="9" width="16.8727272727273" style="21" customWidth="1"/>
    <col min="10" max="10" width="10.3727272727273" style="21"/>
    <col min="11" max="16384" width="9" style="21"/>
  </cols>
  <sheetData>
    <row r="1" s="21" customFormat="1" ht="27.5" spans="1:9">
      <c r="A1" s="27" t="s">
        <v>420</v>
      </c>
      <c r="B1" s="27"/>
      <c r="C1" s="27"/>
      <c r="D1" s="27"/>
      <c r="E1" s="27"/>
      <c r="F1" s="27"/>
      <c r="G1" s="27"/>
      <c r="H1" s="27"/>
      <c r="I1" s="27"/>
    </row>
    <row r="2" s="21" customFormat="1" ht="29" customHeight="1" spans="1:10">
      <c r="A2" s="28" t="s">
        <v>1</v>
      </c>
      <c r="B2" s="28" t="s">
        <v>2</v>
      </c>
      <c r="C2" s="28" t="s">
        <v>4</v>
      </c>
      <c r="D2" s="29" t="s">
        <v>5</v>
      </c>
      <c r="E2" s="29" t="s">
        <v>6</v>
      </c>
      <c r="F2" s="28" t="s">
        <v>9</v>
      </c>
      <c r="G2" s="28" t="s">
        <v>10</v>
      </c>
      <c r="H2" s="28" t="s">
        <v>11</v>
      </c>
      <c r="I2" s="28" t="s">
        <v>813</v>
      </c>
      <c r="J2" s="28" t="s">
        <v>425</v>
      </c>
    </row>
    <row r="3" s="22" customFormat="1" ht="83" customHeight="1" spans="1:10">
      <c r="A3" s="30">
        <v>1</v>
      </c>
      <c r="B3" s="31" t="s">
        <v>248</v>
      </c>
      <c r="C3" s="30" t="s">
        <v>15</v>
      </c>
      <c r="D3" s="32" t="s">
        <v>351</v>
      </c>
      <c r="E3" s="32" t="s">
        <v>797</v>
      </c>
      <c r="F3" s="31" t="s">
        <v>353</v>
      </c>
      <c r="G3" s="31" t="s">
        <v>21</v>
      </c>
      <c r="H3" s="31" t="s">
        <v>1311</v>
      </c>
      <c r="I3" s="44" t="s">
        <v>1312</v>
      </c>
      <c r="J3" s="45">
        <v>44881</v>
      </c>
    </row>
    <row r="4" s="22" customFormat="1" ht="83" customHeight="1" spans="1:10">
      <c r="A4" s="30">
        <v>2</v>
      </c>
      <c r="B4" s="33" t="s">
        <v>248</v>
      </c>
      <c r="C4" s="30" t="s">
        <v>15</v>
      </c>
      <c r="D4" s="32" t="s">
        <v>345</v>
      </c>
      <c r="E4" s="15" t="s">
        <v>795</v>
      </c>
      <c r="F4" s="34" t="s">
        <v>347</v>
      </c>
      <c r="G4" s="33" t="s">
        <v>21</v>
      </c>
      <c r="H4" s="31" t="s">
        <v>1313</v>
      </c>
      <c r="I4" s="44" t="s">
        <v>1314</v>
      </c>
      <c r="J4" s="45">
        <v>44881</v>
      </c>
    </row>
    <row r="5" s="23" customFormat="1" ht="83" customHeight="1" spans="1:10">
      <c r="A5" s="30">
        <v>3</v>
      </c>
      <c r="B5" s="33" t="s">
        <v>248</v>
      </c>
      <c r="C5" s="30" t="s">
        <v>15</v>
      </c>
      <c r="D5" s="32" t="s">
        <v>373</v>
      </c>
      <c r="E5" s="15" t="s">
        <v>918</v>
      </c>
      <c r="F5" s="34" t="s">
        <v>1315</v>
      </c>
      <c r="G5" s="33" t="s">
        <v>25</v>
      </c>
      <c r="H5" s="31" t="s">
        <v>916</v>
      </c>
      <c r="I5" s="44" t="s">
        <v>1316</v>
      </c>
      <c r="J5" s="45">
        <v>44876</v>
      </c>
    </row>
    <row r="6" s="23" customFormat="1" ht="83" customHeight="1" spans="1:10">
      <c r="A6" s="30">
        <v>4</v>
      </c>
      <c r="B6" s="33" t="s">
        <v>248</v>
      </c>
      <c r="C6" s="30" t="s">
        <v>15</v>
      </c>
      <c r="D6" s="32" t="s">
        <v>340</v>
      </c>
      <c r="E6" s="15" t="s">
        <v>805</v>
      </c>
      <c r="F6" s="34" t="s">
        <v>342</v>
      </c>
      <c r="G6" s="33" t="s">
        <v>21</v>
      </c>
      <c r="H6" s="31" t="s">
        <v>1317</v>
      </c>
      <c r="I6" s="44" t="s">
        <v>1318</v>
      </c>
      <c r="J6" s="45">
        <v>44881</v>
      </c>
    </row>
    <row r="7" s="23" customFormat="1" ht="83" customHeight="1" spans="1:10">
      <c r="A7" s="30">
        <v>5</v>
      </c>
      <c r="B7" s="33" t="s">
        <v>248</v>
      </c>
      <c r="C7" s="30" t="s">
        <v>15</v>
      </c>
      <c r="D7" s="32" t="s">
        <v>357</v>
      </c>
      <c r="E7" s="15" t="s">
        <v>920</v>
      </c>
      <c r="F7" s="34" t="s">
        <v>1319</v>
      </c>
      <c r="G7" s="33" t="s">
        <v>25</v>
      </c>
      <c r="H7" s="31" t="s">
        <v>916</v>
      </c>
      <c r="I7" s="44" t="s">
        <v>1320</v>
      </c>
      <c r="J7" s="45">
        <v>44876</v>
      </c>
    </row>
    <row r="8" s="23" customFormat="1" ht="105" spans="1:10">
      <c r="A8" s="30">
        <v>6</v>
      </c>
      <c r="B8" s="33" t="s">
        <v>248</v>
      </c>
      <c r="C8" s="30" t="s">
        <v>15</v>
      </c>
      <c r="D8" s="32" t="s">
        <v>785</v>
      </c>
      <c r="E8" s="15" t="s">
        <v>921</v>
      </c>
      <c r="F8" s="34" t="s">
        <v>1321</v>
      </c>
      <c r="G8" s="33" t="s">
        <v>923</v>
      </c>
      <c r="H8" s="35" t="s">
        <v>1322</v>
      </c>
      <c r="I8" s="46" t="s">
        <v>1323</v>
      </c>
      <c r="J8" s="47">
        <v>45461</v>
      </c>
    </row>
    <row r="9" s="23" customFormat="1" ht="88" customHeight="1" spans="1:10">
      <c r="A9" s="30">
        <v>7</v>
      </c>
      <c r="B9" s="33" t="s">
        <v>248</v>
      </c>
      <c r="C9" s="30" t="s">
        <v>15</v>
      </c>
      <c r="D9" s="32" t="s">
        <v>788</v>
      </c>
      <c r="E9" s="15" t="s">
        <v>924</v>
      </c>
      <c r="F9" s="34" t="s">
        <v>925</v>
      </c>
      <c r="G9" s="33" t="s">
        <v>923</v>
      </c>
      <c r="H9" s="35" t="s">
        <v>926</v>
      </c>
      <c r="I9" s="46" t="s">
        <v>1324</v>
      </c>
      <c r="J9" s="47">
        <v>45461</v>
      </c>
    </row>
    <row r="10" s="21" customFormat="1" ht="81" customHeight="1" spans="1:9">
      <c r="A10" s="30">
        <v>8</v>
      </c>
      <c r="B10" s="30" t="s">
        <v>248</v>
      </c>
      <c r="C10" s="36" t="s">
        <v>28</v>
      </c>
      <c r="D10" s="32"/>
      <c r="E10" s="15" t="s">
        <v>756</v>
      </c>
      <c r="F10" s="37" t="s">
        <v>929</v>
      </c>
      <c r="G10" s="30" t="s">
        <v>21</v>
      </c>
      <c r="H10" s="32"/>
      <c r="I10" s="36"/>
    </row>
    <row r="11" s="21" customFormat="1" ht="81" customHeight="1" spans="1:9">
      <c r="A11" s="30">
        <v>9</v>
      </c>
      <c r="B11" s="30" t="s">
        <v>248</v>
      </c>
      <c r="C11" s="36" t="s">
        <v>28</v>
      </c>
      <c r="D11" s="32"/>
      <c r="E11" s="15" t="s">
        <v>930</v>
      </c>
      <c r="F11" s="37" t="s">
        <v>931</v>
      </c>
      <c r="G11" s="30" t="s">
        <v>21</v>
      </c>
      <c r="H11" s="32"/>
      <c r="I11" s="36"/>
    </row>
    <row r="12" s="21" customFormat="1" ht="81" customHeight="1" spans="1:9">
      <c r="A12" s="30">
        <v>10</v>
      </c>
      <c r="B12" s="30" t="s">
        <v>248</v>
      </c>
      <c r="C12" s="36" t="s">
        <v>28</v>
      </c>
      <c r="D12" s="32"/>
      <c r="E12" s="15" t="s">
        <v>762</v>
      </c>
      <c r="F12" s="37" t="s">
        <v>932</v>
      </c>
      <c r="G12" s="30" t="s">
        <v>21</v>
      </c>
      <c r="H12" s="32"/>
      <c r="I12" s="36"/>
    </row>
    <row r="13" s="21" customFormat="1" ht="81" customHeight="1" spans="1:9">
      <c r="A13" s="30">
        <v>11</v>
      </c>
      <c r="B13" s="30" t="s">
        <v>248</v>
      </c>
      <c r="C13" s="36" t="s">
        <v>28</v>
      </c>
      <c r="D13" s="32"/>
      <c r="E13" s="15" t="s">
        <v>765</v>
      </c>
      <c r="F13" s="37" t="s">
        <v>933</v>
      </c>
      <c r="G13" s="30" t="s">
        <v>21</v>
      </c>
      <c r="H13" s="32"/>
      <c r="I13" s="36"/>
    </row>
    <row r="14" s="21" customFormat="1" ht="81" customHeight="1" spans="1:9">
      <c r="A14" s="30">
        <v>12</v>
      </c>
      <c r="B14" s="30" t="s">
        <v>248</v>
      </c>
      <c r="C14" s="36" t="s">
        <v>28</v>
      </c>
      <c r="D14" s="32"/>
      <c r="E14" s="15" t="s">
        <v>934</v>
      </c>
      <c r="F14" s="37" t="s">
        <v>769</v>
      </c>
      <c r="G14" s="30" t="s">
        <v>21</v>
      </c>
      <c r="H14" s="32"/>
      <c r="I14" s="36"/>
    </row>
    <row r="15" s="21" customFormat="1" ht="83" customHeight="1" spans="1:9">
      <c r="A15" s="30">
        <v>13</v>
      </c>
      <c r="B15" s="30" t="s">
        <v>248</v>
      </c>
      <c r="C15" s="36" t="s">
        <v>28</v>
      </c>
      <c r="D15" s="32"/>
      <c r="E15" s="15" t="s">
        <v>935</v>
      </c>
      <c r="F15" s="37" t="s">
        <v>938</v>
      </c>
      <c r="G15" s="30" t="s">
        <v>21</v>
      </c>
      <c r="H15" s="32"/>
      <c r="I15" s="36"/>
    </row>
    <row r="16" s="21" customFormat="1" ht="79" customHeight="1" spans="1:9">
      <c r="A16" s="30">
        <v>14</v>
      </c>
      <c r="B16" s="30" t="s">
        <v>248</v>
      </c>
      <c r="C16" s="36" t="s">
        <v>28</v>
      </c>
      <c r="D16" s="32"/>
      <c r="E16" s="15" t="s">
        <v>732</v>
      </c>
      <c r="F16" s="37" t="s">
        <v>1325</v>
      </c>
      <c r="G16" s="30" t="s">
        <v>21</v>
      </c>
      <c r="H16" s="32"/>
      <c r="I16" s="36"/>
    </row>
    <row r="17" s="21" customFormat="1" ht="84" customHeight="1" spans="1:9">
      <c r="A17" s="30">
        <v>15</v>
      </c>
      <c r="B17" s="30" t="s">
        <v>248</v>
      </c>
      <c r="C17" s="36" t="s">
        <v>28</v>
      </c>
      <c r="D17" s="32"/>
      <c r="E17" s="15" t="s">
        <v>940</v>
      </c>
      <c r="F17" s="37" t="s">
        <v>943</v>
      </c>
      <c r="G17" s="30" t="s">
        <v>21</v>
      </c>
      <c r="H17" s="32" t="s">
        <v>944</v>
      </c>
      <c r="I17" s="36"/>
    </row>
    <row r="18" s="21" customFormat="1" ht="84" customHeight="1" spans="1:9">
      <c r="A18" s="30">
        <v>16</v>
      </c>
      <c r="B18" s="30" t="s">
        <v>248</v>
      </c>
      <c r="C18" s="36" t="s">
        <v>28</v>
      </c>
      <c r="D18" s="32"/>
      <c r="E18" s="15" t="s">
        <v>945</v>
      </c>
      <c r="F18" s="37" t="s">
        <v>948</v>
      </c>
      <c r="G18" s="30" t="s">
        <v>21</v>
      </c>
      <c r="H18" s="32" t="s">
        <v>944</v>
      </c>
      <c r="I18" s="36"/>
    </row>
    <row r="19" s="21" customFormat="1" ht="84" customHeight="1" spans="1:9">
      <c r="A19" s="30">
        <v>17</v>
      </c>
      <c r="B19" s="30" t="s">
        <v>248</v>
      </c>
      <c r="C19" s="36" t="s">
        <v>28</v>
      </c>
      <c r="D19" s="32"/>
      <c r="E19" s="15" t="s">
        <v>777</v>
      </c>
      <c r="F19" s="37" t="s">
        <v>951</v>
      </c>
      <c r="G19" s="30" t="s">
        <v>615</v>
      </c>
      <c r="H19" s="32"/>
      <c r="I19" s="36"/>
    </row>
    <row r="20" s="21" customFormat="1" ht="84" customHeight="1" spans="1:9">
      <c r="A20" s="30">
        <v>18</v>
      </c>
      <c r="B20" s="30" t="s">
        <v>248</v>
      </c>
      <c r="C20" s="36" t="s">
        <v>28</v>
      </c>
      <c r="D20" s="32"/>
      <c r="E20" s="15" t="s">
        <v>781</v>
      </c>
      <c r="F20" s="37" t="s">
        <v>952</v>
      </c>
      <c r="G20" s="30" t="s">
        <v>169</v>
      </c>
      <c r="H20" s="32"/>
      <c r="I20" s="36"/>
    </row>
    <row r="21" s="21" customFormat="1" ht="84" customHeight="1" spans="1:9">
      <c r="A21" s="30">
        <v>19</v>
      </c>
      <c r="B21" s="30" t="s">
        <v>248</v>
      </c>
      <c r="C21" s="36" t="s">
        <v>28</v>
      </c>
      <c r="D21" s="32"/>
      <c r="E21" s="15" t="s">
        <v>426</v>
      </c>
      <c r="F21" s="37" t="s">
        <v>955</v>
      </c>
      <c r="G21" s="30" t="s">
        <v>41</v>
      </c>
      <c r="H21" s="32"/>
      <c r="I21" s="36"/>
    </row>
    <row r="22" s="23" customFormat="1" ht="84" customHeight="1" spans="1:9">
      <c r="A22" s="30">
        <v>20</v>
      </c>
      <c r="B22" s="31" t="s">
        <v>13</v>
      </c>
      <c r="C22" s="30" t="s">
        <v>15</v>
      </c>
      <c r="D22" s="32" t="s">
        <v>287</v>
      </c>
      <c r="E22" s="15" t="s">
        <v>683</v>
      </c>
      <c r="F22" s="34" t="s">
        <v>1326</v>
      </c>
      <c r="G22" s="33" t="s">
        <v>25</v>
      </c>
      <c r="H22" s="35"/>
      <c r="I22" s="46"/>
    </row>
    <row r="23" s="23" customFormat="1" ht="88" customHeight="1" spans="1:9">
      <c r="A23" s="30">
        <v>21</v>
      </c>
      <c r="B23" s="31" t="s">
        <v>13</v>
      </c>
      <c r="C23" s="30" t="s">
        <v>15</v>
      </c>
      <c r="D23" s="32" t="s">
        <v>699</v>
      </c>
      <c r="E23" s="15" t="s">
        <v>700</v>
      </c>
      <c r="F23" s="34" t="s">
        <v>701</v>
      </c>
      <c r="G23" s="33" t="s">
        <v>960</v>
      </c>
      <c r="H23" s="35"/>
      <c r="I23" s="46"/>
    </row>
    <row r="24" s="23" customFormat="1" ht="82" customHeight="1" spans="1:9">
      <c r="A24" s="30">
        <v>22</v>
      </c>
      <c r="B24" s="31" t="s">
        <v>13</v>
      </c>
      <c r="C24" s="30" t="s">
        <v>15</v>
      </c>
      <c r="D24" s="32" t="s">
        <v>312</v>
      </c>
      <c r="E24" s="15" t="s">
        <v>604</v>
      </c>
      <c r="F24" s="34" t="s">
        <v>315</v>
      </c>
      <c r="G24" s="33" t="s">
        <v>963</v>
      </c>
      <c r="H24" s="35"/>
      <c r="I24" s="46"/>
    </row>
    <row r="25" s="23" customFormat="1" ht="82" customHeight="1" spans="1:9">
      <c r="A25" s="30">
        <v>23</v>
      </c>
      <c r="B25" s="31" t="s">
        <v>13</v>
      </c>
      <c r="C25" s="30" t="s">
        <v>15</v>
      </c>
      <c r="D25" s="32" t="s">
        <v>324</v>
      </c>
      <c r="E25" s="15" t="s">
        <v>605</v>
      </c>
      <c r="F25" s="34" t="s">
        <v>964</v>
      </c>
      <c r="G25" s="33" t="s">
        <v>963</v>
      </c>
      <c r="H25" s="35"/>
      <c r="I25" s="46"/>
    </row>
    <row r="26" s="23" customFormat="1" ht="84" customHeight="1" spans="1:9">
      <c r="A26" s="30">
        <v>24</v>
      </c>
      <c r="B26" s="31" t="s">
        <v>13</v>
      </c>
      <c r="C26" s="30" t="s">
        <v>15</v>
      </c>
      <c r="D26" s="32" t="s">
        <v>321</v>
      </c>
      <c r="E26" s="15" t="s">
        <v>607</v>
      </c>
      <c r="F26" s="34" t="s">
        <v>322</v>
      </c>
      <c r="G26" s="33" t="s">
        <v>963</v>
      </c>
      <c r="H26" s="38"/>
      <c r="I26" s="46"/>
    </row>
    <row r="27" s="23" customFormat="1" ht="90" customHeight="1" spans="1:9">
      <c r="A27" s="30">
        <v>25</v>
      </c>
      <c r="B27" s="31" t="s">
        <v>13</v>
      </c>
      <c r="C27" s="30" t="s">
        <v>15</v>
      </c>
      <c r="D27" s="32" t="s">
        <v>383</v>
      </c>
      <c r="E27" s="15" t="s">
        <v>965</v>
      </c>
      <c r="F27" s="34" t="s">
        <v>967</v>
      </c>
      <c r="G27" s="33" t="s">
        <v>21</v>
      </c>
      <c r="H27" s="35"/>
      <c r="I27" s="46"/>
    </row>
    <row r="28" s="23" customFormat="1" ht="84" customHeight="1" spans="1:9">
      <c r="A28" s="30">
        <v>26</v>
      </c>
      <c r="B28" s="31" t="s">
        <v>13</v>
      </c>
      <c r="C28" s="30" t="s">
        <v>15</v>
      </c>
      <c r="D28" s="32" t="s">
        <v>246</v>
      </c>
      <c r="E28" s="15" t="s">
        <v>968</v>
      </c>
      <c r="F28" s="34" t="s">
        <v>1327</v>
      </c>
      <c r="G28" s="33" t="s">
        <v>25</v>
      </c>
      <c r="H28" s="35"/>
      <c r="I28" s="46"/>
    </row>
    <row r="29" s="23" customFormat="1" ht="150" spans="1:9">
      <c r="A29" s="30">
        <v>27</v>
      </c>
      <c r="B29" s="31" t="s">
        <v>13</v>
      </c>
      <c r="C29" s="30" t="s">
        <v>15</v>
      </c>
      <c r="D29" s="32" t="s">
        <v>267</v>
      </c>
      <c r="E29" s="15" t="s">
        <v>969</v>
      </c>
      <c r="F29" s="34" t="s">
        <v>1328</v>
      </c>
      <c r="G29" s="33" t="s">
        <v>25</v>
      </c>
      <c r="H29" s="35"/>
      <c r="I29" s="46"/>
    </row>
    <row r="30" s="23" customFormat="1" ht="89" customHeight="1" spans="1:9">
      <c r="A30" s="30">
        <v>28</v>
      </c>
      <c r="B30" s="31" t="s">
        <v>13</v>
      </c>
      <c r="C30" s="30" t="s">
        <v>15</v>
      </c>
      <c r="D30" s="32" t="s">
        <v>390</v>
      </c>
      <c r="E30" s="32" t="s">
        <v>693</v>
      </c>
      <c r="F30" s="39" t="s">
        <v>970</v>
      </c>
      <c r="G30" s="33" t="s">
        <v>25</v>
      </c>
      <c r="H30" s="35"/>
      <c r="I30" s="46"/>
    </row>
    <row r="31" s="23" customFormat="1" ht="89" customHeight="1" spans="1:10">
      <c r="A31" s="30">
        <v>29</v>
      </c>
      <c r="B31" s="31" t="s">
        <v>13</v>
      </c>
      <c r="C31" s="30" t="s">
        <v>15</v>
      </c>
      <c r="D31" s="32" t="s">
        <v>709</v>
      </c>
      <c r="E31" s="15" t="s">
        <v>971</v>
      </c>
      <c r="F31" s="34" t="s">
        <v>974</v>
      </c>
      <c r="G31" s="33" t="s">
        <v>960</v>
      </c>
      <c r="H31" s="35" t="s">
        <v>975</v>
      </c>
      <c r="I31" s="46" t="s">
        <v>1329</v>
      </c>
      <c r="J31" s="47">
        <v>45461</v>
      </c>
    </row>
    <row r="32" s="23" customFormat="1" ht="90" customHeight="1" spans="1:10">
      <c r="A32" s="30">
        <v>30</v>
      </c>
      <c r="B32" s="31" t="s">
        <v>13</v>
      </c>
      <c r="C32" s="30" t="s">
        <v>15</v>
      </c>
      <c r="D32" s="32" t="s">
        <v>705</v>
      </c>
      <c r="E32" s="15" t="s">
        <v>706</v>
      </c>
      <c r="F32" s="34" t="s">
        <v>707</v>
      </c>
      <c r="G32" s="33" t="s">
        <v>960</v>
      </c>
      <c r="H32" s="35" t="s">
        <v>975</v>
      </c>
      <c r="I32" s="46" t="s">
        <v>1330</v>
      </c>
      <c r="J32" s="47">
        <v>45461</v>
      </c>
    </row>
    <row r="33" s="23" customFormat="1" ht="87" customHeight="1" spans="1:9">
      <c r="A33" s="30">
        <v>31</v>
      </c>
      <c r="B33" s="31" t="s">
        <v>13</v>
      </c>
      <c r="C33" s="30" t="s">
        <v>15</v>
      </c>
      <c r="D33" s="32" t="s">
        <v>713</v>
      </c>
      <c r="E33" s="15" t="s">
        <v>714</v>
      </c>
      <c r="F33" s="34" t="s">
        <v>715</v>
      </c>
      <c r="G33" s="33" t="s">
        <v>960</v>
      </c>
      <c r="H33" s="35" t="s">
        <v>978</v>
      </c>
      <c r="I33" s="46"/>
    </row>
    <row r="34" s="23" customFormat="1" ht="86" customHeight="1" spans="1:9">
      <c r="A34" s="30">
        <v>32</v>
      </c>
      <c r="B34" s="31" t="s">
        <v>13</v>
      </c>
      <c r="C34" s="36" t="s">
        <v>28</v>
      </c>
      <c r="D34" s="32"/>
      <c r="E34" s="15" t="s">
        <v>629</v>
      </c>
      <c r="F34" s="34" t="s">
        <v>981</v>
      </c>
      <c r="G34" s="33" t="s">
        <v>982</v>
      </c>
      <c r="H34" s="35"/>
      <c r="I34" s="46"/>
    </row>
    <row r="35" s="23" customFormat="1" ht="82" customHeight="1" spans="1:9">
      <c r="A35" s="30">
        <v>33</v>
      </c>
      <c r="B35" s="31" t="s">
        <v>13</v>
      </c>
      <c r="C35" s="36" t="s">
        <v>28</v>
      </c>
      <c r="D35" s="32"/>
      <c r="E35" s="15" t="s">
        <v>631</v>
      </c>
      <c r="F35" s="34" t="s">
        <v>632</v>
      </c>
      <c r="G35" s="33" t="s">
        <v>982</v>
      </c>
      <c r="H35" s="35"/>
      <c r="I35" s="46"/>
    </row>
    <row r="36" s="23" customFormat="1" ht="82" customHeight="1" spans="1:10">
      <c r="A36" s="30">
        <v>34</v>
      </c>
      <c r="B36" s="31" t="s">
        <v>13</v>
      </c>
      <c r="C36" s="36" t="s">
        <v>28</v>
      </c>
      <c r="D36" s="32"/>
      <c r="E36" s="15" t="s">
        <v>452</v>
      </c>
      <c r="F36" s="34" t="s">
        <v>453</v>
      </c>
      <c r="G36" s="33" t="s">
        <v>1331</v>
      </c>
      <c r="H36" s="35"/>
      <c r="I36" s="46" t="s">
        <v>1332</v>
      </c>
      <c r="J36" s="47">
        <v>45519</v>
      </c>
    </row>
    <row r="37" s="23" customFormat="1" ht="82" customHeight="1" spans="1:9">
      <c r="A37" s="30">
        <v>35</v>
      </c>
      <c r="B37" s="31" t="s">
        <v>13</v>
      </c>
      <c r="C37" s="36" t="s">
        <v>28</v>
      </c>
      <c r="D37" s="32"/>
      <c r="E37" s="15" t="s">
        <v>985</v>
      </c>
      <c r="F37" s="34" t="s">
        <v>634</v>
      </c>
      <c r="G37" s="33" t="s">
        <v>21</v>
      </c>
      <c r="H37" s="35" t="s">
        <v>988</v>
      </c>
      <c r="I37" s="46"/>
    </row>
    <row r="38" s="23" customFormat="1" ht="82" customHeight="1" spans="1:9">
      <c r="A38" s="30">
        <v>36</v>
      </c>
      <c r="B38" s="31" t="s">
        <v>13</v>
      </c>
      <c r="C38" s="36" t="s">
        <v>28</v>
      </c>
      <c r="D38" s="32"/>
      <c r="E38" s="40" t="s">
        <v>989</v>
      </c>
      <c r="F38" s="34" t="s">
        <v>990</v>
      </c>
      <c r="G38" s="33" t="s">
        <v>21</v>
      </c>
      <c r="H38" s="35" t="s">
        <v>988</v>
      </c>
      <c r="I38" s="46"/>
    </row>
    <row r="39" s="23" customFormat="1" ht="82" customHeight="1" spans="1:9">
      <c r="A39" s="30">
        <v>37</v>
      </c>
      <c r="B39" s="31" t="s">
        <v>13</v>
      </c>
      <c r="C39" s="36" t="s">
        <v>28</v>
      </c>
      <c r="D39" s="32"/>
      <c r="E39" s="15" t="s">
        <v>991</v>
      </c>
      <c r="F39" s="34" t="s">
        <v>636</v>
      </c>
      <c r="G39" s="33" t="s">
        <v>21</v>
      </c>
      <c r="H39" s="35" t="s">
        <v>988</v>
      </c>
      <c r="I39" s="46"/>
    </row>
    <row r="40" s="23" customFormat="1" ht="82" customHeight="1" spans="1:10">
      <c r="A40" s="30">
        <v>38</v>
      </c>
      <c r="B40" s="31" t="s">
        <v>13</v>
      </c>
      <c r="C40" s="36" t="s">
        <v>28</v>
      </c>
      <c r="D40" s="32"/>
      <c r="E40" s="15" t="s">
        <v>992</v>
      </c>
      <c r="F40" s="34" t="s">
        <v>995</v>
      </c>
      <c r="G40" s="33" t="s">
        <v>169</v>
      </c>
      <c r="H40" s="35" t="s">
        <v>996</v>
      </c>
      <c r="I40" s="38" t="s">
        <v>1333</v>
      </c>
      <c r="J40" s="47">
        <v>45323</v>
      </c>
    </row>
    <row r="41" s="23" customFormat="1" ht="94" customHeight="1" spans="1:9">
      <c r="A41" s="30">
        <v>39</v>
      </c>
      <c r="B41" s="31" t="s">
        <v>13</v>
      </c>
      <c r="C41" s="36" t="s">
        <v>28</v>
      </c>
      <c r="D41" s="32"/>
      <c r="E41" s="15" t="s">
        <v>997</v>
      </c>
      <c r="F41" s="34" t="s">
        <v>998</v>
      </c>
      <c r="G41" s="33" t="s">
        <v>169</v>
      </c>
      <c r="H41" s="35" t="s">
        <v>996</v>
      </c>
      <c r="I41" s="46"/>
    </row>
    <row r="42" s="23" customFormat="1" ht="94" customHeight="1" spans="1:9">
      <c r="A42" s="30">
        <v>40</v>
      </c>
      <c r="B42" s="31" t="s">
        <v>13</v>
      </c>
      <c r="C42" s="36" t="s">
        <v>28</v>
      </c>
      <c r="D42" s="32"/>
      <c r="E42" s="15" t="s">
        <v>643</v>
      </c>
      <c r="F42" s="34" t="s">
        <v>999</v>
      </c>
      <c r="G42" s="33" t="s">
        <v>169</v>
      </c>
      <c r="H42" s="35"/>
      <c r="I42" s="46"/>
    </row>
    <row r="43" s="23" customFormat="1" ht="94" customHeight="1" spans="1:9">
      <c r="A43" s="30">
        <v>41</v>
      </c>
      <c r="B43" s="31" t="s">
        <v>13</v>
      </c>
      <c r="C43" s="36" t="s">
        <v>28</v>
      </c>
      <c r="D43" s="32"/>
      <c r="E43" s="15" t="s">
        <v>646</v>
      </c>
      <c r="F43" s="34" t="s">
        <v>647</v>
      </c>
      <c r="G43" s="33" t="s">
        <v>176</v>
      </c>
      <c r="H43" s="35"/>
      <c r="I43" s="46"/>
    </row>
    <row r="44" s="23" customFormat="1" ht="94" customHeight="1" spans="1:9">
      <c r="A44" s="30">
        <v>42</v>
      </c>
      <c r="B44" s="31" t="s">
        <v>13</v>
      </c>
      <c r="C44" s="36" t="s">
        <v>28</v>
      </c>
      <c r="D44" s="32"/>
      <c r="E44" s="15" t="s">
        <v>1002</v>
      </c>
      <c r="F44" s="34" t="s">
        <v>1005</v>
      </c>
      <c r="G44" s="33" t="s">
        <v>651</v>
      </c>
      <c r="H44" s="32"/>
      <c r="I44" s="46"/>
    </row>
    <row r="45" s="23" customFormat="1" ht="94" customHeight="1" spans="1:9">
      <c r="A45" s="30">
        <v>43</v>
      </c>
      <c r="B45" s="31" t="s">
        <v>13</v>
      </c>
      <c r="C45" s="36" t="s">
        <v>28</v>
      </c>
      <c r="D45" s="41"/>
      <c r="E45" s="15" t="s">
        <v>1006</v>
      </c>
      <c r="F45" s="30" t="s">
        <v>1007</v>
      </c>
      <c r="G45" s="33" t="s">
        <v>651</v>
      </c>
      <c r="H45" s="36"/>
      <c r="I45" s="38"/>
    </row>
    <row r="46" s="23" customFormat="1" ht="94" customHeight="1" spans="1:9">
      <c r="A46" s="30">
        <v>44</v>
      </c>
      <c r="B46" s="31" t="s">
        <v>13</v>
      </c>
      <c r="C46" s="36" t="s">
        <v>28</v>
      </c>
      <c r="D46" s="41"/>
      <c r="E46" s="15" t="s">
        <v>1008</v>
      </c>
      <c r="F46" s="36" t="s">
        <v>1010</v>
      </c>
      <c r="G46" s="33" t="s">
        <v>1011</v>
      </c>
      <c r="H46" s="30" t="s">
        <v>1012</v>
      </c>
      <c r="I46" s="38"/>
    </row>
    <row r="47" s="23" customFormat="1" ht="94" customHeight="1" spans="1:9">
      <c r="A47" s="30">
        <v>45</v>
      </c>
      <c r="B47" s="31" t="s">
        <v>13</v>
      </c>
      <c r="C47" s="36" t="s">
        <v>28</v>
      </c>
      <c r="D47" s="41"/>
      <c r="E47" s="15" t="s">
        <v>1013</v>
      </c>
      <c r="F47" s="36" t="s">
        <v>1014</v>
      </c>
      <c r="G47" s="33" t="s">
        <v>1011</v>
      </c>
      <c r="H47" s="36" t="s">
        <v>1015</v>
      </c>
      <c r="I47" s="38"/>
    </row>
    <row r="48" s="23" customFormat="1" ht="94" customHeight="1" spans="1:9">
      <c r="A48" s="30">
        <v>46</v>
      </c>
      <c r="B48" s="31" t="s">
        <v>13</v>
      </c>
      <c r="C48" s="36" t="s">
        <v>28</v>
      </c>
      <c r="D48" s="41"/>
      <c r="E48" s="15" t="s">
        <v>1016</v>
      </c>
      <c r="F48" s="36" t="s">
        <v>1019</v>
      </c>
      <c r="G48" s="33" t="s">
        <v>1020</v>
      </c>
      <c r="H48" s="36" t="s">
        <v>1021</v>
      </c>
      <c r="I48" s="38"/>
    </row>
    <row r="49" s="21" customFormat="1" ht="94" customHeight="1" spans="1:9">
      <c r="A49" s="30">
        <v>47</v>
      </c>
      <c r="B49" s="30" t="s">
        <v>248</v>
      </c>
      <c r="C49" s="36" t="s">
        <v>28</v>
      </c>
      <c r="D49" s="42"/>
      <c r="E49" s="15" t="s">
        <v>752</v>
      </c>
      <c r="F49" s="36" t="s">
        <v>753</v>
      </c>
      <c r="G49" s="30" t="s">
        <v>25</v>
      </c>
      <c r="H49" s="36"/>
      <c r="I49" s="48"/>
    </row>
    <row r="50" s="21" customFormat="1" ht="94" customHeight="1" spans="1:9">
      <c r="A50" s="30">
        <v>48</v>
      </c>
      <c r="B50" s="30" t="s">
        <v>248</v>
      </c>
      <c r="C50" s="36" t="s">
        <v>28</v>
      </c>
      <c r="D50" s="42"/>
      <c r="E50" s="15" t="s">
        <v>751</v>
      </c>
      <c r="F50" s="36" t="s">
        <v>726</v>
      </c>
      <c r="G50" s="30" t="s">
        <v>25</v>
      </c>
      <c r="H50" s="36"/>
      <c r="I50" s="48"/>
    </row>
    <row r="51" s="23" customFormat="1" ht="390" spans="1:10">
      <c r="A51" s="30">
        <v>49</v>
      </c>
      <c r="B51" s="31" t="s">
        <v>13</v>
      </c>
      <c r="C51" s="36" t="s">
        <v>171</v>
      </c>
      <c r="D51" s="32"/>
      <c r="E51" s="15" t="s">
        <v>468</v>
      </c>
      <c r="F51" s="34" t="s">
        <v>1334</v>
      </c>
      <c r="G51" s="33" t="s">
        <v>34</v>
      </c>
      <c r="H51" s="32" t="s">
        <v>1028</v>
      </c>
      <c r="I51" s="46" t="s">
        <v>1335</v>
      </c>
      <c r="J51" s="47">
        <v>45519</v>
      </c>
    </row>
    <row r="52" s="23" customFormat="1" ht="89" customHeight="1" spans="1:10">
      <c r="A52" s="30">
        <v>50</v>
      </c>
      <c r="B52" s="31" t="s">
        <v>13</v>
      </c>
      <c r="C52" s="36" t="s">
        <v>171</v>
      </c>
      <c r="D52" s="32" t="s">
        <v>546</v>
      </c>
      <c r="E52" s="15" t="s">
        <v>1250</v>
      </c>
      <c r="F52" s="34" t="s">
        <v>1032</v>
      </c>
      <c r="G52" s="33" t="s">
        <v>1011</v>
      </c>
      <c r="H52" s="43" t="s">
        <v>1252</v>
      </c>
      <c r="I52" s="46" t="s">
        <v>1336</v>
      </c>
      <c r="J52" s="47">
        <v>45486</v>
      </c>
    </row>
    <row r="53" s="23" customFormat="1" ht="89" customHeight="1" spans="1:10">
      <c r="A53" s="30">
        <v>51</v>
      </c>
      <c r="B53" s="31" t="s">
        <v>13</v>
      </c>
      <c r="C53" s="36" t="s">
        <v>171</v>
      </c>
      <c r="D53" s="32" t="s">
        <v>582</v>
      </c>
      <c r="E53" s="15" t="s">
        <v>1037</v>
      </c>
      <c r="F53" s="34" t="s">
        <v>536</v>
      </c>
      <c r="G53" s="33" t="s">
        <v>41</v>
      </c>
      <c r="H53" s="43" t="s">
        <v>1039</v>
      </c>
      <c r="I53" s="46" t="s">
        <v>1337</v>
      </c>
      <c r="J53" s="47">
        <v>45458</v>
      </c>
    </row>
    <row r="54" s="23" customFormat="1" ht="95" customHeight="1" spans="1:10">
      <c r="A54" s="30">
        <v>52</v>
      </c>
      <c r="B54" s="31" t="s">
        <v>13</v>
      </c>
      <c r="C54" s="36" t="s">
        <v>171</v>
      </c>
      <c r="D54" s="32" t="s">
        <v>541</v>
      </c>
      <c r="E54" s="15" t="s">
        <v>1253</v>
      </c>
      <c r="F54" s="34" t="s">
        <v>1041</v>
      </c>
      <c r="G54" s="33" t="s">
        <v>1011</v>
      </c>
      <c r="H54" s="43" t="s">
        <v>1042</v>
      </c>
      <c r="I54" s="46" t="s">
        <v>1338</v>
      </c>
      <c r="J54" s="47">
        <v>45486</v>
      </c>
    </row>
    <row r="55" s="23" customFormat="1" ht="98" customHeight="1" spans="1:9">
      <c r="A55" s="30">
        <v>53</v>
      </c>
      <c r="B55" s="31" t="s">
        <v>13</v>
      </c>
      <c r="C55" s="36" t="s">
        <v>171</v>
      </c>
      <c r="D55" s="32" t="s">
        <v>566</v>
      </c>
      <c r="E55" s="15" t="s">
        <v>1044</v>
      </c>
      <c r="F55" s="34" t="s">
        <v>532</v>
      </c>
      <c r="G55" s="33" t="s">
        <v>1011</v>
      </c>
      <c r="H55" s="43" t="s">
        <v>1045</v>
      </c>
      <c r="I55" s="46" t="s">
        <v>1339</v>
      </c>
    </row>
    <row r="56" s="23" customFormat="1" ht="92" customHeight="1" spans="1:9">
      <c r="A56" s="30">
        <v>54</v>
      </c>
      <c r="B56" s="31" t="s">
        <v>13</v>
      </c>
      <c r="C56" s="36" t="s">
        <v>171</v>
      </c>
      <c r="D56" s="32" t="s">
        <v>564</v>
      </c>
      <c r="E56" s="15" t="s">
        <v>529</v>
      </c>
      <c r="F56" s="34" t="s">
        <v>1046</v>
      </c>
      <c r="G56" s="33" t="s">
        <v>1011</v>
      </c>
      <c r="H56" s="43" t="s">
        <v>1047</v>
      </c>
      <c r="I56" s="46" t="s">
        <v>1340</v>
      </c>
    </row>
    <row r="57" s="23" customFormat="1" ht="92" customHeight="1" spans="1:9">
      <c r="A57" s="30">
        <v>55</v>
      </c>
      <c r="B57" s="31" t="s">
        <v>13</v>
      </c>
      <c r="C57" s="36" t="s">
        <v>171</v>
      </c>
      <c r="D57" s="32" t="s">
        <v>596</v>
      </c>
      <c r="E57" s="15" t="s">
        <v>527</v>
      </c>
      <c r="F57" s="34" t="s">
        <v>1048</v>
      </c>
      <c r="G57" s="33" t="s">
        <v>1011</v>
      </c>
      <c r="H57" s="43" t="s">
        <v>1049</v>
      </c>
      <c r="I57" s="46" t="s">
        <v>1341</v>
      </c>
    </row>
    <row r="58" s="23" customFormat="1" ht="86" customHeight="1" spans="1:10">
      <c r="A58" s="30">
        <v>56</v>
      </c>
      <c r="B58" s="31" t="s">
        <v>13</v>
      </c>
      <c r="C58" s="36" t="s">
        <v>171</v>
      </c>
      <c r="D58" s="32" t="s">
        <v>539</v>
      </c>
      <c r="E58" s="15" t="s">
        <v>525</v>
      </c>
      <c r="F58" s="34" t="s">
        <v>1051</v>
      </c>
      <c r="G58" s="33" t="s">
        <v>1011</v>
      </c>
      <c r="H58" s="43" t="s">
        <v>1052</v>
      </c>
      <c r="I58" s="46" t="s">
        <v>1342</v>
      </c>
      <c r="J58" s="47">
        <v>45486</v>
      </c>
    </row>
    <row r="59" s="23" customFormat="1" ht="94" customHeight="1" spans="1:9">
      <c r="A59" s="30">
        <v>57</v>
      </c>
      <c r="B59" s="31" t="s">
        <v>13</v>
      </c>
      <c r="C59" s="36" t="s">
        <v>171</v>
      </c>
      <c r="D59" s="32" t="s">
        <v>1053</v>
      </c>
      <c r="E59" s="15" t="s">
        <v>1054</v>
      </c>
      <c r="F59" s="34" t="s">
        <v>1055</v>
      </c>
      <c r="G59" s="33" t="s">
        <v>1011</v>
      </c>
      <c r="H59" s="43" t="s">
        <v>1056</v>
      </c>
      <c r="I59" s="46"/>
    </row>
    <row r="60" s="23" customFormat="1" ht="225" spans="1:9">
      <c r="A60" s="30">
        <v>58</v>
      </c>
      <c r="B60" s="31" t="s">
        <v>13</v>
      </c>
      <c r="C60" s="36" t="s">
        <v>171</v>
      </c>
      <c r="D60" s="32" t="s">
        <v>586</v>
      </c>
      <c r="E60" s="15" t="s">
        <v>1343</v>
      </c>
      <c r="F60" s="34" t="s">
        <v>1059</v>
      </c>
      <c r="G60" s="33" t="s">
        <v>1011</v>
      </c>
      <c r="H60" s="43" t="s">
        <v>1061</v>
      </c>
      <c r="I60" s="46" t="s">
        <v>1344</v>
      </c>
    </row>
    <row r="61" s="23" customFormat="1" ht="88" customHeight="1" spans="1:9">
      <c r="A61" s="30">
        <v>59</v>
      </c>
      <c r="B61" s="31" t="s">
        <v>13</v>
      </c>
      <c r="C61" s="36" t="s">
        <v>171</v>
      </c>
      <c r="D61" s="32" t="s">
        <v>885</v>
      </c>
      <c r="E61" s="15" t="s">
        <v>1062</v>
      </c>
      <c r="F61" s="34" t="s">
        <v>1063</v>
      </c>
      <c r="G61" s="33" t="s">
        <v>1011</v>
      </c>
      <c r="H61" s="43" t="s">
        <v>1064</v>
      </c>
      <c r="I61" s="46"/>
    </row>
    <row r="62" s="23" customFormat="1" ht="88" customHeight="1" spans="1:9">
      <c r="A62" s="30">
        <v>60</v>
      </c>
      <c r="B62" s="31" t="s">
        <v>13</v>
      </c>
      <c r="C62" s="36" t="s">
        <v>171</v>
      </c>
      <c r="D62" s="32" t="s">
        <v>1065</v>
      </c>
      <c r="E62" s="15" t="s">
        <v>517</v>
      </c>
      <c r="F62" s="34" t="s">
        <v>518</v>
      </c>
      <c r="G62" s="33" t="s">
        <v>1011</v>
      </c>
      <c r="H62" s="43" t="s">
        <v>1066</v>
      </c>
      <c r="I62" s="46"/>
    </row>
    <row r="63" s="23" customFormat="1" ht="109" customHeight="1" spans="1:9">
      <c r="A63" s="30">
        <v>61</v>
      </c>
      <c r="B63" s="31" t="s">
        <v>13</v>
      </c>
      <c r="C63" s="36" t="s">
        <v>171</v>
      </c>
      <c r="D63" s="32" t="s">
        <v>584</v>
      </c>
      <c r="E63" s="15" t="s">
        <v>1067</v>
      </c>
      <c r="F63" s="34" t="s">
        <v>1068</v>
      </c>
      <c r="G63" s="33" t="s">
        <v>1011</v>
      </c>
      <c r="H63" s="43" t="s">
        <v>1069</v>
      </c>
      <c r="I63" s="46"/>
    </row>
    <row r="64" s="23" customFormat="1" ht="89" customHeight="1" spans="1:9">
      <c r="A64" s="30">
        <v>62</v>
      </c>
      <c r="B64" s="31" t="s">
        <v>13</v>
      </c>
      <c r="C64" s="36" t="s">
        <v>171</v>
      </c>
      <c r="D64" s="32" t="s">
        <v>580</v>
      </c>
      <c r="E64" s="15" t="s">
        <v>513</v>
      </c>
      <c r="F64" s="34" t="s">
        <v>1070</v>
      </c>
      <c r="G64" s="33" t="s">
        <v>1011</v>
      </c>
      <c r="H64" s="32" t="s">
        <v>1071</v>
      </c>
      <c r="I64" s="46" t="s">
        <v>1345</v>
      </c>
    </row>
    <row r="65" s="23" customFormat="1" ht="89" customHeight="1" spans="1:10">
      <c r="A65" s="30">
        <v>63</v>
      </c>
      <c r="B65" s="31" t="s">
        <v>13</v>
      </c>
      <c r="C65" s="36" t="s">
        <v>171</v>
      </c>
      <c r="D65" s="32" t="s">
        <v>594</v>
      </c>
      <c r="E65" s="15" t="s">
        <v>512</v>
      </c>
      <c r="F65" s="34" t="s">
        <v>1072</v>
      </c>
      <c r="G65" s="33" t="s">
        <v>1011</v>
      </c>
      <c r="H65" s="43" t="s">
        <v>1073</v>
      </c>
      <c r="I65" s="31" t="s">
        <v>1346</v>
      </c>
      <c r="J65" s="59" t="s">
        <v>1347</v>
      </c>
    </row>
    <row r="66" s="23" customFormat="1" ht="101" customHeight="1" spans="1:9">
      <c r="A66" s="30">
        <v>64</v>
      </c>
      <c r="B66" s="31" t="s">
        <v>13</v>
      </c>
      <c r="C66" s="36" t="s">
        <v>171</v>
      </c>
      <c r="D66" s="43" t="s">
        <v>592</v>
      </c>
      <c r="E66" s="15" t="s">
        <v>511</v>
      </c>
      <c r="F66" s="34" t="s">
        <v>1074</v>
      </c>
      <c r="G66" s="33" t="s">
        <v>1011</v>
      </c>
      <c r="H66" s="43" t="s">
        <v>1075</v>
      </c>
      <c r="I66" s="46" t="s">
        <v>1348</v>
      </c>
    </row>
    <row r="67" s="23" customFormat="1" ht="92" customHeight="1" spans="1:9">
      <c r="A67" s="30">
        <v>65</v>
      </c>
      <c r="B67" s="31" t="s">
        <v>13</v>
      </c>
      <c r="C67" s="36" t="s">
        <v>171</v>
      </c>
      <c r="D67" s="43" t="s">
        <v>590</v>
      </c>
      <c r="E67" s="15" t="s">
        <v>1076</v>
      </c>
      <c r="F67" s="34" t="s">
        <v>1077</v>
      </c>
      <c r="G67" s="33" t="s">
        <v>1011</v>
      </c>
      <c r="H67" s="43" t="s">
        <v>1078</v>
      </c>
      <c r="I67" s="46"/>
    </row>
    <row r="68" s="23" customFormat="1" ht="105" customHeight="1" spans="1:9">
      <c r="A68" s="30">
        <v>66</v>
      </c>
      <c r="B68" s="31" t="s">
        <v>13</v>
      </c>
      <c r="C68" s="36" t="s">
        <v>171</v>
      </c>
      <c r="D68" s="43" t="s">
        <v>890</v>
      </c>
      <c r="E68" s="15" t="s">
        <v>1079</v>
      </c>
      <c r="F68" s="34" t="s">
        <v>509</v>
      </c>
      <c r="G68" s="33" t="s">
        <v>1011</v>
      </c>
      <c r="H68" s="43" t="s">
        <v>1080</v>
      </c>
      <c r="I68" s="46"/>
    </row>
    <row r="69" s="23" customFormat="1" ht="104" customHeight="1" spans="1:9">
      <c r="A69" s="30">
        <v>67</v>
      </c>
      <c r="B69" s="31" t="s">
        <v>13</v>
      </c>
      <c r="C69" s="36" t="s">
        <v>171</v>
      </c>
      <c r="D69" s="43" t="s">
        <v>1081</v>
      </c>
      <c r="E69" s="15" t="s">
        <v>506</v>
      </c>
      <c r="F69" s="34" t="s">
        <v>1082</v>
      </c>
      <c r="G69" s="33" t="s">
        <v>1011</v>
      </c>
      <c r="H69" s="43" t="s">
        <v>1083</v>
      </c>
      <c r="I69" s="46" t="s">
        <v>1349</v>
      </c>
    </row>
    <row r="70" s="23" customFormat="1" ht="120" spans="1:9">
      <c r="A70" s="30">
        <v>68</v>
      </c>
      <c r="B70" s="31" t="s">
        <v>13</v>
      </c>
      <c r="C70" s="36" t="s">
        <v>171</v>
      </c>
      <c r="D70" s="43" t="s">
        <v>892</v>
      </c>
      <c r="E70" s="15" t="s">
        <v>1084</v>
      </c>
      <c r="F70" s="34" t="s">
        <v>1085</v>
      </c>
      <c r="G70" s="33" t="s">
        <v>1011</v>
      </c>
      <c r="H70" s="43" t="s">
        <v>1086</v>
      </c>
      <c r="I70" s="46"/>
    </row>
    <row r="71" s="23" customFormat="1" ht="92" customHeight="1" spans="1:9">
      <c r="A71" s="30">
        <v>69</v>
      </c>
      <c r="B71" s="31" t="s">
        <v>13</v>
      </c>
      <c r="C71" s="36" t="s">
        <v>171</v>
      </c>
      <c r="D71" s="32" t="s">
        <v>551</v>
      </c>
      <c r="E71" s="15" t="s">
        <v>1087</v>
      </c>
      <c r="F71" s="34" t="s">
        <v>1088</v>
      </c>
      <c r="G71" s="33" t="s">
        <v>1011</v>
      </c>
      <c r="H71" s="49" t="s">
        <v>1089</v>
      </c>
      <c r="I71" s="46" t="s">
        <v>1350</v>
      </c>
    </row>
    <row r="72" s="23" customFormat="1" ht="105" customHeight="1" spans="1:10">
      <c r="A72" s="30">
        <v>70</v>
      </c>
      <c r="B72" s="31" t="s">
        <v>13</v>
      </c>
      <c r="C72" s="36" t="s">
        <v>171</v>
      </c>
      <c r="D72" s="32" t="s">
        <v>559</v>
      </c>
      <c r="E72" s="15" t="s">
        <v>500</v>
      </c>
      <c r="F72" s="34" t="s">
        <v>501</v>
      </c>
      <c r="G72" s="33" t="s">
        <v>1011</v>
      </c>
      <c r="H72" s="49" t="s">
        <v>1090</v>
      </c>
      <c r="I72" s="46" t="s">
        <v>1351</v>
      </c>
      <c r="J72" s="47">
        <v>45458</v>
      </c>
    </row>
    <row r="73" s="23" customFormat="1" ht="99" customHeight="1" spans="1:9">
      <c r="A73" s="30">
        <v>71</v>
      </c>
      <c r="B73" s="31" t="s">
        <v>13</v>
      </c>
      <c r="C73" s="36" t="s">
        <v>171</v>
      </c>
      <c r="D73" s="32" t="s">
        <v>893</v>
      </c>
      <c r="E73" s="15" t="s">
        <v>1091</v>
      </c>
      <c r="F73" s="34" t="s">
        <v>498</v>
      </c>
      <c r="G73" s="33" t="s">
        <v>1092</v>
      </c>
      <c r="H73" s="49" t="s">
        <v>1093</v>
      </c>
      <c r="I73" s="46"/>
    </row>
    <row r="74" s="23" customFormat="1" ht="94" customHeight="1" spans="1:10">
      <c r="A74" s="30">
        <v>72</v>
      </c>
      <c r="B74" s="31" t="s">
        <v>13</v>
      </c>
      <c r="C74" s="36" t="s">
        <v>171</v>
      </c>
      <c r="D74" s="32" t="s">
        <v>1094</v>
      </c>
      <c r="E74" s="15" t="s">
        <v>495</v>
      </c>
      <c r="F74" s="34" t="s">
        <v>496</v>
      </c>
      <c r="G74" s="33" t="s">
        <v>1011</v>
      </c>
      <c r="H74" s="49" t="s">
        <v>1095</v>
      </c>
      <c r="I74" s="46" t="s">
        <v>1352</v>
      </c>
      <c r="J74" s="47">
        <v>45458</v>
      </c>
    </row>
    <row r="75" s="23" customFormat="1" ht="112" customHeight="1" spans="1:9">
      <c r="A75" s="30">
        <v>73</v>
      </c>
      <c r="B75" s="31" t="s">
        <v>13</v>
      </c>
      <c r="C75" s="36" t="s">
        <v>171</v>
      </c>
      <c r="D75" s="43" t="s">
        <v>553</v>
      </c>
      <c r="E75" s="15" t="s">
        <v>1282</v>
      </c>
      <c r="F75" s="34" t="s">
        <v>494</v>
      </c>
      <c r="G75" s="33" t="s">
        <v>1011</v>
      </c>
      <c r="H75" s="49" t="s">
        <v>1284</v>
      </c>
      <c r="I75" s="46" t="s">
        <v>1353</v>
      </c>
    </row>
    <row r="76" s="23" customFormat="1" ht="135" spans="1:10">
      <c r="A76" s="30">
        <v>74</v>
      </c>
      <c r="B76" s="31" t="s">
        <v>13</v>
      </c>
      <c r="C76" s="36" t="s">
        <v>171</v>
      </c>
      <c r="D76" s="43" t="s">
        <v>1100</v>
      </c>
      <c r="E76" s="15" t="s">
        <v>1285</v>
      </c>
      <c r="F76" s="34" t="s">
        <v>492</v>
      </c>
      <c r="G76" s="33" t="s">
        <v>1011</v>
      </c>
      <c r="H76" s="49" t="s">
        <v>1101</v>
      </c>
      <c r="I76" s="46" t="s">
        <v>1354</v>
      </c>
      <c r="J76" s="47">
        <v>45458</v>
      </c>
    </row>
    <row r="77" s="23" customFormat="1" ht="100" customHeight="1" spans="1:9">
      <c r="A77" s="30">
        <v>75</v>
      </c>
      <c r="B77" s="31" t="s">
        <v>13</v>
      </c>
      <c r="C77" s="36" t="s">
        <v>171</v>
      </c>
      <c r="D77" s="43" t="s">
        <v>556</v>
      </c>
      <c r="E77" s="15" t="s">
        <v>1287</v>
      </c>
      <c r="F77" s="34" t="s">
        <v>490</v>
      </c>
      <c r="G77" s="33" t="s">
        <v>1011</v>
      </c>
      <c r="H77" s="49" t="s">
        <v>1289</v>
      </c>
      <c r="I77" s="46" t="s">
        <v>1355</v>
      </c>
    </row>
    <row r="78" s="23" customFormat="1" ht="173" customHeight="1" spans="1:9">
      <c r="A78" s="30">
        <v>76</v>
      </c>
      <c r="B78" s="31" t="s">
        <v>13</v>
      </c>
      <c r="C78" s="36" t="s">
        <v>171</v>
      </c>
      <c r="D78" s="43" t="s">
        <v>548</v>
      </c>
      <c r="E78" s="15" t="s">
        <v>1104</v>
      </c>
      <c r="F78" s="34" t="s">
        <v>488</v>
      </c>
      <c r="G78" s="33" t="s">
        <v>1011</v>
      </c>
      <c r="H78" s="49" t="s">
        <v>1107</v>
      </c>
      <c r="I78" s="46" t="s">
        <v>1356</v>
      </c>
    </row>
    <row r="79" s="23" customFormat="1" ht="45" spans="1:10">
      <c r="A79" s="30">
        <v>77</v>
      </c>
      <c r="B79" s="31" t="s">
        <v>13</v>
      </c>
      <c r="C79" s="36" t="s">
        <v>171</v>
      </c>
      <c r="D79" s="43" t="s">
        <v>543</v>
      </c>
      <c r="E79" s="15" t="s">
        <v>1291</v>
      </c>
      <c r="F79" s="50" t="s">
        <v>1109</v>
      </c>
      <c r="G79" s="33" t="s">
        <v>1011</v>
      </c>
      <c r="H79" s="49" t="s">
        <v>1110</v>
      </c>
      <c r="I79" s="46" t="s">
        <v>1357</v>
      </c>
      <c r="J79" s="47">
        <v>45461</v>
      </c>
    </row>
    <row r="80" s="23" customFormat="1" ht="102" customHeight="1" spans="1:9">
      <c r="A80" s="30">
        <v>78</v>
      </c>
      <c r="B80" s="31" t="s">
        <v>13</v>
      </c>
      <c r="C80" s="36" t="s">
        <v>171</v>
      </c>
      <c r="D80" s="43" t="s">
        <v>568</v>
      </c>
      <c r="E80" s="15" t="s">
        <v>1111</v>
      </c>
      <c r="F80" s="34" t="s">
        <v>1112</v>
      </c>
      <c r="G80" s="33" t="s">
        <v>1011</v>
      </c>
      <c r="H80" s="49" t="s">
        <v>1113</v>
      </c>
      <c r="I80" s="46" t="s">
        <v>1358</v>
      </c>
    </row>
    <row r="81" s="23" customFormat="1" ht="102" customHeight="1" spans="1:9">
      <c r="A81" s="30">
        <v>79</v>
      </c>
      <c r="B81" s="31" t="s">
        <v>13</v>
      </c>
      <c r="C81" s="36" t="s">
        <v>171</v>
      </c>
      <c r="D81" s="43" t="s">
        <v>1114</v>
      </c>
      <c r="E81" s="15" t="s">
        <v>481</v>
      </c>
      <c r="F81" s="34" t="s">
        <v>482</v>
      </c>
      <c r="G81" s="33" t="s">
        <v>1011</v>
      </c>
      <c r="H81" s="49" t="s">
        <v>1115</v>
      </c>
      <c r="I81" s="46" t="s">
        <v>1359</v>
      </c>
    </row>
    <row r="82" s="23" customFormat="1" ht="102" customHeight="1" spans="1:9">
      <c r="A82" s="30">
        <v>80</v>
      </c>
      <c r="B82" s="31" t="s">
        <v>13</v>
      </c>
      <c r="C82" s="36" t="s">
        <v>171</v>
      </c>
      <c r="D82" s="43" t="s">
        <v>561</v>
      </c>
      <c r="E82" s="15" t="s">
        <v>1293</v>
      </c>
      <c r="F82" s="34" t="s">
        <v>1117</v>
      </c>
      <c r="G82" s="33" t="s">
        <v>1011</v>
      </c>
      <c r="H82" s="49" t="s">
        <v>1294</v>
      </c>
      <c r="I82" s="46" t="s">
        <v>1360</v>
      </c>
    </row>
    <row r="83" s="23" customFormat="1" ht="111" customHeight="1" spans="1:9">
      <c r="A83" s="30">
        <v>81</v>
      </c>
      <c r="B83" s="31" t="s">
        <v>13</v>
      </c>
      <c r="C83" s="36" t="s">
        <v>171</v>
      </c>
      <c r="D83" s="43" t="s">
        <v>577</v>
      </c>
      <c r="E83" s="15" t="s">
        <v>479</v>
      </c>
      <c r="F83" s="34" t="s">
        <v>1119</v>
      </c>
      <c r="G83" s="33" t="s">
        <v>1011</v>
      </c>
      <c r="H83" s="49" t="s">
        <v>1295</v>
      </c>
      <c r="I83" s="46" t="s">
        <v>1361</v>
      </c>
    </row>
    <row r="84" s="23" customFormat="1" ht="111" customHeight="1" spans="1:9">
      <c r="A84" s="30">
        <v>82</v>
      </c>
      <c r="B84" s="31" t="s">
        <v>13</v>
      </c>
      <c r="C84" s="36" t="s">
        <v>171</v>
      </c>
      <c r="D84" s="32"/>
      <c r="E84" s="15" t="s">
        <v>1121</v>
      </c>
      <c r="F84" s="51" t="s">
        <v>477</v>
      </c>
      <c r="G84" s="33" t="s">
        <v>1124</v>
      </c>
      <c r="H84" s="49" t="s">
        <v>1125</v>
      </c>
      <c r="I84" s="46"/>
    </row>
    <row r="85" s="23" customFormat="1" ht="300" spans="1:9">
      <c r="A85" s="30">
        <v>83</v>
      </c>
      <c r="B85" s="31" t="s">
        <v>13</v>
      </c>
      <c r="C85" s="36" t="s">
        <v>171</v>
      </c>
      <c r="D85" s="32"/>
      <c r="E85" s="15" t="s">
        <v>1126</v>
      </c>
      <c r="F85" s="34" t="s">
        <v>1127</v>
      </c>
      <c r="G85" s="33" t="s">
        <v>34</v>
      </c>
      <c r="H85" s="49" t="s">
        <v>1128</v>
      </c>
      <c r="I85" s="46"/>
    </row>
    <row r="86" s="23" customFormat="1" ht="89" customHeight="1" spans="1:10">
      <c r="A86" s="30">
        <v>84</v>
      </c>
      <c r="B86" s="31" t="s">
        <v>13</v>
      </c>
      <c r="C86" s="30" t="s">
        <v>15</v>
      </c>
      <c r="D86" s="41" t="s">
        <v>722</v>
      </c>
      <c r="E86" s="42" t="s">
        <v>723</v>
      </c>
      <c r="F86" s="52" t="s">
        <v>1362</v>
      </c>
      <c r="G86" s="53" t="s">
        <v>1131</v>
      </c>
      <c r="H86" s="38" t="s">
        <v>1132</v>
      </c>
      <c r="I86" s="38" t="s">
        <v>1333</v>
      </c>
      <c r="J86" s="47">
        <v>45323</v>
      </c>
    </row>
    <row r="87" s="23" customFormat="1" ht="86" customHeight="1" spans="1:9">
      <c r="A87" s="30">
        <v>85</v>
      </c>
      <c r="B87" s="31" t="s">
        <v>13</v>
      </c>
      <c r="C87" s="30" t="s">
        <v>15</v>
      </c>
      <c r="D87" s="41" t="s">
        <v>719</v>
      </c>
      <c r="E87" s="42" t="s">
        <v>720</v>
      </c>
      <c r="F87" s="52" t="s">
        <v>1363</v>
      </c>
      <c r="G87" s="53" t="s">
        <v>1131</v>
      </c>
      <c r="H87" s="38" t="s">
        <v>1135</v>
      </c>
      <c r="I87" s="38"/>
    </row>
    <row r="88" s="23" customFormat="1" ht="93" customHeight="1" spans="1:9">
      <c r="A88" s="30">
        <v>86</v>
      </c>
      <c r="B88" s="31" t="s">
        <v>13</v>
      </c>
      <c r="C88" s="30" t="s">
        <v>15</v>
      </c>
      <c r="D88" s="41" t="s">
        <v>876</v>
      </c>
      <c r="E88" s="42"/>
      <c r="F88" s="18" t="s">
        <v>1136</v>
      </c>
      <c r="G88" s="18" t="s">
        <v>1137</v>
      </c>
      <c r="H88" s="38" t="s">
        <v>1138</v>
      </c>
      <c r="I88" s="38"/>
    </row>
    <row r="89" s="24" customFormat="1" ht="94" customHeight="1" spans="1:10">
      <c r="A89" s="30">
        <v>87</v>
      </c>
      <c r="B89" s="31" t="s">
        <v>1139</v>
      </c>
      <c r="C89" s="30" t="s">
        <v>15</v>
      </c>
      <c r="D89" s="54" t="s">
        <v>1140</v>
      </c>
      <c r="E89" s="54" t="s">
        <v>792</v>
      </c>
      <c r="F89" s="18" t="s">
        <v>1364</v>
      </c>
      <c r="G89" s="18" t="s">
        <v>923</v>
      </c>
      <c r="H89" s="18">
        <v>1880</v>
      </c>
      <c r="I89" s="18" t="s">
        <v>1365</v>
      </c>
      <c r="J89" s="59">
        <v>45461</v>
      </c>
    </row>
    <row r="90" s="23" customFormat="1" ht="88" customHeight="1" spans="1:9">
      <c r="A90" s="30">
        <v>88</v>
      </c>
      <c r="B90" s="31" t="s">
        <v>13</v>
      </c>
      <c r="C90" s="30" t="s">
        <v>15</v>
      </c>
      <c r="D90" s="41" t="s">
        <v>328</v>
      </c>
      <c r="E90" s="42" t="s">
        <v>690</v>
      </c>
      <c r="F90" s="55" t="s">
        <v>1366</v>
      </c>
      <c r="G90" s="18" t="s">
        <v>25</v>
      </c>
      <c r="H90" s="38" t="s">
        <v>1146</v>
      </c>
      <c r="I90" s="38"/>
    </row>
    <row r="91" s="23" customFormat="1" ht="88" customHeight="1" spans="1:9">
      <c r="A91" s="30">
        <v>89</v>
      </c>
      <c r="B91" s="31" t="s">
        <v>13</v>
      </c>
      <c r="C91" s="30" t="s">
        <v>15</v>
      </c>
      <c r="D91" s="41" t="s">
        <v>335</v>
      </c>
      <c r="E91" s="42" t="s">
        <v>689</v>
      </c>
      <c r="F91" s="55" t="s">
        <v>1367</v>
      </c>
      <c r="G91" s="18" t="s">
        <v>25</v>
      </c>
      <c r="H91" s="38" t="s">
        <v>1147</v>
      </c>
      <c r="I91" s="38"/>
    </row>
    <row r="92" s="23" customFormat="1" ht="88" customHeight="1" spans="1:9">
      <c r="A92" s="30">
        <v>90</v>
      </c>
      <c r="B92" s="31" t="s">
        <v>13</v>
      </c>
      <c r="C92" s="30" t="s">
        <v>15</v>
      </c>
      <c r="D92" s="41" t="s">
        <v>301</v>
      </c>
      <c r="E92" s="42" t="s">
        <v>686</v>
      </c>
      <c r="F92" s="55" t="s">
        <v>1368</v>
      </c>
      <c r="G92" s="18" t="s">
        <v>25</v>
      </c>
      <c r="H92" s="38" t="s">
        <v>1149</v>
      </c>
      <c r="I92" s="38"/>
    </row>
    <row r="93" s="23" customFormat="1" ht="86" customHeight="1" spans="1:10">
      <c r="A93" s="30">
        <v>91</v>
      </c>
      <c r="B93" s="31" t="s">
        <v>13</v>
      </c>
      <c r="C93" s="30" t="s">
        <v>15</v>
      </c>
      <c r="D93" s="41" t="s">
        <v>396</v>
      </c>
      <c r="E93" s="42" t="s">
        <v>703</v>
      </c>
      <c r="F93" s="56" t="s">
        <v>704</v>
      </c>
      <c r="G93" s="18" t="s">
        <v>25</v>
      </c>
      <c r="H93" s="38" t="s">
        <v>1152</v>
      </c>
      <c r="I93" s="60" t="s">
        <v>1369</v>
      </c>
      <c r="J93" s="61">
        <v>45068</v>
      </c>
    </row>
    <row r="94" s="23" customFormat="1" ht="90" customHeight="1" spans="1:10">
      <c r="A94" s="30">
        <v>92</v>
      </c>
      <c r="B94" s="31" t="s">
        <v>13</v>
      </c>
      <c r="C94" s="30" t="s">
        <v>15</v>
      </c>
      <c r="D94" s="41" t="s">
        <v>402</v>
      </c>
      <c r="E94" s="42" t="s">
        <v>659</v>
      </c>
      <c r="F94" s="56" t="s">
        <v>1370</v>
      </c>
      <c r="G94" s="18" t="s">
        <v>25</v>
      </c>
      <c r="H94" s="38" t="s">
        <v>1154</v>
      </c>
      <c r="I94" s="60" t="s">
        <v>1371</v>
      </c>
      <c r="J94" s="61">
        <v>45068</v>
      </c>
    </row>
    <row r="95" s="23" customFormat="1" ht="104" customHeight="1" spans="1:9">
      <c r="A95" s="30">
        <v>93</v>
      </c>
      <c r="B95" s="31" t="s">
        <v>248</v>
      </c>
      <c r="C95" s="30" t="s">
        <v>15</v>
      </c>
      <c r="D95" s="41" t="s">
        <v>446</v>
      </c>
      <c r="E95" s="41" t="s">
        <v>447</v>
      </c>
      <c r="F95" s="57" t="s">
        <v>448</v>
      </c>
      <c r="G95" s="18" t="s">
        <v>499</v>
      </c>
      <c r="H95" s="38" t="s">
        <v>1155</v>
      </c>
      <c r="I95" s="38" t="s">
        <v>1372</v>
      </c>
    </row>
    <row r="96" s="23" customFormat="1" ht="196" spans="1:9">
      <c r="A96" s="30">
        <v>94</v>
      </c>
      <c r="B96" s="31" t="s">
        <v>248</v>
      </c>
      <c r="C96" s="30" t="s">
        <v>15</v>
      </c>
      <c r="D96" s="41" t="s">
        <v>428</v>
      </c>
      <c r="E96" s="41" t="s">
        <v>429</v>
      </c>
      <c r="F96" s="57" t="s">
        <v>1373</v>
      </c>
      <c r="G96" s="18" t="s">
        <v>499</v>
      </c>
      <c r="H96" s="38" t="s">
        <v>1155</v>
      </c>
      <c r="I96" s="38" t="s">
        <v>1344</v>
      </c>
    </row>
    <row r="97" s="23" customFormat="1" ht="91" customHeight="1" spans="1:9">
      <c r="A97" s="30">
        <v>95</v>
      </c>
      <c r="B97" s="31" t="s">
        <v>248</v>
      </c>
      <c r="C97" s="30" t="s">
        <v>15</v>
      </c>
      <c r="D97" s="41" t="s">
        <v>443</v>
      </c>
      <c r="E97" s="41" t="s">
        <v>1157</v>
      </c>
      <c r="F97" s="57" t="s">
        <v>445</v>
      </c>
      <c r="G97" s="18" t="s">
        <v>499</v>
      </c>
      <c r="H97" s="38" t="s">
        <v>1155</v>
      </c>
      <c r="I97" s="38" t="s">
        <v>1341</v>
      </c>
    </row>
    <row r="98" s="23" customFormat="1" ht="91" customHeight="1" spans="1:10">
      <c r="A98" s="30">
        <v>96</v>
      </c>
      <c r="B98" s="31" t="s">
        <v>248</v>
      </c>
      <c r="C98" s="30" t="s">
        <v>15</v>
      </c>
      <c r="D98" s="41" t="s">
        <v>440</v>
      </c>
      <c r="E98" s="41" t="s">
        <v>1158</v>
      </c>
      <c r="F98" s="57" t="s">
        <v>1374</v>
      </c>
      <c r="G98" s="18" t="s">
        <v>499</v>
      </c>
      <c r="H98" s="38" t="s">
        <v>1155</v>
      </c>
      <c r="I98" s="31" t="s">
        <v>1346</v>
      </c>
      <c r="J98" s="59" t="s">
        <v>1347</v>
      </c>
    </row>
    <row r="99" s="23" customFormat="1" ht="91" customHeight="1" spans="1:9">
      <c r="A99" s="30">
        <v>97</v>
      </c>
      <c r="B99" s="31" t="s">
        <v>248</v>
      </c>
      <c r="C99" s="30" t="s">
        <v>15</v>
      </c>
      <c r="D99" s="41" t="s">
        <v>1159</v>
      </c>
      <c r="E99" s="41" t="s">
        <v>1160</v>
      </c>
      <c r="F99" s="57" t="s">
        <v>439</v>
      </c>
      <c r="G99" s="18" t="s">
        <v>499</v>
      </c>
      <c r="H99" s="38" t="s">
        <v>1155</v>
      </c>
      <c r="I99" s="38" t="s">
        <v>1348</v>
      </c>
    </row>
    <row r="100" s="23" customFormat="1" ht="91" customHeight="1" spans="1:9">
      <c r="A100" s="30">
        <v>98</v>
      </c>
      <c r="B100" s="31" t="s">
        <v>248</v>
      </c>
      <c r="C100" s="30" t="s">
        <v>15</v>
      </c>
      <c r="D100" s="41" t="s">
        <v>434</v>
      </c>
      <c r="E100" s="41" t="s">
        <v>435</v>
      </c>
      <c r="F100" s="57" t="s">
        <v>1375</v>
      </c>
      <c r="G100" s="18" t="s">
        <v>499</v>
      </c>
      <c r="H100" s="38" t="s">
        <v>1155</v>
      </c>
      <c r="I100" s="38" t="s">
        <v>1376</v>
      </c>
    </row>
    <row r="101" s="23" customFormat="1" ht="91" customHeight="1" spans="1:10">
      <c r="A101" s="30">
        <v>99</v>
      </c>
      <c r="B101" s="31" t="s">
        <v>248</v>
      </c>
      <c r="C101" s="30" t="s">
        <v>15</v>
      </c>
      <c r="D101" s="41" t="s">
        <v>431</v>
      </c>
      <c r="E101" s="41" t="s">
        <v>1162</v>
      </c>
      <c r="F101" s="57" t="s">
        <v>433</v>
      </c>
      <c r="G101" s="18" t="s">
        <v>499</v>
      </c>
      <c r="H101" s="38" t="s">
        <v>1155</v>
      </c>
      <c r="I101" s="46" t="s">
        <v>1351</v>
      </c>
      <c r="J101" s="47">
        <v>45458</v>
      </c>
    </row>
    <row r="102" s="23" customFormat="1" ht="80" customHeight="1" spans="1:9">
      <c r="A102" s="30">
        <v>100</v>
      </c>
      <c r="B102" s="31" t="s">
        <v>13</v>
      </c>
      <c r="C102" s="30" t="s">
        <v>15</v>
      </c>
      <c r="D102" s="41" t="s">
        <v>716</v>
      </c>
      <c r="E102" s="42" t="s">
        <v>717</v>
      </c>
      <c r="F102" s="18" t="s">
        <v>718</v>
      </c>
      <c r="G102" s="57" t="s">
        <v>1131</v>
      </c>
      <c r="H102" s="38" t="s">
        <v>1165</v>
      </c>
      <c r="I102" s="38"/>
    </row>
    <row r="103" s="23" customFormat="1" ht="112" customHeight="1" spans="1:10">
      <c r="A103" s="30">
        <v>101</v>
      </c>
      <c r="B103" s="31" t="s">
        <v>13</v>
      </c>
      <c r="C103" s="30" t="s">
        <v>15</v>
      </c>
      <c r="D103" s="41" t="s">
        <v>680</v>
      </c>
      <c r="E103" s="42" t="s">
        <v>681</v>
      </c>
      <c r="F103" s="58" t="s">
        <v>1377</v>
      </c>
      <c r="G103" s="57" t="s">
        <v>673</v>
      </c>
      <c r="H103" s="38" t="s">
        <v>1169</v>
      </c>
      <c r="I103" s="62" t="s">
        <v>1378</v>
      </c>
      <c r="J103" s="63">
        <v>45158</v>
      </c>
    </row>
    <row r="104" s="23" customFormat="1" ht="89" customHeight="1" spans="1:10">
      <c r="A104" s="30">
        <v>102</v>
      </c>
      <c r="B104" s="31" t="s">
        <v>13</v>
      </c>
      <c r="C104" s="30" t="s">
        <v>15</v>
      </c>
      <c r="D104" s="41" t="s">
        <v>669</v>
      </c>
      <c r="E104" s="42" t="s">
        <v>670</v>
      </c>
      <c r="F104" s="18" t="s">
        <v>672</v>
      </c>
      <c r="G104" s="57" t="s">
        <v>673</v>
      </c>
      <c r="H104" s="38" t="s">
        <v>1171</v>
      </c>
      <c r="I104" s="62" t="s">
        <v>1379</v>
      </c>
      <c r="J104" s="63">
        <v>45158</v>
      </c>
    </row>
    <row r="105" s="23" customFormat="1" ht="89" customHeight="1" spans="1:10">
      <c r="A105" s="30">
        <v>103</v>
      </c>
      <c r="B105" s="31" t="s">
        <v>13</v>
      </c>
      <c r="C105" s="30" t="s">
        <v>15</v>
      </c>
      <c r="D105" s="41" t="s">
        <v>674</v>
      </c>
      <c r="E105" s="42" t="s">
        <v>675</v>
      </c>
      <c r="F105" s="18" t="s">
        <v>1380</v>
      </c>
      <c r="G105" s="57" t="s">
        <v>673</v>
      </c>
      <c r="H105" s="38" t="s">
        <v>1171</v>
      </c>
      <c r="I105" s="64" t="s">
        <v>1381</v>
      </c>
      <c r="J105" s="63">
        <v>45158</v>
      </c>
    </row>
    <row r="106" s="23" customFormat="1" ht="90" customHeight="1" spans="1:10">
      <c r="A106" s="30">
        <v>104</v>
      </c>
      <c r="B106" s="31" t="s">
        <v>13</v>
      </c>
      <c r="C106" s="30" t="s">
        <v>15</v>
      </c>
      <c r="D106" s="41" t="s">
        <v>677</v>
      </c>
      <c r="E106" s="42" t="s">
        <v>678</v>
      </c>
      <c r="F106" s="18" t="s">
        <v>1382</v>
      </c>
      <c r="G106" s="57" t="s">
        <v>673</v>
      </c>
      <c r="H106" s="38" t="s">
        <v>1176</v>
      </c>
      <c r="I106" s="62" t="s">
        <v>1383</v>
      </c>
      <c r="J106" s="63">
        <v>45158</v>
      </c>
    </row>
    <row r="107" s="23" customFormat="1" ht="95" customHeight="1" spans="1:10">
      <c r="A107" s="30">
        <v>105</v>
      </c>
      <c r="B107" s="31" t="s">
        <v>13</v>
      </c>
      <c r="C107" s="38" t="s">
        <v>164</v>
      </c>
      <c r="D107" s="41"/>
      <c r="E107" s="42" t="s">
        <v>617</v>
      </c>
      <c r="F107" s="38" t="s">
        <v>618</v>
      </c>
      <c r="G107" s="18" t="s">
        <v>25</v>
      </c>
      <c r="H107" s="38" t="s">
        <v>1180</v>
      </c>
      <c r="I107" s="38"/>
      <c r="J107" s="38"/>
    </row>
    <row r="108" s="23" customFormat="1" ht="92" customHeight="1" spans="1:10">
      <c r="A108" s="30">
        <v>106</v>
      </c>
      <c r="B108" s="31" t="s">
        <v>13</v>
      </c>
      <c r="C108" s="38" t="s">
        <v>164</v>
      </c>
      <c r="D108" s="41"/>
      <c r="E108" s="42" t="s">
        <v>620</v>
      </c>
      <c r="F108" s="18" t="s">
        <v>1181</v>
      </c>
      <c r="G108" s="18" t="s">
        <v>25</v>
      </c>
      <c r="H108" s="38" t="s">
        <v>1180</v>
      </c>
      <c r="I108" s="38"/>
      <c r="J108" s="38"/>
    </row>
    <row r="109" s="23" customFormat="1" ht="100" customHeight="1" spans="1:10">
      <c r="A109" s="30">
        <v>107</v>
      </c>
      <c r="B109" s="31" t="s">
        <v>13</v>
      </c>
      <c r="C109" s="38" t="s">
        <v>164</v>
      </c>
      <c r="D109" s="41"/>
      <c r="E109" s="208" t="s">
        <v>623</v>
      </c>
      <c r="F109" s="38" t="s">
        <v>1182</v>
      </c>
      <c r="G109" s="18" t="s">
        <v>25</v>
      </c>
      <c r="H109" s="38" t="s">
        <v>1180</v>
      </c>
      <c r="I109" s="38"/>
      <c r="J109" s="38"/>
    </row>
    <row r="110" s="23" customFormat="1" ht="101" customHeight="1" spans="1:9">
      <c r="A110" s="30">
        <v>108</v>
      </c>
      <c r="B110" s="31" t="s">
        <v>13</v>
      </c>
      <c r="C110" s="38" t="s">
        <v>164</v>
      </c>
      <c r="D110" s="41"/>
      <c r="E110" s="42" t="s">
        <v>450</v>
      </c>
      <c r="F110" s="18" t="s">
        <v>1384</v>
      </c>
      <c r="G110" s="38" t="s">
        <v>456</v>
      </c>
      <c r="H110" s="38" t="s">
        <v>1186</v>
      </c>
      <c r="I110" s="65"/>
    </row>
    <row r="111" s="23" customFormat="1" ht="101" customHeight="1" spans="1:9">
      <c r="A111" s="30">
        <v>109</v>
      </c>
      <c r="B111" s="31" t="s">
        <v>13</v>
      </c>
      <c r="C111" s="38" t="s">
        <v>164</v>
      </c>
      <c r="D111" s="41"/>
      <c r="E111" s="42" t="s">
        <v>454</v>
      </c>
      <c r="F111" s="18" t="s">
        <v>455</v>
      </c>
      <c r="G111" s="38" t="s">
        <v>456</v>
      </c>
      <c r="H111" s="38" t="s">
        <v>1189</v>
      </c>
      <c r="I111" s="38"/>
    </row>
    <row r="112" s="23" customFormat="1" ht="89" customHeight="1" spans="1:9">
      <c r="A112" s="30">
        <v>110</v>
      </c>
      <c r="B112" s="31" t="s">
        <v>13</v>
      </c>
      <c r="C112" s="38" t="s">
        <v>164</v>
      </c>
      <c r="D112" s="41"/>
      <c r="E112" s="42" t="s">
        <v>457</v>
      </c>
      <c r="F112" s="38" t="s">
        <v>458</v>
      </c>
      <c r="G112" s="38" t="s">
        <v>456</v>
      </c>
      <c r="H112" s="38" t="s">
        <v>418</v>
      </c>
      <c r="I112" s="38"/>
    </row>
    <row r="113" s="23" customFormat="1" ht="140" spans="1:10">
      <c r="A113" s="30">
        <v>111</v>
      </c>
      <c r="B113" s="31" t="s">
        <v>13</v>
      </c>
      <c r="C113" s="38" t="s">
        <v>164</v>
      </c>
      <c r="D113" s="41"/>
      <c r="E113" s="42" t="s">
        <v>613</v>
      </c>
      <c r="F113" s="18" t="s">
        <v>1191</v>
      </c>
      <c r="G113" s="18" t="s">
        <v>615</v>
      </c>
      <c r="H113" s="38" t="s">
        <v>1192</v>
      </c>
      <c r="I113" s="38" t="s">
        <v>1385</v>
      </c>
      <c r="J113" s="47">
        <v>45323</v>
      </c>
    </row>
    <row r="114" s="23" customFormat="1" ht="97" customHeight="1" spans="1:9">
      <c r="A114" s="30">
        <v>112</v>
      </c>
      <c r="B114" s="31" t="s">
        <v>13</v>
      </c>
      <c r="C114" s="38" t="s">
        <v>164</v>
      </c>
      <c r="D114" s="41"/>
      <c r="E114" s="42" t="s">
        <v>626</v>
      </c>
      <c r="F114" s="18" t="s">
        <v>627</v>
      </c>
      <c r="G114" s="18" t="s">
        <v>628</v>
      </c>
      <c r="H114" s="38"/>
      <c r="I114" s="38"/>
    </row>
    <row r="115" s="23" customFormat="1" ht="92" customHeight="1" spans="1:9">
      <c r="A115" s="30">
        <v>113</v>
      </c>
      <c r="B115" s="31" t="s">
        <v>13</v>
      </c>
      <c r="C115" s="30" t="s">
        <v>15</v>
      </c>
      <c r="D115" s="41" t="s">
        <v>415</v>
      </c>
      <c r="E115" s="42" t="s">
        <v>600</v>
      </c>
      <c r="F115" s="38" t="s">
        <v>601</v>
      </c>
      <c r="G115" s="38" t="s">
        <v>316</v>
      </c>
      <c r="H115" s="38" t="s">
        <v>1197</v>
      </c>
      <c r="I115" s="38"/>
    </row>
    <row r="116" s="23" customFormat="1" ht="92" customHeight="1" spans="1:9">
      <c r="A116" s="30">
        <v>114</v>
      </c>
      <c r="B116" s="31" t="s">
        <v>13</v>
      </c>
      <c r="C116" s="30" t="s">
        <v>15</v>
      </c>
      <c r="D116" s="41" t="s">
        <v>406</v>
      </c>
      <c r="E116" s="42" t="s">
        <v>602</v>
      </c>
      <c r="F116" s="38" t="s">
        <v>603</v>
      </c>
      <c r="G116" s="38" t="s">
        <v>316</v>
      </c>
      <c r="H116" s="38" t="s">
        <v>1197</v>
      </c>
      <c r="I116" s="38"/>
    </row>
    <row r="117" s="21" customFormat="1" ht="92" customHeight="1" spans="1:10">
      <c r="A117" s="30">
        <v>115</v>
      </c>
      <c r="B117" s="30" t="s">
        <v>248</v>
      </c>
      <c r="C117" s="48" t="s">
        <v>164</v>
      </c>
      <c r="D117" s="42"/>
      <c r="E117" s="15" t="s">
        <v>735</v>
      </c>
      <c r="F117" s="48" t="s">
        <v>736</v>
      </c>
      <c r="G117" s="52" t="s">
        <v>25</v>
      </c>
      <c r="H117" s="48"/>
      <c r="I117" s="52" t="s">
        <v>1386</v>
      </c>
      <c r="J117" s="66">
        <v>45416</v>
      </c>
    </row>
    <row r="118" s="21" customFormat="1" ht="92" customHeight="1" spans="1:10">
      <c r="A118" s="30">
        <v>116</v>
      </c>
      <c r="B118" s="30" t="s">
        <v>248</v>
      </c>
      <c r="C118" s="48" t="s">
        <v>164</v>
      </c>
      <c r="D118" s="42"/>
      <c r="E118" s="42" t="s">
        <v>737</v>
      </c>
      <c r="F118" s="48" t="s">
        <v>738</v>
      </c>
      <c r="G118" s="52" t="s">
        <v>25</v>
      </c>
      <c r="H118" s="48"/>
      <c r="I118" s="52" t="s">
        <v>1387</v>
      </c>
      <c r="J118" s="66">
        <v>45416</v>
      </c>
    </row>
    <row r="119" s="21" customFormat="1" ht="92" customHeight="1" spans="1:10">
      <c r="A119" s="30">
        <v>117</v>
      </c>
      <c r="B119" s="30" t="s">
        <v>248</v>
      </c>
      <c r="C119" s="48" t="s">
        <v>164</v>
      </c>
      <c r="D119" s="42"/>
      <c r="E119" s="42" t="s">
        <v>739</v>
      </c>
      <c r="F119" s="48" t="s">
        <v>740</v>
      </c>
      <c r="G119" s="52" t="s">
        <v>25</v>
      </c>
      <c r="H119" s="48" t="s">
        <v>1388</v>
      </c>
      <c r="I119" s="52" t="s">
        <v>1389</v>
      </c>
      <c r="J119" s="66">
        <v>45416</v>
      </c>
    </row>
    <row r="120" s="21" customFormat="1" ht="92" customHeight="1" spans="1:10">
      <c r="A120" s="30">
        <v>118</v>
      </c>
      <c r="B120" s="30" t="s">
        <v>248</v>
      </c>
      <c r="C120" s="48" t="s">
        <v>164</v>
      </c>
      <c r="D120" s="42"/>
      <c r="E120" s="42" t="s">
        <v>741</v>
      </c>
      <c r="F120" s="48" t="s">
        <v>742</v>
      </c>
      <c r="G120" s="52" t="s">
        <v>25</v>
      </c>
      <c r="H120" s="48" t="s">
        <v>1390</v>
      </c>
      <c r="I120" s="52" t="s">
        <v>1391</v>
      </c>
      <c r="J120" s="66">
        <v>45416</v>
      </c>
    </row>
    <row r="121" s="21" customFormat="1" ht="92" customHeight="1" spans="1:10">
      <c r="A121" s="30">
        <v>119</v>
      </c>
      <c r="B121" s="30" t="s">
        <v>248</v>
      </c>
      <c r="C121" s="48" t="s">
        <v>164</v>
      </c>
      <c r="D121" s="42"/>
      <c r="E121" s="42" t="s">
        <v>743</v>
      </c>
      <c r="F121" s="48" t="s">
        <v>744</v>
      </c>
      <c r="G121" s="52" t="s">
        <v>82</v>
      </c>
      <c r="H121" s="48" t="s">
        <v>1392</v>
      </c>
      <c r="I121" s="52" t="s">
        <v>1393</v>
      </c>
      <c r="J121" s="66">
        <v>45416</v>
      </c>
    </row>
    <row r="122" s="21" customFormat="1" ht="92" customHeight="1" spans="1:10">
      <c r="A122" s="30">
        <v>120</v>
      </c>
      <c r="B122" s="30" t="s">
        <v>248</v>
      </c>
      <c r="C122" s="48" t="s">
        <v>164</v>
      </c>
      <c r="D122" s="42"/>
      <c r="E122" s="42" t="s">
        <v>745</v>
      </c>
      <c r="F122" s="48" t="s">
        <v>746</v>
      </c>
      <c r="G122" s="52" t="s">
        <v>25</v>
      </c>
      <c r="H122" s="48" t="s">
        <v>1394</v>
      </c>
      <c r="I122" s="52" t="s">
        <v>1395</v>
      </c>
      <c r="J122" s="66">
        <v>45399</v>
      </c>
    </row>
    <row r="123" s="21" customFormat="1" ht="92" customHeight="1" spans="1:10">
      <c r="A123" s="30">
        <v>121</v>
      </c>
      <c r="B123" s="30" t="s">
        <v>248</v>
      </c>
      <c r="C123" s="48" t="s">
        <v>164</v>
      </c>
      <c r="D123" s="42"/>
      <c r="E123" s="42" t="s">
        <v>748</v>
      </c>
      <c r="F123" s="48" t="s">
        <v>749</v>
      </c>
      <c r="G123" s="52" t="s">
        <v>25</v>
      </c>
      <c r="H123" s="48" t="s">
        <v>750</v>
      </c>
      <c r="I123" s="52" t="s">
        <v>1396</v>
      </c>
      <c r="J123" s="66">
        <v>45399</v>
      </c>
    </row>
  </sheetData>
  <autoFilter xmlns:etc="http://www.wps.cn/officeDocument/2017/etCustomData" ref="A1:J123" etc:filterBottomFollowUsedRange="0">
    <extLst/>
  </autoFilter>
  <mergeCells count="1">
    <mergeCell ref="A1:I1"/>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8:B10"/>
  <sheetViews>
    <sheetView workbookViewId="0">
      <selection activeCell="B15" sqref="B15"/>
    </sheetView>
  </sheetViews>
  <sheetFormatPr defaultColWidth="9" defaultRowHeight="14" outlineLevelCol="1"/>
  <cols>
    <col min="2" max="2" width="23.3727272727273" customWidth="1"/>
  </cols>
  <sheetData>
    <row r="8" spans="2:2">
      <c r="B8" t="s">
        <v>15</v>
      </c>
    </row>
    <row r="9" spans="2:2">
      <c r="B9" t="s">
        <v>171</v>
      </c>
    </row>
    <row r="10" spans="2:2">
      <c r="B10" t="s">
        <v>164</v>
      </c>
    </row>
  </sheetData>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5:D6"/>
  <sheetViews>
    <sheetView workbookViewId="0">
      <selection activeCell="G16" sqref="G16"/>
    </sheetView>
  </sheetViews>
  <sheetFormatPr defaultColWidth="8.72727272727273" defaultRowHeight="14" outlineLevelRow="5" outlineLevelCol="3"/>
  <sheetData>
    <row r="5" spans="4:4">
      <c r="D5" t="s">
        <v>1397</v>
      </c>
    </row>
    <row r="6" spans="4:4">
      <c r="D6" t="s">
        <v>1231</v>
      </c>
    </row>
  </sheetData>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32"/>
  <sheetViews>
    <sheetView zoomScale="55" zoomScaleNormal="55" topLeftCell="A43" workbookViewId="0">
      <selection activeCell="G16" sqref="G16"/>
    </sheetView>
  </sheetViews>
  <sheetFormatPr defaultColWidth="9" defaultRowHeight="14"/>
  <cols>
    <col min="1" max="1" width="5" style="2" customWidth="1"/>
    <col min="2" max="2" width="21.7272727272727" style="2" customWidth="1"/>
    <col min="3" max="3" width="21.9090909090909" style="2" customWidth="1"/>
    <col min="4" max="4" width="27.3636363636364" style="2" customWidth="1"/>
    <col min="5" max="5" width="19.7272727272727" style="3" customWidth="1"/>
    <col min="6" max="6" width="23.6363636363636" style="3" customWidth="1"/>
    <col min="7" max="7" width="16.4545454545455" style="3" customWidth="1"/>
    <col min="8" max="8" width="13.6363636363636" style="3" customWidth="1"/>
    <col min="9" max="9" width="41.4545454545455" style="2" customWidth="1"/>
    <col min="10" max="10" width="21.9090909090909" style="2" customWidth="1"/>
    <col min="11" max="11" width="19.4545454545455" style="2" customWidth="1"/>
    <col min="12" max="12" width="11.0909090909091" style="2" customWidth="1"/>
    <col min="13" max="16384" width="9" style="2"/>
  </cols>
  <sheetData>
    <row r="1" ht="27.5" spans="1:12">
      <c r="A1" s="4" t="s">
        <v>1398</v>
      </c>
      <c r="B1" s="4"/>
      <c r="C1" s="4"/>
      <c r="D1" s="4"/>
      <c r="E1" s="4"/>
      <c r="F1" s="4"/>
      <c r="G1" s="4"/>
      <c r="H1" s="4"/>
      <c r="I1" s="4"/>
      <c r="J1" s="4"/>
      <c r="K1" s="4"/>
      <c r="L1" s="4"/>
    </row>
    <row r="2" ht="24" customHeight="1" spans="1:12">
      <c r="A2" s="5" t="s">
        <v>1</v>
      </c>
      <c r="B2" s="5" t="s">
        <v>2</v>
      </c>
      <c r="C2" s="5" t="s">
        <v>3</v>
      </c>
      <c r="D2" s="5" t="s">
        <v>4</v>
      </c>
      <c r="E2" s="6" t="s">
        <v>5</v>
      </c>
      <c r="F2" s="6" t="s">
        <v>6</v>
      </c>
      <c r="G2" s="6" t="s">
        <v>7</v>
      </c>
      <c r="H2" s="6" t="s">
        <v>8</v>
      </c>
      <c r="I2" s="5" t="s">
        <v>9</v>
      </c>
      <c r="J2" s="5" t="s">
        <v>10</v>
      </c>
      <c r="K2" s="5" t="s">
        <v>11</v>
      </c>
      <c r="L2" s="5" t="s">
        <v>12</v>
      </c>
    </row>
    <row r="3" s="1" customFormat="1" ht="39" customHeight="1" spans="1:12">
      <c r="A3" s="7">
        <v>1</v>
      </c>
      <c r="B3" s="8" t="s">
        <v>1399</v>
      </c>
      <c r="C3" s="8" t="s">
        <v>1399</v>
      </c>
      <c r="D3" s="7" t="s">
        <v>164</v>
      </c>
      <c r="E3" s="9" t="s">
        <v>29</v>
      </c>
      <c r="F3" s="15" t="s">
        <v>1400</v>
      </c>
      <c r="G3" s="9" t="s">
        <v>1401</v>
      </c>
      <c r="H3" s="9" t="s">
        <v>1402</v>
      </c>
      <c r="I3" s="18" t="s">
        <v>1403</v>
      </c>
      <c r="J3" s="18" t="s">
        <v>1404</v>
      </c>
      <c r="K3" s="19" t="s">
        <v>1405</v>
      </c>
      <c r="L3" s="8"/>
    </row>
    <row r="4" s="1" customFormat="1" ht="39" customHeight="1" spans="1:12">
      <c r="A4" s="10">
        <v>2</v>
      </c>
      <c r="B4" s="8" t="s">
        <v>1399</v>
      </c>
      <c r="C4" s="8" t="s">
        <v>1399</v>
      </c>
      <c r="D4" s="10" t="s">
        <v>164</v>
      </c>
      <c r="E4" s="9" t="s">
        <v>29</v>
      </c>
      <c r="F4" s="15" t="s">
        <v>1406</v>
      </c>
      <c r="G4" s="9" t="s">
        <v>1401</v>
      </c>
      <c r="H4" s="9" t="s">
        <v>1402</v>
      </c>
      <c r="I4" s="18" t="s">
        <v>1407</v>
      </c>
      <c r="J4" s="18" t="s">
        <v>1404</v>
      </c>
      <c r="K4" s="19" t="s">
        <v>1405</v>
      </c>
      <c r="L4" s="14"/>
    </row>
    <row r="5" ht="39" customHeight="1" spans="1:12">
      <c r="A5" s="10">
        <v>3</v>
      </c>
      <c r="B5" s="8" t="s">
        <v>1399</v>
      </c>
      <c r="C5" s="8" t="s">
        <v>1399</v>
      </c>
      <c r="D5" s="10" t="s">
        <v>164</v>
      </c>
      <c r="E5" s="9" t="s">
        <v>29</v>
      </c>
      <c r="F5" s="15" t="s">
        <v>1408</v>
      </c>
      <c r="G5" s="9" t="s">
        <v>1401</v>
      </c>
      <c r="H5" s="9" t="s">
        <v>1402</v>
      </c>
      <c r="I5" s="18" t="s">
        <v>1409</v>
      </c>
      <c r="J5" s="18" t="s">
        <v>1404</v>
      </c>
      <c r="K5" s="19" t="s">
        <v>1405</v>
      </c>
      <c r="L5" s="14"/>
    </row>
    <row r="6" ht="39" customHeight="1" spans="1:12">
      <c r="A6" s="10">
        <v>4</v>
      </c>
      <c r="B6" s="8" t="s">
        <v>1399</v>
      </c>
      <c r="C6" s="8" t="s">
        <v>1399</v>
      </c>
      <c r="D6" s="10" t="s">
        <v>164</v>
      </c>
      <c r="E6" s="9" t="s">
        <v>29</v>
      </c>
      <c r="F6" s="15" t="s">
        <v>1410</v>
      </c>
      <c r="G6" s="9" t="s">
        <v>1401</v>
      </c>
      <c r="H6" s="9" t="s">
        <v>1402</v>
      </c>
      <c r="I6" s="18" t="s">
        <v>1411</v>
      </c>
      <c r="J6" s="18" t="s">
        <v>1404</v>
      </c>
      <c r="K6" s="19" t="s">
        <v>1405</v>
      </c>
      <c r="L6" s="14"/>
    </row>
    <row r="7" ht="39" customHeight="1" spans="1:12">
      <c r="A7" s="10">
        <v>5</v>
      </c>
      <c r="B7" s="8" t="s">
        <v>1399</v>
      </c>
      <c r="C7" s="8" t="s">
        <v>1399</v>
      </c>
      <c r="D7" s="10" t="s">
        <v>164</v>
      </c>
      <c r="E7" s="9" t="s">
        <v>29</v>
      </c>
      <c r="F7" s="15" t="s">
        <v>1412</v>
      </c>
      <c r="G7" s="9" t="s">
        <v>1401</v>
      </c>
      <c r="H7" s="9" t="s">
        <v>1402</v>
      </c>
      <c r="I7" s="18" t="s">
        <v>1413</v>
      </c>
      <c r="J7" s="18" t="s">
        <v>1404</v>
      </c>
      <c r="K7" s="19" t="s">
        <v>1405</v>
      </c>
      <c r="L7" s="14"/>
    </row>
    <row r="8" ht="39" customHeight="1" spans="1:12">
      <c r="A8" s="10">
        <v>6</v>
      </c>
      <c r="B8" s="8" t="s">
        <v>1399</v>
      </c>
      <c r="C8" s="8" t="s">
        <v>1399</v>
      </c>
      <c r="D8" s="10" t="s">
        <v>164</v>
      </c>
      <c r="E8" s="9" t="s">
        <v>29</v>
      </c>
      <c r="F8" s="15" t="s">
        <v>1414</v>
      </c>
      <c r="G8" s="9" t="s">
        <v>1401</v>
      </c>
      <c r="H8" s="9" t="s">
        <v>1402</v>
      </c>
      <c r="I8" s="18" t="s">
        <v>1415</v>
      </c>
      <c r="J8" s="18" t="s">
        <v>1404</v>
      </c>
      <c r="K8" s="19" t="s">
        <v>1405</v>
      </c>
      <c r="L8" s="14"/>
    </row>
    <row r="9" ht="39" customHeight="1" spans="1:12">
      <c r="A9" s="10">
        <v>7</v>
      </c>
      <c r="B9" s="13" t="s">
        <v>13</v>
      </c>
      <c r="C9" s="8" t="s">
        <v>1399</v>
      </c>
      <c r="D9" s="10" t="s">
        <v>164</v>
      </c>
      <c r="E9" s="9" t="s">
        <v>29</v>
      </c>
      <c r="F9" s="11" t="s">
        <v>1416</v>
      </c>
      <c r="G9" s="9" t="s">
        <v>290</v>
      </c>
      <c r="H9" s="9" t="s">
        <v>1417</v>
      </c>
      <c r="I9" s="12" t="s">
        <v>1418</v>
      </c>
      <c r="J9" s="13" t="s">
        <v>182</v>
      </c>
      <c r="K9" s="20"/>
      <c r="L9" s="14"/>
    </row>
    <row r="10" ht="39" customHeight="1" spans="1:12">
      <c r="A10" s="10">
        <v>8</v>
      </c>
      <c r="B10" s="13" t="s">
        <v>13</v>
      </c>
      <c r="C10" s="8" t="s">
        <v>1399</v>
      </c>
      <c r="D10" s="10" t="s">
        <v>164</v>
      </c>
      <c r="E10" s="9" t="s">
        <v>29</v>
      </c>
      <c r="F10" s="11" t="s">
        <v>1419</v>
      </c>
      <c r="G10" s="9" t="s">
        <v>290</v>
      </c>
      <c r="H10" s="9" t="s">
        <v>1417</v>
      </c>
      <c r="I10" s="12" t="s">
        <v>1420</v>
      </c>
      <c r="J10" s="13" t="s">
        <v>189</v>
      </c>
      <c r="K10" s="20"/>
      <c r="L10" s="14"/>
    </row>
    <row r="11" ht="39" customHeight="1" spans="1:12">
      <c r="A11" s="10">
        <v>9</v>
      </c>
      <c r="B11" s="13" t="s">
        <v>13</v>
      </c>
      <c r="C11" s="8" t="s">
        <v>1399</v>
      </c>
      <c r="D11" s="10" t="s">
        <v>164</v>
      </c>
      <c r="E11" s="9" t="s">
        <v>29</v>
      </c>
      <c r="F11" s="11" t="s">
        <v>1421</v>
      </c>
      <c r="G11" s="9" t="s">
        <v>1422</v>
      </c>
      <c r="H11" s="9" t="s">
        <v>1423</v>
      </c>
      <c r="I11" s="12" t="s">
        <v>1424</v>
      </c>
      <c r="J11" s="13" t="s">
        <v>189</v>
      </c>
      <c r="K11" s="20"/>
      <c r="L11" s="14"/>
    </row>
    <row r="12" ht="39" customHeight="1" spans="1:12">
      <c r="A12" s="10">
        <v>10</v>
      </c>
      <c r="B12" s="13" t="s">
        <v>13</v>
      </c>
      <c r="C12" s="8" t="s">
        <v>1399</v>
      </c>
      <c r="D12" s="10" t="s">
        <v>164</v>
      </c>
      <c r="E12" s="9" t="s">
        <v>29</v>
      </c>
      <c r="F12" s="16" t="s">
        <v>1425</v>
      </c>
      <c r="G12" s="9" t="s">
        <v>1422</v>
      </c>
      <c r="H12" s="9" t="s">
        <v>1423</v>
      </c>
      <c r="I12" s="12" t="s">
        <v>1426</v>
      </c>
      <c r="J12" s="13" t="s">
        <v>189</v>
      </c>
      <c r="K12" s="20"/>
      <c r="L12" s="14"/>
    </row>
    <row r="13" ht="39" customHeight="1" spans="1:12">
      <c r="A13" s="10">
        <v>11</v>
      </c>
      <c r="B13" s="13" t="s">
        <v>13</v>
      </c>
      <c r="C13" s="8" t="s">
        <v>1399</v>
      </c>
      <c r="D13" s="10" t="s">
        <v>171</v>
      </c>
      <c r="E13" s="9" t="s">
        <v>29</v>
      </c>
      <c r="F13" s="11" t="s">
        <v>1427</v>
      </c>
      <c r="G13" s="9" t="s">
        <v>1428</v>
      </c>
      <c r="H13" s="9" t="s">
        <v>1429</v>
      </c>
      <c r="I13" s="12" t="s">
        <v>1430</v>
      </c>
      <c r="J13" s="13" t="s">
        <v>189</v>
      </c>
      <c r="K13" s="9" t="s">
        <v>1431</v>
      </c>
      <c r="L13" s="14"/>
    </row>
    <row r="14" ht="39" customHeight="1" spans="1:12">
      <c r="A14" s="10">
        <v>12</v>
      </c>
      <c r="B14" s="13" t="s">
        <v>13</v>
      </c>
      <c r="C14" s="8" t="s">
        <v>1399</v>
      </c>
      <c r="D14" s="10" t="s">
        <v>171</v>
      </c>
      <c r="E14" s="9" t="s">
        <v>29</v>
      </c>
      <c r="F14" s="11" t="s">
        <v>1432</v>
      </c>
      <c r="G14" s="9" t="s">
        <v>1428</v>
      </c>
      <c r="H14" s="9" t="s">
        <v>1429</v>
      </c>
      <c r="I14" s="12" t="s">
        <v>1433</v>
      </c>
      <c r="J14" s="13" t="s">
        <v>189</v>
      </c>
      <c r="K14" s="9" t="s">
        <v>1434</v>
      </c>
      <c r="L14" s="14"/>
    </row>
    <row r="15" ht="39" customHeight="1" spans="1:12">
      <c r="A15" s="10">
        <v>13</v>
      </c>
      <c r="B15" s="13" t="s">
        <v>13</v>
      </c>
      <c r="C15" s="8" t="s">
        <v>1399</v>
      </c>
      <c r="D15" s="10" t="s">
        <v>171</v>
      </c>
      <c r="E15" s="9" t="s">
        <v>29</v>
      </c>
      <c r="F15" s="11" t="s">
        <v>1435</v>
      </c>
      <c r="G15" s="9" t="s">
        <v>1428</v>
      </c>
      <c r="H15" s="9" t="s">
        <v>1429</v>
      </c>
      <c r="I15" s="12" t="s">
        <v>1436</v>
      </c>
      <c r="J15" s="13" t="s">
        <v>182</v>
      </c>
      <c r="K15" s="9" t="s">
        <v>1437</v>
      </c>
      <c r="L15" s="14"/>
    </row>
    <row r="16" ht="39" customHeight="1" spans="1:12">
      <c r="A16" s="10">
        <v>14</v>
      </c>
      <c r="B16" s="13" t="s">
        <v>13</v>
      </c>
      <c r="C16" s="8" t="s">
        <v>1399</v>
      </c>
      <c r="D16" s="10" t="s">
        <v>171</v>
      </c>
      <c r="E16" s="9" t="s">
        <v>29</v>
      </c>
      <c r="F16" s="11" t="s">
        <v>1438</v>
      </c>
      <c r="G16" s="9" t="s">
        <v>173</v>
      </c>
      <c r="H16" s="9" t="s">
        <v>174</v>
      </c>
      <c r="I16" s="12" t="s">
        <v>1439</v>
      </c>
      <c r="J16" s="13" t="s">
        <v>1440</v>
      </c>
      <c r="K16" s="9" t="s">
        <v>1441</v>
      </c>
      <c r="L16" s="14"/>
    </row>
    <row r="17" ht="39" customHeight="1" spans="1:12">
      <c r="A17" s="10">
        <v>15</v>
      </c>
      <c r="B17" s="13" t="s">
        <v>13</v>
      </c>
      <c r="C17" s="8" t="s">
        <v>1399</v>
      </c>
      <c r="D17" s="10" t="s">
        <v>171</v>
      </c>
      <c r="E17" s="9" t="s">
        <v>29</v>
      </c>
      <c r="F17" s="11" t="s">
        <v>1442</v>
      </c>
      <c r="G17" s="9" t="s">
        <v>173</v>
      </c>
      <c r="H17" s="9" t="s">
        <v>174</v>
      </c>
      <c r="I17" s="12" t="s">
        <v>1443</v>
      </c>
      <c r="J17" s="13" t="s">
        <v>1444</v>
      </c>
      <c r="K17" s="9" t="s">
        <v>1445</v>
      </c>
      <c r="L17" s="14"/>
    </row>
    <row r="18" ht="39" customHeight="1" spans="1:12">
      <c r="A18" s="10">
        <v>16</v>
      </c>
      <c r="B18" s="13" t="s">
        <v>13</v>
      </c>
      <c r="C18" s="8" t="s">
        <v>1399</v>
      </c>
      <c r="D18" s="10" t="s">
        <v>171</v>
      </c>
      <c r="E18" s="9" t="s">
        <v>29</v>
      </c>
      <c r="F18" s="11" t="s">
        <v>1446</v>
      </c>
      <c r="G18" s="9" t="s">
        <v>173</v>
      </c>
      <c r="H18" s="9" t="s">
        <v>174</v>
      </c>
      <c r="I18" s="12" t="s">
        <v>1447</v>
      </c>
      <c r="J18" s="13" t="s">
        <v>176</v>
      </c>
      <c r="K18" s="9" t="s">
        <v>1448</v>
      </c>
      <c r="L18" s="14"/>
    </row>
    <row r="19" ht="39" customHeight="1" spans="1:12">
      <c r="A19" s="10">
        <v>17</v>
      </c>
      <c r="B19" s="13" t="s">
        <v>13</v>
      </c>
      <c r="C19" s="8" t="s">
        <v>1399</v>
      </c>
      <c r="D19" s="10" t="s">
        <v>171</v>
      </c>
      <c r="E19" s="9" t="s">
        <v>29</v>
      </c>
      <c r="F19" s="11" t="s">
        <v>1449</v>
      </c>
      <c r="G19" s="9" t="s">
        <v>173</v>
      </c>
      <c r="H19" s="9" t="s">
        <v>174</v>
      </c>
      <c r="I19" s="12" t="s">
        <v>1450</v>
      </c>
      <c r="J19" s="13" t="s">
        <v>176</v>
      </c>
      <c r="K19" s="9" t="s">
        <v>1451</v>
      </c>
      <c r="L19" s="14"/>
    </row>
    <row r="20" ht="39" customHeight="1" spans="1:12">
      <c r="A20" s="10">
        <v>18</v>
      </c>
      <c r="B20" s="13" t="s">
        <v>13</v>
      </c>
      <c r="C20" s="8" t="s">
        <v>1399</v>
      </c>
      <c r="D20" s="10" t="s">
        <v>171</v>
      </c>
      <c r="E20" s="9" t="s">
        <v>29</v>
      </c>
      <c r="F20" s="11" t="s">
        <v>1452</v>
      </c>
      <c r="G20" s="9" t="s">
        <v>173</v>
      </c>
      <c r="H20" s="9" t="s">
        <v>174</v>
      </c>
      <c r="I20" s="12" t="s">
        <v>1453</v>
      </c>
      <c r="J20" s="13" t="s">
        <v>176</v>
      </c>
      <c r="K20" s="9" t="s">
        <v>1454</v>
      </c>
      <c r="L20" s="14"/>
    </row>
    <row r="21" ht="39" customHeight="1" spans="1:12">
      <c r="A21" s="10">
        <v>19</v>
      </c>
      <c r="B21" s="13" t="s">
        <v>13</v>
      </c>
      <c r="C21" s="8" t="s">
        <v>1399</v>
      </c>
      <c r="D21" s="10" t="s">
        <v>171</v>
      </c>
      <c r="E21" s="9" t="s">
        <v>29</v>
      </c>
      <c r="F21" s="11" t="s">
        <v>1455</v>
      </c>
      <c r="G21" s="9" t="s">
        <v>173</v>
      </c>
      <c r="H21" s="9" t="s">
        <v>174</v>
      </c>
      <c r="I21" s="12" t="s">
        <v>1456</v>
      </c>
      <c r="J21" s="13" t="s">
        <v>176</v>
      </c>
      <c r="K21" s="9" t="s">
        <v>1457</v>
      </c>
      <c r="L21" s="14"/>
    </row>
    <row r="22" ht="39" customHeight="1" spans="1:12">
      <c r="A22" s="10">
        <v>20</v>
      </c>
      <c r="B22" s="13" t="s">
        <v>13</v>
      </c>
      <c r="C22" s="8" t="s">
        <v>1399</v>
      </c>
      <c r="D22" s="10" t="s">
        <v>171</v>
      </c>
      <c r="E22" s="9" t="s">
        <v>29</v>
      </c>
      <c r="F22" s="11" t="s">
        <v>1458</v>
      </c>
      <c r="G22" s="9" t="s">
        <v>173</v>
      </c>
      <c r="H22" s="9" t="s">
        <v>174</v>
      </c>
      <c r="I22" s="12" t="s">
        <v>1459</v>
      </c>
      <c r="J22" s="13" t="s">
        <v>176</v>
      </c>
      <c r="K22" s="9" t="s">
        <v>1460</v>
      </c>
      <c r="L22" s="14"/>
    </row>
    <row r="23" ht="39" customHeight="1" spans="1:12">
      <c r="A23" s="10">
        <v>21</v>
      </c>
      <c r="B23" s="13" t="s">
        <v>13</v>
      </c>
      <c r="C23" s="8" t="s">
        <v>1399</v>
      </c>
      <c r="D23" s="17" t="s">
        <v>28</v>
      </c>
      <c r="E23" s="9" t="s">
        <v>29</v>
      </c>
      <c r="F23" s="11" t="s">
        <v>1461</v>
      </c>
      <c r="G23" s="9" t="s">
        <v>1462</v>
      </c>
      <c r="H23" s="9" t="s">
        <v>1463</v>
      </c>
      <c r="I23" s="12" t="s">
        <v>1464</v>
      </c>
      <c r="J23" s="13" t="s">
        <v>169</v>
      </c>
      <c r="K23" s="9"/>
      <c r="L23" s="14"/>
    </row>
    <row r="24" ht="39" customHeight="1" spans="1:12">
      <c r="A24" s="10">
        <v>22</v>
      </c>
      <c r="B24" s="13" t="s">
        <v>13</v>
      </c>
      <c r="C24" s="8" t="s">
        <v>1399</v>
      </c>
      <c r="D24" s="17" t="s">
        <v>36</v>
      </c>
      <c r="E24" s="9" t="s">
        <v>29</v>
      </c>
      <c r="F24" s="11" t="s">
        <v>1465</v>
      </c>
      <c r="G24" s="9" t="s">
        <v>1466</v>
      </c>
      <c r="H24" s="9" t="s">
        <v>1467</v>
      </c>
      <c r="I24" s="12" t="s">
        <v>1468</v>
      </c>
      <c r="J24" s="13" t="s">
        <v>176</v>
      </c>
      <c r="K24" s="9" t="s">
        <v>1469</v>
      </c>
      <c r="L24" s="14"/>
    </row>
    <row r="25" ht="60" spans="1:12">
      <c r="A25" s="10">
        <v>23</v>
      </c>
      <c r="B25" s="13" t="s">
        <v>13</v>
      </c>
      <c r="C25" s="8" t="s">
        <v>1399</v>
      </c>
      <c r="D25" s="17" t="s">
        <v>36</v>
      </c>
      <c r="E25" s="9" t="s">
        <v>29</v>
      </c>
      <c r="F25" s="11" t="s">
        <v>1470</v>
      </c>
      <c r="G25" s="9" t="s">
        <v>1471</v>
      </c>
      <c r="H25" s="9" t="s">
        <v>1472</v>
      </c>
      <c r="I25" s="12" t="s">
        <v>1473</v>
      </c>
      <c r="J25" s="13" t="s">
        <v>176</v>
      </c>
      <c r="K25" s="9" t="s">
        <v>1474</v>
      </c>
      <c r="L25" s="14"/>
    </row>
    <row r="26" ht="409.5" spans="1:12">
      <c r="A26" s="10">
        <v>24</v>
      </c>
      <c r="B26" s="13" t="s">
        <v>13</v>
      </c>
      <c r="C26" s="8" t="s">
        <v>1399</v>
      </c>
      <c r="D26" s="17" t="s">
        <v>36</v>
      </c>
      <c r="E26" s="9" t="s">
        <v>29</v>
      </c>
      <c r="F26" s="11" t="s">
        <v>1475</v>
      </c>
      <c r="G26" s="9" t="s">
        <v>1277</v>
      </c>
      <c r="H26" s="9" t="s">
        <v>1278</v>
      </c>
      <c r="I26" s="12" t="s">
        <v>1476</v>
      </c>
      <c r="J26" s="13" t="s">
        <v>1477</v>
      </c>
      <c r="K26" s="9" t="s">
        <v>1478</v>
      </c>
      <c r="L26" s="14"/>
    </row>
    <row r="27" ht="195" spans="1:12">
      <c r="A27" s="10">
        <v>25</v>
      </c>
      <c r="B27" s="13" t="s">
        <v>13</v>
      </c>
      <c r="C27" s="8" t="s">
        <v>1399</v>
      </c>
      <c r="D27" s="17" t="s">
        <v>36</v>
      </c>
      <c r="E27" s="9" t="s">
        <v>29</v>
      </c>
      <c r="F27" s="11" t="s">
        <v>1479</v>
      </c>
      <c r="G27" s="9" t="s">
        <v>1277</v>
      </c>
      <c r="H27" s="9" t="s">
        <v>1278</v>
      </c>
      <c r="I27" s="12" t="s">
        <v>1480</v>
      </c>
      <c r="J27" s="13" t="s">
        <v>1477</v>
      </c>
      <c r="K27" s="9" t="s">
        <v>1481</v>
      </c>
      <c r="L27" s="14"/>
    </row>
    <row r="28" ht="45" spans="1:12">
      <c r="A28" s="10">
        <v>26</v>
      </c>
      <c r="B28" s="13" t="s">
        <v>13</v>
      </c>
      <c r="C28" s="8" t="s">
        <v>1399</v>
      </c>
      <c r="D28" s="17" t="s">
        <v>36</v>
      </c>
      <c r="E28" s="9" t="s">
        <v>29</v>
      </c>
      <c r="F28" s="11" t="s">
        <v>1482</v>
      </c>
      <c r="G28" s="9" t="s">
        <v>1277</v>
      </c>
      <c r="H28" s="9" t="s">
        <v>1278</v>
      </c>
      <c r="I28" s="12" t="s">
        <v>1483</v>
      </c>
      <c r="J28" s="13" t="s">
        <v>1477</v>
      </c>
      <c r="K28" s="9" t="s">
        <v>1484</v>
      </c>
      <c r="L28" s="14"/>
    </row>
    <row r="29" ht="255" spans="1:12">
      <c r="A29" s="10">
        <v>27</v>
      </c>
      <c r="B29" s="13" t="s">
        <v>13</v>
      </c>
      <c r="C29" s="8" t="s">
        <v>1399</v>
      </c>
      <c r="D29" s="17" t="s">
        <v>36</v>
      </c>
      <c r="E29" s="9" t="s">
        <v>29</v>
      </c>
      <c r="F29" s="11" t="s">
        <v>1485</v>
      </c>
      <c r="G29" s="9" t="s">
        <v>1277</v>
      </c>
      <c r="H29" s="9" t="s">
        <v>1278</v>
      </c>
      <c r="I29" s="12" t="s">
        <v>1486</v>
      </c>
      <c r="J29" s="13" t="s">
        <v>1477</v>
      </c>
      <c r="K29" s="9" t="s">
        <v>1487</v>
      </c>
      <c r="L29" s="14"/>
    </row>
    <row r="30" ht="94.5" customHeight="1" spans="1:12">
      <c r="A30" s="10">
        <v>28</v>
      </c>
      <c r="B30" s="13" t="s">
        <v>13</v>
      </c>
      <c r="C30" s="8" t="s">
        <v>1399</v>
      </c>
      <c r="D30" s="17" t="s">
        <v>36</v>
      </c>
      <c r="E30" s="9" t="s">
        <v>29</v>
      </c>
      <c r="F30" s="11" t="s">
        <v>1488</v>
      </c>
      <c r="G30" s="9" t="s">
        <v>1489</v>
      </c>
      <c r="H30" s="9" t="s">
        <v>1429</v>
      </c>
      <c r="I30" s="12" t="s">
        <v>1490</v>
      </c>
      <c r="J30" s="13" t="s">
        <v>1228</v>
      </c>
      <c r="K30" s="9" t="s">
        <v>1491</v>
      </c>
      <c r="L30" s="14"/>
    </row>
    <row r="31" ht="75" spans="1:12">
      <c r="A31" s="10">
        <v>29</v>
      </c>
      <c r="B31" s="13" t="s">
        <v>13</v>
      </c>
      <c r="C31" s="8" t="s">
        <v>1399</v>
      </c>
      <c r="D31" s="17" t="s">
        <v>36</v>
      </c>
      <c r="E31" s="9" t="s">
        <v>29</v>
      </c>
      <c r="F31" s="11" t="s">
        <v>1492</v>
      </c>
      <c r="G31" s="9" t="s">
        <v>1489</v>
      </c>
      <c r="H31" s="9" t="s">
        <v>1429</v>
      </c>
      <c r="I31" s="12" t="s">
        <v>1493</v>
      </c>
      <c r="J31" s="13" t="s">
        <v>1477</v>
      </c>
      <c r="K31" s="9" t="s">
        <v>1494</v>
      </c>
      <c r="L31" s="14"/>
    </row>
    <row r="32" ht="45" spans="1:12">
      <c r="A32" s="10">
        <v>30</v>
      </c>
      <c r="B32" s="13" t="s">
        <v>13</v>
      </c>
      <c r="C32" s="8" t="s">
        <v>1399</v>
      </c>
      <c r="D32" s="17" t="s">
        <v>36</v>
      </c>
      <c r="E32" s="9" t="s">
        <v>29</v>
      </c>
      <c r="F32" s="11" t="s">
        <v>1495</v>
      </c>
      <c r="G32" s="9" t="s">
        <v>1489</v>
      </c>
      <c r="H32" s="9" t="s">
        <v>1429</v>
      </c>
      <c r="I32" s="12" t="s">
        <v>1496</v>
      </c>
      <c r="J32" s="13" t="s">
        <v>1477</v>
      </c>
      <c r="K32" s="9" t="s">
        <v>1497</v>
      </c>
      <c r="L32" s="14"/>
    </row>
  </sheetData>
  <autoFilter xmlns:etc="http://www.wps.cn/officeDocument/2017/etCustomData" ref="A2:L32" etc:filterBottomFollowUsedRange="0">
    <extLst/>
  </autoFilter>
  <mergeCells count="1">
    <mergeCell ref="A1:L1"/>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9"/>
  <sheetViews>
    <sheetView zoomScale="55" zoomScaleNormal="55" topLeftCell="A4" workbookViewId="0">
      <selection activeCell="G16" sqref="G16"/>
    </sheetView>
  </sheetViews>
  <sheetFormatPr defaultColWidth="9" defaultRowHeight="14"/>
  <cols>
    <col min="1" max="1" width="5" style="2" customWidth="1"/>
    <col min="2" max="2" width="21.7272727272727" style="2" customWidth="1"/>
    <col min="3" max="3" width="21.9090909090909" style="2" customWidth="1"/>
    <col min="4" max="4" width="23.7272727272727" style="2" customWidth="1"/>
    <col min="5" max="5" width="29" style="3" customWidth="1"/>
    <col min="6" max="6" width="24.0909090909091" style="3" customWidth="1"/>
    <col min="7" max="7" width="13.4545454545455" style="3" customWidth="1"/>
    <col min="8" max="8" width="13.6363636363636" style="3" customWidth="1"/>
    <col min="9" max="9" width="33.7272727272727" style="2" customWidth="1"/>
    <col min="10" max="10" width="21.9090909090909" style="2" customWidth="1"/>
    <col min="11" max="11" width="19.4545454545455" style="2" customWidth="1"/>
    <col min="12" max="12" width="11.0909090909091" style="2" customWidth="1"/>
    <col min="13" max="16384" width="9" style="2"/>
  </cols>
  <sheetData>
    <row r="1" ht="27.5" spans="1:12">
      <c r="A1" s="4" t="s">
        <v>1498</v>
      </c>
      <c r="B1" s="4"/>
      <c r="C1" s="4"/>
      <c r="D1" s="4"/>
      <c r="E1" s="4"/>
      <c r="F1" s="4"/>
      <c r="G1" s="4"/>
      <c r="H1" s="4"/>
      <c r="I1" s="4"/>
      <c r="J1" s="4"/>
      <c r="K1" s="4"/>
      <c r="L1" s="4"/>
    </row>
    <row r="2" ht="24" customHeight="1" spans="1:12">
      <c r="A2" s="5" t="s">
        <v>1</v>
      </c>
      <c r="B2" s="5" t="s">
        <v>2</v>
      </c>
      <c r="C2" s="5" t="s">
        <v>3</v>
      </c>
      <c r="D2" s="5" t="s">
        <v>4</v>
      </c>
      <c r="E2" s="6" t="s">
        <v>5</v>
      </c>
      <c r="F2" s="6" t="s">
        <v>6</v>
      </c>
      <c r="G2" s="6" t="s">
        <v>7</v>
      </c>
      <c r="H2" s="6" t="s">
        <v>8</v>
      </c>
      <c r="I2" s="5" t="s">
        <v>9</v>
      </c>
      <c r="J2" s="5" t="s">
        <v>10</v>
      </c>
      <c r="K2" s="5" t="s">
        <v>11</v>
      </c>
      <c r="L2" s="5" t="s">
        <v>12</v>
      </c>
    </row>
    <row r="3" s="1" customFormat="1" ht="93.75" customHeight="1" spans="1:12">
      <c r="A3" s="7">
        <v>1</v>
      </c>
      <c r="B3" s="8" t="s">
        <v>248</v>
      </c>
      <c r="C3" s="8" t="s">
        <v>1205</v>
      </c>
      <c r="D3" s="7" t="s">
        <v>171</v>
      </c>
      <c r="E3" s="9"/>
      <c r="F3" s="9" t="s">
        <v>1499</v>
      </c>
      <c r="G3" s="9" t="s">
        <v>1500</v>
      </c>
      <c r="H3" s="9" t="s">
        <v>1501</v>
      </c>
      <c r="I3" s="8" t="s">
        <v>1502</v>
      </c>
      <c r="J3" s="8" t="s">
        <v>169</v>
      </c>
      <c r="K3" s="9" t="s">
        <v>1503</v>
      </c>
      <c r="L3" s="8"/>
    </row>
    <row r="4" s="1" customFormat="1" ht="63.75" customHeight="1" spans="1:12">
      <c r="A4" s="10">
        <v>2</v>
      </c>
      <c r="B4" s="8" t="s">
        <v>248</v>
      </c>
      <c r="C4" s="8" t="s">
        <v>1205</v>
      </c>
      <c r="D4" s="10" t="s">
        <v>171</v>
      </c>
      <c r="E4" s="9"/>
      <c r="F4" s="11" t="s">
        <v>1504</v>
      </c>
      <c r="G4" s="9" t="s">
        <v>1500</v>
      </c>
      <c r="H4" s="9" t="s">
        <v>1501</v>
      </c>
      <c r="I4" s="12" t="s">
        <v>1505</v>
      </c>
      <c r="J4" s="13" t="s">
        <v>1506</v>
      </c>
      <c r="K4" s="9" t="s">
        <v>1507</v>
      </c>
      <c r="L4" s="14"/>
    </row>
    <row r="5" ht="300" spans="1:12">
      <c r="A5" s="10">
        <v>3</v>
      </c>
      <c r="B5" s="8" t="s">
        <v>248</v>
      </c>
      <c r="C5" s="8" t="s">
        <v>1205</v>
      </c>
      <c r="D5" s="10" t="s">
        <v>171</v>
      </c>
      <c r="E5" s="9"/>
      <c r="F5" s="11" t="s">
        <v>1508</v>
      </c>
      <c r="G5" s="9" t="s">
        <v>1500</v>
      </c>
      <c r="H5" s="9" t="s">
        <v>1501</v>
      </c>
      <c r="I5" s="12" t="s">
        <v>1509</v>
      </c>
      <c r="J5" s="13" t="s">
        <v>1506</v>
      </c>
      <c r="K5" s="9" t="s">
        <v>1510</v>
      </c>
      <c r="L5" s="14"/>
    </row>
    <row r="6" ht="409.5" spans="1:12">
      <c r="A6" s="10">
        <v>4</v>
      </c>
      <c r="B6" s="8" t="s">
        <v>248</v>
      </c>
      <c r="C6" s="8" t="s">
        <v>1205</v>
      </c>
      <c r="D6" s="10" t="s">
        <v>171</v>
      </c>
      <c r="E6" s="9"/>
      <c r="F6" s="11" t="s">
        <v>1209</v>
      </c>
      <c r="G6" s="9" t="s">
        <v>1500</v>
      </c>
      <c r="H6" s="9" t="s">
        <v>1501</v>
      </c>
      <c r="I6" s="12" t="s">
        <v>1210</v>
      </c>
      <c r="J6" s="13" t="s">
        <v>1506</v>
      </c>
      <c r="K6" s="9" t="s">
        <v>1511</v>
      </c>
      <c r="L6" s="14"/>
    </row>
    <row r="7" ht="90" spans="1:12">
      <c r="A7" s="10">
        <v>5</v>
      </c>
      <c r="B7" s="8" t="s">
        <v>248</v>
      </c>
      <c r="C7" s="8" t="s">
        <v>1205</v>
      </c>
      <c r="D7" s="10" t="s">
        <v>171</v>
      </c>
      <c r="E7" s="9"/>
      <c r="F7" s="11" t="s">
        <v>1213</v>
      </c>
      <c r="G7" s="9" t="s">
        <v>1500</v>
      </c>
      <c r="H7" s="9" t="s">
        <v>1501</v>
      </c>
      <c r="I7" s="12" t="s">
        <v>1214</v>
      </c>
      <c r="J7" s="13" t="s">
        <v>1506</v>
      </c>
      <c r="K7" s="9" t="s">
        <v>1512</v>
      </c>
      <c r="L7" s="14"/>
    </row>
    <row r="8" ht="195" spans="1:12">
      <c r="A8" s="10">
        <v>6</v>
      </c>
      <c r="B8" s="8" t="s">
        <v>248</v>
      </c>
      <c r="C8" s="8" t="s">
        <v>1205</v>
      </c>
      <c r="D8" s="10" t="s">
        <v>171</v>
      </c>
      <c r="E8" s="9"/>
      <c r="F8" s="11" t="s">
        <v>1513</v>
      </c>
      <c r="G8" s="9" t="s">
        <v>1500</v>
      </c>
      <c r="H8" s="9" t="s">
        <v>1501</v>
      </c>
      <c r="I8" s="12" t="s">
        <v>1514</v>
      </c>
      <c r="J8" s="13" t="s">
        <v>1506</v>
      </c>
      <c r="K8" s="9" t="s">
        <v>1515</v>
      </c>
      <c r="L8" s="14"/>
    </row>
    <row r="9" ht="60" spans="1:12">
      <c r="A9" s="10">
        <v>7</v>
      </c>
      <c r="B9" s="8" t="s">
        <v>248</v>
      </c>
      <c r="C9" s="8" t="s">
        <v>1205</v>
      </c>
      <c r="D9" s="10" t="s">
        <v>171</v>
      </c>
      <c r="E9" s="9"/>
      <c r="F9" s="11" t="s">
        <v>1516</v>
      </c>
      <c r="G9" s="9" t="s">
        <v>1500</v>
      </c>
      <c r="H9" s="9" t="s">
        <v>1501</v>
      </c>
      <c r="I9" s="12" t="s">
        <v>1517</v>
      </c>
      <c r="J9" s="13" t="s">
        <v>1506</v>
      </c>
      <c r="K9" s="9" t="s">
        <v>1518</v>
      </c>
      <c r="L9" s="14"/>
    </row>
    <row r="10" ht="105" spans="1:12">
      <c r="A10" s="10">
        <v>8</v>
      </c>
      <c r="B10" s="8" t="s">
        <v>248</v>
      </c>
      <c r="C10" s="8" t="s">
        <v>1205</v>
      </c>
      <c r="D10" s="10" t="s">
        <v>171</v>
      </c>
      <c r="E10" s="9"/>
      <c r="F10" s="11" t="s">
        <v>1519</v>
      </c>
      <c r="G10" s="9" t="s">
        <v>1500</v>
      </c>
      <c r="H10" s="9" t="s">
        <v>1501</v>
      </c>
      <c r="I10" s="12" t="s">
        <v>1520</v>
      </c>
      <c r="J10" s="13" t="s">
        <v>1506</v>
      </c>
      <c r="K10" s="9" t="s">
        <v>1521</v>
      </c>
      <c r="L10" s="14"/>
    </row>
    <row r="11" ht="60" spans="1:12">
      <c r="A11" s="10">
        <v>9</v>
      </c>
      <c r="B11" s="8" t="s">
        <v>248</v>
      </c>
      <c r="C11" s="8" t="s">
        <v>1205</v>
      </c>
      <c r="D11" s="10" t="s">
        <v>171</v>
      </c>
      <c r="E11" s="9"/>
      <c r="F11" s="11" t="s">
        <v>1522</v>
      </c>
      <c r="G11" s="9" t="s">
        <v>1500</v>
      </c>
      <c r="H11" s="9" t="s">
        <v>1501</v>
      </c>
      <c r="I11" s="12" t="s">
        <v>1523</v>
      </c>
      <c r="J11" s="13" t="s">
        <v>1506</v>
      </c>
      <c r="K11" s="9" t="s">
        <v>1524</v>
      </c>
      <c r="L11" s="14"/>
    </row>
    <row r="12" ht="60" spans="1:12">
      <c r="A12" s="10">
        <v>10</v>
      </c>
      <c r="B12" s="8" t="s">
        <v>248</v>
      </c>
      <c r="C12" s="8" t="s">
        <v>1205</v>
      </c>
      <c r="D12" s="10" t="s">
        <v>171</v>
      </c>
      <c r="E12" s="9"/>
      <c r="F12" s="11" t="s">
        <v>1525</v>
      </c>
      <c r="G12" s="9" t="s">
        <v>1500</v>
      </c>
      <c r="H12" s="9" t="s">
        <v>1501</v>
      </c>
      <c r="I12" s="12" t="s">
        <v>1526</v>
      </c>
      <c r="J12" s="13" t="s">
        <v>1506</v>
      </c>
      <c r="K12" s="9" t="s">
        <v>1527</v>
      </c>
      <c r="L12" s="14"/>
    </row>
    <row r="13" ht="60" spans="1:12">
      <c r="A13" s="10">
        <v>11</v>
      </c>
      <c r="B13" s="8" t="s">
        <v>248</v>
      </c>
      <c r="C13" s="8" t="s">
        <v>1205</v>
      </c>
      <c r="D13" s="10" t="s">
        <v>171</v>
      </c>
      <c r="E13" s="9"/>
      <c r="F13" s="11" t="s">
        <v>1528</v>
      </c>
      <c r="G13" s="9" t="s">
        <v>1500</v>
      </c>
      <c r="H13" s="9" t="s">
        <v>1501</v>
      </c>
      <c r="I13" s="12" t="s">
        <v>1529</v>
      </c>
      <c r="J13" s="13" t="s">
        <v>1506</v>
      </c>
      <c r="K13" s="9" t="s">
        <v>1530</v>
      </c>
      <c r="L13" s="14"/>
    </row>
    <row r="14" ht="225" spans="1:12">
      <c r="A14" s="10">
        <v>12</v>
      </c>
      <c r="B14" s="8" t="s">
        <v>248</v>
      </c>
      <c r="C14" s="8" t="s">
        <v>1205</v>
      </c>
      <c r="D14" s="10" t="s">
        <v>171</v>
      </c>
      <c r="E14" s="9"/>
      <c r="F14" s="11" t="s">
        <v>1531</v>
      </c>
      <c r="G14" s="9" t="s">
        <v>1532</v>
      </c>
      <c r="H14" s="9" t="s">
        <v>1533</v>
      </c>
      <c r="I14" s="12" t="s">
        <v>1534</v>
      </c>
      <c r="J14" s="13" t="s">
        <v>1535</v>
      </c>
      <c r="K14" s="9" t="s">
        <v>1536</v>
      </c>
      <c r="L14" s="14" t="s">
        <v>1537</v>
      </c>
    </row>
    <row r="15" ht="409.5" spans="1:12">
      <c r="A15" s="10">
        <v>13</v>
      </c>
      <c r="B15" s="8" t="s">
        <v>248</v>
      </c>
      <c r="C15" s="8" t="s">
        <v>1205</v>
      </c>
      <c r="D15" s="10" t="s">
        <v>171</v>
      </c>
      <c r="E15" s="9"/>
      <c r="F15" s="11" t="s">
        <v>1538</v>
      </c>
      <c r="G15" s="9" t="s">
        <v>1532</v>
      </c>
      <c r="H15" s="9" t="s">
        <v>1533</v>
      </c>
      <c r="I15" s="12" t="s">
        <v>1539</v>
      </c>
      <c r="J15" s="13" t="s">
        <v>1535</v>
      </c>
      <c r="K15" s="9" t="s">
        <v>1540</v>
      </c>
      <c r="L15" s="14"/>
    </row>
    <row r="16" ht="60" spans="1:12">
      <c r="A16" s="10">
        <v>14</v>
      </c>
      <c r="B16" s="8" t="s">
        <v>248</v>
      </c>
      <c r="C16" s="8" t="s">
        <v>1205</v>
      </c>
      <c r="D16" s="10" t="s">
        <v>171</v>
      </c>
      <c r="E16" s="9"/>
      <c r="F16" s="11" t="s">
        <v>1541</v>
      </c>
      <c r="G16" s="9" t="s">
        <v>1532</v>
      </c>
      <c r="H16" s="9" t="s">
        <v>1533</v>
      </c>
      <c r="I16" s="12" t="s">
        <v>1542</v>
      </c>
      <c r="J16" s="13" t="s">
        <v>1506</v>
      </c>
      <c r="K16" s="9" t="s">
        <v>1543</v>
      </c>
      <c r="L16" s="14" t="s">
        <v>1537</v>
      </c>
    </row>
    <row r="17" ht="60" spans="1:12">
      <c r="A17" s="10">
        <v>15</v>
      </c>
      <c r="B17" s="8" t="s">
        <v>248</v>
      </c>
      <c r="C17" s="8" t="s">
        <v>1205</v>
      </c>
      <c r="D17" s="10" t="s">
        <v>171</v>
      </c>
      <c r="E17" s="9"/>
      <c r="F17" s="11" t="s">
        <v>1544</v>
      </c>
      <c r="G17" s="9" t="s">
        <v>1532</v>
      </c>
      <c r="H17" s="9" t="s">
        <v>1533</v>
      </c>
      <c r="I17" s="12" t="s">
        <v>1545</v>
      </c>
      <c r="J17" s="13" t="s">
        <v>1506</v>
      </c>
      <c r="K17" s="9" t="s">
        <v>1546</v>
      </c>
      <c r="L17" s="14" t="s">
        <v>1537</v>
      </c>
    </row>
    <row r="18" ht="60" spans="1:12">
      <c r="A18" s="10">
        <v>16</v>
      </c>
      <c r="B18" s="8" t="s">
        <v>248</v>
      </c>
      <c r="C18" s="8" t="s">
        <v>1205</v>
      </c>
      <c r="D18" s="10" t="s">
        <v>171</v>
      </c>
      <c r="E18" s="9"/>
      <c r="F18" s="11" t="s">
        <v>1547</v>
      </c>
      <c r="G18" s="9" t="s">
        <v>1548</v>
      </c>
      <c r="H18" s="9" t="s">
        <v>1533</v>
      </c>
      <c r="I18" s="12" t="s">
        <v>1549</v>
      </c>
      <c r="J18" s="13" t="s">
        <v>1506</v>
      </c>
      <c r="K18" s="9" t="s">
        <v>1550</v>
      </c>
      <c r="L18" s="14" t="s">
        <v>1537</v>
      </c>
    </row>
    <row r="79" spans="5:5">
      <c r="E79" s="3" t="s">
        <v>1551</v>
      </c>
    </row>
  </sheetData>
  <mergeCells count="1">
    <mergeCell ref="A1:L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19"/>
  <sheetViews>
    <sheetView zoomScale="55" zoomScaleNormal="55" workbookViewId="0">
      <selection activeCell="G16" sqref="G16"/>
    </sheetView>
  </sheetViews>
  <sheetFormatPr defaultColWidth="9" defaultRowHeight="14"/>
  <cols>
    <col min="1" max="1" width="5" style="2" customWidth="1"/>
    <col min="2" max="2" width="21.7272727272727" style="2" customWidth="1"/>
    <col min="3" max="3" width="21.9090909090909" style="2" customWidth="1"/>
    <col min="4" max="4" width="23.7272727272727" style="2" customWidth="1"/>
    <col min="5" max="5" width="19.7272727272727" style="3" customWidth="1"/>
    <col min="6" max="6" width="19.2727272727273" style="3" customWidth="1"/>
    <col min="7" max="7" width="13.4545454545455" style="3" customWidth="1"/>
    <col min="8" max="8" width="13.6363636363636" style="3" customWidth="1"/>
    <col min="9" max="9" width="33.7272727272727" style="2" customWidth="1"/>
    <col min="10" max="10" width="21.9090909090909" style="2" customWidth="1"/>
    <col min="11" max="11" width="19.4545454545455" style="2" customWidth="1"/>
    <col min="12" max="16384" width="9" style="2"/>
  </cols>
  <sheetData>
    <row r="1" ht="27.5" spans="1:12">
      <c r="A1" s="4" t="s">
        <v>26</v>
      </c>
      <c r="B1" s="4"/>
      <c r="C1" s="4"/>
      <c r="D1" s="4"/>
      <c r="E1" s="4"/>
      <c r="F1" s="4"/>
      <c r="G1" s="4"/>
      <c r="H1" s="4"/>
      <c r="I1" s="4"/>
      <c r="J1" s="4"/>
      <c r="K1" s="4"/>
      <c r="L1" s="4"/>
    </row>
    <row r="2" ht="24" customHeight="1" spans="1:12">
      <c r="A2" s="5" t="s">
        <v>1</v>
      </c>
      <c r="B2" s="5" t="s">
        <v>2</v>
      </c>
      <c r="C2" s="5" t="s">
        <v>3</v>
      </c>
      <c r="D2" s="5" t="s">
        <v>4</v>
      </c>
      <c r="E2" s="6" t="s">
        <v>5</v>
      </c>
      <c r="F2" s="6" t="s">
        <v>6</v>
      </c>
      <c r="G2" s="6" t="s">
        <v>7</v>
      </c>
      <c r="H2" s="6" t="s">
        <v>8</v>
      </c>
      <c r="I2" s="5" t="s">
        <v>9</v>
      </c>
      <c r="J2" s="5" t="s">
        <v>10</v>
      </c>
      <c r="K2" s="5" t="s">
        <v>11</v>
      </c>
      <c r="L2" s="5" t="s">
        <v>12</v>
      </c>
    </row>
    <row r="3" s="1" customFormat="1" ht="196.5" customHeight="1" spans="1:12">
      <c r="A3" s="7">
        <v>1</v>
      </c>
      <c r="B3" s="8" t="s">
        <v>27</v>
      </c>
      <c r="C3" s="8" t="s">
        <v>27</v>
      </c>
      <c r="D3" s="7" t="s">
        <v>28</v>
      </c>
      <c r="E3" s="9" t="s">
        <v>29</v>
      </c>
      <c r="F3" s="9" t="s">
        <v>30</v>
      </c>
      <c r="G3" s="9" t="s">
        <v>31</v>
      </c>
      <c r="H3" s="9" t="s">
        <v>32</v>
      </c>
      <c r="I3" s="8" t="s">
        <v>33</v>
      </c>
      <c r="J3" s="8" t="s">
        <v>34</v>
      </c>
      <c r="K3" s="8" t="s">
        <v>35</v>
      </c>
      <c r="L3" s="8"/>
    </row>
    <row r="4" s="1" customFormat="1" ht="63.75" customHeight="1" spans="1:12">
      <c r="A4" s="10">
        <v>2</v>
      </c>
      <c r="B4" s="8" t="s">
        <v>13</v>
      </c>
      <c r="C4" s="8" t="s">
        <v>27</v>
      </c>
      <c r="D4" s="10" t="s">
        <v>36</v>
      </c>
      <c r="E4" s="9" t="s">
        <v>29</v>
      </c>
      <c r="F4" s="11" t="s">
        <v>37</v>
      </c>
      <c r="G4" s="11" t="s">
        <v>38</v>
      </c>
      <c r="H4" s="11" t="s">
        <v>39</v>
      </c>
      <c r="I4" s="12" t="s">
        <v>40</v>
      </c>
      <c r="J4" s="13" t="s">
        <v>41</v>
      </c>
      <c r="K4" s="20" t="s">
        <v>42</v>
      </c>
      <c r="L4" s="14" t="s">
        <v>43</v>
      </c>
    </row>
    <row r="5" s="1" customFormat="1" ht="90.75" customHeight="1" spans="1:12">
      <c r="A5" s="10">
        <v>3</v>
      </c>
      <c r="B5" s="8" t="s">
        <v>13</v>
      </c>
      <c r="C5" s="8" t="s">
        <v>27</v>
      </c>
      <c r="D5" s="10" t="s">
        <v>36</v>
      </c>
      <c r="E5" s="9" t="s">
        <v>29</v>
      </c>
      <c r="F5" s="11" t="s">
        <v>44</v>
      </c>
      <c r="G5" s="11" t="s">
        <v>38</v>
      </c>
      <c r="H5" s="11" t="s">
        <v>39</v>
      </c>
      <c r="I5" s="12" t="s">
        <v>45</v>
      </c>
      <c r="J5" s="13" t="s">
        <v>46</v>
      </c>
      <c r="K5" s="20" t="s">
        <v>47</v>
      </c>
      <c r="L5" s="14"/>
    </row>
    <row r="6" s="1" customFormat="1" ht="90.75" customHeight="1" spans="1:12">
      <c r="A6" s="10">
        <v>4</v>
      </c>
      <c r="B6" s="8" t="s">
        <v>13</v>
      </c>
      <c r="C6" s="8" t="s">
        <v>27</v>
      </c>
      <c r="D6" s="10" t="s">
        <v>36</v>
      </c>
      <c r="E6" s="9" t="s">
        <v>29</v>
      </c>
      <c r="F6" s="11" t="s">
        <v>48</v>
      </c>
      <c r="G6" s="11" t="s">
        <v>38</v>
      </c>
      <c r="H6" s="11" t="s">
        <v>39</v>
      </c>
      <c r="I6" s="12" t="s">
        <v>49</v>
      </c>
      <c r="J6" s="13" t="s">
        <v>46</v>
      </c>
      <c r="K6" s="20" t="s">
        <v>50</v>
      </c>
      <c r="L6" s="14"/>
    </row>
    <row r="7" s="1" customFormat="1" ht="90.75" customHeight="1" spans="1:12">
      <c r="A7" s="10">
        <v>5</v>
      </c>
      <c r="B7" s="8" t="s">
        <v>13</v>
      </c>
      <c r="C7" s="8" t="s">
        <v>27</v>
      </c>
      <c r="D7" s="10" t="s">
        <v>36</v>
      </c>
      <c r="E7" s="9" t="s">
        <v>29</v>
      </c>
      <c r="F7" s="11" t="s">
        <v>51</v>
      </c>
      <c r="G7" s="11" t="s">
        <v>52</v>
      </c>
      <c r="H7" s="11" t="s">
        <v>53</v>
      </c>
      <c r="I7" s="12" t="s">
        <v>54</v>
      </c>
      <c r="J7" s="13" t="s">
        <v>55</v>
      </c>
      <c r="K7" s="20" t="s">
        <v>56</v>
      </c>
      <c r="L7" s="14"/>
    </row>
    <row r="8" s="1" customFormat="1" ht="90.75" customHeight="1" spans="1:12">
      <c r="A8" s="10">
        <v>6</v>
      </c>
      <c r="B8" s="8" t="s">
        <v>13</v>
      </c>
      <c r="C8" s="8" t="s">
        <v>27</v>
      </c>
      <c r="D8" s="10" t="s">
        <v>28</v>
      </c>
      <c r="E8" s="9" t="s">
        <v>29</v>
      </c>
      <c r="F8" s="11" t="s">
        <v>57</v>
      </c>
      <c r="G8" s="11" t="s">
        <v>58</v>
      </c>
      <c r="H8" s="11" t="s">
        <v>59</v>
      </c>
      <c r="I8" s="12" t="s">
        <v>60</v>
      </c>
      <c r="J8" s="13" t="s">
        <v>46</v>
      </c>
      <c r="K8" s="200"/>
      <c r="L8" s="14"/>
    </row>
    <row r="9" spans="1:12">
      <c r="A9" s="198"/>
      <c r="B9" s="198"/>
      <c r="C9" s="198"/>
      <c r="D9" s="198"/>
      <c r="E9" s="199"/>
      <c r="F9" s="199"/>
      <c r="G9" s="199"/>
      <c r="H9" s="199"/>
      <c r="I9" s="198"/>
      <c r="J9" s="198"/>
      <c r="K9" s="198"/>
      <c r="L9" s="198"/>
    </row>
    <row r="10" spans="1:12">
      <c r="A10" s="198"/>
      <c r="B10" s="198"/>
      <c r="C10" s="198"/>
      <c r="D10" s="198"/>
      <c r="E10" s="199"/>
      <c r="F10" s="199"/>
      <c r="G10" s="199"/>
      <c r="H10" s="199"/>
      <c r="I10" s="198"/>
      <c r="J10" s="198"/>
      <c r="K10" s="198"/>
      <c r="L10" s="198"/>
    </row>
    <row r="11" spans="1:12">
      <c r="A11" s="198"/>
      <c r="B11" s="198"/>
      <c r="C11" s="198"/>
      <c r="D11" s="198"/>
      <c r="E11" s="199"/>
      <c r="F11" s="199"/>
      <c r="G11" s="199"/>
      <c r="H11" s="199"/>
      <c r="I11" s="198"/>
      <c r="J11" s="198"/>
      <c r="K11" s="198"/>
      <c r="L11" s="198"/>
    </row>
    <row r="12" spans="1:12">
      <c r="A12" s="198"/>
      <c r="B12" s="198"/>
      <c r="C12" s="198"/>
      <c r="D12" s="198"/>
      <c r="E12" s="199"/>
      <c r="F12" s="199"/>
      <c r="G12" s="199"/>
      <c r="H12" s="199"/>
      <c r="I12" s="198"/>
      <c r="J12" s="198"/>
      <c r="K12" s="198"/>
      <c r="L12" s="198"/>
    </row>
    <row r="13" spans="1:12">
      <c r="A13" s="198"/>
      <c r="B13" s="198"/>
      <c r="C13" s="198"/>
      <c r="D13" s="198"/>
      <c r="E13" s="199"/>
      <c r="F13" s="199"/>
      <c r="G13" s="199"/>
      <c r="H13" s="199"/>
      <c r="I13" s="198"/>
      <c r="J13" s="198"/>
      <c r="K13" s="198"/>
      <c r="L13" s="198"/>
    </row>
    <row r="14" spans="1:12">
      <c r="A14" s="198"/>
      <c r="B14" s="198"/>
      <c r="C14" s="198"/>
      <c r="D14" s="198"/>
      <c r="E14" s="199"/>
      <c r="F14" s="199"/>
      <c r="G14" s="199"/>
      <c r="H14" s="199"/>
      <c r="I14" s="198"/>
      <c r="J14" s="198"/>
      <c r="K14" s="198"/>
      <c r="L14" s="198"/>
    </row>
    <row r="15" spans="1:12">
      <c r="A15" s="198"/>
      <c r="B15" s="198"/>
      <c r="C15" s="198"/>
      <c r="D15" s="198"/>
      <c r="E15" s="199"/>
      <c r="F15" s="199"/>
      <c r="G15" s="199"/>
      <c r="H15" s="199"/>
      <c r="I15" s="198"/>
      <c r="J15" s="198"/>
      <c r="K15" s="198"/>
      <c r="L15" s="198"/>
    </row>
    <row r="16" spans="1:12">
      <c r="A16" s="198"/>
      <c r="B16" s="198"/>
      <c r="C16" s="198"/>
      <c r="D16" s="198"/>
      <c r="E16" s="199"/>
      <c r="F16" s="199"/>
      <c r="G16" s="199"/>
      <c r="H16" s="199"/>
      <c r="I16" s="198"/>
      <c r="J16" s="198"/>
      <c r="K16" s="198"/>
      <c r="L16" s="198"/>
    </row>
    <row r="17" spans="1:12">
      <c r="A17" s="198"/>
      <c r="B17" s="198"/>
      <c r="C17" s="198"/>
      <c r="D17" s="198"/>
      <c r="E17" s="199"/>
      <c r="F17" s="199"/>
      <c r="G17" s="199"/>
      <c r="H17" s="199"/>
      <c r="I17" s="198"/>
      <c r="J17" s="198"/>
      <c r="K17" s="198"/>
      <c r="L17" s="198"/>
    </row>
    <row r="18" spans="1:12">
      <c r="A18" s="198"/>
      <c r="B18" s="198"/>
      <c r="C18" s="198"/>
      <c r="D18" s="198"/>
      <c r="E18" s="199"/>
      <c r="F18" s="199"/>
      <c r="G18" s="199"/>
      <c r="H18" s="199"/>
      <c r="I18" s="198"/>
      <c r="J18" s="198"/>
      <c r="K18" s="198"/>
      <c r="L18" s="198"/>
    </row>
    <row r="19" spans="1:12">
      <c r="A19" s="198"/>
      <c r="B19" s="198"/>
      <c r="C19" s="198"/>
      <c r="D19" s="198"/>
      <c r="E19" s="199"/>
      <c r="F19" s="199"/>
      <c r="G19" s="199"/>
      <c r="H19" s="199"/>
      <c r="I19" s="198"/>
      <c r="J19" s="198"/>
      <c r="K19" s="198"/>
      <c r="L19" s="198"/>
    </row>
  </sheetData>
  <mergeCells count="1">
    <mergeCell ref="A1:L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O48"/>
  <sheetViews>
    <sheetView zoomScale="55" zoomScaleNormal="55" workbookViewId="0">
      <selection activeCell="G16" sqref="G16"/>
    </sheetView>
  </sheetViews>
  <sheetFormatPr defaultColWidth="9" defaultRowHeight="14"/>
  <cols>
    <col min="1" max="1" width="5" style="2" customWidth="1"/>
    <col min="2" max="2" width="21.7272727272727" style="2" customWidth="1"/>
    <col min="3" max="3" width="21.9090909090909" style="2" customWidth="1"/>
    <col min="4" max="4" width="23.7272727272727" style="2" customWidth="1"/>
    <col min="5" max="5" width="19.7272727272727" style="3" customWidth="1"/>
    <col min="6" max="6" width="19.2727272727273" style="3" customWidth="1"/>
    <col min="7" max="7" width="16.6363636363636" style="3" customWidth="1"/>
    <col min="8" max="8" width="13.6363636363636" style="3" customWidth="1"/>
    <col min="9" max="9" width="33.7272727272727" style="2" customWidth="1"/>
    <col min="10" max="10" width="21.9090909090909" style="2" customWidth="1"/>
    <col min="11" max="11" width="19.4545454545455" style="2" customWidth="1"/>
    <col min="12" max="12" width="11.0909090909091" style="2" customWidth="1"/>
    <col min="13" max="16384" width="9" style="2"/>
  </cols>
  <sheetData>
    <row r="1" ht="27.5" spans="1:12">
      <c r="A1" s="4" t="s">
        <v>61</v>
      </c>
      <c r="B1" s="4"/>
      <c r="C1" s="4"/>
      <c r="D1" s="4"/>
      <c r="E1" s="4"/>
      <c r="F1" s="4"/>
      <c r="G1" s="4"/>
      <c r="H1" s="4"/>
      <c r="I1" s="4"/>
      <c r="J1" s="4"/>
      <c r="K1" s="4"/>
      <c r="L1" s="4"/>
    </row>
    <row r="2" ht="24" customHeight="1" spans="1:12">
      <c r="A2" s="187" t="s">
        <v>1</v>
      </c>
      <c r="B2" s="187" t="s">
        <v>2</v>
      </c>
      <c r="C2" s="187" t="s">
        <v>3</v>
      </c>
      <c r="D2" s="187" t="s">
        <v>4</v>
      </c>
      <c r="E2" s="188" t="s">
        <v>5</v>
      </c>
      <c r="F2" s="188" t="s">
        <v>6</v>
      </c>
      <c r="G2" s="188" t="s">
        <v>7</v>
      </c>
      <c r="H2" s="188" t="s">
        <v>8</v>
      </c>
      <c r="I2" s="187" t="s">
        <v>9</v>
      </c>
      <c r="J2" s="187" t="s">
        <v>10</v>
      </c>
      <c r="K2" s="187" t="s">
        <v>11</v>
      </c>
      <c r="L2" s="187" t="s">
        <v>12</v>
      </c>
    </row>
    <row r="3" s="1" customFormat="1" ht="64.5" customHeight="1" spans="1:12">
      <c r="A3" s="7">
        <v>1</v>
      </c>
      <c r="B3" s="189" t="s">
        <v>13</v>
      </c>
      <c r="C3" s="189" t="s">
        <v>62</v>
      </c>
      <c r="D3" s="7" t="s">
        <v>15</v>
      </c>
      <c r="E3" s="189" t="s">
        <v>63</v>
      </c>
      <c r="F3" s="9" t="s">
        <v>64</v>
      </c>
      <c r="G3" s="9" t="s">
        <v>65</v>
      </c>
      <c r="H3" s="9" t="s">
        <v>66</v>
      </c>
      <c r="I3" s="189" t="s">
        <v>67</v>
      </c>
      <c r="J3" s="189" t="s">
        <v>25</v>
      </c>
      <c r="K3" s="8"/>
      <c r="L3" s="8"/>
    </row>
    <row r="4" s="1" customFormat="1" ht="63.75" customHeight="1" spans="1:12">
      <c r="A4" s="7">
        <v>2</v>
      </c>
      <c r="B4" s="189" t="s">
        <v>13</v>
      </c>
      <c r="C4" s="189" t="s">
        <v>62</v>
      </c>
      <c r="D4" s="7" t="s">
        <v>15</v>
      </c>
      <c r="E4" s="189" t="s">
        <v>68</v>
      </c>
      <c r="F4" s="9" t="s">
        <v>69</v>
      </c>
      <c r="G4" s="9" t="s">
        <v>70</v>
      </c>
      <c r="H4" s="9" t="s">
        <v>71</v>
      </c>
      <c r="I4" s="189" t="s">
        <v>72</v>
      </c>
      <c r="J4" s="189" t="s">
        <v>25</v>
      </c>
      <c r="K4" s="20"/>
      <c r="L4" s="8"/>
    </row>
    <row r="5" ht="42" spans="1:12">
      <c r="A5" s="7">
        <v>3</v>
      </c>
      <c r="B5" s="189" t="s">
        <v>13</v>
      </c>
      <c r="C5" s="189" t="s">
        <v>62</v>
      </c>
      <c r="D5" s="7" t="s">
        <v>15</v>
      </c>
      <c r="E5" s="189" t="s">
        <v>73</v>
      </c>
      <c r="F5" s="20" t="s">
        <v>74</v>
      </c>
      <c r="G5" s="20" t="s">
        <v>70</v>
      </c>
      <c r="H5" s="20" t="s">
        <v>66</v>
      </c>
      <c r="I5" s="189" t="s">
        <v>75</v>
      </c>
      <c r="J5" s="189" t="s">
        <v>25</v>
      </c>
      <c r="K5" s="197"/>
      <c r="L5" s="197"/>
    </row>
    <row r="6" ht="42" spans="1:12">
      <c r="A6" s="7">
        <v>4</v>
      </c>
      <c r="B6" s="189" t="s">
        <v>13</v>
      </c>
      <c r="C6" s="189" t="s">
        <v>62</v>
      </c>
      <c r="D6" s="7" t="s">
        <v>15</v>
      </c>
      <c r="E6" s="189" t="s">
        <v>76</v>
      </c>
      <c r="F6" s="20" t="s">
        <v>77</v>
      </c>
      <c r="G6" s="20" t="s">
        <v>65</v>
      </c>
      <c r="H6" s="20" t="s">
        <v>71</v>
      </c>
      <c r="I6" s="189" t="s">
        <v>78</v>
      </c>
      <c r="J6" s="189" t="s">
        <v>25</v>
      </c>
      <c r="K6" s="197"/>
      <c r="L6" s="197"/>
    </row>
    <row r="7" ht="30" spans="1:12">
      <c r="A7" s="7">
        <v>5</v>
      </c>
      <c r="B7" s="189" t="s">
        <v>13</v>
      </c>
      <c r="C7" s="189" t="s">
        <v>62</v>
      </c>
      <c r="D7" s="7" t="s">
        <v>15</v>
      </c>
      <c r="E7" s="189" t="s">
        <v>79</v>
      </c>
      <c r="F7" s="20" t="s">
        <v>80</v>
      </c>
      <c r="G7" s="20" t="s">
        <v>65</v>
      </c>
      <c r="H7" s="20" t="s">
        <v>71</v>
      </c>
      <c r="I7" s="189" t="s">
        <v>81</v>
      </c>
      <c r="J7" s="189" t="s">
        <v>82</v>
      </c>
      <c r="K7" s="197"/>
      <c r="L7" s="197"/>
    </row>
    <row r="8" ht="42" spans="1:12">
      <c r="A8" s="7">
        <v>6</v>
      </c>
      <c r="B8" s="189" t="s">
        <v>13</v>
      </c>
      <c r="C8" s="189" t="s">
        <v>62</v>
      </c>
      <c r="D8" s="7" t="s">
        <v>15</v>
      </c>
      <c r="E8" s="189" t="s">
        <v>83</v>
      </c>
      <c r="F8" s="20" t="s">
        <v>84</v>
      </c>
      <c r="G8" s="20" t="s">
        <v>65</v>
      </c>
      <c r="H8" s="20" t="s">
        <v>66</v>
      </c>
      <c r="I8" s="189" t="s">
        <v>85</v>
      </c>
      <c r="J8" s="189" t="s">
        <v>25</v>
      </c>
      <c r="K8" s="197"/>
      <c r="L8" s="197"/>
    </row>
    <row r="9" ht="104.25" customHeight="1" spans="1:12">
      <c r="A9" s="7">
        <v>7</v>
      </c>
      <c r="B9" s="189" t="s">
        <v>13</v>
      </c>
      <c r="C9" s="189" t="s">
        <v>62</v>
      </c>
      <c r="D9" s="7" t="s">
        <v>15</v>
      </c>
      <c r="E9" s="189" t="s">
        <v>86</v>
      </c>
      <c r="F9" s="20" t="s">
        <v>87</v>
      </c>
      <c r="G9" s="20" t="s">
        <v>70</v>
      </c>
      <c r="H9" s="20" t="s">
        <v>71</v>
      </c>
      <c r="I9" s="189" t="s">
        <v>88</v>
      </c>
      <c r="J9" s="189" t="s">
        <v>25</v>
      </c>
      <c r="K9" s="197"/>
      <c r="L9" s="197"/>
    </row>
    <row r="10" ht="70" spans="1:12">
      <c r="A10" s="7">
        <v>8</v>
      </c>
      <c r="B10" s="189" t="s">
        <v>13</v>
      </c>
      <c r="C10" s="189" t="s">
        <v>62</v>
      </c>
      <c r="D10" s="7" t="s">
        <v>15</v>
      </c>
      <c r="E10" s="189" t="s">
        <v>89</v>
      </c>
      <c r="F10" s="20" t="s">
        <v>90</v>
      </c>
      <c r="G10" s="20" t="s">
        <v>91</v>
      </c>
      <c r="H10" s="20" t="s">
        <v>92</v>
      </c>
      <c r="I10" s="189" t="s">
        <v>93</v>
      </c>
      <c r="J10" s="189" t="s">
        <v>25</v>
      </c>
      <c r="K10" s="197"/>
      <c r="L10" s="197"/>
    </row>
    <row r="11" ht="51" customHeight="1" spans="1:12">
      <c r="A11" s="7">
        <v>9</v>
      </c>
      <c r="B11" s="189" t="s">
        <v>13</v>
      </c>
      <c r="C11" s="189" t="s">
        <v>62</v>
      </c>
      <c r="D11" s="7" t="s">
        <v>15</v>
      </c>
      <c r="E11" s="189" t="s">
        <v>94</v>
      </c>
      <c r="F11" s="20" t="s">
        <v>95</v>
      </c>
      <c r="G11" s="20" t="s">
        <v>70</v>
      </c>
      <c r="H11" s="20" t="s">
        <v>66</v>
      </c>
      <c r="I11" s="189" t="s">
        <v>96</v>
      </c>
      <c r="J11" s="189" t="s">
        <v>25</v>
      </c>
      <c r="K11" s="197"/>
      <c r="L11" s="197"/>
    </row>
    <row r="12" ht="42" spans="1:12">
      <c r="A12" s="7">
        <v>10</v>
      </c>
      <c r="B12" s="189" t="s">
        <v>13</v>
      </c>
      <c r="C12" s="189" t="s">
        <v>62</v>
      </c>
      <c r="D12" s="7" t="s">
        <v>15</v>
      </c>
      <c r="E12" s="189" t="s">
        <v>97</v>
      </c>
      <c r="F12" s="20" t="s">
        <v>98</v>
      </c>
      <c r="G12" s="20" t="s">
        <v>65</v>
      </c>
      <c r="H12" s="20" t="s">
        <v>66</v>
      </c>
      <c r="I12" s="189" t="s">
        <v>99</v>
      </c>
      <c r="J12" s="189" t="s">
        <v>25</v>
      </c>
      <c r="K12" s="197"/>
      <c r="L12" s="197"/>
    </row>
    <row r="13" ht="53.25" customHeight="1" spans="1:12">
      <c r="A13" s="7">
        <v>11</v>
      </c>
      <c r="B13" s="189" t="s">
        <v>13</v>
      </c>
      <c r="C13" s="189" t="s">
        <v>62</v>
      </c>
      <c r="D13" s="7" t="s">
        <v>15</v>
      </c>
      <c r="E13" s="189" t="s">
        <v>100</v>
      </c>
      <c r="F13" s="20" t="s">
        <v>101</v>
      </c>
      <c r="G13" s="20" t="s">
        <v>65</v>
      </c>
      <c r="H13" s="20" t="s">
        <v>71</v>
      </c>
      <c r="I13" s="189" t="s">
        <v>102</v>
      </c>
      <c r="J13" s="189" t="s">
        <v>25</v>
      </c>
      <c r="K13" s="197"/>
      <c r="L13" s="197"/>
    </row>
    <row r="14" ht="42" spans="1:12">
      <c r="A14" s="7">
        <v>12</v>
      </c>
      <c r="B14" s="189" t="s">
        <v>13</v>
      </c>
      <c r="C14" s="189" t="s">
        <v>62</v>
      </c>
      <c r="D14" s="7" t="s">
        <v>15</v>
      </c>
      <c r="E14" s="189" t="s">
        <v>103</v>
      </c>
      <c r="F14" s="20" t="s">
        <v>104</v>
      </c>
      <c r="G14" s="20" t="s">
        <v>70</v>
      </c>
      <c r="H14" s="20" t="s">
        <v>66</v>
      </c>
      <c r="I14" s="189" t="s">
        <v>105</v>
      </c>
      <c r="J14" s="189" t="s">
        <v>25</v>
      </c>
      <c r="K14" s="197"/>
      <c r="L14" s="197"/>
    </row>
    <row r="15" ht="69.75" customHeight="1" spans="1:12">
      <c r="A15" s="7">
        <v>13</v>
      </c>
      <c r="B15" s="189" t="s">
        <v>13</v>
      </c>
      <c r="C15" s="189" t="s">
        <v>62</v>
      </c>
      <c r="D15" s="7" t="s">
        <v>15</v>
      </c>
      <c r="E15" s="189" t="s">
        <v>106</v>
      </c>
      <c r="F15" s="20" t="s">
        <v>107</v>
      </c>
      <c r="G15" s="20" t="s">
        <v>108</v>
      </c>
      <c r="H15" s="20" t="s">
        <v>109</v>
      </c>
      <c r="I15" s="189" t="s">
        <v>110</v>
      </c>
      <c r="J15" s="189" t="s">
        <v>25</v>
      </c>
      <c r="K15" s="197"/>
      <c r="L15" s="197"/>
    </row>
    <row r="16" ht="42" spans="1:12">
      <c r="A16" s="7">
        <v>14</v>
      </c>
      <c r="B16" s="189" t="s">
        <v>13</v>
      </c>
      <c r="C16" s="189" t="s">
        <v>62</v>
      </c>
      <c r="D16" s="7" t="s">
        <v>15</v>
      </c>
      <c r="E16" s="189" t="s">
        <v>111</v>
      </c>
      <c r="F16" s="20" t="s">
        <v>112</v>
      </c>
      <c r="G16" s="20" t="s">
        <v>70</v>
      </c>
      <c r="H16" s="20" t="s">
        <v>71</v>
      </c>
      <c r="I16" s="189" t="s">
        <v>113</v>
      </c>
      <c r="J16" s="189" t="s">
        <v>25</v>
      </c>
      <c r="K16" s="189"/>
      <c r="L16" s="189"/>
    </row>
    <row r="17" ht="62.25" customHeight="1" spans="1:12">
      <c r="A17" s="7">
        <v>15</v>
      </c>
      <c r="B17" s="189" t="s">
        <v>13</v>
      </c>
      <c r="C17" s="189" t="s">
        <v>62</v>
      </c>
      <c r="D17" s="7" t="s">
        <v>15</v>
      </c>
      <c r="E17" s="189" t="s">
        <v>114</v>
      </c>
      <c r="F17" s="20" t="s">
        <v>115</v>
      </c>
      <c r="G17" s="20" t="s">
        <v>70</v>
      </c>
      <c r="H17" s="20" t="s">
        <v>71</v>
      </c>
      <c r="I17" s="189" t="s">
        <v>116</v>
      </c>
      <c r="J17" s="189" t="s">
        <v>25</v>
      </c>
      <c r="K17" s="189"/>
      <c r="L17" s="189"/>
    </row>
    <row r="18" ht="42" spans="1:12">
      <c r="A18" s="7">
        <v>16</v>
      </c>
      <c r="B18" s="189" t="s">
        <v>13</v>
      </c>
      <c r="C18" s="189" t="s">
        <v>62</v>
      </c>
      <c r="D18" s="7" t="s">
        <v>15</v>
      </c>
      <c r="E18" s="189" t="s">
        <v>117</v>
      </c>
      <c r="F18" s="20" t="s">
        <v>118</v>
      </c>
      <c r="G18" s="20" t="s">
        <v>119</v>
      </c>
      <c r="H18" s="20" t="s">
        <v>120</v>
      </c>
      <c r="I18" s="189" t="s">
        <v>121</v>
      </c>
      <c r="J18" s="189" t="s">
        <v>25</v>
      </c>
      <c r="K18" s="189"/>
      <c r="L18" s="189"/>
    </row>
    <row r="19" ht="42" spans="1:12">
      <c r="A19" s="7">
        <v>17</v>
      </c>
      <c r="B19" s="189" t="s">
        <v>13</v>
      </c>
      <c r="C19" s="189" t="s">
        <v>62</v>
      </c>
      <c r="D19" s="7" t="s">
        <v>15</v>
      </c>
      <c r="E19" s="189" t="s">
        <v>122</v>
      </c>
      <c r="F19" s="20" t="s">
        <v>123</v>
      </c>
      <c r="G19" s="20" t="s">
        <v>124</v>
      </c>
      <c r="H19" s="20" t="s">
        <v>125</v>
      </c>
      <c r="I19" s="189" t="s">
        <v>126</v>
      </c>
      <c r="J19" s="189" t="s">
        <v>25</v>
      </c>
      <c r="K19" s="189"/>
      <c r="L19" s="189"/>
    </row>
    <row r="20" ht="30" spans="1:12">
      <c r="A20" s="7">
        <v>18</v>
      </c>
      <c r="B20" s="189" t="s">
        <v>13</v>
      </c>
      <c r="C20" s="189" t="s">
        <v>62</v>
      </c>
      <c r="D20" s="7" t="s">
        <v>15</v>
      </c>
      <c r="E20" s="189" t="s">
        <v>127</v>
      </c>
      <c r="F20" s="20" t="s">
        <v>128</v>
      </c>
      <c r="G20" s="20" t="s">
        <v>129</v>
      </c>
      <c r="H20" s="20" t="s">
        <v>125</v>
      </c>
      <c r="I20" s="189" t="s">
        <v>130</v>
      </c>
      <c r="J20" s="189" t="s">
        <v>82</v>
      </c>
      <c r="K20" s="189"/>
      <c r="L20" s="189"/>
    </row>
    <row r="21" ht="42" spans="1:12">
      <c r="A21" s="7">
        <v>19</v>
      </c>
      <c r="B21" s="189" t="s">
        <v>13</v>
      </c>
      <c r="C21" s="189" t="s">
        <v>62</v>
      </c>
      <c r="D21" s="7" t="s">
        <v>15</v>
      </c>
      <c r="E21" s="189" t="s">
        <v>131</v>
      </c>
      <c r="F21" s="20" t="s">
        <v>132</v>
      </c>
      <c r="G21" s="20" t="s">
        <v>124</v>
      </c>
      <c r="H21" s="20" t="s">
        <v>125</v>
      </c>
      <c r="I21" s="189" t="s">
        <v>133</v>
      </c>
      <c r="J21" s="189" t="s">
        <v>25</v>
      </c>
      <c r="K21" s="189"/>
      <c r="L21" s="189"/>
    </row>
    <row r="22" ht="42" spans="1:12">
      <c r="A22" s="7">
        <v>20</v>
      </c>
      <c r="B22" s="189" t="s">
        <v>13</v>
      </c>
      <c r="C22" s="189" t="s">
        <v>62</v>
      </c>
      <c r="D22" s="7" t="s">
        <v>15</v>
      </c>
      <c r="E22" s="189" t="s">
        <v>134</v>
      </c>
      <c r="F22" s="20" t="s">
        <v>135</v>
      </c>
      <c r="G22" s="20" t="s">
        <v>108</v>
      </c>
      <c r="H22" s="20" t="s">
        <v>136</v>
      </c>
      <c r="I22" s="189" t="s">
        <v>137</v>
      </c>
      <c r="J22" s="189" t="s">
        <v>25</v>
      </c>
      <c r="K22" s="189"/>
      <c r="L22" s="189"/>
    </row>
    <row r="23" ht="42" spans="1:12">
      <c r="A23" s="7">
        <v>21</v>
      </c>
      <c r="B23" s="189" t="s">
        <v>13</v>
      </c>
      <c r="C23" s="189" t="s">
        <v>62</v>
      </c>
      <c r="D23" s="7" t="s">
        <v>15</v>
      </c>
      <c r="E23" s="189" t="s">
        <v>138</v>
      </c>
      <c r="F23" s="20" t="s">
        <v>139</v>
      </c>
      <c r="G23" s="20" t="s">
        <v>108</v>
      </c>
      <c r="H23" s="20" t="s">
        <v>109</v>
      </c>
      <c r="I23" s="189" t="s">
        <v>140</v>
      </c>
      <c r="J23" s="189" t="s">
        <v>25</v>
      </c>
      <c r="K23" s="189"/>
      <c r="L23" s="189"/>
    </row>
    <row r="24" ht="42" spans="1:12">
      <c r="A24" s="7">
        <v>22</v>
      </c>
      <c r="B24" s="189" t="s">
        <v>13</v>
      </c>
      <c r="C24" s="189" t="s">
        <v>62</v>
      </c>
      <c r="D24" s="7" t="s">
        <v>15</v>
      </c>
      <c r="E24" s="189" t="s">
        <v>141</v>
      </c>
      <c r="F24" s="20" t="s">
        <v>142</v>
      </c>
      <c r="G24" s="20" t="s">
        <v>143</v>
      </c>
      <c r="H24" s="20" t="s">
        <v>109</v>
      </c>
      <c r="I24" s="189" t="s">
        <v>144</v>
      </c>
      <c r="J24" s="189" t="s">
        <v>25</v>
      </c>
      <c r="K24" s="189"/>
      <c r="L24" s="189"/>
    </row>
    <row r="25" ht="42" spans="1:12">
      <c r="A25" s="7">
        <v>23</v>
      </c>
      <c r="B25" s="189" t="s">
        <v>13</v>
      </c>
      <c r="C25" s="189" t="s">
        <v>62</v>
      </c>
      <c r="D25" s="7" t="s">
        <v>15</v>
      </c>
      <c r="E25" s="189" t="s">
        <v>145</v>
      </c>
      <c r="F25" s="20" t="s">
        <v>146</v>
      </c>
      <c r="G25" s="20" t="s">
        <v>65</v>
      </c>
      <c r="H25" s="20" t="s">
        <v>66</v>
      </c>
      <c r="I25" s="189" t="s">
        <v>147</v>
      </c>
      <c r="J25" s="189" t="s">
        <v>25</v>
      </c>
      <c r="K25" s="189"/>
      <c r="L25" s="189"/>
    </row>
    <row r="26" ht="42" spans="1:12">
      <c r="A26" s="7">
        <v>24</v>
      </c>
      <c r="B26" s="189" t="s">
        <v>13</v>
      </c>
      <c r="C26" s="189" t="s">
        <v>62</v>
      </c>
      <c r="D26" s="7" t="s">
        <v>15</v>
      </c>
      <c r="E26" s="189" t="s">
        <v>148</v>
      </c>
      <c r="F26" s="20" t="s">
        <v>149</v>
      </c>
      <c r="G26" s="20" t="s">
        <v>150</v>
      </c>
      <c r="H26" s="20" t="s">
        <v>151</v>
      </c>
      <c r="I26" s="189" t="s">
        <v>152</v>
      </c>
      <c r="J26" s="189" t="s">
        <v>25</v>
      </c>
      <c r="K26" s="189"/>
      <c r="L26" s="189"/>
    </row>
    <row r="27" ht="98" spans="1:12">
      <c r="A27" s="7">
        <v>25</v>
      </c>
      <c r="B27" s="189" t="s">
        <v>13</v>
      </c>
      <c r="C27" s="189" t="s">
        <v>62</v>
      </c>
      <c r="D27" s="7" t="s">
        <v>15</v>
      </c>
      <c r="E27" s="189" t="s">
        <v>153</v>
      </c>
      <c r="F27" s="20" t="s">
        <v>154</v>
      </c>
      <c r="G27" s="20" t="s">
        <v>150</v>
      </c>
      <c r="H27" s="20" t="s">
        <v>151</v>
      </c>
      <c r="I27" s="189" t="s">
        <v>155</v>
      </c>
      <c r="J27" s="189" t="s">
        <v>25</v>
      </c>
      <c r="K27" s="189"/>
      <c r="L27" s="189"/>
    </row>
    <row r="28" ht="29.25" customHeight="1" spans="1:15">
      <c r="A28" s="7">
        <v>26</v>
      </c>
      <c r="B28" s="189" t="s">
        <v>13</v>
      </c>
      <c r="C28" s="189" t="s">
        <v>62</v>
      </c>
      <c r="D28" s="7" t="s">
        <v>15</v>
      </c>
      <c r="E28" s="190" t="s">
        <v>156</v>
      </c>
      <c r="F28" s="191" t="s">
        <v>157</v>
      </c>
      <c r="G28" s="190" t="s">
        <v>158</v>
      </c>
      <c r="H28" s="190" t="s">
        <v>159</v>
      </c>
      <c r="I28" s="189" t="s">
        <v>160</v>
      </c>
      <c r="J28" s="189" t="s">
        <v>25</v>
      </c>
      <c r="K28" s="190"/>
      <c r="L28" s="190"/>
      <c r="M28"/>
      <c r="N28"/>
      <c r="O28"/>
    </row>
    <row r="29" ht="29.25" customHeight="1" spans="1:15">
      <c r="A29" s="7">
        <v>27</v>
      </c>
      <c r="B29" s="189" t="s">
        <v>13</v>
      </c>
      <c r="C29" s="189" t="s">
        <v>62</v>
      </c>
      <c r="D29" s="7" t="s">
        <v>15</v>
      </c>
      <c r="E29" s="190" t="s">
        <v>161</v>
      </c>
      <c r="F29" s="191" t="s">
        <v>162</v>
      </c>
      <c r="G29" s="190" t="s">
        <v>158</v>
      </c>
      <c r="H29" s="190" t="s">
        <v>159</v>
      </c>
      <c r="I29" s="189" t="s">
        <v>163</v>
      </c>
      <c r="J29" s="189" t="s">
        <v>25</v>
      </c>
      <c r="K29" s="190"/>
      <c r="L29" s="190"/>
      <c r="M29"/>
      <c r="N29"/>
      <c r="O29"/>
    </row>
    <row r="30" ht="36.75" customHeight="1"/>
    <row r="31" ht="56" spans="1:12">
      <c r="A31" s="192">
        <v>26</v>
      </c>
      <c r="B31" s="193" t="s">
        <v>13</v>
      </c>
      <c r="C31" s="193" t="s">
        <v>62</v>
      </c>
      <c r="D31" s="194" t="s">
        <v>164</v>
      </c>
      <c r="E31" s="195"/>
      <c r="F31" s="195" t="s">
        <v>165</v>
      </c>
      <c r="G31" s="195" t="s">
        <v>166</v>
      </c>
      <c r="H31" s="195" t="s">
        <v>167</v>
      </c>
      <c r="I31" s="194" t="s">
        <v>168</v>
      </c>
      <c r="J31" s="193" t="s">
        <v>169</v>
      </c>
      <c r="K31" s="194"/>
      <c r="L31" s="192" t="s">
        <v>170</v>
      </c>
    </row>
    <row r="32" ht="38.25" customHeight="1" spans="1:12">
      <c r="A32" s="192">
        <v>27</v>
      </c>
      <c r="B32" s="193" t="s">
        <v>13</v>
      </c>
      <c r="C32" s="193" t="s">
        <v>62</v>
      </c>
      <c r="D32" s="194" t="s">
        <v>171</v>
      </c>
      <c r="E32" s="195"/>
      <c r="F32" s="195" t="s">
        <v>172</v>
      </c>
      <c r="G32" s="196" t="s">
        <v>173</v>
      </c>
      <c r="H32" s="196" t="s">
        <v>174</v>
      </c>
      <c r="I32" s="194" t="s">
        <v>175</v>
      </c>
      <c r="J32" s="193" t="s">
        <v>176</v>
      </c>
      <c r="K32" s="195" t="s">
        <v>177</v>
      </c>
      <c r="L32" s="192" t="s">
        <v>170</v>
      </c>
    </row>
    <row r="33" ht="38.25" customHeight="1" spans="1:12">
      <c r="A33" s="192">
        <v>28</v>
      </c>
      <c r="B33" s="193" t="s">
        <v>13</v>
      </c>
      <c r="C33" s="193" t="s">
        <v>62</v>
      </c>
      <c r="D33" s="194" t="s">
        <v>171</v>
      </c>
      <c r="E33" s="195"/>
      <c r="F33" s="195" t="s">
        <v>178</v>
      </c>
      <c r="G33" s="196" t="s">
        <v>179</v>
      </c>
      <c r="H33" s="196" t="s">
        <v>180</v>
      </c>
      <c r="I33" s="193" t="s">
        <v>181</v>
      </c>
      <c r="J33" s="193" t="s">
        <v>182</v>
      </c>
      <c r="K33" s="195" t="s">
        <v>183</v>
      </c>
      <c r="L33" s="192" t="s">
        <v>170</v>
      </c>
    </row>
    <row r="34" ht="38.25" customHeight="1" spans="1:12">
      <c r="A34" s="192">
        <v>29</v>
      </c>
      <c r="B34" s="193" t="s">
        <v>13</v>
      </c>
      <c r="C34" s="193" t="s">
        <v>62</v>
      </c>
      <c r="D34" s="194" t="s">
        <v>171</v>
      </c>
      <c r="E34" s="195"/>
      <c r="F34" s="195" t="s">
        <v>184</v>
      </c>
      <c r="G34" s="196" t="s">
        <v>173</v>
      </c>
      <c r="H34" s="196" t="s">
        <v>174</v>
      </c>
      <c r="I34" s="193" t="s">
        <v>185</v>
      </c>
      <c r="J34" s="193" t="s">
        <v>176</v>
      </c>
      <c r="K34" s="195" t="s">
        <v>186</v>
      </c>
      <c r="L34" s="192" t="s">
        <v>170</v>
      </c>
    </row>
    <row r="35" ht="38.25" customHeight="1" spans="1:12">
      <c r="A35" s="192">
        <v>30</v>
      </c>
      <c r="B35" s="193" t="s">
        <v>13</v>
      </c>
      <c r="C35" s="193" t="s">
        <v>62</v>
      </c>
      <c r="D35" s="194" t="s">
        <v>171</v>
      </c>
      <c r="E35" s="195"/>
      <c r="F35" s="195" t="s">
        <v>187</v>
      </c>
      <c r="G35" s="196" t="s">
        <v>179</v>
      </c>
      <c r="H35" s="196" t="s">
        <v>180</v>
      </c>
      <c r="I35" s="193" t="s">
        <v>188</v>
      </c>
      <c r="J35" s="193" t="s">
        <v>189</v>
      </c>
      <c r="K35" s="195" t="s">
        <v>190</v>
      </c>
      <c r="L35" s="192" t="s">
        <v>170</v>
      </c>
    </row>
    <row r="36" ht="38.25" customHeight="1" spans="1:12">
      <c r="A36" s="192">
        <v>31</v>
      </c>
      <c r="B36" s="193" t="s">
        <v>13</v>
      </c>
      <c r="C36" s="193" t="s">
        <v>62</v>
      </c>
      <c r="D36" s="194" t="s">
        <v>171</v>
      </c>
      <c r="E36" s="195"/>
      <c r="F36" s="195" t="s">
        <v>191</v>
      </c>
      <c r="G36" s="196" t="s">
        <v>173</v>
      </c>
      <c r="H36" s="196" t="s">
        <v>174</v>
      </c>
      <c r="I36" s="193" t="s">
        <v>192</v>
      </c>
      <c r="J36" s="193" t="s">
        <v>176</v>
      </c>
      <c r="K36" s="195" t="s">
        <v>193</v>
      </c>
      <c r="L36" s="192" t="s">
        <v>170</v>
      </c>
    </row>
    <row r="37" ht="38.25" customHeight="1" spans="1:12">
      <c r="A37" s="192">
        <v>32</v>
      </c>
      <c r="B37" s="193" t="s">
        <v>13</v>
      </c>
      <c r="C37" s="193" t="s">
        <v>62</v>
      </c>
      <c r="D37" s="194" t="s">
        <v>171</v>
      </c>
      <c r="E37" s="195"/>
      <c r="F37" s="195" t="s">
        <v>194</v>
      </c>
      <c r="G37" s="196" t="s">
        <v>173</v>
      </c>
      <c r="H37" s="196" t="s">
        <v>174</v>
      </c>
      <c r="I37" s="193" t="s">
        <v>195</v>
      </c>
      <c r="J37" s="193" t="s">
        <v>196</v>
      </c>
      <c r="K37" s="195" t="s">
        <v>197</v>
      </c>
      <c r="L37" s="192" t="s">
        <v>170</v>
      </c>
    </row>
    <row r="38" ht="38.25" customHeight="1" spans="1:12">
      <c r="A38" s="192">
        <v>33</v>
      </c>
      <c r="B38" s="193" t="s">
        <v>13</v>
      </c>
      <c r="C38" s="193" t="s">
        <v>62</v>
      </c>
      <c r="D38" s="194" t="s">
        <v>171</v>
      </c>
      <c r="E38" s="195"/>
      <c r="F38" s="195" t="s">
        <v>198</v>
      </c>
      <c r="G38" s="196" t="s">
        <v>173</v>
      </c>
      <c r="H38" s="196" t="s">
        <v>174</v>
      </c>
      <c r="I38" s="193" t="s">
        <v>199</v>
      </c>
      <c r="J38" s="193" t="s">
        <v>200</v>
      </c>
      <c r="K38" s="195" t="s">
        <v>201</v>
      </c>
      <c r="L38" s="192" t="s">
        <v>170</v>
      </c>
    </row>
    <row r="39" ht="38.25" customHeight="1" spans="1:12">
      <c r="A39" s="192">
        <v>34</v>
      </c>
      <c r="B39" s="193" t="s">
        <v>13</v>
      </c>
      <c r="C39" s="193" t="s">
        <v>62</v>
      </c>
      <c r="D39" s="194" t="s">
        <v>171</v>
      </c>
      <c r="E39" s="195"/>
      <c r="F39" s="195" t="s">
        <v>202</v>
      </c>
      <c r="G39" s="196" t="s">
        <v>173</v>
      </c>
      <c r="H39" s="196" t="s">
        <v>174</v>
      </c>
      <c r="I39" s="193" t="s">
        <v>203</v>
      </c>
      <c r="J39" s="193" t="s">
        <v>176</v>
      </c>
      <c r="K39" s="195" t="s">
        <v>204</v>
      </c>
      <c r="L39" s="192" t="s">
        <v>170</v>
      </c>
    </row>
    <row r="40" ht="38.25" customHeight="1" spans="1:12">
      <c r="A40" s="192">
        <v>35</v>
      </c>
      <c r="B40" s="193" t="s">
        <v>13</v>
      </c>
      <c r="C40" s="193" t="s">
        <v>62</v>
      </c>
      <c r="D40" s="194" t="s">
        <v>171</v>
      </c>
      <c r="E40" s="195"/>
      <c r="F40" s="195" t="s">
        <v>205</v>
      </c>
      <c r="G40" s="196" t="s">
        <v>173</v>
      </c>
      <c r="H40" s="196" t="s">
        <v>174</v>
      </c>
      <c r="I40" s="193" t="s">
        <v>206</v>
      </c>
      <c r="J40" s="193" t="s">
        <v>176</v>
      </c>
      <c r="K40" s="195" t="s">
        <v>207</v>
      </c>
      <c r="L40" s="192" t="s">
        <v>170</v>
      </c>
    </row>
    <row r="41" ht="38.25" customHeight="1" spans="1:12">
      <c r="A41" s="192">
        <v>36</v>
      </c>
      <c r="B41" s="193" t="s">
        <v>13</v>
      </c>
      <c r="C41" s="193" t="s">
        <v>62</v>
      </c>
      <c r="D41" s="194" t="s">
        <v>171</v>
      </c>
      <c r="E41" s="195"/>
      <c r="F41" s="195" t="s">
        <v>208</v>
      </c>
      <c r="G41" s="196" t="s">
        <v>173</v>
      </c>
      <c r="H41" s="196" t="s">
        <v>174</v>
      </c>
      <c r="I41" s="193" t="s">
        <v>209</v>
      </c>
      <c r="J41" s="193" t="s">
        <v>176</v>
      </c>
      <c r="K41" s="195" t="s">
        <v>210</v>
      </c>
      <c r="L41" s="192" t="s">
        <v>170</v>
      </c>
    </row>
    <row r="42" ht="38.25" customHeight="1" spans="1:12">
      <c r="A42" s="192">
        <v>37</v>
      </c>
      <c r="B42" s="193" t="s">
        <v>13</v>
      </c>
      <c r="C42" s="193" t="s">
        <v>62</v>
      </c>
      <c r="D42" s="194" t="s">
        <v>171</v>
      </c>
      <c r="E42" s="195"/>
      <c r="F42" s="195" t="s">
        <v>211</v>
      </c>
      <c r="G42" s="196" t="s">
        <v>173</v>
      </c>
      <c r="H42" s="196" t="s">
        <v>174</v>
      </c>
      <c r="I42" s="193" t="s">
        <v>212</v>
      </c>
      <c r="J42" s="193" t="s">
        <v>200</v>
      </c>
      <c r="K42" s="195" t="s">
        <v>213</v>
      </c>
      <c r="L42" s="192" t="s">
        <v>170</v>
      </c>
    </row>
    <row r="43" ht="38.25" customHeight="1" spans="1:12">
      <c r="A43" s="192">
        <v>38</v>
      </c>
      <c r="B43" s="193" t="s">
        <v>13</v>
      </c>
      <c r="C43" s="193" t="s">
        <v>62</v>
      </c>
      <c r="D43" s="194" t="s">
        <v>171</v>
      </c>
      <c r="E43" s="195"/>
      <c r="F43" s="195" t="s">
        <v>214</v>
      </c>
      <c r="G43" s="196" t="s">
        <v>173</v>
      </c>
      <c r="H43" s="196" t="s">
        <v>174</v>
      </c>
      <c r="I43" s="193" t="s">
        <v>215</v>
      </c>
      <c r="J43" s="193" t="s">
        <v>196</v>
      </c>
      <c r="K43" s="195" t="s">
        <v>216</v>
      </c>
      <c r="L43" s="192" t="s">
        <v>170</v>
      </c>
    </row>
    <row r="44" ht="38.25" customHeight="1" spans="1:12">
      <c r="A44" s="192">
        <v>39</v>
      </c>
      <c r="B44" s="193" t="s">
        <v>13</v>
      </c>
      <c r="C44" s="193" t="s">
        <v>62</v>
      </c>
      <c r="D44" s="194" t="s">
        <v>171</v>
      </c>
      <c r="E44" s="195"/>
      <c r="F44" s="195" t="s">
        <v>217</v>
      </c>
      <c r="G44" s="196" t="s">
        <v>173</v>
      </c>
      <c r="H44" s="196" t="s">
        <v>174</v>
      </c>
      <c r="I44" s="193" t="s">
        <v>218</v>
      </c>
      <c r="J44" s="193" t="s">
        <v>219</v>
      </c>
      <c r="K44" s="195" t="s">
        <v>220</v>
      </c>
      <c r="L44" s="192" t="s">
        <v>170</v>
      </c>
    </row>
    <row r="45" ht="38.25" customHeight="1" spans="1:12">
      <c r="A45" s="192">
        <v>40</v>
      </c>
      <c r="B45" s="193" t="s">
        <v>13</v>
      </c>
      <c r="C45" s="193" t="s">
        <v>62</v>
      </c>
      <c r="D45" s="194" t="s">
        <v>171</v>
      </c>
      <c r="E45" s="195"/>
      <c r="F45" s="195" t="s">
        <v>221</v>
      </c>
      <c r="G45" s="196" t="s">
        <v>173</v>
      </c>
      <c r="H45" s="196" t="s">
        <v>174</v>
      </c>
      <c r="I45" s="193" t="s">
        <v>222</v>
      </c>
      <c r="J45" s="193" t="s">
        <v>223</v>
      </c>
      <c r="K45" s="195" t="s">
        <v>224</v>
      </c>
      <c r="L45" s="192" t="s">
        <v>170</v>
      </c>
    </row>
    <row r="46" ht="38.25" customHeight="1" spans="1:12">
      <c r="A46" s="192">
        <v>41</v>
      </c>
      <c r="B46" s="193" t="s">
        <v>13</v>
      </c>
      <c r="C46" s="193" t="s">
        <v>62</v>
      </c>
      <c r="D46" s="194" t="s">
        <v>171</v>
      </c>
      <c r="E46" s="195"/>
      <c r="F46" s="195" t="s">
        <v>225</v>
      </c>
      <c r="G46" s="196" t="s">
        <v>173</v>
      </c>
      <c r="H46" s="196" t="s">
        <v>174</v>
      </c>
      <c r="I46" s="193" t="s">
        <v>226</v>
      </c>
      <c r="J46" s="193" t="s">
        <v>200</v>
      </c>
      <c r="K46" s="195" t="s">
        <v>227</v>
      </c>
      <c r="L46" s="192" t="s">
        <v>170</v>
      </c>
    </row>
    <row r="48" ht="63.75" customHeight="1"/>
  </sheetData>
  <mergeCells count="1">
    <mergeCell ref="A1:L1"/>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5"/>
  <sheetViews>
    <sheetView zoomScale="40" zoomScaleNormal="40" zoomScaleSheetLayoutView="60" workbookViewId="0">
      <pane xSplit="2" ySplit="1" topLeftCell="C45" activePane="bottomRight" state="frozen"/>
      <selection/>
      <selection pane="topRight"/>
      <selection pane="bottomLeft"/>
      <selection pane="bottomRight" activeCell="A84" sqref="A84:A85"/>
    </sheetView>
  </sheetViews>
  <sheetFormatPr defaultColWidth="12" defaultRowHeight="12.5"/>
  <cols>
    <col min="1" max="1" width="13.7545454545455" style="44" customWidth="1"/>
    <col min="2" max="2" width="20.6272727272727" style="44" customWidth="1"/>
    <col min="3" max="5" width="14.5" style="44" customWidth="1"/>
    <col min="6" max="6" width="12" style="44" customWidth="1"/>
    <col min="7" max="7" width="55.5" style="44" customWidth="1"/>
    <col min="8" max="8" width="20.2545454545455" style="44" customWidth="1"/>
    <col min="9" max="9" width="8.62727272727273" style="44" customWidth="1"/>
    <col min="10" max="11" width="10.3727272727273" style="44" customWidth="1"/>
    <col min="12" max="12" width="7.12727272727273" style="44" customWidth="1"/>
    <col min="13" max="13" width="9.16363636363636" style="44" customWidth="1"/>
    <col min="14" max="14" width="15.1454545454545" style="44" customWidth="1"/>
    <col min="15" max="17" width="14.0272727272727" style="44" customWidth="1"/>
    <col min="18" max="255" width="11.8727272727273" style="44" customWidth="1"/>
    <col min="256" max="16384" width="11.8727272727273" style="44"/>
  </cols>
  <sheetData>
    <row r="1" s="171" customFormat="1" ht="26" spans="1:19">
      <c r="A1" s="172" t="s">
        <v>228</v>
      </c>
      <c r="B1" s="172" t="s">
        <v>229</v>
      </c>
      <c r="C1" s="172" t="s">
        <v>230</v>
      </c>
      <c r="D1" s="172" t="s">
        <v>231</v>
      </c>
      <c r="E1" s="172" t="s">
        <v>232</v>
      </c>
      <c r="F1" s="172" t="s">
        <v>233</v>
      </c>
      <c r="G1" s="173" t="s">
        <v>234</v>
      </c>
      <c r="H1" s="172" t="s">
        <v>10</v>
      </c>
      <c r="I1" s="172" t="s">
        <v>235</v>
      </c>
      <c r="J1" s="172" t="s">
        <v>236</v>
      </c>
      <c r="K1" s="172" t="s">
        <v>237</v>
      </c>
      <c r="L1" s="172" t="s">
        <v>238</v>
      </c>
      <c r="M1" s="172" t="s">
        <v>239</v>
      </c>
      <c r="N1" s="172" t="s">
        <v>240</v>
      </c>
      <c r="O1" s="172" t="s">
        <v>241</v>
      </c>
      <c r="P1" s="172" t="s">
        <v>242</v>
      </c>
      <c r="Q1" s="172" t="s">
        <v>243</v>
      </c>
      <c r="R1" s="171" t="s">
        <v>244</v>
      </c>
      <c r="S1" s="171" t="s">
        <v>245</v>
      </c>
    </row>
    <row r="2" spans="1:17">
      <c r="A2" s="174" t="s">
        <v>246</v>
      </c>
      <c r="B2" s="174" t="s">
        <v>247</v>
      </c>
      <c r="C2" s="174" t="s">
        <v>13</v>
      </c>
      <c r="D2" s="174" t="s">
        <v>13</v>
      </c>
      <c r="E2" s="174" t="s">
        <v>248</v>
      </c>
      <c r="F2" s="174" t="s">
        <v>249</v>
      </c>
      <c r="G2" s="175" t="s">
        <v>250</v>
      </c>
      <c r="H2" s="174" t="s">
        <v>25</v>
      </c>
      <c r="I2" s="179">
        <v>45211</v>
      </c>
      <c r="J2" s="174" t="s">
        <v>251</v>
      </c>
      <c r="K2" s="174" t="s">
        <v>252</v>
      </c>
      <c r="L2" s="174" t="s">
        <v>253</v>
      </c>
      <c r="M2" s="174" t="s">
        <v>254</v>
      </c>
      <c r="N2" s="174" t="s">
        <v>255</v>
      </c>
      <c r="O2" s="174" t="s">
        <v>256</v>
      </c>
      <c r="P2" s="174" t="s">
        <v>257</v>
      </c>
      <c r="Q2" s="174"/>
    </row>
    <row r="3" spans="1:17">
      <c r="A3" s="176"/>
      <c r="B3" s="176"/>
      <c r="C3" s="176"/>
      <c r="D3" s="176"/>
      <c r="E3" s="176"/>
      <c r="F3" s="176"/>
      <c r="G3" s="175" t="s">
        <v>258</v>
      </c>
      <c r="H3" s="176"/>
      <c r="I3" s="176"/>
      <c r="J3" s="176"/>
      <c r="K3" s="176"/>
      <c r="L3" s="176"/>
      <c r="M3" s="176"/>
      <c r="N3" s="176"/>
      <c r="O3" s="176"/>
      <c r="P3" s="176"/>
      <c r="Q3" s="176"/>
    </row>
    <row r="4" spans="1:17">
      <c r="A4" s="176"/>
      <c r="B4" s="176"/>
      <c r="C4" s="176"/>
      <c r="D4" s="176"/>
      <c r="E4" s="176"/>
      <c r="F4" s="176"/>
      <c r="G4" s="175" t="s">
        <v>259</v>
      </c>
      <c r="H4" s="176"/>
      <c r="I4" s="176"/>
      <c r="J4" s="176"/>
      <c r="K4" s="176"/>
      <c r="L4" s="176"/>
      <c r="M4" s="176"/>
      <c r="N4" s="176"/>
      <c r="O4" s="176"/>
      <c r="P4" s="176"/>
      <c r="Q4" s="176"/>
    </row>
    <row r="5" spans="1:17">
      <c r="A5" s="176"/>
      <c r="B5" s="176"/>
      <c r="C5" s="176"/>
      <c r="D5" s="176"/>
      <c r="E5" s="176"/>
      <c r="F5" s="176"/>
      <c r="G5" s="175" t="s">
        <v>260</v>
      </c>
      <c r="H5" s="176"/>
      <c r="I5" s="176"/>
      <c r="J5" s="176"/>
      <c r="K5" s="176"/>
      <c r="L5" s="176"/>
      <c r="M5" s="176"/>
      <c r="N5" s="176"/>
      <c r="O5" s="176"/>
      <c r="P5" s="176"/>
      <c r="Q5" s="176"/>
    </row>
    <row r="6" spans="1:17">
      <c r="A6" s="176"/>
      <c r="B6" s="176"/>
      <c r="C6" s="176"/>
      <c r="D6" s="176"/>
      <c r="E6" s="176"/>
      <c r="F6" s="176"/>
      <c r="G6" s="175" t="s">
        <v>261</v>
      </c>
      <c r="H6" s="176"/>
      <c r="I6" s="176"/>
      <c r="J6" s="176"/>
      <c r="K6" s="176"/>
      <c r="L6" s="176"/>
      <c r="M6" s="176"/>
      <c r="N6" s="176"/>
      <c r="O6" s="176"/>
      <c r="P6" s="176"/>
      <c r="Q6" s="176"/>
    </row>
    <row r="7" spans="1:17">
      <c r="A7" s="176"/>
      <c r="B7" s="176"/>
      <c r="C7" s="176"/>
      <c r="D7" s="176"/>
      <c r="E7" s="176"/>
      <c r="F7" s="176"/>
      <c r="G7" s="175" t="s">
        <v>262</v>
      </c>
      <c r="H7" s="176"/>
      <c r="I7" s="176"/>
      <c r="J7" s="176"/>
      <c r="K7" s="176"/>
      <c r="L7" s="176"/>
      <c r="M7" s="176"/>
      <c r="N7" s="176"/>
      <c r="O7" s="176"/>
      <c r="P7" s="176"/>
      <c r="Q7" s="176"/>
    </row>
    <row r="8" spans="1:17">
      <c r="A8" s="176"/>
      <c r="B8" s="176"/>
      <c r="C8" s="176"/>
      <c r="D8" s="176"/>
      <c r="E8" s="176"/>
      <c r="F8" s="176"/>
      <c r="G8" s="175" t="s">
        <v>263</v>
      </c>
      <c r="H8" s="176"/>
      <c r="I8" s="176"/>
      <c r="J8" s="176"/>
      <c r="K8" s="176"/>
      <c r="L8" s="176"/>
      <c r="M8" s="176"/>
      <c r="N8" s="176"/>
      <c r="O8" s="176"/>
      <c r="P8" s="176"/>
      <c r="Q8" s="176"/>
    </row>
    <row r="9" spans="1:17">
      <c r="A9" s="176"/>
      <c r="B9" s="176"/>
      <c r="C9" s="176"/>
      <c r="D9" s="176"/>
      <c r="E9" s="176"/>
      <c r="F9" s="176"/>
      <c r="G9" s="175" t="s">
        <v>264</v>
      </c>
      <c r="H9" s="176"/>
      <c r="I9" s="176"/>
      <c r="J9" s="176"/>
      <c r="K9" s="176"/>
      <c r="L9" s="176"/>
      <c r="M9" s="176"/>
      <c r="N9" s="176"/>
      <c r="O9" s="176"/>
      <c r="P9" s="176"/>
      <c r="Q9" s="176"/>
    </row>
    <row r="10" spans="1:17">
      <c r="A10" s="176"/>
      <c r="B10" s="176"/>
      <c r="C10" s="176"/>
      <c r="D10" s="176"/>
      <c r="E10" s="176"/>
      <c r="F10" s="176"/>
      <c r="G10" s="175" t="s">
        <v>265</v>
      </c>
      <c r="H10" s="176"/>
      <c r="I10" s="176"/>
      <c r="J10" s="176"/>
      <c r="K10" s="176"/>
      <c r="L10" s="176"/>
      <c r="M10" s="176"/>
      <c r="N10" s="176"/>
      <c r="O10" s="176"/>
      <c r="P10" s="176"/>
      <c r="Q10" s="176"/>
    </row>
    <row r="11" spans="1:17">
      <c r="A11" s="176"/>
      <c r="B11" s="176"/>
      <c r="C11" s="176"/>
      <c r="D11" s="176"/>
      <c r="E11" s="176"/>
      <c r="F11" s="176"/>
      <c r="G11" s="175" t="s">
        <v>266</v>
      </c>
      <c r="H11" s="176"/>
      <c r="I11" s="176"/>
      <c r="J11" s="176"/>
      <c r="K11" s="176"/>
      <c r="L11" s="176"/>
      <c r="M11" s="176"/>
      <c r="N11" s="176"/>
      <c r="O11" s="176"/>
      <c r="P11" s="176"/>
      <c r="Q11" s="176"/>
    </row>
    <row r="12" ht="29" spans="1:17">
      <c r="A12" s="174" t="s">
        <v>267</v>
      </c>
      <c r="B12" s="174" t="s">
        <v>268</v>
      </c>
      <c r="C12" s="174" t="s">
        <v>13</v>
      </c>
      <c r="D12" s="174" t="s">
        <v>13</v>
      </c>
      <c r="E12" s="174" t="s">
        <v>248</v>
      </c>
      <c r="F12" s="174" t="s">
        <v>249</v>
      </c>
      <c r="G12" s="175" t="s">
        <v>269</v>
      </c>
      <c r="H12" s="174" t="s">
        <v>25</v>
      </c>
      <c r="I12" s="179">
        <v>45211</v>
      </c>
      <c r="J12" s="174" t="s">
        <v>251</v>
      </c>
      <c r="K12" s="174" t="s">
        <v>252</v>
      </c>
      <c r="L12" s="174" t="s">
        <v>253</v>
      </c>
      <c r="M12" s="174" t="s">
        <v>270</v>
      </c>
      <c r="N12" s="174" t="s">
        <v>271</v>
      </c>
      <c r="O12" s="174" t="s">
        <v>272</v>
      </c>
      <c r="P12" s="180" t="s">
        <v>273</v>
      </c>
      <c r="Q12" s="174"/>
    </row>
    <row r="13" ht="29" spans="1:17">
      <c r="A13" s="176"/>
      <c r="B13" s="176"/>
      <c r="C13" s="176"/>
      <c r="D13" s="176"/>
      <c r="E13" s="176"/>
      <c r="F13" s="176"/>
      <c r="G13" s="175" t="s">
        <v>274</v>
      </c>
      <c r="H13" s="176"/>
      <c r="I13" s="176"/>
      <c r="J13" s="176"/>
      <c r="K13" s="176"/>
      <c r="L13" s="176"/>
      <c r="M13" s="176"/>
      <c r="N13" s="176"/>
      <c r="O13" s="176"/>
      <c r="P13" s="176"/>
      <c r="Q13" s="176"/>
    </row>
    <row r="14" ht="29" spans="1:17">
      <c r="A14" s="176"/>
      <c r="B14" s="176"/>
      <c r="C14" s="176"/>
      <c r="D14" s="176"/>
      <c r="E14" s="176"/>
      <c r="F14" s="176"/>
      <c r="G14" s="175" t="s">
        <v>275</v>
      </c>
      <c r="H14" s="176"/>
      <c r="I14" s="176"/>
      <c r="J14" s="176"/>
      <c r="K14" s="176"/>
      <c r="L14" s="176"/>
      <c r="M14" s="176"/>
      <c r="N14" s="176"/>
      <c r="O14" s="176"/>
      <c r="P14" s="176"/>
      <c r="Q14" s="176"/>
    </row>
    <row r="15" ht="29" spans="1:17">
      <c r="A15" s="176"/>
      <c r="B15" s="176"/>
      <c r="C15" s="176"/>
      <c r="D15" s="176"/>
      <c r="E15" s="176"/>
      <c r="F15" s="176"/>
      <c r="G15" s="175" t="s">
        <v>276</v>
      </c>
      <c r="H15" s="176"/>
      <c r="I15" s="176"/>
      <c r="J15" s="176"/>
      <c r="K15" s="176"/>
      <c r="L15" s="176"/>
      <c r="M15" s="176"/>
      <c r="N15" s="176"/>
      <c r="O15" s="176"/>
      <c r="P15" s="176"/>
      <c r="Q15" s="176"/>
    </row>
    <row r="16" ht="29" spans="1:17">
      <c r="A16" s="176"/>
      <c r="B16" s="176"/>
      <c r="C16" s="176"/>
      <c r="D16" s="176"/>
      <c r="E16" s="176"/>
      <c r="F16" s="176"/>
      <c r="G16" s="175" t="s">
        <v>277</v>
      </c>
      <c r="H16" s="176"/>
      <c r="I16" s="176"/>
      <c r="J16" s="176"/>
      <c r="K16" s="176"/>
      <c r="L16" s="176"/>
      <c r="M16" s="176"/>
      <c r="N16" s="176"/>
      <c r="O16" s="176"/>
      <c r="P16" s="176"/>
      <c r="Q16" s="176"/>
    </row>
    <row r="17" ht="29" spans="1:17">
      <c r="A17" s="176"/>
      <c r="B17" s="176"/>
      <c r="C17" s="176"/>
      <c r="D17" s="176"/>
      <c r="E17" s="176"/>
      <c r="F17" s="176"/>
      <c r="G17" s="175" t="s">
        <v>278</v>
      </c>
      <c r="H17" s="176"/>
      <c r="I17" s="176"/>
      <c r="J17" s="176"/>
      <c r="K17" s="176"/>
      <c r="L17" s="176"/>
      <c r="M17" s="176"/>
      <c r="N17" s="176"/>
      <c r="O17" s="176"/>
      <c r="P17" s="176"/>
      <c r="Q17" s="176"/>
    </row>
    <row r="18" ht="27" spans="1:17">
      <c r="A18" s="176"/>
      <c r="B18" s="176"/>
      <c r="C18" s="176"/>
      <c r="D18" s="176"/>
      <c r="E18" s="176"/>
      <c r="F18" s="176"/>
      <c r="G18" s="175" t="s">
        <v>279</v>
      </c>
      <c r="H18" s="176"/>
      <c r="I18" s="176"/>
      <c r="J18" s="176"/>
      <c r="K18" s="176"/>
      <c r="L18" s="176"/>
      <c r="M18" s="176"/>
      <c r="N18" s="176"/>
      <c r="O18" s="176"/>
      <c r="P18" s="176"/>
      <c r="Q18" s="176"/>
    </row>
    <row r="19" ht="25" spans="1:17">
      <c r="A19" s="176"/>
      <c r="B19" s="176"/>
      <c r="C19" s="176"/>
      <c r="D19" s="176"/>
      <c r="E19" s="176"/>
      <c r="F19" s="176"/>
      <c r="G19" s="175" t="s">
        <v>280</v>
      </c>
      <c r="H19" s="176"/>
      <c r="I19" s="176"/>
      <c r="J19" s="176"/>
      <c r="K19" s="176"/>
      <c r="L19" s="176"/>
      <c r="M19" s="176"/>
      <c r="N19" s="176"/>
      <c r="O19" s="176"/>
      <c r="P19" s="176"/>
      <c r="Q19" s="176"/>
    </row>
    <row r="20" ht="28" customHeight="1" spans="1:17">
      <c r="A20" s="176"/>
      <c r="B20" s="176"/>
      <c r="C20" s="176"/>
      <c r="D20" s="176"/>
      <c r="E20" s="176"/>
      <c r="F20" s="176"/>
      <c r="G20" s="175" t="s">
        <v>281</v>
      </c>
      <c r="H20" s="176"/>
      <c r="I20" s="176"/>
      <c r="J20" s="176"/>
      <c r="K20" s="176"/>
      <c r="L20" s="176"/>
      <c r="M20" s="176"/>
      <c r="N20" s="176"/>
      <c r="O20" s="176"/>
      <c r="P20" s="176"/>
      <c r="Q20" s="176"/>
    </row>
    <row r="21" ht="28" customHeight="1" spans="1:17">
      <c r="A21" s="176"/>
      <c r="B21" s="176"/>
      <c r="C21" s="176"/>
      <c r="D21" s="176"/>
      <c r="E21" s="176"/>
      <c r="F21" s="176"/>
      <c r="G21" s="175" t="s">
        <v>282</v>
      </c>
      <c r="H21" s="176"/>
      <c r="I21" s="176"/>
      <c r="J21" s="176"/>
      <c r="K21" s="176"/>
      <c r="L21" s="176"/>
      <c r="M21" s="176"/>
      <c r="N21" s="176"/>
      <c r="O21" s="176"/>
      <c r="P21" s="176"/>
      <c r="Q21" s="176"/>
    </row>
    <row r="22" ht="28" customHeight="1" spans="1:17">
      <c r="A22" s="176"/>
      <c r="B22" s="176"/>
      <c r="C22" s="176"/>
      <c r="D22" s="176"/>
      <c r="E22" s="176"/>
      <c r="F22" s="176"/>
      <c r="G22" s="175" t="s">
        <v>283</v>
      </c>
      <c r="H22" s="176"/>
      <c r="I22" s="176"/>
      <c r="J22" s="176"/>
      <c r="K22" s="176"/>
      <c r="L22" s="176"/>
      <c r="M22" s="176"/>
      <c r="N22" s="176"/>
      <c r="O22" s="176"/>
      <c r="P22" s="176"/>
      <c r="Q22" s="176"/>
    </row>
    <row r="23" ht="28" customHeight="1" spans="1:17">
      <c r="A23" s="176"/>
      <c r="B23" s="176"/>
      <c r="C23" s="176"/>
      <c r="D23" s="176"/>
      <c r="E23" s="176"/>
      <c r="F23" s="176"/>
      <c r="G23" s="175" t="s">
        <v>284</v>
      </c>
      <c r="H23" s="176"/>
      <c r="I23" s="176"/>
      <c r="J23" s="176"/>
      <c r="K23" s="176"/>
      <c r="L23" s="176"/>
      <c r="M23" s="176"/>
      <c r="N23" s="176"/>
      <c r="O23" s="176"/>
      <c r="P23" s="176"/>
      <c r="Q23" s="176"/>
    </row>
    <row r="24" ht="28" customHeight="1" spans="1:17">
      <c r="A24" s="176"/>
      <c r="B24" s="176"/>
      <c r="C24" s="176"/>
      <c r="D24" s="176"/>
      <c r="E24" s="176"/>
      <c r="F24" s="176"/>
      <c r="G24" s="175" t="s">
        <v>285</v>
      </c>
      <c r="H24" s="176"/>
      <c r="I24" s="176"/>
      <c r="J24" s="176"/>
      <c r="K24" s="176"/>
      <c r="L24" s="176"/>
      <c r="M24" s="176"/>
      <c r="N24" s="176"/>
      <c r="O24" s="176"/>
      <c r="P24" s="176"/>
      <c r="Q24" s="176"/>
    </row>
    <row r="25" ht="28" customHeight="1" spans="1:17">
      <c r="A25" s="177"/>
      <c r="B25" s="177"/>
      <c r="C25" s="177"/>
      <c r="D25" s="177"/>
      <c r="E25" s="177"/>
      <c r="F25" s="177"/>
      <c r="G25" s="178" t="s">
        <v>286</v>
      </c>
      <c r="H25" s="177"/>
      <c r="I25" s="177"/>
      <c r="J25" s="177"/>
      <c r="K25" s="177"/>
      <c r="L25" s="177"/>
      <c r="M25" s="177"/>
      <c r="N25" s="177"/>
      <c r="O25" s="177"/>
      <c r="P25" s="177"/>
      <c r="Q25" s="177"/>
    </row>
    <row r="26" spans="1:17">
      <c r="A26" s="174" t="s">
        <v>287</v>
      </c>
      <c r="B26" s="174" t="s">
        <v>288</v>
      </c>
      <c r="C26" s="174" t="s">
        <v>13</v>
      </c>
      <c r="D26" s="174" t="s">
        <v>13</v>
      </c>
      <c r="E26" s="174" t="s">
        <v>248</v>
      </c>
      <c r="F26" s="174" t="s">
        <v>249</v>
      </c>
      <c r="G26" s="175" t="s">
        <v>289</v>
      </c>
      <c r="H26" s="174" t="s">
        <v>25</v>
      </c>
      <c r="I26" s="179">
        <v>45156</v>
      </c>
      <c r="J26" s="174" t="s">
        <v>290</v>
      </c>
      <c r="K26" s="174" t="s">
        <v>291</v>
      </c>
      <c r="L26" s="174" t="s">
        <v>253</v>
      </c>
      <c r="M26" s="174" t="s">
        <v>292</v>
      </c>
      <c r="N26" s="174" t="s">
        <v>293</v>
      </c>
      <c r="O26" s="174" t="s">
        <v>294</v>
      </c>
      <c r="P26" s="174"/>
      <c r="Q26" s="174"/>
    </row>
    <row r="27" spans="1:17">
      <c r="A27" s="176"/>
      <c r="B27" s="176"/>
      <c r="C27" s="176"/>
      <c r="D27" s="176"/>
      <c r="E27" s="176"/>
      <c r="F27" s="176"/>
      <c r="G27" s="175" t="s">
        <v>295</v>
      </c>
      <c r="H27" s="176"/>
      <c r="I27" s="176"/>
      <c r="J27" s="176"/>
      <c r="K27" s="176"/>
      <c r="L27" s="176"/>
      <c r="M27" s="176"/>
      <c r="N27" s="176"/>
      <c r="O27" s="176"/>
      <c r="P27" s="176"/>
      <c r="Q27" s="176"/>
    </row>
    <row r="28" spans="1:17">
      <c r="A28" s="176"/>
      <c r="B28" s="176"/>
      <c r="C28" s="176"/>
      <c r="D28" s="176"/>
      <c r="E28" s="176"/>
      <c r="F28" s="176"/>
      <c r="G28" s="175" t="s">
        <v>296</v>
      </c>
      <c r="H28" s="176"/>
      <c r="I28" s="176"/>
      <c r="J28" s="176"/>
      <c r="K28" s="176"/>
      <c r="L28" s="176"/>
      <c r="M28" s="176"/>
      <c r="N28" s="176"/>
      <c r="O28" s="176"/>
      <c r="P28" s="176"/>
      <c r="Q28" s="176"/>
    </row>
    <row r="29" spans="1:17">
      <c r="A29" s="176"/>
      <c r="B29" s="176"/>
      <c r="C29" s="176"/>
      <c r="D29" s="176"/>
      <c r="E29" s="176"/>
      <c r="F29" s="176"/>
      <c r="G29" s="175" t="s">
        <v>297</v>
      </c>
      <c r="H29" s="176"/>
      <c r="I29" s="176"/>
      <c r="J29" s="176"/>
      <c r="K29" s="176"/>
      <c r="L29" s="176"/>
      <c r="M29" s="176"/>
      <c r="N29" s="176"/>
      <c r="O29" s="176"/>
      <c r="P29" s="176"/>
      <c r="Q29" s="176"/>
    </row>
    <row r="30" spans="1:17">
      <c r="A30" s="176"/>
      <c r="B30" s="176"/>
      <c r="C30" s="176"/>
      <c r="D30" s="176"/>
      <c r="E30" s="176"/>
      <c r="F30" s="176"/>
      <c r="G30" s="175" t="s">
        <v>298</v>
      </c>
      <c r="H30" s="176"/>
      <c r="I30" s="176"/>
      <c r="J30" s="176"/>
      <c r="K30" s="176"/>
      <c r="L30" s="176"/>
      <c r="M30" s="176"/>
      <c r="N30" s="176"/>
      <c r="O30" s="176"/>
      <c r="P30" s="176"/>
      <c r="Q30" s="176"/>
    </row>
    <row r="31" spans="1:17">
      <c r="A31" s="176"/>
      <c r="B31" s="176"/>
      <c r="C31" s="176"/>
      <c r="D31" s="176"/>
      <c r="E31" s="176"/>
      <c r="F31" s="176"/>
      <c r="G31" s="175" t="s">
        <v>299</v>
      </c>
      <c r="H31" s="176"/>
      <c r="I31" s="176"/>
      <c r="J31" s="176"/>
      <c r="K31" s="176"/>
      <c r="L31" s="176"/>
      <c r="M31" s="176"/>
      <c r="N31" s="176"/>
      <c r="O31" s="176"/>
      <c r="P31" s="176"/>
      <c r="Q31" s="176"/>
    </row>
    <row r="32" spans="1:17">
      <c r="A32" s="177"/>
      <c r="B32" s="177"/>
      <c r="C32" s="177"/>
      <c r="D32" s="177"/>
      <c r="E32" s="177"/>
      <c r="F32" s="177"/>
      <c r="G32" s="175" t="s">
        <v>300</v>
      </c>
      <c r="H32" s="177"/>
      <c r="I32" s="177"/>
      <c r="J32" s="177"/>
      <c r="K32" s="177"/>
      <c r="L32" s="177"/>
      <c r="M32" s="177"/>
      <c r="N32" s="177"/>
      <c r="O32" s="177"/>
      <c r="P32" s="177"/>
      <c r="Q32" s="177"/>
    </row>
    <row r="33" ht="18" customHeight="1" spans="1:17">
      <c r="A33" s="174" t="s">
        <v>301</v>
      </c>
      <c r="B33" s="174" t="s">
        <v>302</v>
      </c>
      <c r="C33" s="174" t="s">
        <v>13</v>
      </c>
      <c r="D33" s="174" t="s">
        <v>13</v>
      </c>
      <c r="E33" s="174" t="s">
        <v>248</v>
      </c>
      <c r="F33" s="174" t="s">
        <v>249</v>
      </c>
      <c r="G33" s="175" t="s">
        <v>303</v>
      </c>
      <c r="H33" s="174" t="s">
        <v>82</v>
      </c>
      <c r="I33" s="174" t="s">
        <v>304</v>
      </c>
      <c r="J33" s="174" t="s">
        <v>305</v>
      </c>
      <c r="K33" s="174" t="s">
        <v>306</v>
      </c>
      <c r="L33" s="174" t="s">
        <v>253</v>
      </c>
      <c r="M33" s="174" t="s">
        <v>307</v>
      </c>
      <c r="N33" s="174" t="s">
        <v>308</v>
      </c>
      <c r="O33" s="174" t="s">
        <v>309</v>
      </c>
      <c r="P33" s="174"/>
      <c r="Q33" s="174"/>
    </row>
    <row r="34" ht="18" customHeight="1" spans="1:17">
      <c r="A34" s="176"/>
      <c r="B34" s="176"/>
      <c r="C34" s="176"/>
      <c r="D34" s="176"/>
      <c r="E34" s="176"/>
      <c r="F34" s="176"/>
      <c r="G34" s="175" t="s">
        <v>310</v>
      </c>
      <c r="H34" s="176"/>
      <c r="I34" s="176"/>
      <c r="J34" s="176"/>
      <c r="K34" s="176"/>
      <c r="L34" s="176"/>
      <c r="M34" s="176"/>
      <c r="N34" s="176"/>
      <c r="O34" s="176"/>
      <c r="P34" s="176"/>
      <c r="Q34" s="176"/>
    </row>
    <row r="35" ht="18" customHeight="1" spans="1:17">
      <c r="A35" s="177"/>
      <c r="B35" s="177"/>
      <c r="C35" s="177"/>
      <c r="D35" s="177"/>
      <c r="E35" s="177"/>
      <c r="F35" s="177"/>
      <c r="G35" s="175" t="s">
        <v>311</v>
      </c>
      <c r="H35" s="177"/>
      <c r="I35" s="177"/>
      <c r="J35" s="177"/>
      <c r="K35" s="177"/>
      <c r="L35" s="177"/>
      <c r="M35" s="177"/>
      <c r="N35" s="177"/>
      <c r="O35" s="177"/>
      <c r="P35" s="177"/>
      <c r="Q35" s="177"/>
    </row>
    <row r="36" ht="64" spans="1:19">
      <c r="A36" s="175" t="s">
        <v>312</v>
      </c>
      <c r="B36" s="175" t="s">
        <v>313</v>
      </c>
      <c r="C36" s="175" t="s">
        <v>13</v>
      </c>
      <c r="D36" s="175" t="s">
        <v>13</v>
      </c>
      <c r="E36" s="175" t="s">
        <v>248</v>
      </c>
      <c r="F36" s="175" t="s">
        <v>314</v>
      </c>
      <c r="G36" s="175" t="s">
        <v>315</v>
      </c>
      <c r="H36" s="175" t="s">
        <v>316</v>
      </c>
      <c r="I36" s="181">
        <v>45470</v>
      </c>
      <c r="J36" s="175" t="s">
        <v>317</v>
      </c>
      <c r="K36" s="175" t="s">
        <v>318</v>
      </c>
      <c r="L36" s="175" t="s">
        <v>253</v>
      </c>
      <c r="M36" s="175" t="s">
        <v>319</v>
      </c>
      <c r="N36" s="175" t="s">
        <v>320</v>
      </c>
      <c r="O36" s="175"/>
      <c r="P36" s="175"/>
      <c r="Q36" s="175"/>
      <c r="R36" s="44">
        <v>950</v>
      </c>
      <c r="S36" s="44">
        <v>519</v>
      </c>
    </row>
    <row r="37" ht="64" spans="1:19">
      <c r="A37" s="175" t="s">
        <v>321</v>
      </c>
      <c r="B37" s="175" t="s">
        <v>313</v>
      </c>
      <c r="C37" s="175" t="s">
        <v>13</v>
      </c>
      <c r="D37" s="175" t="s">
        <v>13</v>
      </c>
      <c r="E37" s="175" t="s">
        <v>248</v>
      </c>
      <c r="F37" s="175" t="s">
        <v>314</v>
      </c>
      <c r="G37" s="175" t="s">
        <v>322</v>
      </c>
      <c r="H37" s="175" t="s">
        <v>316</v>
      </c>
      <c r="I37" s="181">
        <v>45470</v>
      </c>
      <c r="J37" s="175" t="s">
        <v>317</v>
      </c>
      <c r="K37" s="175" t="s">
        <v>318</v>
      </c>
      <c r="L37" s="175" t="s">
        <v>253</v>
      </c>
      <c r="M37" s="175" t="s">
        <v>323</v>
      </c>
      <c r="N37" s="175" t="s">
        <v>320</v>
      </c>
      <c r="O37" s="175"/>
      <c r="P37" s="175"/>
      <c r="Q37" s="175"/>
      <c r="R37" s="44">
        <v>0</v>
      </c>
      <c r="S37" s="44">
        <v>0</v>
      </c>
    </row>
    <row r="38" ht="32" customHeight="1" spans="1:19">
      <c r="A38" s="174" t="s">
        <v>324</v>
      </c>
      <c r="B38" s="174" t="s">
        <v>313</v>
      </c>
      <c r="C38" s="174" t="s">
        <v>13</v>
      </c>
      <c r="D38" s="174" t="s">
        <v>13</v>
      </c>
      <c r="E38" s="174" t="s">
        <v>248</v>
      </c>
      <c r="F38" s="174" t="s">
        <v>314</v>
      </c>
      <c r="G38" s="175" t="s">
        <v>325</v>
      </c>
      <c r="H38" s="174" t="s">
        <v>316</v>
      </c>
      <c r="I38" s="179">
        <v>45470</v>
      </c>
      <c r="J38" s="174" t="s">
        <v>317</v>
      </c>
      <c r="K38" s="174" t="s">
        <v>318</v>
      </c>
      <c r="L38" s="174" t="s">
        <v>253</v>
      </c>
      <c r="M38" s="174" t="s">
        <v>326</v>
      </c>
      <c r="N38" s="174" t="s">
        <v>320</v>
      </c>
      <c r="O38" s="174"/>
      <c r="P38" s="174"/>
      <c r="Q38" s="174"/>
      <c r="R38" s="44">
        <v>0</v>
      </c>
      <c r="S38" s="44">
        <v>10</v>
      </c>
    </row>
    <row r="39" ht="32" customHeight="1" spans="1:19">
      <c r="A39" s="177"/>
      <c r="B39" s="177"/>
      <c r="C39" s="177"/>
      <c r="D39" s="177"/>
      <c r="E39" s="177"/>
      <c r="F39" s="177"/>
      <c r="G39" s="175" t="s">
        <v>327</v>
      </c>
      <c r="H39" s="177"/>
      <c r="I39" s="182"/>
      <c r="J39" s="177"/>
      <c r="K39" s="177"/>
      <c r="L39" s="177"/>
      <c r="M39" s="177"/>
      <c r="N39" s="177"/>
      <c r="O39" s="177"/>
      <c r="P39" s="177"/>
      <c r="Q39" s="177"/>
      <c r="R39" s="44">
        <v>0</v>
      </c>
      <c r="S39" s="44">
        <v>10</v>
      </c>
    </row>
    <row r="40" ht="22" customHeight="1" spans="1:17">
      <c r="A40" s="174" t="s">
        <v>328</v>
      </c>
      <c r="B40" s="174" t="s">
        <v>329</v>
      </c>
      <c r="C40" s="174" t="s">
        <v>13</v>
      </c>
      <c r="D40" s="174" t="s">
        <v>13</v>
      </c>
      <c r="E40" s="174" t="s">
        <v>248</v>
      </c>
      <c r="F40" s="174" t="s">
        <v>249</v>
      </c>
      <c r="G40" s="175" t="s">
        <v>330</v>
      </c>
      <c r="H40" s="174" t="s">
        <v>82</v>
      </c>
      <c r="I40" s="174" t="s">
        <v>304</v>
      </c>
      <c r="J40" s="174" t="s">
        <v>305</v>
      </c>
      <c r="K40" s="174" t="s">
        <v>306</v>
      </c>
      <c r="L40" s="174" t="s">
        <v>253</v>
      </c>
      <c r="M40" s="174" t="s">
        <v>331</v>
      </c>
      <c r="N40" s="174" t="s">
        <v>332</v>
      </c>
      <c r="O40" s="174"/>
      <c r="P40" s="174"/>
      <c r="Q40" s="174"/>
    </row>
    <row r="41" ht="22" customHeight="1" spans="1:17">
      <c r="A41" s="176"/>
      <c r="B41" s="176"/>
      <c r="C41" s="176"/>
      <c r="D41" s="176"/>
      <c r="E41" s="176"/>
      <c r="F41" s="176"/>
      <c r="G41" s="175" t="s">
        <v>333</v>
      </c>
      <c r="H41" s="176"/>
      <c r="I41" s="176"/>
      <c r="J41" s="176"/>
      <c r="K41" s="176"/>
      <c r="L41" s="176"/>
      <c r="M41" s="176"/>
      <c r="N41" s="176"/>
      <c r="O41" s="176"/>
      <c r="P41" s="176"/>
      <c r="Q41" s="176"/>
    </row>
    <row r="42" ht="22" customHeight="1" spans="1:17">
      <c r="A42" s="177"/>
      <c r="B42" s="177"/>
      <c r="C42" s="177"/>
      <c r="D42" s="177"/>
      <c r="E42" s="177"/>
      <c r="F42" s="177"/>
      <c r="G42" s="175" t="s">
        <v>334</v>
      </c>
      <c r="H42" s="177"/>
      <c r="I42" s="177"/>
      <c r="J42" s="177"/>
      <c r="K42" s="177"/>
      <c r="L42" s="177"/>
      <c r="M42" s="177"/>
      <c r="N42" s="177"/>
      <c r="O42" s="177"/>
      <c r="P42" s="177"/>
      <c r="Q42" s="177"/>
    </row>
    <row r="43" ht="51" spans="1:17">
      <c r="A43" s="175" t="s">
        <v>335</v>
      </c>
      <c r="B43" s="175" t="s">
        <v>336</v>
      </c>
      <c r="C43" s="175" t="s">
        <v>13</v>
      </c>
      <c r="D43" s="175" t="s">
        <v>13</v>
      </c>
      <c r="E43" s="175" t="s">
        <v>248</v>
      </c>
      <c r="F43" s="175" t="s">
        <v>249</v>
      </c>
      <c r="G43" s="175" t="s">
        <v>337</v>
      </c>
      <c r="H43" s="44" t="s">
        <v>82</v>
      </c>
      <c r="I43" s="175" t="s">
        <v>304</v>
      </c>
      <c r="J43" s="175" t="s">
        <v>305</v>
      </c>
      <c r="K43" s="175" t="s">
        <v>306</v>
      </c>
      <c r="L43" s="175" t="s">
        <v>253</v>
      </c>
      <c r="M43" s="175" t="s">
        <v>338</v>
      </c>
      <c r="N43" s="175" t="s">
        <v>339</v>
      </c>
      <c r="O43" s="175"/>
      <c r="P43" s="175"/>
      <c r="Q43" s="175"/>
    </row>
    <row r="44" ht="39" spans="1:17">
      <c r="A44" s="175" t="s">
        <v>340</v>
      </c>
      <c r="B44" s="175" t="s">
        <v>341</v>
      </c>
      <c r="C44" s="175" t="s">
        <v>13</v>
      </c>
      <c r="D44" s="175" t="s">
        <v>248</v>
      </c>
      <c r="E44" s="175" t="s">
        <v>248</v>
      </c>
      <c r="F44" s="175" t="s">
        <v>249</v>
      </c>
      <c r="G44" s="175" t="s">
        <v>342</v>
      </c>
      <c r="H44" s="175" t="s">
        <v>25</v>
      </c>
      <c r="I44" s="175" t="s">
        <v>343</v>
      </c>
      <c r="J44" s="175" t="s">
        <v>251</v>
      </c>
      <c r="K44" s="175" t="s">
        <v>252</v>
      </c>
      <c r="L44" s="175" t="s">
        <v>253</v>
      </c>
      <c r="M44" s="175" t="s">
        <v>344</v>
      </c>
      <c r="N44" s="175"/>
      <c r="O44" s="175"/>
      <c r="P44" s="175"/>
      <c r="Q44" s="175"/>
    </row>
    <row r="45" ht="33" customHeight="1" spans="1:17">
      <c r="A45" s="174" t="s">
        <v>345</v>
      </c>
      <c r="B45" s="174" t="s">
        <v>346</v>
      </c>
      <c r="C45" s="174" t="s">
        <v>13</v>
      </c>
      <c r="D45" s="174" t="s">
        <v>248</v>
      </c>
      <c r="E45" s="174" t="s">
        <v>248</v>
      </c>
      <c r="F45" s="174" t="s">
        <v>249</v>
      </c>
      <c r="G45" s="175" t="s">
        <v>347</v>
      </c>
      <c r="H45" s="174" t="s">
        <v>25</v>
      </c>
      <c r="I45" s="179">
        <v>45355</v>
      </c>
      <c r="J45" s="174" t="s">
        <v>251</v>
      </c>
      <c r="K45" s="174" t="s">
        <v>252</v>
      </c>
      <c r="L45" s="174" t="s">
        <v>253</v>
      </c>
      <c r="M45" s="174" t="s">
        <v>348</v>
      </c>
      <c r="N45" s="174" t="s">
        <v>349</v>
      </c>
      <c r="O45" s="174"/>
      <c r="P45" s="174"/>
      <c r="Q45" s="174"/>
    </row>
    <row r="46" ht="33" customHeight="1" spans="1:17">
      <c r="A46" s="176"/>
      <c r="B46" s="176"/>
      <c r="C46" s="176"/>
      <c r="D46" s="176"/>
      <c r="E46" s="176"/>
      <c r="F46" s="176"/>
      <c r="G46" s="175" t="s">
        <v>350</v>
      </c>
      <c r="H46" s="176"/>
      <c r="I46" s="176"/>
      <c r="J46" s="176"/>
      <c r="K46" s="176"/>
      <c r="L46" s="176"/>
      <c r="M46" s="176"/>
      <c r="N46" s="176"/>
      <c r="O46" s="176"/>
      <c r="P46" s="176"/>
      <c r="Q46" s="176"/>
    </row>
    <row r="47" ht="30" customHeight="1" spans="1:17">
      <c r="A47" s="174" t="s">
        <v>351</v>
      </c>
      <c r="B47" s="174" t="s">
        <v>352</v>
      </c>
      <c r="C47" s="174" t="s">
        <v>13</v>
      </c>
      <c r="D47" s="174" t="s">
        <v>248</v>
      </c>
      <c r="E47" s="174" t="s">
        <v>248</v>
      </c>
      <c r="F47" s="174" t="s">
        <v>249</v>
      </c>
      <c r="G47" s="175" t="s">
        <v>353</v>
      </c>
      <c r="H47" s="174" t="s">
        <v>25</v>
      </c>
      <c r="I47" s="179">
        <v>45355</v>
      </c>
      <c r="J47" s="174" t="s">
        <v>251</v>
      </c>
      <c r="K47" s="174" t="s">
        <v>252</v>
      </c>
      <c r="L47" s="174" t="s">
        <v>253</v>
      </c>
      <c r="M47" s="174" t="s">
        <v>354</v>
      </c>
      <c r="N47" s="174" t="s">
        <v>355</v>
      </c>
      <c r="O47" s="174"/>
      <c r="P47" s="174"/>
      <c r="Q47" s="174"/>
    </row>
    <row r="48" ht="30" customHeight="1" spans="1:17">
      <c r="A48" s="176"/>
      <c r="B48" s="176"/>
      <c r="C48" s="176"/>
      <c r="D48" s="176"/>
      <c r="E48" s="176"/>
      <c r="F48" s="176"/>
      <c r="G48" s="175" t="s">
        <v>356</v>
      </c>
      <c r="H48" s="176"/>
      <c r="I48" s="176"/>
      <c r="J48" s="176"/>
      <c r="K48" s="176"/>
      <c r="L48" s="176"/>
      <c r="M48" s="176"/>
      <c r="N48" s="176"/>
      <c r="O48" s="176"/>
      <c r="P48" s="176"/>
      <c r="Q48" s="176"/>
    </row>
    <row r="49" spans="1:17">
      <c r="A49" s="174" t="s">
        <v>357</v>
      </c>
      <c r="B49" s="174" t="s">
        <v>358</v>
      </c>
      <c r="C49" s="174" t="s">
        <v>13</v>
      </c>
      <c r="D49" s="174" t="s">
        <v>248</v>
      </c>
      <c r="E49" s="174" t="s">
        <v>248</v>
      </c>
      <c r="F49" s="174" t="s">
        <v>249</v>
      </c>
      <c r="G49" s="175" t="s">
        <v>359</v>
      </c>
      <c r="H49" s="174" t="s">
        <v>82</v>
      </c>
      <c r="I49" s="183">
        <v>45544</v>
      </c>
      <c r="J49" s="174" t="s">
        <v>251</v>
      </c>
      <c r="K49" s="174" t="s">
        <v>252</v>
      </c>
      <c r="L49" s="174" t="s">
        <v>253</v>
      </c>
      <c r="M49" s="174" t="s">
        <v>360</v>
      </c>
      <c r="N49" s="174" t="s">
        <v>361</v>
      </c>
      <c r="O49" s="174" t="s">
        <v>362</v>
      </c>
      <c r="P49" s="174"/>
      <c r="Q49" s="174"/>
    </row>
    <row r="50" spans="1:17">
      <c r="A50" s="176"/>
      <c r="B50" s="176"/>
      <c r="C50" s="176"/>
      <c r="D50" s="176"/>
      <c r="E50" s="176"/>
      <c r="F50" s="176"/>
      <c r="G50" s="175" t="s">
        <v>363</v>
      </c>
      <c r="H50" s="176"/>
      <c r="I50" s="184"/>
      <c r="J50" s="176"/>
      <c r="K50" s="176"/>
      <c r="L50" s="176"/>
      <c r="M50" s="176"/>
      <c r="N50" s="176"/>
      <c r="O50" s="176"/>
      <c r="P50" s="176"/>
      <c r="Q50" s="176"/>
    </row>
    <row r="51" spans="1:17">
      <c r="A51" s="176"/>
      <c r="B51" s="176"/>
      <c r="C51" s="176"/>
      <c r="D51" s="176"/>
      <c r="E51" s="176"/>
      <c r="F51" s="176"/>
      <c r="G51" s="175" t="s">
        <v>364</v>
      </c>
      <c r="H51" s="176"/>
      <c r="I51" s="184"/>
      <c r="J51" s="176"/>
      <c r="K51" s="176"/>
      <c r="L51" s="176"/>
      <c r="M51" s="176"/>
      <c r="N51" s="176"/>
      <c r="O51" s="176"/>
      <c r="P51" s="176"/>
      <c r="Q51" s="176"/>
    </row>
    <row r="52" spans="1:17">
      <c r="A52" s="176"/>
      <c r="B52" s="176"/>
      <c r="C52" s="176"/>
      <c r="D52" s="176"/>
      <c r="E52" s="176"/>
      <c r="F52" s="176"/>
      <c r="G52" s="175" t="s">
        <v>365</v>
      </c>
      <c r="H52" s="176"/>
      <c r="I52" s="184"/>
      <c r="J52" s="176"/>
      <c r="K52" s="176"/>
      <c r="L52" s="176"/>
      <c r="M52" s="176"/>
      <c r="N52" s="176"/>
      <c r="O52" s="176"/>
      <c r="P52" s="176"/>
      <c r="Q52" s="176"/>
    </row>
    <row r="53" spans="1:17">
      <c r="A53" s="176"/>
      <c r="B53" s="176"/>
      <c r="C53" s="176"/>
      <c r="D53" s="176"/>
      <c r="E53" s="176"/>
      <c r="F53" s="176"/>
      <c r="G53" s="175" t="s">
        <v>366</v>
      </c>
      <c r="H53" s="176"/>
      <c r="I53" s="184"/>
      <c r="J53" s="176"/>
      <c r="K53" s="176"/>
      <c r="L53" s="176"/>
      <c r="M53" s="176"/>
      <c r="N53" s="176"/>
      <c r="O53" s="176"/>
      <c r="P53" s="176"/>
      <c r="Q53" s="176"/>
    </row>
    <row r="54" spans="1:17">
      <c r="A54" s="176"/>
      <c r="B54" s="176"/>
      <c r="C54" s="176"/>
      <c r="D54" s="176"/>
      <c r="E54" s="176"/>
      <c r="F54" s="176"/>
      <c r="G54" s="175" t="s">
        <v>367</v>
      </c>
      <c r="H54" s="176"/>
      <c r="I54" s="184"/>
      <c r="J54" s="176"/>
      <c r="K54" s="176"/>
      <c r="L54" s="176"/>
      <c r="M54" s="176"/>
      <c r="N54" s="176"/>
      <c r="O54" s="176"/>
      <c r="P54" s="176"/>
      <c r="Q54" s="176"/>
    </row>
    <row r="55" spans="1:17">
      <c r="A55" s="176"/>
      <c r="B55" s="176"/>
      <c r="C55" s="176"/>
      <c r="D55" s="176"/>
      <c r="E55" s="176"/>
      <c r="F55" s="176"/>
      <c r="G55" s="175" t="s">
        <v>368</v>
      </c>
      <c r="H55" s="176"/>
      <c r="I55" s="184"/>
      <c r="J55" s="176"/>
      <c r="K55" s="176"/>
      <c r="L55" s="176"/>
      <c r="M55" s="176"/>
      <c r="N55" s="176"/>
      <c r="O55" s="176"/>
      <c r="P55" s="176"/>
      <c r="Q55" s="176"/>
    </row>
    <row r="56" spans="1:17">
      <c r="A56" s="176"/>
      <c r="B56" s="176"/>
      <c r="C56" s="176"/>
      <c r="D56" s="176"/>
      <c r="E56" s="176"/>
      <c r="F56" s="176"/>
      <c r="G56" s="175" t="s">
        <v>369</v>
      </c>
      <c r="H56" s="176"/>
      <c r="I56" s="184"/>
      <c r="J56" s="176"/>
      <c r="K56" s="176"/>
      <c r="L56" s="176"/>
      <c r="M56" s="176"/>
      <c r="N56" s="176"/>
      <c r="O56" s="176"/>
      <c r="P56" s="176"/>
      <c r="Q56" s="176"/>
    </row>
    <row r="57" spans="1:17">
      <c r="A57" s="176"/>
      <c r="B57" s="176"/>
      <c r="C57" s="176"/>
      <c r="D57" s="176"/>
      <c r="E57" s="176"/>
      <c r="F57" s="176"/>
      <c r="G57" s="175" t="s">
        <v>370</v>
      </c>
      <c r="H57" s="176"/>
      <c r="I57" s="184"/>
      <c r="J57" s="176"/>
      <c r="K57" s="176"/>
      <c r="L57" s="176"/>
      <c r="M57" s="176"/>
      <c r="N57" s="176"/>
      <c r="O57" s="176"/>
      <c r="P57" s="176"/>
      <c r="Q57" s="176"/>
    </row>
    <row r="58" spans="1:17">
      <c r="A58" s="176"/>
      <c r="B58" s="176"/>
      <c r="C58" s="176"/>
      <c r="D58" s="176"/>
      <c r="E58" s="176"/>
      <c r="F58" s="176"/>
      <c r="G58" s="175" t="s">
        <v>371</v>
      </c>
      <c r="H58" s="176"/>
      <c r="I58" s="184"/>
      <c r="J58" s="176"/>
      <c r="K58" s="176"/>
      <c r="L58" s="176"/>
      <c r="M58" s="176"/>
      <c r="N58" s="176"/>
      <c r="O58" s="176"/>
      <c r="P58" s="176"/>
      <c r="Q58" s="176"/>
    </row>
    <row r="59" spans="1:17">
      <c r="A59" s="176"/>
      <c r="B59" s="176"/>
      <c r="C59" s="176"/>
      <c r="D59" s="176"/>
      <c r="E59" s="176"/>
      <c r="F59" s="176"/>
      <c r="G59" s="175" t="s">
        <v>372</v>
      </c>
      <c r="H59" s="176"/>
      <c r="I59" s="184"/>
      <c r="J59" s="176"/>
      <c r="K59" s="176"/>
      <c r="L59" s="176"/>
      <c r="M59" s="176"/>
      <c r="N59" s="176"/>
      <c r="O59" s="176"/>
      <c r="P59" s="176"/>
      <c r="Q59" s="176"/>
    </row>
    <row r="60" spans="1:17">
      <c r="A60" s="174" t="s">
        <v>373</v>
      </c>
      <c r="B60" s="174" t="s">
        <v>374</v>
      </c>
      <c r="C60" s="174" t="s">
        <v>13</v>
      </c>
      <c r="D60" s="174" t="s">
        <v>248</v>
      </c>
      <c r="E60" s="174" t="s">
        <v>248</v>
      </c>
      <c r="F60" s="174" t="s">
        <v>249</v>
      </c>
      <c r="G60" s="175" t="s">
        <v>375</v>
      </c>
      <c r="H60" s="174" t="s">
        <v>25</v>
      </c>
      <c r="I60" s="183">
        <v>45544</v>
      </c>
      <c r="J60" s="174" t="s">
        <v>251</v>
      </c>
      <c r="K60" s="174" t="s">
        <v>252</v>
      </c>
      <c r="L60" s="174" t="s">
        <v>253</v>
      </c>
      <c r="M60" s="174" t="s">
        <v>376</v>
      </c>
      <c r="N60" s="174" t="s">
        <v>377</v>
      </c>
      <c r="O60" s="174" t="s">
        <v>378</v>
      </c>
      <c r="P60" s="174"/>
      <c r="Q60" s="174"/>
    </row>
    <row r="61" spans="1:17">
      <c r="A61" s="176"/>
      <c r="B61" s="176"/>
      <c r="C61" s="176"/>
      <c r="D61" s="176"/>
      <c r="E61" s="176"/>
      <c r="F61" s="176"/>
      <c r="G61" s="175" t="s">
        <v>379</v>
      </c>
      <c r="H61" s="176"/>
      <c r="I61" s="184"/>
      <c r="J61" s="176"/>
      <c r="K61" s="176"/>
      <c r="L61" s="176"/>
      <c r="M61" s="176"/>
      <c r="N61" s="176"/>
      <c r="O61" s="176"/>
      <c r="P61" s="176"/>
      <c r="Q61" s="176"/>
    </row>
    <row r="62" spans="1:17">
      <c r="A62" s="176"/>
      <c r="B62" s="176"/>
      <c r="C62" s="176"/>
      <c r="D62" s="176"/>
      <c r="E62" s="176"/>
      <c r="F62" s="176"/>
      <c r="G62" s="175" t="s">
        <v>380</v>
      </c>
      <c r="H62" s="176"/>
      <c r="I62" s="184"/>
      <c r="J62" s="176"/>
      <c r="K62" s="176"/>
      <c r="L62" s="176"/>
      <c r="M62" s="176"/>
      <c r="N62" s="176"/>
      <c r="O62" s="176"/>
      <c r="P62" s="176"/>
      <c r="Q62" s="176"/>
    </row>
    <row r="63" spans="1:17">
      <c r="A63" s="176"/>
      <c r="B63" s="176"/>
      <c r="C63" s="176"/>
      <c r="D63" s="176"/>
      <c r="E63" s="176"/>
      <c r="F63" s="176"/>
      <c r="G63" s="175" t="s">
        <v>381</v>
      </c>
      <c r="H63" s="176"/>
      <c r="I63" s="184"/>
      <c r="J63" s="176"/>
      <c r="K63" s="176"/>
      <c r="L63" s="176"/>
      <c r="M63" s="176"/>
      <c r="N63" s="176"/>
      <c r="O63" s="176"/>
      <c r="P63" s="176"/>
      <c r="Q63" s="176"/>
    </row>
    <row r="64" spans="1:17">
      <c r="A64" s="176"/>
      <c r="B64" s="176"/>
      <c r="C64" s="176"/>
      <c r="D64" s="176"/>
      <c r="E64" s="176"/>
      <c r="F64" s="176"/>
      <c r="G64" s="175" t="s">
        <v>382</v>
      </c>
      <c r="H64" s="176"/>
      <c r="I64" s="184"/>
      <c r="J64" s="176"/>
      <c r="K64" s="176"/>
      <c r="L64" s="176"/>
      <c r="M64" s="176"/>
      <c r="N64" s="176"/>
      <c r="O64" s="176"/>
      <c r="P64" s="176"/>
      <c r="Q64" s="176"/>
    </row>
    <row r="65" ht="29" spans="1:17">
      <c r="A65" s="174" t="s">
        <v>383</v>
      </c>
      <c r="B65" s="174" t="s">
        <v>384</v>
      </c>
      <c r="C65" s="174" t="s">
        <v>13</v>
      </c>
      <c r="D65" s="174" t="s">
        <v>13</v>
      </c>
      <c r="E65" s="174" t="s">
        <v>248</v>
      </c>
      <c r="F65" s="174" t="s">
        <v>249</v>
      </c>
      <c r="G65" s="175" t="s">
        <v>385</v>
      </c>
      <c r="H65" s="174" t="s">
        <v>25</v>
      </c>
      <c r="I65" s="174" t="s">
        <v>343</v>
      </c>
      <c r="J65" s="174" t="s">
        <v>251</v>
      </c>
      <c r="K65" s="174" t="s">
        <v>252</v>
      </c>
      <c r="L65" s="174" t="s">
        <v>253</v>
      </c>
      <c r="M65" s="174" t="s">
        <v>386</v>
      </c>
      <c r="N65" s="174"/>
      <c r="O65" s="174"/>
      <c r="P65" s="174"/>
      <c r="Q65" s="174"/>
    </row>
    <row r="66" ht="29" spans="1:17">
      <c r="A66" s="176"/>
      <c r="B66" s="176"/>
      <c r="C66" s="176"/>
      <c r="D66" s="176"/>
      <c r="E66" s="176"/>
      <c r="F66" s="176"/>
      <c r="G66" s="175" t="s">
        <v>387</v>
      </c>
      <c r="H66" s="176"/>
      <c r="I66" s="176"/>
      <c r="J66" s="176"/>
      <c r="K66" s="176"/>
      <c r="L66" s="176"/>
      <c r="M66" s="176"/>
      <c r="N66" s="176"/>
      <c r="O66" s="176"/>
      <c r="P66" s="176"/>
      <c r="Q66" s="176"/>
    </row>
    <row r="67" ht="29" spans="1:17">
      <c r="A67" s="176"/>
      <c r="B67" s="176"/>
      <c r="C67" s="176"/>
      <c r="D67" s="176"/>
      <c r="E67" s="176"/>
      <c r="F67" s="176"/>
      <c r="G67" s="175" t="s">
        <v>388</v>
      </c>
      <c r="H67" s="176"/>
      <c r="I67" s="176"/>
      <c r="J67" s="176"/>
      <c r="K67" s="176"/>
      <c r="L67" s="176"/>
      <c r="M67" s="176"/>
      <c r="N67" s="176"/>
      <c r="O67" s="176"/>
      <c r="P67" s="176"/>
      <c r="Q67" s="176"/>
    </row>
    <row r="68" ht="25" customHeight="1" spans="1:17">
      <c r="A68" s="177"/>
      <c r="B68" s="177"/>
      <c r="C68" s="177"/>
      <c r="D68" s="177"/>
      <c r="E68" s="177"/>
      <c r="F68" s="177"/>
      <c r="G68" s="175" t="s">
        <v>389</v>
      </c>
      <c r="H68" s="177"/>
      <c r="I68" s="177"/>
      <c r="J68" s="177"/>
      <c r="K68" s="177"/>
      <c r="L68" s="177"/>
      <c r="M68" s="177"/>
      <c r="N68" s="177"/>
      <c r="O68" s="177"/>
      <c r="P68" s="177"/>
      <c r="Q68" s="177"/>
    </row>
    <row r="69" spans="1:17">
      <c r="A69" s="174" t="s">
        <v>390</v>
      </c>
      <c r="B69" s="174" t="s">
        <v>384</v>
      </c>
      <c r="C69" s="174" t="s">
        <v>13</v>
      </c>
      <c r="D69" s="174" t="s">
        <v>13</v>
      </c>
      <c r="E69" s="174" t="s">
        <v>248</v>
      </c>
      <c r="F69" s="174" t="s">
        <v>249</v>
      </c>
      <c r="G69" s="175" t="s">
        <v>391</v>
      </c>
      <c r="H69" s="174" t="s">
        <v>25</v>
      </c>
      <c r="I69" s="174" t="s">
        <v>343</v>
      </c>
      <c r="J69" s="174" t="s">
        <v>251</v>
      </c>
      <c r="K69" s="174" t="s">
        <v>252</v>
      </c>
      <c r="L69" s="174" t="s">
        <v>253</v>
      </c>
      <c r="M69" s="174" t="s">
        <v>392</v>
      </c>
      <c r="N69" s="174"/>
      <c r="O69" s="174"/>
      <c r="P69" s="174"/>
      <c r="Q69" s="174"/>
    </row>
    <row r="70" spans="1:17">
      <c r="A70" s="176"/>
      <c r="B70" s="176"/>
      <c r="C70" s="176"/>
      <c r="D70" s="176"/>
      <c r="E70" s="176"/>
      <c r="F70" s="176"/>
      <c r="G70" s="175" t="s">
        <v>393</v>
      </c>
      <c r="H70" s="176"/>
      <c r="I70" s="176"/>
      <c r="J70" s="176"/>
      <c r="K70" s="176"/>
      <c r="L70" s="176"/>
      <c r="M70" s="176"/>
      <c r="N70" s="176"/>
      <c r="O70" s="176"/>
      <c r="P70" s="176"/>
      <c r="Q70" s="176"/>
    </row>
    <row r="71" spans="1:17">
      <c r="A71" s="176"/>
      <c r="B71" s="176"/>
      <c r="C71" s="176"/>
      <c r="D71" s="176"/>
      <c r="E71" s="176"/>
      <c r="F71" s="176"/>
      <c r="G71" s="175" t="s">
        <v>394</v>
      </c>
      <c r="H71" s="176"/>
      <c r="I71" s="176"/>
      <c r="J71" s="176"/>
      <c r="K71" s="176"/>
      <c r="L71" s="176"/>
      <c r="M71" s="176"/>
      <c r="N71" s="176"/>
      <c r="O71" s="176"/>
      <c r="P71" s="176"/>
      <c r="Q71" s="176"/>
    </row>
    <row r="72" spans="1:17">
      <c r="A72" s="176"/>
      <c r="B72" s="176"/>
      <c r="C72" s="176"/>
      <c r="D72" s="176"/>
      <c r="E72" s="176"/>
      <c r="F72" s="176"/>
      <c r="G72" s="175" t="s">
        <v>395</v>
      </c>
      <c r="H72" s="177"/>
      <c r="I72" s="177"/>
      <c r="J72" s="177"/>
      <c r="K72" s="177"/>
      <c r="L72" s="177"/>
      <c r="M72" s="177"/>
      <c r="N72" s="177"/>
      <c r="O72" s="177"/>
      <c r="P72" s="177"/>
      <c r="Q72" s="177"/>
    </row>
    <row r="73" ht="19" customHeight="1" spans="1:17">
      <c r="A73" s="174" t="s">
        <v>396</v>
      </c>
      <c r="B73" s="174" t="s">
        <v>397</v>
      </c>
      <c r="C73" s="174" t="s">
        <v>13</v>
      </c>
      <c r="D73" s="174" t="s">
        <v>13</v>
      </c>
      <c r="E73" s="174" t="s">
        <v>248</v>
      </c>
      <c r="F73" s="174" t="s">
        <v>249</v>
      </c>
      <c r="G73" s="175">
        <v>5179100003</v>
      </c>
      <c r="H73" s="174" t="s">
        <v>25</v>
      </c>
      <c r="I73" s="174" t="s">
        <v>398</v>
      </c>
      <c r="J73" s="174" t="s">
        <v>399</v>
      </c>
      <c r="K73" s="174" t="s">
        <v>400</v>
      </c>
      <c r="L73" s="174" t="s">
        <v>253</v>
      </c>
      <c r="M73" s="174" t="s">
        <v>401</v>
      </c>
      <c r="N73" s="174"/>
      <c r="O73" s="174"/>
      <c r="P73" s="174"/>
      <c r="Q73" s="174"/>
    </row>
    <row r="74" ht="19" customHeight="1" spans="1:17">
      <c r="A74" s="177"/>
      <c r="B74" s="177"/>
      <c r="C74" s="177"/>
      <c r="D74" s="177"/>
      <c r="E74" s="177"/>
      <c r="F74" s="177"/>
      <c r="G74" s="175">
        <v>5179100103</v>
      </c>
      <c r="H74" s="177"/>
      <c r="I74" s="177"/>
      <c r="J74" s="177"/>
      <c r="K74" s="177"/>
      <c r="L74" s="177"/>
      <c r="M74" s="177"/>
      <c r="N74" s="177"/>
      <c r="O74" s="177"/>
      <c r="P74" s="177"/>
      <c r="Q74" s="177"/>
    </row>
    <row r="75" spans="1:17">
      <c r="A75" s="174" t="s">
        <v>402</v>
      </c>
      <c r="B75" s="174" t="s">
        <v>403</v>
      </c>
      <c r="C75" s="174" t="s">
        <v>13</v>
      </c>
      <c r="D75" s="174" t="s">
        <v>13</v>
      </c>
      <c r="E75" s="174" t="s">
        <v>248</v>
      </c>
      <c r="F75" s="174" t="s">
        <v>249</v>
      </c>
      <c r="G75" s="175">
        <v>8869100101</v>
      </c>
      <c r="H75" s="174" t="s">
        <v>25</v>
      </c>
      <c r="I75" s="179">
        <v>45447</v>
      </c>
      <c r="J75" s="174" t="s">
        <v>399</v>
      </c>
      <c r="K75" s="174" t="s">
        <v>400</v>
      </c>
      <c r="L75" s="174" t="s">
        <v>253</v>
      </c>
      <c r="M75" s="174" t="s">
        <v>404</v>
      </c>
      <c r="N75" s="174" t="s">
        <v>405</v>
      </c>
      <c r="O75" s="174"/>
      <c r="P75" s="174"/>
      <c r="Q75" s="174"/>
    </row>
    <row r="76" spans="1:17">
      <c r="A76" s="176"/>
      <c r="B76" s="176"/>
      <c r="C76" s="176"/>
      <c r="D76" s="176"/>
      <c r="E76" s="176"/>
      <c r="F76" s="176"/>
      <c r="G76" s="175">
        <v>5179100001</v>
      </c>
      <c r="H76" s="176"/>
      <c r="I76" s="176"/>
      <c r="J76" s="176"/>
      <c r="K76" s="176"/>
      <c r="L76" s="176"/>
      <c r="M76" s="176"/>
      <c r="N76" s="176"/>
      <c r="O76" s="176"/>
      <c r="P76" s="176"/>
      <c r="Q76" s="176"/>
    </row>
    <row r="77" spans="1:17">
      <c r="A77" s="176"/>
      <c r="B77" s="176"/>
      <c r="C77" s="176"/>
      <c r="D77" s="176"/>
      <c r="E77" s="176"/>
      <c r="F77" s="176"/>
      <c r="G77" s="175">
        <v>5179100101</v>
      </c>
      <c r="H77" s="176"/>
      <c r="I77" s="176"/>
      <c r="J77" s="176"/>
      <c r="K77" s="176"/>
      <c r="L77" s="176"/>
      <c r="M77" s="176"/>
      <c r="N77" s="176"/>
      <c r="O77" s="176"/>
      <c r="P77" s="176"/>
      <c r="Q77" s="176"/>
    </row>
    <row r="78" spans="1:17">
      <c r="A78" s="176"/>
      <c r="B78" s="176"/>
      <c r="C78" s="176"/>
      <c r="D78" s="176"/>
      <c r="E78" s="176"/>
      <c r="F78" s="176"/>
      <c r="G78" s="175">
        <v>5179100201</v>
      </c>
      <c r="H78" s="176"/>
      <c r="I78" s="176"/>
      <c r="J78" s="176"/>
      <c r="K78" s="176"/>
      <c r="L78" s="176"/>
      <c r="M78" s="176"/>
      <c r="N78" s="176"/>
      <c r="O78" s="176"/>
      <c r="P78" s="176"/>
      <c r="Q78" s="176"/>
    </row>
    <row r="79" spans="1:17">
      <c r="A79" s="176"/>
      <c r="B79" s="176"/>
      <c r="C79" s="176"/>
      <c r="D79" s="176"/>
      <c r="E79" s="176"/>
      <c r="F79" s="176"/>
      <c r="G79" s="175">
        <v>5179100401</v>
      </c>
      <c r="H79" s="176"/>
      <c r="I79" s="176"/>
      <c r="J79" s="176"/>
      <c r="K79" s="176"/>
      <c r="L79" s="176"/>
      <c r="M79" s="176"/>
      <c r="N79" s="176"/>
      <c r="O79" s="176"/>
      <c r="P79" s="176"/>
      <c r="Q79" s="176"/>
    </row>
    <row r="80" spans="1:17">
      <c r="A80" s="176"/>
      <c r="B80" s="176"/>
      <c r="C80" s="176"/>
      <c r="D80" s="176"/>
      <c r="E80" s="176"/>
      <c r="F80" s="176"/>
      <c r="G80" s="175">
        <v>5179100301</v>
      </c>
      <c r="H80" s="176"/>
      <c r="I80" s="176"/>
      <c r="J80" s="176"/>
      <c r="K80" s="176"/>
      <c r="L80" s="176"/>
      <c r="M80" s="176"/>
      <c r="N80" s="176"/>
      <c r="O80" s="176"/>
      <c r="P80" s="176"/>
      <c r="Q80" s="176"/>
    </row>
    <row r="81" spans="1:17">
      <c r="A81" s="177"/>
      <c r="B81" s="177"/>
      <c r="C81" s="177"/>
      <c r="D81" s="177"/>
      <c r="E81" s="177"/>
      <c r="F81" s="177"/>
      <c r="G81" s="175">
        <v>5179100501</v>
      </c>
      <c r="H81" s="177"/>
      <c r="I81" s="177"/>
      <c r="J81" s="177"/>
      <c r="K81" s="177"/>
      <c r="L81" s="177"/>
      <c r="M81" s="177"/>
      <c r="N81" s="177"/>
      <c r="O81" s="177"/>
      <c r="P81" s="177"/>
      <c r="Q81" s="177"/>
    </row>
    <row r="82" ht="26" customHeight="1" spans="1:19">
      <c r="A82" s="175" t="s">
        <v>406</v>
      </c>
      <c r="B82" s="175" t="s">
        <v>407</v>
      </c>
      <c r="C82" s="175" t="s">
        <v>13</v>
      </c>
      <c r="D82" s="175" t="s">
        <v>13</v>
      </c>
      <c r="E82" s="175" t="s">
        <v>248</v>
      </c>
      <c r="F82" s="175" t="s">
        <v>314</v>
      </c>
      <c r="G82" s="175" t="s">
        <v>408</v>
      </c>
      <c r="H82" s="175" t="s">
        <v>316</v>
      </c>
      <c r="I82" s="175" t="s">
        <v>409</v>
      </c>
      <c r="J82" s="175" t="s">
        <v>410</v>
      </c>
      <c r="K82" s="175" t="s">
        <v>411</v>
      </c>
      <c r="L82" s="175" t="s">
        <v>253</v>
      </c>
      <c r="M82" s="175" t="s">
        <v>412</v>
      </c>
      <c r="N82" s="175" t="s">
        <v>413</v>
      </c>
      <c r="O82" s="185"/>
      <c r="P82" s="175"/>
      <c r="Q82" s="185"/>
      <c r="R82" s="44">
        <v>2868</v>
      </c>
      <c r="S82" s="44">
        <v>1170</v>
      </c>
    </row>
    <row r="83" ht="26" customHeight="1" spans="1:19">
      <c r="A83" s="175"/>
      <c r="B83" s="175"/>
      <c r="C83" s="175"/>
      <c r="D83" s="175"/>
      <c r="E83" s="175"/>
      <c r="F83" s="175"/>
      <c r="G83" s="175" t="s">
        <v>414</v>
      </c>
      <c r="H83" s="175"/>
      <c r="I83" s="175"/>
      <c r="J83" s="175"/>
      <c r="K83" s="175"/>
      <c r="L83" s="175"/>
      <c r="M83" s="175"/>
      <c r="N83" s="175"/>
      <c r="O83" s="186"/>
      <c r="P83" s="175"/>
      <c r="Q83" s="186"/>
      <c r="R83" s="44">
        <v>2886</v>
      </c>
      <c r="S83" s="44">
        <v>996</v>
      </c>
    </row>
    <row r="84" ht="28" customHeight="1" spans="1:19">
      <c r="A84" s="175" t="s">
        <v>415</v>
      </c>
      <c r="B84" s="175" t="s">
        <v>416</v>
      </c>
      <c r="C84" s="175" t="s">
        <v>13</v>
      </c>
      <c r="D84" s="175" t="s">
        <v>13</v>
      </c>
      <c r="E84" s="175" t="s">
        <v>248</v>
      </c>
      <c r="F84" s="175" t="s">
        <v>314</v>
      </c>
      <c r="G84" s="175" t="s">
        <v>417</v>
      </c>
      <c r="H84" s="175" t="s">
        <v>316</v>
      </c>
      <c r="I84" s="175" t="s">
        <v>409</v>
      </c>
      <c r="J84" s="175" t="s">
        <v>410</v>
      </c>
      <c r="K84" s="175" t="s">
        <v>411</v>
      </c>
      <c r="L84" s="175" t="s">
        <v>253</v>
      </c>
      <c r="M84" s="175" t="s">
        <v>418</v>
      </c>
      <c r="N84" s="175" t="s">
        <v>413</v>
      </c>
      <c r="O84" s="175"/>
      <c r="P84" s="175"/>
      <c r="Q84" s="175"/>
      <c r="R84" s="44">
        <v>3122</v>
      </c>
      <c r="S84" s="44">
        <v>1202</v>
      </c>
    </row>
    <row r="85" ht="28" customHeight="1" spans="1:19">
      <c r="A85" s="175"/>
      <c r="B85" s="175"/>
      <c r="C85" s="175"/>
      <c r="D85" s="175"/>
      <c r="E85" s="175"/>
      <c r="F85" s="175"/>
      <c r="G85" s="175" t="s">
        <v>419</v>
      </c>
      <c r="H85" s="175"/>
      <c r="I85" s="175"/>
      <c r="J85" s="175"/>
      <c r="K85" s="175"/>
      <c r="L85" s="175"/>
      <c r="M85" s="175"/>
      <c r="N85" s="175"/>
      <c r="O85" s="175"/>
      <c r="P85" s="175"/>
      <c r="Q85" s="175"/>
      <c r="R85" s="44">
        <v>146</v>
      </c>
      <c r="S85" s="44">
        <v>144</v>
      </c>
    </row>
  </sheetData>
  <autoFilter xmlns:etc="http://www.wps.cn/officeDocument/2017/etCustomData" ref="A1:S85" etc:filterBottomFollowUsedRange="0">
    <extLst/>
  </autoFilter>
  <mergeCells count="256">
    <mergeCell ref="A2:A11"/>
    <mergeCell ref="A12:A25"/>
    <mergeCell ref="A26:A32"/>
    <mergeCell ref="A33:A35"/>
    <mergeCell ref="A38:A39"/>
    <mergeCell ref="A40:A42"/>
    <mergeCell ref="A45:A46"/>
    <mergeCell ref="A47:A48"/>
    <mergeCell ref="A49:A59"/>
    <mergeCell ref="A60:A64"/>
    <mergeCell ref="A65:A68"/>
    <mergeCell ref="A69:A72"/>
    <mergeCell ref="A73:A74"/>
    <mergeCell ref="A75:A81"/>
    <mergeCell ref="A82:A83"/>
    <mergeCell ref="A84:A85"/>
    <mergeCell ref="B2:B11"/>
    <mergeCell ref="B12:B25"/>
    <mergeCell ref="B26:B32"/>
    <mergeCell ref="B33:B35"/>
    <mergeCell ref="B38:B39"/>
    <mergeCell ref="B40:B42"/>
    <mergeCell ref="B45:B46"/>
    <mergeCell ref="B47:B48"/>
    <mergeCell ref="B49:B59"/>
    <mergeCell ref="B60:B64"/>
    <mergeCell ref="B65:B68"/>
    <mergeCell ref="B69:B72"/>
    <mergeCell ref="B73:B74"/>
    <mergeCell ref="B75:B81"/>
    <mergeCell ref="B82:B83"/>
    <mergeCell ref="B84:B85"/>
    <mergeCell ref="C2:C11"/>
    <mergeCell ref="C12:C25"/>
    <mergeCell ref="C26:C32"/>
    <mergeCell ref="C33:C35"/>
    <mergeCell ref="C38:C39"/>
    <mergeCell ref="C40:C42"/>
    <mergeCell ref="C45:C46"/>
    <mergeCell ref="C47:C48"/>
    <mergeCell ref="C49:C59"/>
    <mergeCell ref="C60:C64"/>
    <mergeCell ref="C65:C68"/>
    <mergeCell ref="C69:C72"/>
    <mergeCell ref="C73:C74"/>
    <mergeCell ref="C75:C81"/>
    <mergeCell ref="C82:C83"/>
    <mergeCell ref="C84:C85"/>
    <mergeCell ref="D2:D11"/>
    <mergeCell ref="D12:D25"/>
    <mergeCell ref="D26:D32"/>
    <mergeCell ref="D33:D35"/>
    <mergeCell ref="D38:D39"/>
    <mergeCell ref="D40:D42"/>
    <mergeCell ref="D45:D46"/>
    <mergeCell ref="D47:D48"/>
    <mergeCell ref="D49:D59"/>
    <mergeCell ref="D60:D64"/>
    <mergeCell ref="D65:D68"/>
    <mergeCell ref="D69:D72"/>
    <mergeCell ref="D73:D74"/>
    <mergeCell ref="D75:D81"/>
    <mergeCell ref="D82:D83"/>
    <mergeCell ref="D84:D85"/>
    <mergeCell ref="E2:E11"/>
    <mergeCell ref="E12:E25"/>
    <mergeCell ref="E26:E32"/>
    <mergeCell ref="E33:E35"/>
    <mergeCell ref="E38:E39"/>
    <mergeCell ref="E40:E42"/>
    <mergeCell ref="E45:E46"/>
    <mergeCell ref="E47:E48"/>
    <mergeCell ref="E49:E59"/>
    <mergeCell ref="E60:E64"/>
    <mergeCell ref="E65:E68"/>
    <mergeCell ref="E69:E72"/>
    <mergeCell ref="E73:E74"/>
    <mergeCell ref="E75:E81"/>
    <mergeCell ref="E82:E83"/>
    <mergeCell ref="E84:E85"/>
    <mergeCell ref="F2:F11"/>
    <mergeCell ref="F12:F25"/>
    <mergeCell ref="F26:F32"/>
    <mergeCell ref="F33:F35"/>
    <mergeCell ref="F38:F39"/>
    <mergeCell ref="F40:F42"/>
    <mergeCell ref="F45:F46"/>
    <mergeCell ref="F47:F48"/>
    <mergeCell ref="F49:F59"/>
    <mergeCell ref="F60:F64"/>
    <mergeCell ref="F65:F68"/>
    <mergeCell ref="F69:F72"/>
    <mergeCell ref="F73:F74"/>
    <mergeCell ref="F75:F81"/>
    <mergeCell ref="F82:F83"/>
    <mergeCell ref="F84:F85"/>
    <mergeCell ref="H2:H11"/>
    <mergeCell ref="H12:H25"/>
    <mergeCell ref="H26:H32"/>
    <mergeCell ref="H33:H35"/>
    <mergeCell ref="H38:H39"/>
    <mergeCell ref="H40:H42"/>
    <mergeCell ref="H45:H46"/>
    <mergeCell ref="H47:H48"/>
    <mergeCell ref="H49:H59"/>
    <mergeCell ref="H60:H64"/>
    <mergeCell ref="H65:H68"/>
    <mergeCell ref="H69:H72"/>
    <mergeCell ref="H73:H74"/>
    <mergeCell ref="H75:H81"/>
    <mergeCell ref="H82:H83"/>
    <mergeCell ref="H84:H85"/>
    <mergeCell ref="I2:I11"/>
    <mergeCell ref="I12:I25"/>
    <mergeCell ref="I26:I32"/>
    <mergeCell ref="I33:I35"/>
    <mergeCell ref="I38:I39"/>
    <mergeCell ref="I40:I42"/>
    <mergeCell ref="I45:I46"/>
    <mergeCell ref="I47:I48"/>
    <mergeCell ref="I49:I59"/>
    <mergeCell ref="I60:I64"/>
    <mergeCell ref="I65:I68"/>
    <mergeCell ref="I69:I72"/>
    <mergeCell ref="I73:I74"/>
    <mergeCell ref="I75:I81"/>
    <mergeCell ref="I82:I83"/>
    <mergeCell ref="I84:I85"/>
    <mergeCell ref="J2:J11"/>
    <mergeCell ref="J12:J25"/>
    <mergeCell ref="J26:J32"/>
    <mergeCell ref="J33:J35"/>
    <mergeCell ref="J38:J39"/>
    <mergeCell ref="J40:J42"/>
    <mergeCell ref="J45:J46"/>
    <mergeCell ref="J47:J48"/>
    <mergeCell ref="J49:J59"/>
    <mergeCell ref="J60:J64"/>
    <mergeCell ref="J65:J68"/>
    <mergeCell ref="J69:J72"/>
    <mergeCell ref="J73:J74"/>
    <mergeCell ref="J75:J81"/>
    <mergeCell ref="J82:J83"/>
    <mergeCell ref="J84:J85"/>
    <mergeCell ref="K2:K11"/>
    <mergeCell ref="K12:K25"/>
    <mergeCell ref="K26:K32"/>
    <mergeCell ref="K33:K35"/>
    <mergeCell ref="K38:K39"/>
    <mergeCell ref="K40:K42"/>
    <mergeCell ref="K45:K46"/>
    <mergeCell ref="K47:K48"/>
    <mergeCell ref="K49:K59"/>
    <mergeCell ref="K60:K64"/>
    <mergeCell ref="K65:K68"/>
    <mergeCell ref="K69:K72"/>
    <mergeCell ref="K73:K74"/>
    <mergeCell ref="K75:K81"/>
    <mergeCell ref="K82:K83"/>
    <mergeCell ref="K84:K85"/>
    <mergeCell ref="L2:L11"/>
    <mergeCell ref="L12:L25"/>
    <mergeCell ref="L26:L32"/>
    <mergeCell ref="L33:L35"/>
    <mergeCell ref="L38:L39"/>
    <mergeCell ref="L40:L42"/>
    <mergeCell ref="L45:L46"/>
    <mergeCell ref="L47:L48"/>
    <mergeCell ref="L49:L59"/>
    <mergeCell ref="L60:L64"/>
    <mergeCell ref="L65:L68"/>
    <mergeCell ref="L69:L72"/>
    <mergeCell ref="L73:L74"/>
    <mergeCell ref="L75:L81"/>
    <mergeCell ref="L82:L83"/>
    <mergeCell ref="L84:L85"/>
    <mergeCell ref="M2:M11"/>
    <mergeCell ref="M12:M25"/>
    <mergeCell ref="M26:M32"/>
    <mergeCell ref="M33:M35"/>
    <mergeCell ref="M38:M39"/>
    <mergeCell ref="M40:M42"/>
    <mergeCell ref="M45:M46"/>
    <mergeCell ref="M47:M48"/>
    <mergeCell ref="M49:M59"/>
    <mergeCell ref="M60:M64"/>
    <mergeCell ref="M65:M68"/>
    <mergeCell ref="M69:M72"/>
    <mergeCell ref="M73:M74"/>
    <mergeCell ref="M75:M81"/>
    <mergeCell ref="M82:M83"/>
    <mergeCell ref="M84:M85"/>
    <mergeCell ref="N2:N11"/>
    <mergeCell ref="N12:N25"/>
    <mergeCell ref="N26:N32"/>
    <mergeCell ref="N33:N35"/>
    <mergeCell ref="N38:N39"/>
    <mergeCell ref="N40:N42"/>
    <mergeCell ref="N45:N46"/>
    <mergeCell ref="N47:N48"/>
    <mergeCell ref="N49:N59"/>
    <mergeCell ref="N60:N64"/>
    <mergeCell ref="N65:N68"/>
    <mergeCell ref="N69:N72"/>
    <mergeCell ref="N73:N74"/>
    <mergeCell ref="N75:N81"/>
    <mergeCell ref="N82:N83"/>
    <mergeCell ref="N84:N85"/>
    <mergeCell ref="O2:O11"/>
    <mergeCell ref="O12:O25"/>
    <mergeCell ref="O26:O32"/>
    <mergeCell ref="O33:O35"/>
    <mergeCell ref="O38:O39"/>
    <mergeCell ref="O40:O42"/>
    <mergeCell ref="O45:O46"/>
    <mergeCell ref="O47:O48"/>
    <mergeCell ref="O49:O59"/>
    <mergeCell ref="O60:O64"/>
    <mergeCell ref="O65:O68"/>
    <mergeCell ref="O69:O72"/>
    <mergeCell ref="O73:O74"/>
    <mergeCell ref="O75:O81"/>
    <mergeCell ref="O82:O83"/>
    <mergeCell ref="O84:O85"/>
    <mergeCell ref="P2:P11"/>
    <mergeCell ref="P12:P25"/>
    <mergeCell ref="P26:P32"/>
    <mergeCell ref="P33:P35"/>
    <mergeCell ref="P38:P39"/>
    <mergeCell ref="P40:P42"/>
    <mergeCell ref="P45:P46"/>
    <mergeCell ref="P47:P48"/>
    <mergeCell ref="P49:P59"/>
    <mergeCell ref="P60:P64"/>
    <mergeCell ref="P65:P68"/>
    <mergeCell ref="P69:P72"/>
    <mergeCell ref="P73:P74"/>
    <mergeCell ref="P75:P81"/>
    <mergeCell ref="P82:P83"/>
    <mergeCell ref="P84:P85"/>
    <mergeCell ref="Q2:Q11"/>
    <mergeCell ref="Q12:Q25"/>
    <mergeCell ref="Q26:Q32"/>
    <mergeCell ref="Q33:Q35"/>
    <mergeCell ref="Q38:Q39"/>
    <mergeCell ref="Q40:Q42"/>
    <mergeCell ref="Q45:Q46"/>
    <mergeCell ref="Q47:Q48"/>
    <mergeCell ref="Q49:Q59"/>
    <mergeCell ref="Q60:Q64"/>
    <mergeCell ref="Q65:Q68"/>
    <mergeCell ref="Q69:Q72"/>
    <mergeCell ref="Q73:Q74"/>
    <mergeCell ref="Q75:Q81"/>
    <mergeCell ref="Q82:Q83"/>
    <mergeCell ref="Q84:Q85"/>
  </mergeCells>
  <pageMargins left="0.75" right="0.75" top="1" bottom="1" header="0.5" footer="0.5"/>
  <pageSetup paperSize="1" scale="44" fitToHeight="0" orientation="landscape"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3"/>
  <sheetViews>
    <sheetView zoomScale="85" zoomScaleNormal="85" workbookViewId="0">
      <pane ySplit="2" topLeftCell="A123" activePane="bottomLeft" state="frozen"/>
      <selection/>
      <selection pane="bottomLeft" activeCell="F129" sqref="F129"/>
    </sheetView>
  </sheetViews>
  <sheetFormatPr defaultColWidth="9" defaultRowHeight="16.5"/>
  <cols>
    <col min="1" max="1" width="5.62727272727273" style="148" customWidth="1"/>
    <col min="2" max="2" width="18.3727272727273" style="149" customWidth="1"/>
    <col min="3" max="3" width="18.3727272727273" style="148" customWidth="1"/>
    <col min="4" max="4" width="23.1272727272727" style="148" customWidth="1"/>
    <col min="5" max="5" width="24.1272727272727" style="148" customWidth="1"/>
    <col min="6" max="6" width="20.3727272727273" style="148" customWidth="1"/>
    <col min="7" max="7" width="14.6272727272727" style="148" customWidth="1"/>
    <col min="8" max="8" width="11.1272727272727" style="148" customWidth="1"/>
    <col min="9" max="9" width="41.8727272727273" style="149" customWidth="1"/>
    <col min="10" max="10" width="14.3727272727273" style="149" customWidth="1"/>
    <col min="11" max="11" width="16.5" style="148" customWidth="1"/>
    <col min="12" max="12" width="17.7545454545455" style="148" customWidth="1"/>
    <col min="13" max="13" width="14.8454545454545" style="148" customWidth="1"/>
    <col min="14" max="14" width="16.5545454545455" style="148" customWidth="1"/>
    <col min="15" max="15" width="16.2454545454545" style="148" customWidth="1"/>
    <col min="16" max="16" width="12.1272727272727" style="148"/>
    <col min="17" max="16384" width="9" style="148"/>
  </cols>
  <sheetData>
    <row r="1" ht="30.5" spans="1:16">
      <c r="A1" s="150" t="s">
        <v>420</v>
      </c>
      <c r="B1" s="150"/>
      <c r="C1" s="150"/>
      <c r="D1" s="150"/>
      <c r="E1" s="150"/>
      <c r="F1" s="150"/>
      <c r="G1" s="150"/>
      <c r="H1" s="150"/>
      <c r="I1" s="150"/>
      <c r="J1" s="150"/>
      <c r="K1" s="150"/>
      <c r="L1" s="150"/>
      <c r="M1" s="150"/>
      <c r="N1" s="150"/>
      <c r="O1" s="150"/>
      <c r="P1" s="150"/>
    </row>
    <row r="2" spans="1:16">
      <c r="A2" s="151" t="s">
        <v>1</v>
      </c>
      <c r="B2" s="152" t="s">
        <v>2</v>
      </c>
      <c r="C2" s="151" t="s">
        <v>3</v>
      </c>
      <c r="D2" s="151" t="s">
        <v>4</v>
      </c>
      <c r="E2" s="153" t="s">
        <v>5</v>
      </c>
      <c r="F2" s="153" t="s">
        <v>6</v>
      </c>
      <c r="G2" s="153" t="s">
        <v>7</v>
      </c>
      <c r="H2" s="153" t="s">
        <v>421</v>
      </c>
      <c r="I2" s="152" t="s">
        <v>9</v>
      </c>
      <c r="J2" s="152" t="s">
        <v>10</v>
      </c>
      <c r="K2" s="151" t="s">
        <v>422</v>
      </c>
      <c r="L2" s="151" t="s">
        <v>11</v>
      </c>
      <c r="M2" s="151" t="s">
        <v>12</v>
      </c>
      <c r="N2" s="151" t="s">
        <v>423</v>
      </c>
      <c r="O2" s="151" t="s">
        <v>424</v>
      </c>
      <c r="P2" s="151" t="s">
        <v>425</v>
      </c>
    </row>
    <row r="3" s="148" customFormat="1" ht="87" customHeight="1" spans="1:13">
      <c r="A3" s="154">
        <v>1</v>
      </c>
      <c r="B3" s="155" t="s">
        <v>248</v>
      </c>
      <c r="C3" s="155" t="s">
        <v>248</v>
      </c>
      <c r="D3" s="154" t="s">
        <v>164</v>
      </c>
      <c r="E3" s="154"/>
      <c r="F3" s="201" t="s">
        <v>426</v>
      </c>
      <c r="G3" s="156">
        <v>43959</v>
      </c>
      <c r="H3" s="156">
        <v>47610</v>
      </c>
      <c r="I3" s="155" t="s">
        <v>427</v>
      </c>
      <c r="J3" s="155" t="s">
        <v>41</v>
      </c>
      <c r="K3" s="154" t="str">
        <f>_xlfn.DISPIMG("ID_68D982DD1A5B4D859A445A8238F41D31",1)</f>
        <v>=DISPIMG("ID_68D982DD1A5B4D859A445A8238F41D31",1)</v>
      </c>
      <c r="L3" s="154"/>
      <c r="M3" s="154"/>
    </row>
    <row r="4" ht="409" customHeight="1" spans="1:13">
      <c r="A4" s="154">
        <v>2</v>
      </c>
      <c r="B4" s="155" t="s">
        <v>248</v>
      </c>
      <c r="C4" s="155" t="s">
        <v>248</v>
      </c>
      <c r="D4" s="154" t="s">
        <v>15</v>
      </c>
      <c r="E4" s="155" t="s">
        <v>428</v>
      </c>
      <c r="F4" s="202" t="s">
        <v>429</v>
      </c>
      <c r="G4" s="156">
        <v>44623</v>
      </c>
      <c r="H4" s="156">
        <v>48275</v>
      </c>
      <c r="I4" s="155" t="s">
        <v>430</v>
      </c>
      <c r="J4" s="155" t="s">
        <v>316</v>
      </c>
      <c r="K4" s="154" t="str">
        <f>_xlfn.DISPIMG("ID_D2216BD7C3904248A2F83F9B9EEF186D",1)</f>
        <v>=DISPIMG("ID_D2216BD7C3904248A2F83F9B9EEF186D",1)</v>
      </c>
      <c r="L4" s="154"/>
      <c r="M4" s="154"/>
    </row>
    <row r="5" ht="98" customHeight="1" spans="1:13">
      <c r="A5" s="154">
        <v>3</v>
      </c>
      <c r="B5" s="155" t="s">
        <v>248</v>
      </c>
      <c r="C5" s="155" t="s">
        <v>248</v>
      </c>
      <c r="D5" s="154" t="s">
        <v>15</v>
      </c>
      <c r="E5" s="154" t="s">
        <v>431</v>
      </c>
      <c r="F5" s="202" t="s">
        <v>432</v>
      </c>
      <c r="G5" s="156">
        <v>44623</v>
      </c>
      <c r="H5" s="156">
        <v>48275</v>
      </c>
      <c r="I5" s="155" t="s">
        <v>433</v>
      </c>
      <c r="J5" s="155" t="s">
        <v>316</v>
      </c>
      <c r="K5" s="154" t="str">
        <f>_xlfn.DISPIMG("ID_0E2BF5A849EF4A1986378DA64BEB408D",1)</f>
        <v>=DISPIMG("ID_0E2BF5A849EF4A1986378DA64BEB408D",1)</v>
      </c>
      <c r="L5" s="154"/>
      <c r="M5" s="154"/>
    </row>
    <row r="6" ht="98" customHeight="1" spans="1:13">
      <c r="A6" s="154">
        <v>4</v>
      </c>
      <c r="B6" s="155" t="s">
        <v>248</v>
      </c>
      <c r="C6" s="155" t="s">
        <v>248</v>
      </c>
      <c r="D6" s="154" t="s">
        <v>15</v>
      </c>
      <c r="E6" s="154" t="s">
        <v>434</v>
      </c>
      <c r="F6" s="202" t="s">
        <v>435</v>
      </c>
      <c r="G6" s="156">
        <v>44623</v>
      </c>
      <c r="H6" s="156">
        <v>48275</v>
      </c>
      <c r="I6" s="155" t="s">
        <v>436</v>
      </c>
      <c r="J6" s="155" t="s">
        <v>316</v>
      </c>
      <c r="K6" s="154" t="str">
        <f>_xlfn.DISPIMG("ID_B0ECEE84CAC94E6ABA734035239C720D",1)</f>
        <v>=DISPIMG("ID_B0ECEE84CAC94E6ABA734035239C720D",1)</v>
      </c>
      <c r="L6" s="154"/>
      <c r="M6" s="154"/>
    </row>
    <row r="7" ht="98" customHeight="1" spans="1:13">
      <c r="A7" s="154">
        <v>5</v>
      </c>
      <c r="B7" s="155" t="s">
        <v>248</v>
      </c>
      <c r="C7" s="155" t="s">
        <v>248</v>
      </c>
      <c r="D7" s="154" t="s">
        <v>15</v>
      </c>
      <c r="E7" s="154" t="s">
        <v>437</v>
      </c>
      <c r="F7" s="202" t="s">
        <v>438</v>
      </c>
      <c r="G7" s="156">
        <v>44623</v>
      </c>
      <c r="H7" s="156">
        <v>48275</v>
      </c>
      <c r="I7" s="155" t="s">
        <v>439</v>
      </c>
      <c r="J7" s="155" t="s">
        <v>316</v>
      </c>
      <c r="K7" s="154" t="str">
        <f>_xlfn.DISPIMG("ID_15644311D8654828BBE5D3F93401FD05",1)</f>
        <v>=DISPIMG("ID_15644311D8654828BBE5D3F93401FD05",1)</v>
      </c>
      <c r="L7" s="154"/>
      <c r="M7" s="154"/>
    </row>
    <row r="8" ht="98" customHeight="1" spans="1:13">
      <c r="A8" s="154">
        <v>6</v>
      </c>
      <c r="B8" s="155" t="s">
        <v>248</v>
      </c>
      <c r="C8" s="155" t="s">
        <v>248</v>
      </c>
      <c r="D8" s="154" t="s">
        <v>15</v>
      </c>
      <c r="E8" s="154" t="s">
        <v>440</v>
      </c>
      <c r="F8" s="202" t="s">
        <v>441</v>
      </c>
      <c r="G8" s="156">
        <v>44623</v>
      </c>
      <c r="H8" s="156">
        <v>48275</v>
      </c>
      <c r="I8" s="155" t="s">
        <v>442</v>
      </c>
      <c r="J8" s="155" t="s">
        <v>316</v>
      </c>
      <c r="K8" s="154" t="str">
        <f>_xlfn.DISPIMG("ID_F635ADB0BB614CDAA6CD55A21DAA21CF",1)</f>
        <v>=DISPIMG("ID_F635ADB0BB614CDAA6CD55A21DAA21CF",1)</v>
      </c>
      <c r="L8" s="154"/>
      <c r="M8" s="154"/>
    </row>
    <row r="9" ht="33" spans="1:13">
      <c r="A9" s="154">
        <v>7</v>
      </c>
      <c r="B9" s="155" t="s">
        <v>248</v>
      </c>
      <c r="C9" s="155" t="s">
        <v>248</v>
      </c>
      <c r="D9" s="154" t="s">
        <v>15</v>
      </c>
      <c r="E9" s="154" t="s">
        <v>443</v>
      </c>
      <c r="F9" s="202" t="s">
        <v>444</v>
      </c>
      <c r="G9" s="156">
        <v>44623</v>
      </c>
      <c r="H9" s="156">
        <v>48275</v>
      </c>
      <c r="I9" s="155" t="s">
        <v>445</v>
      </c>
      <c r="J9" s="155" t="s">
        <v>316</v>
      </c>
      <c r="K9" s="154" t="str">
        <f>_xlfn.DISPIMG("ID_634AE716CCD24A1583B1FB1220497D44",1)</f>
        <v>=DISPIMG("ID_634AE716CCD24A1583B1FB1220497D44",1)</v>
      </c>
      <c r="L9" s="154"/>
      <c r="M9" s="154"/>
    </row>
    <row r="10" ht="148.5" spans="1:13">
      <c r="A10" s="154">
        <v>8</v>
      </c>
      <c r="B10" s="155" t="s">
        <v>248</v>
      </c>
      <c r="C10" s="155" t="s">
        <v>248</v>
      </c>
      <c r="D10" s="154" t="s">
        <v>15</v>
      </c>
      <c r="E10" s="154" t="s">
        <v>446</v>
      </c>
      <c r="F10" s="202" t="s">
        <v>447</v>
      </c>
      <c r="G10" s="156">
        <v>44623</v>
      </c>
      <c r="H10" s="156">
        <v>48275</v>
      </c>
      <c r="I10" s="155" t="s">
        <v>448</v>
      </c>
      <c r="J10" s="155" t="s">
        <v>316</v>
      </c>
      <c r="K10" s="154" t="str">
        <f>_xlfn.DISPIMG("ID_DD78B45E9FF048A493368F6316E4E360",1)</f>
        <v>=DISPIMG("ID_DD78B45E9FF048A493368F6316E4E360",1)</v>
      </c>
      <c r="L10" s="154"/>
      <c r="M10" s="154"/>
    </row>
    <row r="11" ht="132" spans="1:13">
      <c r="A11" s="154">
        <v>9</v>
      </c>
      <c r="B11" s="155" t="s">
        <v>13</v>
      </c>
      <c r="C11" s="155" t="s">
        <v>248</v>
      </c>
      <c r="D11" s="154" t="s">
        <v>164</v>
      </c>
      <c r="E11" s="154" t="s">
        <v>449</v>
      </c>
      <c r="F11" s="202" t="s">
        <v>450</v>
      </c>
      <c r="G11" s="156">
        <v>45041</v>
      </c>
      <c r="H11" s="156">
        <v>48693</v>
      </c>
      <c r="I11" s="155" t="s">
        <v>451</v>
      </c>
      <c r="J11" s="155" t="s">
        <v>316</v>
      </c>
      <c r="K11" s="154" t="str">
        <f>_xlfn.DISPIMG("ID_777AE7B9B6184BF5BD0726E5761F7C7C",1)</f>
        <v>=DISPIMG("ID_777AE7B9B6184BF5BD0726E5761F7C7C",1)</v>
      </c>
      <c r="L11" s="154"/>
      <c r="M11" s="154"/>
    </row>
    <row r="12" ht="33" spans="1:13">
      <c r="A12" s="154">
        <v>10</v>
      </c>
      <c r="B12" s="155" t="s">
        <v>13</v>
      </c>
      <c r="C12" s="155" t="s">
        <v>248</v>
      </c>
      <c r="D12" s="154" t="s">
        <v>164</v>
      </c>
      <c r="E12" s="154"/>
      <c r="F12" s="202" t="s">
        <v>452</v>
      </c>
      <c r="G12" s="156">
        <v>44497</v>
      </c>
      <c r="H12" s="156">
        <v>48148</v>
      </c>
      <c r="I12" s="155" t="s">
        <v>453</v>
      </c>
      <c r="J12" s="155" t="s">
        <v>316</v>
      </c>
      <c r="K12" s="154" t="str">
        <f>_xlfn.DISPIMG("ID_B2292CCCA09448719C9A6C7AF5B6BF0C",1)</f>
        <v>=DISPIMG("ID_B2292CCCA09448719C9A6C7AF5B6BF0C",1)</v>
      </c>
      <c r="L12" s="154"/>
      <c r="M12" s="154"/>
    </row>
    <row r="13" ht="49.5" spans="1:13">
      <c r="A13" s="154">
        <v>11</v>
      </c>
      <c r="B13" s="155" t="s">
        <v>13</v>
      </c>
      <c r="C13" s="155" t="s">
        <v>248</v>
      </c>
      <c r="D13" s="154" t="s">
        <v>164</v>
      </c>
      <c r="E13" s="154"/>
      <c r="F13" s="202" t="s">
        <v>454</v>
      </c>
      <c r="G13" s="156">
        <v>44285</v>
      </c>
      <c r="H13" s="156">
        <v>47936</v>
      </c>
      <c r="I13" s="155" t="s">
        <v>455</v>
      </c>
      <c r="J13" s="155" t="s">
        <v>456</v>
      </c>
      <c r="K13" s="154" t="str">
        <f>_xlfn.DISPIMG("ID_1F853B38B50549CE97B8E63092374964",1)</f>
        <v>=DISPIMG("ID_1F853B38B50549CE97B8E63092374964",1)</v>
      </c>
      <c r="L13" s="154"/>
      <c r="M13" s="154"/>
    </row>
    <row r="14" ht="33" spans="1:13">
      <c r="A14" s="154">
        <v>12</v>
      </c>
      <c r="B14" s="155" t="s">
        <v>13</v>
      </c>
      <c r="C14" s="155" t="s">
        <v>248</v>
      </c>
      <c r="D14" s="154" t="s">
        <v>164</v>
      </c>
      <c r="E14" s="154"/>
      <c r="F14" s="202" t="s">
        <v>457</v>
      </c>
      <c r="G14" s="156">
        <v>44285</v>
      </c>
      <c r="H14" s="156">
        <v>47936</v>
      </c>
      <c r="I14" s="155" t="s">
        <v>458</v>
      </c>
      <c r="J14" s="155" t="s">
        <v>456</v>
      </c>
      <c r="K14" s="154" t="str">
        <f>_xlfn.DISPIMG("ID_BB802D0678E04AD4A7EDAAFA5F8D2272",1)</f>
        <v>=DISPIMG("ID_BB802D0678E04AD4A7EDAAFA5F8D2272",1)</v>
      </c>
      <c r="L14" s="154"/>
      <c r="M14" s="154"/>
    </row>
    <row r="15" ht="49.5" spans="1:13">
      <c r="A15" s="154">
        <v>13</v>
      </c>
      <c r="B15" s="155" t="s">
        <v>13</v>
      </c>
      <c r="C15" s="155" t="s">
        <v>248</v>
      </c>
      <c r="D15" s="154" t="s">
        <v>164</v>
      </c>
      <c r="E15" s="154"/>
      <c r="F15" s="202" t="s">
        <v>459</v>
      </c>
      <c r="G15" s="156">
        <v>44040</v>
      </c>
      <c r="H15" s="156">
        <v>47691</v>
      </c>
      <c r="I15" s="155" t="s">
        <v>460</v>
      </c>
      <c r="J15" s="155" t="s">
        <v>41</v>
      </c>
      <c r="K15" s="154" t="str">
        <f>_xlfn.DISPIMG("ID_A42E099BA969499D8EC71B192379B5CB",1)</f>
        <v>=DISPIMG("ID_A42E099BA969499D8EC71B192379B5CB",1)</v>
      </c>
      <c r="L15" s="154"/>
      <c r="M15" s="154"/>
    </row>
    <row r="16" ht="66" spans="1:13">
      <c r="A16" s="154">
        <v>14</v>
      </c>
      <c r="B16" s="155" t="s">
        <v>13</v>
      </c>
      <c r="C16" s="155" t="s">
        <v>248</v>
      </c>
      <c r="D16" s="154" t="s">
        <v>164</v>
      </c>
      <c r="E16" s="154"/>
      <c r="F16" s="202" t="s">
        <v>461</v>
      </c>
      <c r="G16" s="156">
        <v>44005</v>
      </c>
      <c r="H16" s="156">
        <v>47656</v>
      </c>
      <c r="I16" s="155" t="s">
        <v>462</v>
      </c>
      <c r="J16" s="155" t="s">
        <v>463</v>
      </c>
      <c r="K16" s="154" t="str">
        <f>_xlfn.DISPIMG("ID_F71FC3B3CEF64F1DB28744625A1FC7CD",1)</f>
        <v>=DISPIMG("ID_F71FC3B3CEF64F1DB28744625A1FC7CD",1)</v>
      </c>
      <c r="L16" s="154"/>
      <c r="M16" s="154"/>
    </row>
    <row r="17" ht="49.5" spans="1:13">
      <c r="A17" s="154">
        <v>15</v>
      </c>
      <c r="B17" s="155" t="s">
        <v>13</v>
      </c>
      <c r="C17" s="155" t="s">
        <v>248</v>
      </c>
      <c r="D17" s="154" t="s">
        <v>164</v>
      </c>
      <c r="E17" s="154"/>
      <c r="F17" s="202" t="s">
        <v>464</v>
      </c>
      <c r="G17" s="156">
        <v>44040</v>
      </c>
      <c r="H17" s="156">
        <v>47691</v>
      </c>
      <c r="I17" s="155" t="s">
        <v>465</v>
      </c>
      <c r="J17" s="155" t="s">
        <v>41</v>
      </c>
      <c r="K17" s="154" t="str">
        <f>_xlfn.DISPIMG("ID_59E74B5D5A914398B6F5B3F64FF4CE3E",1)</f>
        <v>=DISPIMG("ID_59E74B5D5A914398B6F5B3F64FF4CE3E",1)</v>
      </c>
      <c r="L17" s="154"/>
      <c r="M17" s="154"/>
    </row>
    <row r="18" ht="148.5" spans="1:13">
      <c r="A18" s="154">
        <v>16</v>
      </c>
      <c r="B18" s="155" t="s">
        <v>13</v>
      </c>
      <c r="C18" s="155" t="s">
        <v>248</v>
      </c>
      <c r="D18" s="154" t="s">
        <v>171</v>
      </c>
      <c r="E18" s="154"/>
      <c r="F18" s="202" t="s">
        <v>48</v>
      </c>
      <c r="G18" s="156">
        <v>44054</v>
      </c>
      <c r="H18" s="156">
        <v>47705</v>
      </c>
      <c r="I18" s="155" t="s">
        <v>466</v>
      </c>
      <c r="J18" s="155" t="s">
        <v>467</v>
      </c>
      <c r="K18" s="154" t="str">
        <f>_xlfn.DISPIMG("ID_6BE9A90B776B469A8CBA8E32B3466CEF",1)</f>
        <v>=DISPIMG("ID_6BE9A90B776B469A8CBA8E32B3466CEF",1)</v>
      </c>
      <c r="L18" s="154"/>
      <c r="M18" s="154"/>
    </row>
    <row r="19" ht="409.5" spans="1:13">
      <c r="A19" s="154">
        <v>17</v>
      </c>
      <c r="B19" s="155" t="s">
        <v>13</v>
      </c>
      <c r="C19" s="155" t="s">
        <v>248</v>
      </c>
      <c r="D19" s="154" t="s">
        <v>171</v>
      </c>
      <c r="E19" s="154"/>
      <c r="F19" s="202" t="s">
        <v>468</v>
      </c>
      <c r="G19" s="157">
        <v>43986</v>
      </c>
      <c r="H19" s="156">
        <v>47637</v>
      </c>
      <c r="I19" s="155" t="s">
        <v>469</v>
      </c>
      <c r="J19" s="155" t="s">
        <v>470</v>
      </c>
      <c r="K19" s="154" t="str">
        <f>_xlfn.DISPIMG("ID_D12CE5B8790847DB98A1BC1163B30DE1",1)</f>
        <v>=DISPIMG("ID_D12CE5B8790847DB98A1BC1163B30DE1",1)</v>
      </c>
      <c r="L19" s="154"/>
      <c r="M19" s="154"/>
    </row>
    <row r="20" ht="49.5" spans="1:13">
      <c r="A20" s="154">
        <v>18</v>
      </c>
      <c r="B20" s="155" t="s">
        <v>13</v>
      </c>
      <c r="C20" s="155" t="s">
        <v>248</v>
      </c>
      <c r="D20" s="154" t="s">
        <v>171</v>
      </c>
      <c r="E20" s="154"/>
      <c r="F20" s="202" t="s">
        <v>471</v>
      </c>
      <c r="G20" s="156">
        <v>44034</v>
      </c>
      <c r="H20" s="156">
        <v>47685</v>
      </c>
      <c r="I20" s="155" t="s">
        <v>472</v>
      </c>
      <c r="J20" s="155" t="s">
        <v>41</v>
      </c>
      <c r="K20" s="154" t="str">
        <f>_xlfn.DISPIMG("ID_D714496EC1C5452DA1411D80ED934BA8",1)</f>
        <v>=DISPIMG("ID_D714496EC1C5452DA1411D80ED934BA8",1)</v>
      </c>
      <c r="L20" s="154"/>
      <c r="M20" s="154"/>
    </row>
    <row r="21" ht="409.5" spans="1:13">
      <c r="A21" s="154">
        <v>19</v>
      </c>
      <c r="B21" s="155" t="s">
        <v>13</v>
      </c>
      <c r="C21" s="155" t="s">
        <v>248</v>
      </c>
      <c r="D21" s="154" t="s">
        <v>171</v>
      </c>
      <c r="E21" s="154"/>
      <c r="F21" s="202" t="s">
        <v>473</v>
      </c>
      <c r="G21" s="156">
        <v>43986</v>
      </c>
      <c r="H21" s="156">
        <v>47637</v>
      </c>
      <c r="I21" s="155" t="s">
        <v>474</v>
      </c>
      <c r="J21" s="155" t="s">
        <v>475</v>
      </c>
      <c r="K21" s="154" t="str">
        <f>_xlfn.DISPIMG("ID_1AAFDD8947664A6F8997D0DB48E4F03D",1)</f>
        <v>=DISPIMG("ID_1AAFDD8947664A6F8997D0DB48E4F03D",1)</v>
      </c>
      <c r="L21" s="154"/>
      <c r="M21" s="154"/>
    </row>
    <row r="22" ht="115.5" spans="1:13">
      <c r="A22" s="154">
        <v>20</v>
      </c>
      <c r="B22" s="155" t="s">
        <v>13</v>
      </c>
      <c r="C22" s="155" t="s">
        <v>248</v>
      </c>
      <c r="D22" s="154" t="s">
        <v>171</v>
      </c>
      <c r="E22" s="154"/>
      <c r="F22" s="202" t="s">
        <v>476</v>
      </c>
      <c r="G22" s="156">
        <v>43993</v>
      </c>
      <c r="H22" s="156">
        <v>47644</v>
      </c>
      <c r="I22" s="155" t="s">
        <v>477</v>
      </c>
      <c r="J22" s="155" t="s">
        <v>478</v>
      </c>
      <c r="K22" s="154" t="str">
        <f>_xlfn.DISPIMG("ID_5B5F45890AC94DE9B90E275556636F58",1)</f>
        <v>=DISPIMG("ID_5B5F45890AC94DE9B90E275556636F58",1)</v>
      </c>
      <c r="L22" s="154"/>
      <c r="M22" s="154"/>
    </row>
    <row r="23" ht="49.5" spans="1:13">
      <c r="A23" s="154">
        <v>21</v>
      </c>
      <c r="B23" s="155" t="s">
        <v>13</v>
      </c>
      <c r="C23" s="155" t="s">
        <v>248</v>
      </c>
      <c r="D23" s="154" t="s">
        <v>171</v>
      </c>
      <c r="E23" s="154"/>
      <c r="F23" s="202" t="s">
        <v>479</v>
      </c>
      <c r="G23" s="156">
        <v>44034</v>
      </c>
      <c r="H23" s="156">
        <v>47685</v>
      </c>
      <c r="I23" s="155" t="s">
        <v>480</v>
      </c>
      <c r="J23" s="155" t="s">
        <v>41</v>
      </c>
      <c r="K23" s="154" t="str">
        <f>_xlfn.DISPIMG("ID_6FCBF84F894E4A6EAE0EDD7D2863EB7A",1)</f>
        <v>=DISPIMG("ID_6FCBF84F894E4A6EAE0EDD7D2863EB7A",1)</v>
      </c>
      <c r="L23" s="154"/>
      <c r="M23" s="154"/>
    </row>
    <row r="24" ht="49.5" spans="1:13">
      <c r="A24" s="154">
        <v>22</v>
      </c>
      <c r="B24" s="155" t="s">
        <v>13</v>
      </c>
      <c r="C24" s="155" t="s">
        <v>248</v>
      </c>
      <c r="D24" s="154" t="s">
        <v>171</v>
      </c>
      <c r="E24" s="154"/>
      <c r="F24" s="202" t="s">
        <v>481</v>
      </c>
      <c r="G24" s="156">
        <v>44034</v>
      </c>
      <c r="H24" s="156">
        <v>47685</v>
      </c>
      <c r="I24" s="155" t="s">
        <v>482</v>
      </c>
      <c r="J24" s="155" t="s">
        <v>41</v>
      </c>
      <c r="K24" s="154" t="str">
        <f>_xlfn.DISPIMG("ID_F3CEE5517CD94746B1C97C28FBCBDA89",1)</f>
        <v>=DISPIMG("ID_F3CEE5517CD94746B1C97C28FBCBDA89",1)</v>
      </c>
      <c r="L24" s="154"/>
      <c r="M24" s="154"/>
    </row>
    <row r="25" ht="49.5" spans="1:13">
      <c r="A25" s="154">
        <v>23</v>
      </c>
      <c r="B25" s="155" t="s">
        <v>13</v>
      </c>
      <c r="C25" s="155" t="s">
        <v>248</v>
      </c>
      <c r="D25" s="154" t="s">
        <v>171</v>
      </c>
      <c r="E25" s="154"/>
      <c r="F25" s="202" t="s">
        <v>483</v>
      </c>
      <c r="G25" s="156">
        <v>44034</v>
      </c>
      <c r="H25" s="156">
        <v>47685</v>
      </c>
      <c r="I25" s="155" t="s">
        <v>484</v>
      </c>
      <c r="J25" s="155" t="s">
        <v>41</v>
      </c>
      <c r="K25" s="154" t="str">
        <f>_xlfn.DISPIMG("ID_310AA434D8BB42BE872018D35B45A64A",1)</f>
        <v>=DISPIMG("ID_310AA434D8BB42BE872018D35B45A64A",1)</v>
      </c>
      <c r="L25" s="154"/>
      <c r="M25" s="154"/>
    </row>
    <row r="26" ht="49.5" spans="1:13">
      <c r="A26" s="154">
        <v>24</v>
      </c>
      <c r="B26" s="155" t="s">
        <v>13</v>
      </c>
      <c r="C26" s="155" t="s">
        <v>248</v>
      </c>
      <c r="D26" s="154" t="s">
        <v>171</v>
      </c>
      <c r="E26" s="154"/>
      <c r="F26" s="202" t="s">
        <v>485</v>
      </c>
      <c r="G26" s="156">
        <v>44034</v>
      </c>
      <c r="H26" s="156">
        <v>47685</v>
      </c>
      <c r="I26" s="155" t="s">
        <v>486</v>
      </c>
      <c r="J26" s="155" t="s">
        <v>41</v>
      </c>
      <c r="K26" s="154" t="str">
        <f>_xlfn.DISPIMG("ID_473F7172619E4154A379ED6D2075A87D",1)</f>
        <v>=DISPIMG("ID_473F7172619E4154A379ED6D2075A87D",1)</v>
      </c>
      <c r="L26" s="154"/>
      <c r="M26" s="154"/>
    </row>
    <row r="27" ht="264" spans="1:13">
      <c r="A27" s="154">
        <v>25</v>
      </c>
      <c r="B27" s="155" t="s">
        <v>13</v>
      </c>
      <c r="C27" s="155" t="s">
        <v>248</v>
      </c>
      <c r="D27" s="154" t="s">
        <v>171</v>
      </c>
      <c r="E27" s="154"/>
      <c r="F27" s="202" t="s">
        <v>487</v>
      </c>
      <c r="G27" s="156">
        <v>44034</v>
      </c>
      <c r="H27" s="156">
        <v>47685</v>
      </c>
      <c r="I27" s="155" t="s">
        <v>488</v>
      </c>
      <c r="J27" s="155" t="s">
        <v>41</v>
      </c>
      <c r="K27" s="154" t="str">
        <f>_xlfn.DISPIMG("ID_A9C08F49E0AA4702B5260A4F0B38A93E",1)</f>
        <v>=DISPIMG("ID_A9C08F49E0AA4702B5260A4F0B38A93E",1)</v>
      </c>
      <c r="L27" s="154"/>
      <c r="M27" s="154"/>
    </row>
    <row r="28" ht="165" spans="1:13">
      <c r="A28" s="154">
        <v>26</v>
      </c>
      <c r="B28" s="155" t="s">
        <v>13</v>
      </c>
      <c r="C28" s="155" t="s">
        <v>248</v>
      </c>
      <c r="D28" s="154" t="s">
        <v>171</v>
      </c>
      <c r="E28" s="154"/>
      <c r="F28" s="202" t="s">
        <v>489</v>
      </c>
      <c r="G28" s="156">
        <v>44034</v>
      </c>
      <c r="H28" s="156">
        <v>47685</v>
      </c>
      <c r="I28" s="155" t="s">
        <v>490</v>
      </c>
      <c r="J28" s="155" t="s">
        <v>41</v>
      </c>
      <c r="K28" s="154" t="str">
        <f>_xlfn.DISPIMG("ID_E1E082C4A1CA468291022620F0760BDC",1)</f>
        <v>=DISPIMG("ID_E1E082C4A1CA468291022620F0760BDC",1)</v>
      </c>
      <c r="L28" s="154"/>
      <c r="M28" s="154"/>
    </row>
    <row r="29" ht="181.5" spans="1:13">
      <c r="A29" s="154">
        <v>27</v>
      </c>
      <c r="B29" s="155" t="s">
        <v>13</v>
      </c>
      <c r="C29" s="155" t="s">
        <v>248</v>
      </c>
      <c r="D29" s="154" t="s">
        <v>171</v>
      </c>
      <c r="E29" s="154"/>
      <c r="F29" s="202" t="s">
        <v>491</v>
      </c>
      <c r="G29" s="156">
        <v>44034</v>
      </c>
      <c r="H29" s="156">
        <v>47685</v>
      </c>
      <c r="I29" s="155" t="s">
        <v>492</v>
      </c>
      <c r="J29" s="155" t="s">
        <v>41</v>
      </c>
      <c r="K29" s="154" t="str">
        <f>_xlfn.DISPIMG("ID_F7004C4737EA4EDB9746C1159CE1BB7A",1)</f>
        <v>=DISPIMG("ID_F7004C4737EA4EDB9746C1159CE1BB7A",1)</v>
      </c>
      <c r="L29" s="154"/>
      <c r="M29" s="154"/>
    </row>
    <row r="30" ht="115.5" spans="1:13">
      <c r="A30" s="154">
        <v>28</v>
      </c>
      <c r="B30" s="155" t="s">
        <v>13</v>
      </c>
      <c r="C30" s="155" t="s">
        <v>248</v>
      </c>
      <c r="D30" s="154" t="s">
        <v>171</v>
      </c>
      <c r="E30" s="154"/>
      <c r="F30" s="202" t="s">
        <v>493</v>
      </c>
      <c r="G30" s="156">
        <v>44034</v>
      </c>
      <c r="H30" s="156">
        <v>47685</v>
      </c>
      <c r="I30" s="155" t="s">
        <v>494</v>
      </c>
      <c r="J30" s="155" t="s">
        <v>41</v>
      </c>
      <c r="K30" s="154" t="str">
        <f>_xlfn.DISPIMG("ID_760CB3C5863F43B1AF1BF8CBB9064830",1)</f>
        <v>=DISPIMG("ID_760CB3C5863F43B1AF1BF8CBB9064830",1)</v>
      </c>
      <c r="L30" s="154"/>
      <c r="M30" s="154"/>
    </row>
    <row r="31" ht="49.5" spans="1:13">
      <c r="A31" s="154">
        <v>29</v>
      </c>
      <c r="B31" s="155" t="s">
        <v>13</v>
      </c>
      <c r="C31" s="155" t="s">
        <v>248</v>
      </c>
      <c r="D31" s="154" t="s">
        <v>171</v>
      </c>
      <c r="E31" s="154"/>
      <c r="F31" s="202" t="s">
        <v>495</v>
      </c>
      <c r="G31" s="156">
        <v>44053</v>
      </c>
      <c r="H31" s="156">
        <v>47704</v>
      </c>
      <c r="I31" s="155" t="s">
        <v>496</v>
      </c>
      <c r="J31" s="155" t="s">
        <v>41</v>
      </c>
      <c r="K31" s="154" t="str">
        <f>_xlfn.DISPIMG("ID_D3145D02B3D641E1932A020A7D1EA7D8",1)</f>
        <v>=DISPIMG("ID_D3145D02B3D641E1932A020A7D1EA7D8",1)</v>
      </c>
      <c r="L31" s="154"/>
      <c r="M31" s="154"/>
    </row>
    <row r="32" ht="115.5" spans="1:13">
      <c r="A32" s="154">
        <v>30</v>
      </c>
      <c r="B32" s="155" t="s">
        <v>13</v>
      </c>
      <c r="C32" s="155" t="s">
        <v>248</v>
      </c>
      <c r="D32" s="154" t="s">
        <v>171</v>
      </c>
      <c r="E32" s="154"/>
      <c r="F32" s="202" t="s">
        <v>497</v>
      </c>
      <c r="G32" s="156">
        <v>44063</v>
      </c>
      <c r="H32" s="156">
        <v>47714</v>
      </c>
      <c r="I32" s="155" t="s">
        <v>498</v>
      </c>
      <c r="J32" s="155" t="s">
        <v>499</v>
      </c>
      <c r="K32" s="154" t="str">
        <f>_xlfn.DISPIMG("ID_0EA30428569E426EB179F04BA8364737",1)</f>
        <v>=DISPIMG("ID_0EA30428569E426EB179F04BA8364737",1)</v>
      </c>
      <c r="L32" s="154"/>
      <c r="M32" s="154"/>
    </row>
    <row r="33" ht="49.5" spans="1:13">
      <c r="A33" s="154">
        <v>31</v>
      </c>
      <c r="B33" s="155" t="s">
        <v>13</v>
      </c>
      <c r="C33" s="155" t="s">
        <v>248</v>
      </c>
      <c r="D33" s="154" t="s">
        <v>171</v>
      </c>
      <c r="E33" s="154"/>
      <c r="F33" s="202" t="s">
        <v>500</v>
      </c>
      <c r="G33" s="156">
        <v>44063</v>
      </c>
      <c r="H33" s="156">
        <v>47714</v>
      </c>
      <c r="I33" s="155" t="s">
        <v>501</v>
      </c>
      <c r="J33" s="155" t="s">
        <v>41</v>
      </c>
      <c r="K33" s="154" t="str">
        <f>_xlfn.DISPIMG("ID_72517F140E43468C82AE60A8DAAE3743",1)</f>
        <v>=DISPIMG("ID_72517F140E43468C82AE60A8DAAE3743",1)</v>
      </c>
      <c r="L33" s="154"/>
      <c r="M33" s="154"/>
    </row>
    <row r="34" ht="99" spans="1:13">
      <c r="A34" s="154">
        <v>32</v>
      </c>
      <c r="B34" s="155" t="s">
        <v>13</v>
      </c>
      <c r="C34" s="155" t="s">
        <v>248</v>
      </c>
      <c r="D34" s="154" t="s">
        <v>171</v>
      </c>
      <c r="E34" s="154"/>
      <c r="F34" s="202" t="s">
        <v>502</v>
      </c>
      <c r="G34" s="156">
        <v>44063</v>
      </c>
      <c r="H34" s="156">
        <v>47714</v>
      </c>
      <c r="I34" s="155" t="s">
        <v>503</v>
      </c>
      <c r="J34" s="155" t="s">
        <v>41</v>
      </c>
      <c r="K34" s="154" t="str">
        <f>_xlfn.DISPIMG("ID_60BF6816CA114E33B0391CEA504A060F",1)</f>
        <v>=DISPIMG("ID_60BF6816CA114E33B0391CEA504A060F",1)</v>
      </c>
      <c r="L34" s="154"/>
      <c r="M34" s="154"/>
    </row>
    <row r="35" ht="165" spans="1:13">
      <c r="A35" s="154">
        <v>33</v>
      </c>
      <c r="B35" s="155" t="s">
        <v>13</v>
      </c>
      <c r="C35" s="155" t="s">
        <v>248</v>
      </c>
      <c r="D35" s="154" t="s">
        <v>171</v>
      </c>
      <c r="E35" s="154"/>
      <c r="F35" s="202" t="s">
        <v>504</v>
      </c>
      <c r="G35" s="156">
        <v>44063</v>
      </c>
      <c r="H35" s="156">
        <v>47714</v>
      </c>
      <c r="I35" s="155" t="s">
        <v>505</v>
      </c>
      <c r="J35" s="155" t="s">
        <v>41</v>
      </c>
      <c r="K35" s="154" t="str">
        <f>_xlfn.DISPIMG("ID_CA5D0957551A41F78058DA78A440210E",1)</f>
        <v>=DISPIMG("ID_CA5D0957551A41F78058DA78A440210E",1)</v>
      </c>
      <c r="L35" s="154"/>
      <c r="M35" s="154"/>
    </row>
    <row r="36" ht="49.5" spans="1:13">
      <c r="A36" s="154">
        <v>34</v>
      </c>
      <c r="B36" s="155" t="s">
        <v>13</v>
      </c>
      <c r="C36" s="155" t="s">
        <v>248</v>
      </c>
      <c r="D36" s="154" t="s">
        <v>171</v>
      </c>
      <c r="E36" s="154"/>
      <c r="F36" s="202" t="s">
        <v>506</v>
      </c>
      <c r="G36" s="156">
        <v>44063</v>
      </c>
      <c r="H36" s="156">
        <v>47714</v>
      </c>
      <c r="I36" s="155" t="s">
        <v>507</v>
      </c>
      <c r="J36" s="155" t="s">
        <v>41</v>
      </c>
      <c r="K36" s="154" t="str">
        <f>_xlfn.DISPIMG("ID_A566F285AD8245C7A6150C6E82BC9CF9",1)</f>
        <v>=DISPIMG("ID_A566F285AD8245C7A6150C6E82BC9CF9",1)</v>
      </c>
      <c r="L36" s="154"/>
      <c r="M36" s="154"/>
    </row>
    <row r="37" ht="49.5" spans="1:13">
      <c r="A37" s="154">
        <v>35</v>
      </c>
      <c r="B37" s="155" t="s">
        <v>13</v>
      </c>
      <c r="C37" s="155" t="s">
        <v>248</v>
      </c>
      <c r="D37" s="154" t="s">
        <v>171</v>
      </c>
      <c r="E37" s="154"/>
      <c r="F37" s="202" t="s">
        <v>508</v>
      </c>
      <c r="G37" s="156">
        <v>44063</v>
      </c>
      <c r="H37" s="156">
        <v>47714</v>
      </c>
      <c r="I37" s="155" t="s">
        <v>509</v>
      </c>
      <c r="J37" s="155" t="s">
        <v>41</v>
      </c>
      <c r="K37" s="154" t="str">
        <f>_xlfn.DISPIMG("ID_742B3C148DD94125BC0635FF2EF0ABA3",1)</f>
        <v>=DISPIMG("ID_742B3C148DD94125BC0635FF2EF0ABA3",1)</v>
      </c>
      <c r="L37" s="154"/>
      <c r="M37" s="154"/>
    </row>
    <row r="38" ht="49.5" spans="1:13">
      <c r="A38" s="154">
        <v>36</v>
      </c>
      <c r="B38" s="155" t="s">
        <v>13</v>
      </c>
      <c r="C38" s="155" t="s">
        <v>248</v>
      </c>
      <c r="D38" s="154" t="s">
        <v>171</v>
      </c>
      <c r="E38" s="154"/>
      <c r="F38" s="202" t="s">
        <v>510</v>
      </c>
      <c r="G38" s="156">
        <v>44063</v>
      </c>
      <c r="H38" s="156">
        <v>47714</v>
      </c>
      <c r="I38" s="155" t="s">
        <v>436</v>
      </c>
      <c r="J38" s="155" t="s">
        <v>41</v>
      </c>
      <c r="K38" s="154" t="str">
        <f>_xlfn.DISPIMG("ID_5426A5B895B74D55A65712C18E563409",1)</f>
        <v>=DISPIMG("ID_5426A5B895B74D55A65712C18E563409",1)</v>
      </c>
      <c r="L38" s="154"/>
      <c r="M38" s="154"/>
    </row>
    <row r="39" ht="49.5" spans="1:13">
      <c r="A39" s="154">
        <v>37</v>
      </c>
      <c r="B39" s="155" t="s">
        <v>13</v>
      </c>
      <c r="C39" s="155" t="s">
        <v>248</v>
      </c>
      <c r="D39" s="154" t="s">
        <v>171</v>
      </c>
      <c r="E39" s="154"/>
      <c r="F39" s="202" t="s">
        <v>511</v>
      </c>
      <c r="G39" s="156">
        <v>44063</v>
      </c>
      <c r="H39" s="156">
        <v>47714</v>
      </c>
      <c r="I39" s="155" t="s">
        <v>439</v>
      </c>
      <c r="J39" s="155" t="s">
        <v>41</v>
      </c>
      <c r="K39" s="154" t="str">
        <f>_xlfn.DISPIMG("ID_E326EABA461B42208D2EB15787E6C07A",1)</f>
        <v>=DISPIMG("ID_E326EABA461B42208D2EB15787E6C07A",1)</v>
      </c>
      <c r="L39" s="154"/>
      <c r="M39" s="154"/>
    </row>
    <row r="40" ht="49.5" spans="1:13">
      <c r="A40" s="154">
        <v>38</v>
      </c>
      <c r="B40" s="155" t="s">
        <v>13</v>
      </c>
      <c r="C40" s="155" t="s">
        <v>248</v>
      </c>
      <c r="D40" s="154" t="s">
        <v>171</v>
      </c>
      <c r="E40" s="154"/>
      <c r="F40" s="202" t="s">
        <v>512</v>
      </c>
      <c r="G40" s="156">
        <v>44063</v>
      </c>
      <c r="H40" s="156">
        <v>47714</v>
      </c>
      <c r="I40" s="155" t="s">
        <v>442</v>
      </c>
      <c r="J40" s="155" t="s">
        <v>41</v>
      </c>
      <c r="K40" s="154" t="str">
        <f>_xlfn.DISPIMG("ID_E89B4C38E6F64AA5A4C77279A9FF3316",1)</f>
        <v>=DISPIMG("ID_E89B4C38E6F64AA5A4C77279A9FF3316",1)</v>
      </c>
      <c r="L40" s="154"/>
      <c r="M40" s="154"/>
    </row>
    <row r="41" ht="66" spans="1:13">
      <c r="A41" s="154">
        <v>39</v>
      </c>
      <c r="B41" s="155" t="s">
        <v>13</v>
      </c>
      <c r="C41" s="155" t="s">
        <v>248</v>
      </c>
      <c r="D41" s="154" t="s">
        <v>171</v>
      </c>
      <c r="E41" s="154"/>
      <c r="F41" s="202" t="s">
        <v>513</v>
      </c>
      <c r="G41" s="156">
        <v>44063</v>
      </c>
      <c r="H41" s="156">
        <v>47714</v>
      </c>
      <c r="I41" s="155" t="s">
        <v>514</v>
      </c>
      <c r="J41" s="155" t="s">
        <v>41</v>
      </c>
      <c r="K41" s="154" t="str">
        <f>_xlfn.DISPIMG("ID_D7C79D7B6DBC4429A7DAADF080C1D86D",1)</f>
        <v>=DISPIMG("ID_D7C79D7B6DBC4429A7DAADF080C1D86D",1)</v>
      </c>
      <c r="L41" s="154"/>
      <c r="M41" s="154"/>
    </row>
    <row r="42" ht="132" spans="1:13">
      <c r="A42" s="154">
        <v>40</v>
      </c>
      <c r="B42" s="155" t="s">
        <v>13</v>
      </c>
      <c r="C42" s="155" t="s">
        <v>248</v>
      </c>
      <c r="D42" s="154" t="s">
        <v>171</v>
      </c>
      <c r="E42" s="154"/>
      <c r="F42" s="202" t="s">
        <v>515</v>
      </c>
      <c r="G42" s="156">
        <v>44063</v>
      </c>
      <c r="H42" s="156">
        <v>47714</v>
      </c>
      <c r="I42" s="155" t="s">
        <v>516</v>
      </c>
      <c r="J42" s="155" t="s">
        <v>41</v>
      </c>
      <c r="K42" s="154" t="str">
        <f>_xlfn.DISPIMG("ID_4703DB0EBC994176BBD68D938008536A",1)</f>
        <v>=DISPIMG("ID_4703DB0EBC994176BBD68D938008536A",1)</v>
      </c>
      <c r="L42" s="154"/>
      <c r="M42" s="154"/>
    </row>
    <row r="43" ht="49.5" spans="1:13">
      <c r="A43" s="154">
        <v>41</v>
      </c>
      <c r="B43" s="155" t="s">
        <v>13</v>
      </c>
      <c r="C43" s="155" t="s">
        <v>248</v>
      </c>
      <c r="D43" s="154" t="s">
        <v>171</v>
      </c>
      <c r="E43" s="154"/>
      <c r="F43" s="202" t="s">
        <v>517</v>
      </c>
      <c r="G43" s="156">
        <v>44063</v>
      </c>
      <c r="H43" s="156">
        <v>47714</v>
      </c>
      <c r="I43" s="155" t="s">
        <v>518</v>
      </c>
      <c r="J43" s="155" t="s">
        <v>41</v>
      </c>
      <c r="K43" s="154" t="str">
        <f>_xlfn.DISPIMG("ID_75A6C3F2DB8444B5BEAB6C026BB9E0F6",1)</f>
        <v>=DISPIMG("ID_75A6C3F2DB8444B5BEAB6C026BB9E0F6",1)</v>
      </c>
      <c r="L43" s="154"/>
      <c r="M43" s="154"/>
    </row>
    <row r="44" ht="49.5" spans="1:13">
      <c r="A44" s="154">
        <v>42</v>
      </c>
      <c r="B44" s="155" t="s">
        <v>13</v>
      </c>
      <c r="C44" s="155" t="s">
        <v>248</v>
      </c>
      <c r="D44" s="154" t="s">
        <v>171</v>
      </c>
      <c r="E44" s="154"/>
      <c r="F44" s="202" t="s">
        <v>519</v>
      </c>
      <c r="G44" s="156">
        <v>44063</v>
      </c>
      <c r="H44" s="156">
        <v>47714</v>
      </c>
      <c r="I44" s="155" t="s">
        <v>520</v>
      </c>
      <c r="J44" s="155" t="s">
        <v>41</v>
      </c>
      <c r="K44" s="154" t="str">
        <f>_xlfn.DISPIMG("ID_FEAE5F28CED542E69C36DE6B2C64677C",1)</f>
        <v>=DISPIMG("ID_FEAE5F28CED542E69C36DE6B2C64677C",1)</v>
      </c>
      <c r="L44" s="154"/>
      <c r="M44" s="154"/>
    </row>
    <row r="45" ht="313.5" spans="1:13">
      <c r="A45" s="154">
        <v>43</v>
      </c>
      <c r="B45" s="155" t="s">
        <v>13</v>
      </c>
      <c r="C45" s="155" t="s">
        <v>248</v>
      </c>
      <c r="D45" s="154" t="s">
        <v>171</v>
      </c>
      <c r="E45" s="154"/>
      <c r="F45" s="202" t="s">
        <v>521</v>
      </c>
      <c r="G45" s="156">
        <v>44063</v>
      </c>
      <c r="H45" s="156">
        <v>47714</v>
      </c>
      <c r="I45" s="155" t="s">
        <v>522</v>
      </c>
      <c r="J45" s="155" t="s">
        <v>41</v>
      </c>
      <c r="K45" s="154" t="str">
        <f>_xlfn.DISPIMG("ID_4346223220B54E7FA7CB31A9D3E3F1BA",1)</f>
        <v>=DISPIMG("ID_4346223220B54E7FA7CB31A9D3E3F1BA",1)</v>
      </c>
      <c r="L45" s="154"/>
      <c r="M45" s="154"/>
    </row>
    <row r="46" ht="49.5" spans="1:13">
      <c r="A46" s="154">
        <v>44</v>
      </c>
      <c r="B46" s="155" t="s">
        <v>13</v>
      </c>
      <c r="C46" s="155" t="s">
        <v>248</v>
      </c>
      <c r="D46" s="154" t="s">
        <v>171</v>
      </c>
      <c r="E46" s="154"/>
      <c r="F46" s="202" t="s">
        <v>523</v>
      </c>
      <c r="G46" s="156">
        <v>44063</v>
      </c>
      <c r="H46" s="156">
        <v>47714</v>
      </c>
      <c r="I46" s="155" t="s">
        <v>524</v>
      </c>
      <c r="J46" s="155" t="s">
        <v>41</v>
      </c>
      <c r="K46" s="154" t="str">
        <f>_xlfn.DISPIMG("ID_C4D148A6E509462E834E2F1A6A9A0F5E",1)</f>
        <v>=DISPIMG("ID_C4D148A6E509462E834E2F1A6A9A0F5E",1)</v>
      </c>
      <c r="L46" s="154"/>
      <c r="M46" s="154"/>
    </row>
    <row r="47" ht="66" spans="1:13">
      <c r="A47" s="154">
        <v>45</v>
      </c>
      <c r="B47" s="155" t="s">
        <v>13</v>
      </c>
      <c r="C47" s="155" t="s">
        <v>248</v>
      </c>
      <c r="D47" s="154" t="s">
        <v>171</v>
      </c>
      <c r="E47" s="154"/>
      <c r="F47" s="202" t="s">
        <v>525</v>
      </c>
      <c r="G47" s="156">
        <v>44063</v>
      </c>
      <c r="H47" s="156">
        <v>47714</v>
      </c>
      <c r="I47" s="155" t="s">
        <v>526</v>
      </c>
      <c r="J47" s="155" t="s">
        <v>41</v>
      </c>
      <c r="K47" s="154" t="str">
        <f>_xlfn.DISPIMG("ID_B0B7CA2F54E14FD796039B160D8038AE",1)</f>
        <v>=DISPIMG("ID_B0B7CA2F54E14FD796039B160D8038AE",1)</v>
      </c>
      <c r="L47" s="154"/>
      <c r="M47" s="154"/>
    </row>
    <row r="48" ht="49.5" spans="1:13">
      <c r="A48" s="154">
        <v>46</v>
      </c>
      <c r="B48" s="155" t="s">
        <v>13</v>
      </c>
      <c r="C48" s="155" t="s">
        <v>248</v>
      </c>
      <c r="D48" s="154" t="s">
        <v>171</v>
      </c>
      <c r="E48" s="154"/>
      <c r="F48" s="202" t="s">
        <v>527</v>
      </c>
      <c r="G48" s="156">
        <v>44063</v>
      </c>
      <c r="H48" s="156">
        <v>47714</v>
      </c>
      <c r="I48" s="155" t="s">
        <v>528</v>
      </c>
      <c r="J48" s="155" t="s">
        <v>41</v>
      </c>
      <c r="K48" s="154" t="str">
        <f>_xlfn.DISPIMG("ID_25EB97A69ECF4F6F97F08727A819423E",1)</f>
        <v>=DISPIMG("ID_25EB97A69ECF4F6F97F08727A819423E",1)</v>
      </c>
      <c r="L48" s="154"/>
      <c r="M48" s="154"/>
    </row>
    <row r="49" ht="49.5" spans="1:13">
      <c r="A49" s="154">
        <v>47</v>
      </c>
      <c r="B49" s="155" t="s">
        <v>13</v>
      </c>
      <c r="C49" s="155" t="s">
        <v>248</v>
      </c>
      <c r="D49" s="154" t="s">
        <v>171</v>
      </c>
      <c r="E49" s="154"/>
      <c r="F49" s="202" t="s">
        <v>529</v>
      </c>
      <c r="G49" s="156">
        <v>44063</v>
      </c>
      <c r="H49" s="156">
        <v>47714</v>
      </c>
      <c r="I49" s="155" t="s">
        <v>530</v>
      </c>
      <c r="J49" s="155" t="s">
        <v>41</v>
      </c>
      <c r="K49" s="154" t="str">
        <f>_xlfn.DISPIMG("ID_39BD18DD2034428FAC1A59E0F60964FF",1)</f>
        <v>=DISPIMG("ID_39BD18DD2034428FAC1A59E0F60964FF",1)</v>
      </c>
      <c r="L49" s="154"/>
      <c r="M49" s="154"/>
    </row>
    <row r="50" ht="49.5" spans="1:13">
      <c r="A50" s="154">
        <v>48</v>
      </c>
      <c r="B50" s="155" t="s">
        <v>13</v>
      </c>
      <c r="C50" s="155" t="s">
        <v>248</v>
      </c>
      <c r="D50" s="154" t="s">
        <v>171</v>
      </c>
      <c r="E50" s="154"/>
      <c r="F50" s="202" t="s">
        <v>531</v>
      </c>
      <c r="G50" s="156">
        <v>44063</v>
      </c>
      <c r="H50" s="156">
        <v>47714</v>
      </c>
      <c r="I50" s="155" t="s">
        <v>532</v>
      </c>
      <c r="J50" s="155" t="s">
        <v>41</v>
      </c>
      <c r="K50" s="154" t="str">
        <f>_xlfn.DISPIMG("ID_60170EFC3289492BA5CDB651566BE001",1)</f>
        <v>=DISPIMG("ID_60170EFC3289492BA5CDB651566BE001",1)</v>
      </c>
      <c r="L50" s="154"/>
      <c r="M50" s="154"/>
    </row>
    <row r="51" ht="66" spans="1:13">
      <c r="A51" s="154">
        <v>49</v>
      </c>
      <c r="B51" s="155" t="s">
        <v>13</v>
      </c>
      <c r="C51" s="155" t="s">
        <v>248</v>
      </c>
      <c r="D51" s="154" t="s">
        <v>171</v>
      </c>
      <c r="E51" s="154"/>
      <c r="F51" s="202" t="s">
        <v>533</v>
      </c>
      <c r="G51" s="156">
        <v>44063</v>
      </c>
      <c r="H51" s="156">
        <v>47714</v>
      </c>
      <c r="I51" s="155" t="s">
        <v>534</v>
      </c>
      <c r="J51" s="155" t="s">
        <v>41</v>
      </c>
      <c r="K51" s="154" t="str">
        <f>_xlfn.DISPIMG("ID_4870921E4B3B4C29A48A094614946467",1)</f>
        <v>=DISPIMG("ID_4870921E4B3B4C29A48A094614946467",1)</v>
      </c>
      <c r="L51" s="154"/>
      <c r="M51" s="154"/>
    </row>
    <row r="52" ht="49.5" spans="1:13">
      <c r="A52" s="154">
        <v>50</v>
      </c>
      <c r="B52" s="155" t="s">
        <v>13</v>
      </c>
      <c r="C52" s="155" t="s">
        <v>248</v>
      </c>
      <c r="D52" s="154" t="s">
        <v>171</v>
      </c>
      <c r="E52" s="154"/>
      <c r="F52" s="202" t="s">
        <v>535</v>
      </c>
      <c r="G52" s="156">
        <v>44063</v>
      </c>
      <c r="H52" s="156">
        <v>47714</v>
      </c>
      <c r="I52" s="155" t="s">
        <v>536</v>
      </c>
      <c r="J52" s="155" t="s">
        <v>41</v>
      </c>
      <c r="K52" s="154" t="str">
        <f>_xlfn.DISPIMG("ID_E1347B9DA0BA44468D0948930B37ED98",1)</f>
        <v>=DISPIMG("ID_E1347B9DA0BA44468D0948930B37ED98",1)</v>
      </c>
      <c r="L52" s="154"/>
      <c r="M52" s="154"/>
    </row>
    <row r="53" ht="49.5" spans="1:13">
      <c r="A53" s="154">
        <v>51</v>
      </c>
      <c r="B53" s="155" t="s">
        <v>13</v>
      </c>
      <c r="C53" s="155" t="s">
        <v>248</v>
      </c>
      <c r="D53" s="154" t="s">
        <v>171</v>
      </c>
      <c r="E53" s="154"/>
      <c r="F53" s="202" t="s">
        <v>537</v>
      </c>
      <c r="G53" s="156">
        <v>44063</v>
      </c>
      <c r="H53" s="156">
        <v>47714</v>
      </c>
      <c r="I53" s="155" t="s">
        <v>538</v>
      </c>
      <c r="J53" s="155" t="s">
        <v>41</v>
      </c>
      <c r="K53" s="154" t="str">
        <f>_xlfn.DISPIMG("ID_80555CE4734B495FB9AD36719D1678D9",1)</f>
        <v>=DISPIMG("ID_80555CE4734B495FB9AD36719D1678D9",1)</v>
      </c>
      <c r="L53" s="154"/>
      <c r="M53" s="154"/>
    </row>
    <row r="54" ht="66" spans="1:13">
      <c r="A54" s="154">
        <v>52</v>
      </c>
      <c r="B54" s="155" t="s">
        <v>13</v>
      </c>
      <c r="C54" s="155" t="s">
        <v>248</v>
      </c>
      <c r="D54" s="154" t="s">
        <v>15</v>
      </c>
      <c r="E54" s="154" t="s">
        <v>539</v>
      </c>
      <c r="F54" s="202" t="s">
        <v>540</v>
      </c>
      <c r="G54" s="156">
        <v>45183</v>
      </c>
      <c r="H54" s="156">
        <v>48835</v>
      </c>
      <c r="I54" s="155" t="s">
        <v>526</v>
      </c>
      <c r="J54" s="155" t="s">
        <v>316</v>
      </c>
      <c r="K54" s="154" t="str">
        <f>_xlfn.DISPIMG("ID_595EC38FD46F4847BD2ECA4230DB5940",1)</f>
        <v>=DISPIMG("ID_595EC38FD46F4847BD2ECA4230DB5940",1)</v>
      </c>
      <c r="L54" s="154"/>
      <c r="M54" s="154"/>
    </row>
    <row r="55" ht="66" spans="1:13">
      <c r="A55" s="154">
        <v>53</v>
      </c>
      <c r="B55" s="155" t="s">
        <v>13</v>
      </c>
      <c r="C55" s="155" t="s">
        <v>248</v>
      </c>
      <c r="D55" s="154" t="s">
        <v>15</v>
      </c>
      <c r="E55" s="154" t="s">
        <v>541</v>
      </c>
      <c r="F55" s="202" t="s">
        <v>542</v>
      </c>
      <c r="G55" s="156">
        <v>45183</v>
      </c>
      <c r="H55" s="156">
        <v>48835</v>
      </c>
      <c r="I55" s="155" t="s">
        <v>534</v>
      </c>
      <c r="J55" s="155" t="s">
        <v>316</v>
      </c>
      <c r="K55" s="154" t="str">
        <f>_xlfn.DISPIMG("ID_DC6D7180AC4449A99705D1158DBBA556",1)</f>
        <v>=DISPIMG("ID_DC6D7180AC4449A99705D1158DBBA556",1)</v>
      </c>
      <c r="L55" s="154"/>
      <c r="M55" s="154"/>
    </row>
    <row r="56" ht="33" spans="1:13">
      <c r="A56" s="154">
        <v>54</v>
      </c>
      <c r="B56" s="155" t="s">
        <v>13</v>
      </c>
      <c r="C56" s="155" t="s">
        <v>248</v>
      </c>
      <c r="D56" s="154" t="s">
        <v>15</v>
      </c>
      <c r="E56" s="154" t="s">
        <v>543</v>
      </c>
      <c r="F56" s="202" t="s">
        <v>544</v>
      </c>
      <c r="G56" s="156">
        <v>45183</v>
      </c>
      <c r="H56" s="156">
        <v>48835</v>
      </c>
      <c r="I56" s="155" t="s">
        <v>545</v>
      </c>
      <c r="J56" s="155" t="s">
        <v>316</v>
      </c>
      <c r="K56" s="154" t="str">
        <f>_xlfn.DISPIMG("ID_85552BF31AD44F9DA44AAEFDC5A9C365",1)</f>
        <v>=DISPIMG("ID_85552BF31AD44F9DA44AAEFDC5A9C365",1)</v>
      </c>
      <c r="L56" s="154"/>
      <c r="M56" s="154"/>
    </row>
    <row r="57" ht="49.5" spans="1:13">
      <c r="A57" s="154">
        <v>55</v>
      </c>
      <c r="B57" s="155" t="s">
        <v>13</v>
      </c>
      <c r="C57" s="155" t="s">
        <v>248</v>
      </c>
      <c r="D57" s="154" t="s">
        <v>15</v>
      </c>
      <c r="E57" s="154" t="s">
        <v>546</v>
      </c>
      <c r="F57" s="202" t="s">
        <v>547</v>
      </c>
      <c r="G57" s="156">
        <v>45183</v>
      </c>
      <c r="H57" s="156">
        <v>48835</v>
      </c>
      <c r="I57" s="155" t="s">
        <v>538</v>
      </c>
      <c r="J57" s="155" t="s">
        <v>316</v>
      </c>
      <c r="K57" s="154" t="str">
        <f>_xlfn.DISPIMG("ID_A07551CEB1974F31AEC4F8B714FEC7EF",1)</f>
        <v>=DISPIMG("ID_A07551CEB1974F31AEC4F8B714FEC7EF",1)</v>
      </c>
      <c r="L57" s="154"/>
      <c r="M57" s="154"/>
    </row>
    <row r="58" ht="264" spans="1:13">
      <c r="A58" s="154">
        <v>56</v>
      </c>
      <c r="B58" s="155" t="s">
        <v>13</v>
      </c>
      <c r="C58" s="155" t="s">
        <v>248</v>
      </c>
      <c r="D58" s="154" t="s">
        <v>15</v>
      </c>
      <c r="E58" s="154" t="s">
        <v>548</v>
      </c>
      <c r="F58" s="202" t="s">
        <v>549</v>
      </c>
      <c r="G58" s="156">
        <v>45134</v>
      </c>
      <c r="H58" s="156">
        <v>48786</v>
      </c>
      <c r="I58" s="155" t="s">
        <v>550</v>
      </c>
      <c r="J58" s="155" t="s">
        <v>316</v>
      </c>
      <c r="K58" s="154" t="str">
        <f>_xlfn.DISPIMG("ID_207E9BF30E9C4D5FB29182ED5E83D6D2",1)</f>
        <v>=DISPIMG("ID_207E9BF30E9C4D5FB29182ED5E83D6D2",1)</v>
      </c>
      <c r="L58" s="154"/>
      <c r="M58" s="154"/>
    </row>
    <row r="59" ht="99" spans="1:13">
      <c r="A59" s="154">
        <v>57</v>
      </c>
      <c r="B59" s="155" t="s">
        <v>13</v>
      </c>
      <c r="C59" s="155" t="s">
        <v>248</v>
      </c>
      <c r="D59" s="154" t="s">
        <v>15</v>
      </c>
      <c r="E59" s="154" t="s">
        <v>551</v>
      </c>
      <c r="F59" s="202" t="s">
        <v>552</v>
      </c>
      <c r="G59" s="156">
        <v>45134</v>
      </c>
      <c r="H59" s="156">
        <v>48786</v>
      </c>
      <c r="I59" s="155" t="s">
        <v>503</v>
      </c>
      <c r="J59" s="155" t="s">
        <v>316</v>
      </c>
      <c r="K59" s="154" t="str">
        <f>_xlfn.DISPIMG("ID_4EF08D69A62941DFA54DF8FCE4D1381F",1)</f>
        <v>=DISPIMG("ID_4EF08D69A62941DFA54DF8FCE4D1381F",1)</v>
      </c>
      <c r="L59" s="154"/>
      <c r="M59" s="154"/>
    </row>
    <row r="60" ht="82.5" spans="1:13">
      <c r="A60" s="154">
        <v>58</v>
      </c>
      <c r="B60" s="155" t="s">
        <v>13</v>
      </c>
      <c r="C60" s="155" t="s">
        <v>248</v>
      </c>
      <c r="D60" s="154" t="s">
        <v>15</v>
      </c>
      <c r="E60" s="154" t="s">
        <v>553</v>
      </c>
      <c r="F60" s="202" t="s">
        <v>554</v>
      </c>
      <c r="G60" s="156">
        <v>45134</v>
      </c>
      <c r="H60" s="156">
        <v>48786</v>
      </c>
      <c r="I60" s="155" t="s">
        <v>555</v>
      </c>
      <c r="J60" s="155" t="s">
        <v>316</v>
      </c>
      <c r="K60" s="154" t="str">
        <f>_xlfn.DISPIMG("ID_B3985F400DAF481F914E61F1E0D44551",1)</f>
        <v>=DISPIMG("ID_B3985F400DAF481F914E61F1E0D44551",1)</v>
      </c>
      <c r="L60" s="154"/>
      <c r="M60" s="154"/>
    </row>
    <row r="61" ht="165" spans="1:13">
      <c r="A61" s="154">
        <v>59</v>
      </c>
      <c r="B61" s="155" t="s">
        <v>13</v>
      </c>
      <c r="C61" s="155" t="s">
        <v>248</v>
      </c>
      <c r="D61" s="154" t="s">
        <v>15</v>
      </c>
      <c r="E61" s="154" t="s">
        <v>556</v>
      </c>
      <c r="F61" s="202" t="s">
        <v>557</v>
      </c>
      <c r="G61" s="156">
        <v>45134</v>
      </c>
      <c r="H61" s="156">
        <v>48786</v>
      </c>
      <c r="I61" s="155" t="s">
        <v>558</v>
      </c>
      <c r="J61" s="155" t="s">
        <v>316</v>
      </c>
      <c r="K61" s="154" t="str">
        <f>_xlfn.DISPIMG("ID_43CE47C0B4BA49ADB791FCD7C65EF888",1)</f>
        <v>=DISPIMG("ID_43CE47C0B4BA49ADB791FCD7C65EF888",1)</v>
      </c>
      <c r="L61" s="154"/>
      <c r="M61" s="154"/>
    </row>
    <row r="62" ht="33" spans="1:13">
      <c r="A62" s="154">
        <v>60</v>
      </c>
      <c r="B62" s="155" t="s">
        <v>13</v>
      </c>
      <c r="C62" s="155" t="s">
        <v>248</v>
      </c>
      <c r="D62" s="154" t="s">
        <v>15</v>
      </c>
      <c r="E62" s="154" t="s">
        <v>559</v>
      </c>
      <c r="F62" s="202" t="s">
        <v>560</v>
      </c>
      <c r="G62" s="156">
        <v>45134</v>
      </c>
      <c r="H62" s="156">
        <v>48786</v>
      </c>
      <c r="I62" s="155" t="s">
        <v>501</v>
      </c>
      <c r="J62" s="155" t="s">
        <v>316</v>
      </c>
      <c r="K62" s="154" t="str">
        <f>_xlfn.DISPIMG("ID_782CE8BFF5354C5494E4EF8C294FEB9C",1)</f>
        <v>=DISPIMG("ID_782CE8BFF5354C5494E4EF8C294FEB9C",1)</v>
      </c>
      <c r="L62" s="154"/>
      <c r="M62" s="154"/>
    </row>
    <row r="63" ht="33" spans="1:13">
      <c r="A63" s="154">
        <v>61</v>
      </c>
      <c r="B63" s="155" t="s">
        <v>13</v>
      </c>
      <c r="C63" s="155" t="s">
        <v>248</v>
      </c>
      <c r="D63" s="154" t="s">
        <v>15</v>
      </c>
      <c r="E63" s="154" t="s">
        <v>561</v>
      </c>
      <c r="F63" s="202" t="s">
        <v>562</v>
      </c>
      <c r="G63" s="156">
        <v>45134</v>
      </c>
      <c r="H63" s="156">
        <v>48786</v>
      </c>
      <c r="I63" s="155" t="s">
        <v>563</v>
      </c>
      <c r="J63" s="155" t="s">
        <v>316</v>
      </c>
      <c r="K63" s="154" t="str">
        <f>_xlfn.DISPIMG("ID_7275569F74054BE5BF6EB53B04DB8A75",1)</f>
        <v>=DISPIMG("ID_7275569F74054BE5BF6EB53B04DB8A75",1)</v>
      </c>
      <c r="L63" s="154"/>
      <c r="M63" s="154"/>
    </row>
    <row r="64" ht="33" spans="1:13">
      <c r="A64" s="154">
        <v>62</v>
      </c>
      <c r="B64" s="155" t="s">
        <v>13</v>
      </c>
      <c r="C64" s="155" t="s">
        <v>248</v>
      </c>
      <c r="D64" s="154" t="s">
        <v>15</v>
      </c>
      <c r="E64" s="154" t="s">
        <v>564</v>
      </c>
      <c r="F64" s="202" t="s">
        <v>565</v>
      </c>
      <c r="G64" s="156">
        <v>45134</v>
      </c>
      <c r="H64" s="156">
        <v>48786</v>
      </c>
      <c r="I64" s="155" t="s">
        <v>530</v>
      </c>
      <c r="J64" s="155" t="s">
        <v>316</v>
      </c>
      <c r="K64" s="154" t="str">
        <f>_xlfn.DISPIMG("ID_B09C661187A74CF88ED0AE36070E3042",1)</f>
        <v>=DISPIMG("ID_B09C661187A74CF88ED0AE36070E3042",1)</v>
      </c>
      <c r="L64" s="154"/>
      <c r="M64" s="154"/>
    </row>
    <row r="65" ht="33" spans="1:13">
      <c r="A65" s="154">
        <v>63</v>
      </c>
      <c r="B65" s="155" t="s">
        <v>13</v>
      </c>
      <c r="C65" s="155" t="s">
        <v>248</v>
      </c>
      <c r="D65" s="154" t="s">
        <v>15</v>
      </c>
      <c r="E65" s="154" t="s">
        <v>566</v>
      </c>
      <c r="F65" s="202" t="s">
        <v>567</v>
      </c>
      <c r="G65" s="156">
        <v>45134</v>
      </c>
      <c r="H65" s="156">
        <v>48786</v>
      </c>
      <c r="I65" s="155" t="s">
        <v>532</v>
      </c>
      <c r="J65" s="155" t="s">
        <v>316</v>
      </c>
      <c r="K65" s="154" t="str">
        <f>_xlfn.DISPIMG("ID_120D91E5AF814D048B079D0ADCFA99B4",1)</f>
        <v>=DISPIMG("ID_120D91E5AF814D048B079D0ADCFA99B4",1)</v>
      </c>
      <c r="L65" s="154"/>
      <c r="M65" s="154"/>
    </row>
    <row r="66" ht="49.5" spans="1:13">
      <c r="A66" s="154">
        <v>64</v>
      </c>
      <c r="B66" s="155" t="s">
        <v>13</v>
      </c>
      <c r="C66" s="155" t="s">
        <v>248</v>
      </c>
      <c r="D66" s="154" t="s">
        <v>15</v>
      </c>
      <c r="E66" s="154" t="s">
        <v>568</v>
      </c>
      <c r="F66" s="202" t="s">
        <v>569</v>
      </c>
      <c r="G66" s="156">
        <v>45134</v>
      </c>
      <c r="H66" s="156">
        <v>48786</v>
      </c>
      <c r="I66" s="155" t="s">
        <v>570</v>
      </c>
      <c r="J66" s="155" t="s">
        <v>316</v>
      </c>
      <c r="K66" s="154" t="str">
        <f>_xlfn.DISPIMG("ID_A0E2EA4C4E4C4A92948B5355D9A5B1E5",1)</f>
        <v>=DISPIMG("ID_A0E2EA4C4E4C4A92948B5355D9A5B1E5",1)</v>
      </c>
      <c r="L66" s="154"/>
      <c r="M66" s="154"/>
    </row>
    <row r="67" ht="198" spans="1:13">
      <c r="A67" s="154">
        <v>65</v>
      </c>
      <c r="B67" s="155" t="s">
        <v>13</v>
      </c>
      <c r="C67" s="155" t="s">
        <v>248</v>
      </c>
      <c r="D67" s="154" t="s">
        <v>15</v>
      </c>
      <c r="E67" s="154" t="s">
        <v>571</v>
      </c>
      <c r="F67" s="202" t="s">
        <v>572</v>
      </c>
      <c r="G67" s="156">
        <v>45134</v>
      </c>
      <c r="H67" s="156">
        <v>48786</v>
      </c>
      <c r="I67" s="155" t="s">
        <v>573</v>
      </c>
      <c r="J67" s="155" t="s">
        <v>316</v>
      </c>
      <c r="K67" s="154" t="str">
        <f>_xlfn.DISPIMG("ID_0A3A942D78AF48EBAF6752C6D50E18ED",1)</f>
        <v>=DISPIMG("ID_0A3A942D78AF48EBAF6752C6D50E18ED",1)</v>
      </c>
      <c r="L67" s="154"/>
      <c r="M67" s="154"/>
    </row>
    <row r="68" ht="66" spans="1:13">
      <c r="A68" s="154">
        <v>66</v>
      </c>
      <c r="B68" s="155" t="s">
        <v>13</v>
      </c>
      <c r="C68" s="155" t="s">
        <v>248</v>
      </c>
      <c r="D68" s="154" t="s">
        <v>15</v>
      </c>
      <c r="E68" s="154" t="s">
        <v>574</v>
      </c>
      <c r="F68" s="202" t="s">
        <v>575</v>
      </c>
      <c r="G68" s="156">
        <v>45134</v>
      </c>
      <c r="H68" s="156">
        <v>48786</v>
      </c>
      <c r="I68" s="155" t="s">
        <v>576</v>
      </c>
      <c r="J68" s="155" t="s">
        <v>316</v>
      </c>
      <c r="K68" s="154" t="str">
        <f>_xlfn.DISPIMG("ID_F472A045F8E74D8AAE5B1EBD79A8E7B1",1)</f>
        <v>=DISPIMG("ID_F472A045F8E74D8AAE5B1EBD79A8E7B1",1)</v>
      </c>
      <c r="L68" s="154"/>
      <c r="M68" s="154"/>
    </row>
    <row r="69" ht="49.5" spans="1:13">
      <c r="A69" s="154">
        <v>67</v>
      </c>
      <c r="B69" s="155" t="s">
        <v>13</v>
      </c>
      <c r="C69" s="155" t="s">
        <v>248</v>
      </c>
      <c r="D69" s="154" t="s">
        <v>15</v>
      </c>
      <c r="E69" s="154" t="s">
        <v>577</v>
      </c>
      <c r="F69" s="202" t="s">
        <v>578</v>
      </c>
      <c r="G69" s="156">
        <v>45134</v>
      </c>
      <c r="H69" s="156">
        <v>48786</v>
      </c>
      <c r="I69" s="155" t="s">
        <v>579</v>
      </c>
      <c r="J69" s="155" t="s">
        <v>316</v>
      </c>
      <c r="K69" s="154" t="str">
        <f>_xlfn.DISPIMG("ID_CC13FBB2F606434CAE392DAB959A28DC",1)</f>
        <v>=DISPIMG("ID_CC13FBB2F606434CAE392DAB959A28DC",1)</v>
      </c>
      <c r="L69" s="154"/>
      <c r="M69" s="154"/>
    </row>
    <row r="70" ht="66" spans="1:13">
      <c r="A70" s="154">
        <v>68</v>
      </c>
      <c r="B70" s="155" t="s">
        <v>13</v>
      </c>
      <c r="C70" s="155" t="s">
        <v>248</v>
      </c>
      <c r="D70" s="154" t="s">
        <v>15</v>
      </c>
      <c r="E70" s="154" t="s">
        <v>580</v>
      </c>
      <c r="F70" s="202" t="s">
        <v>581</v>
      </c>
      <c r="G70" s="156">
        <v>45134</v>
      </c>
      <c r="H70" s="156">
        <v>48786</v>
      </c>
      <c r="I70" s="155" t="s">
        <v>514</v>
      </c>
      <c r="J70" s="155" t="s">
        <v>316</v>
      </c>
      <c r="K70" s="154" t="str">
        <f>_xlfn.DISPIMG("ID_A45C2FE55A8E411EA31663368C864CC7",1)</f>
        <v>=DISPIMG("ID_A45C2FE55A8E411EA31663368C864CC7",1)</v>
      </c>
      <c r="L70" s="154"/>
      <c r="M70" s="154"/>
    </row>
    <row r="71" ht="33" spans="1:13">
      <c r="A71" s="154">
        <v>69</v>
      </c>
      <c r="B71" s="155" t="s">
        <v>13</v>
      </c>
      <c r="C71" s="155" t="s">
        <v>248</v>
      </c>
      <c r="D71" s="154" t="s">
        <v>15</v>
      </c>
      <c r="E71" s="154" t="s">
        <v>582</v>
      </c>
      <c r="F71" s="202" t="s">
        <v>583</v>
      </c>
      <c r="G71" s="156">
        <v>45134</v>
      </c>
      <c r="H71" s="156">
        <v>48786</v>
      </c>
      <c r="I71" s="155" t="s">
        <v>536</v>
      </c>
      <c r="J71" s="155" t="s">
        <v>316</v>
      </c>
      <c r="K71" s="154" t="str">
        <f>_xlfn.DISPIMG("ID_E1C89F66CDDE469E82884F42FE483D7D",1)</f>
        <v>=DISPIMG("ID_E1C89F66CDDE469E82884F42FE483D7D",1)</v>
      </c>
      <c r="L71" s="154"/>
      <c r="M71" s="154"/>
    </row>
    <row r="72" ht="132" spans="1:13">
      <c r="A72" s="154">
        <v>70</v>
      </c>
      <c r="B72" s="155" t="s">
        <v>13</v>
      </c>
      <c r="C72" s="155" t="s">
        <v>248</v>
      </c>
      <c r="D72" s="154" t="s">
        <v>15</v>
      </c>
      <c r="E72" s="154" t="s">
        <v>584</v>
      </c>
      <c r="F72" s="202" t="s">
        <v>585</v>
      </c>
      <c r="G72" s="156">
        <v>45134</v>
      </c>
      <c r="H72" s="156">
        <v>48786</v>
      </c>
      <c r="I72" s="155" t="s">
        <v>516</v>
      </c>
      <c r="J72" s="155" t="s">
        <v>316</v>
      </c>
      <c r="K72" s="154" t="str">
        <f>_xlfn.DISPIMG("ID_F07614B342BD44FD9309FCFBDB1F4531",1)</f>
        <v>=DISPIMG("ID_F07614B342BD44FD9309FCFBDB1F4531",1)</v>
      </c>
      <c r="L72" s="154"/>
      <c r="M72" s="154"/>
    </row>
    <row r="73" ht="313.5" spans="1:13">
      <c r="A73" s="154">
        <v>71</v>
      </c>
      <c r="B73" s="155" t="s">
        <v>13</v>
      </c>
      <c r="C73" s="155" t="s">
        <v>248</v>
      </c>
      <c r="D73" s="154" t="s">
        <v>15</v>
      </c>
      <c r="E73" s="154" t="s">
        <v>586</v>
      </c>
      <c r="F73" s="202" t="s">
        <v>587</v>
      </c>
      <c r="G73" s="156">
        <v>45134</v>
      </c>
      <c r="H73" s="156">
        <v>48786</v>
      </c>
      <c r="I73" s="155" t="s">
        <v>522</v>
      </c>
      <c r="J73" s="155" t="s">
        <v>316</v>
      </c>
      <c r="K73" s="154" t="str">
        <f>_xlfn.DISPIMG("ID_D01FAEF421AE47C386184ADB454CB709",1)</f>
        <v>=DISPIMG("ID_D01FAEF421AE47C386184ADB454CB709",1)</v>
      </c>
      <c r="L73" s="154"/>
      <c r="M73" s="154"/>
    </row>
    <row r="74" ht="33" spans="1:13">
      <c r="A74" s="154">
        <v>72</v>
      </c>
      <c r="B74" s="155" t="s">
        <v>13</v>
      </c>
      <c r="C74" s="155" t="s">
        <v>248</v>
      </c>
      <c r="D74" s="154" t="s">
        <v>15</v>
      </c>
      <c r="E74" s="154" t="s">
        <v>588</v>
      </c>
      <c r="F74" s="202" t="s">
        <v>589</v>
      </c>
      <c r="G74" s="156">
        <v>45134</v>
      </c>
      <c r="H74" s="156">
        <v>48786</v>
      </c>
      <c r="I74" s="155" t="s">
        <v>507</v>
      </c>
      <c r="J74" s="155" t="s">
        <v>316</v>
      </c>
      <c r="K74" s="154" t="str">
        <f>_xlfn.DISPIMG("ID_F7AABFAFB76943349618C25FAC90272E",1)</f>
        <v>=DISPIMG("ID_F7AABFAFB76943349618C25FAC90272E",1)</v>
      </c>
      <c r="L74" s="154"/>
      <c r="M74" s="154"/>
    </row>
    <row r="75" ht="33" spans="1:13">
      <c r="A75" s="154">
        <v>73</v>
      </c>
      <c r="B75" s="155" t="s">
        <v>13</v>
      </c>
      <c r="C75" s="155" t="s">
        <v>248</v>
      </c>
      <c r="D75" s="154" t="s">
        <v>15</v>
      </c>
      <c r="E75" s="154" t="s">
        <v>590</v>
      </c>
      <c r="F75" s="202" t="s">
        <v>591</v>
      </c>
      <c r="G75" s="156">
        <v>45134</v>
      </c>
      <c r="H75" s="156">
        <v>48786</v>
      </c>
      <c r="I75" s="155" t="s">
        <v>436</v>
      </c>
      <c r="J75" s="155" t="s">
        <v>316</v>
      </c>
      <c r="K75" s="154" t="str">
        <f>_xlfn.DISPIMG("ID_DB775AA43238416CBEFCB7474F64493E",1)</f>
        <v>=DISPIMG("ID_DB775AA43238416CBEFCB7474F64493E",1)</v>
      </c>
      <c r="L75" s="154"/>
      <c r="M75" s="154"/>
    </row>
    <row r="76" ht="33" spans="1:13">
      <c r="A76" s="154">
        <v>74</v>
      </c>
      <c r="B76" s="155" t="s">
        <v>13</v>
      </c>
      <c r="C76" s="155" t="s">
        <v>248</v>
      </c>
      <c r="D76" s="154" t="s">
        <v>15</v>
      </c>
      <c r="E76" s="154" t="s">
        <v>592</v>
      </c>
      <c r="F76" s="202" t="s">
        <v>593</v>
      </c>
      <c r="G76" s="156">
        <v>45134</v>
      </c>
      <c r="H76" s="156">
        <v>48786</v>
      </c>
      <c r="I76" s="155" t="s">
        <v>439</v>
      </c>
      <c r="J76" s="155" t="s">
        <v>316</v>
      </c>
      <c r="K76" s="154" t="str">
        <f>_xlfn.DISPIMG("ID_3DDC3658ABC146A9B6C3F748BD0D0B93",1)</f>
        <v>=DISPIMG("ID_3DDC3658ABC146A9B6C3F748BD0D0B93",1)</v>
      </c>
      <c r="L76" s="154"/>
      <c r="M76" s="154"/>
    </row>
    <row r="77" ht="33" spans="1:13">
      <c r="A77" s="154">
        <v>75</v>
      </c>
      <c r="B77" s="155" t="s">
        <v>13</v>
      </c>
      <c r="C77" s="155" t="s">
        <v>248</v>
      </c>
      <c r="D77" s="154" t="s">
        <v>15</v>
      </c>
      <c r="E77" s="154" t="s">
        <v>594</v>
      </c>
      <c r="F77" s="202" t="s">
        <v>595</v>
      </c>
      <c r="G77" s="156">
        <v>45134</v>
      </c>
      <c r="H77" s="156">
        <v>48786</v>
      </c>
      <c r="I77" s="155" t="s">
        <v>442</v>
      </c>
      <c r="J77" s="155" t="s">
        <v>316</v>
      </c>
      <c r="K77" s="154" t="str">
        <f>_xlfn.DISPIMG("ID_AAC97AEC24D644059B0894A1FB7C76BD",1)</f>
        <v>=DISPIMG("ID_AAC97AEC24D644059B0894A1FB7C76BD",1)</v>
      </c>
      <c r="L77" s="154"/>
      <c r="M77" s="154"/>
    </row>
    <row r="78" ht="33" spans="1:13">
      <c r="A78" s="154">
        <v>76</v>
      </c>
      <c r="B78" s="155" t="s">
        <v>13</v>
      </c>
      <c r="C78" s="155" t="s">
        <v>248</v>
      </c>
      <c r="D78" s="154" t="s">
        <v>15</v>
      </c>
      <c r="E78" s="154" t="s">
        <v>596</v>
      </c>
      <c r="F78" s="202" t="s">
        <v>597</v>
      </c>
      <c r="G78" s="156">
        <v>45134</v>
      </c>
      <c r="H78" s="156">
        <v>48786</v>
      </c>
      <c r="I78" s="155" t="s">
        <v>528</v>
      </c>
      <c r="J78" s="155" t="s">
        <v>316</v>
      </c>
      <c r="K78" s="154" t="str">
        <f>_xlfn.DISPIMG("ID_DB6F8AF5DB3A47598A25307CB6CFA438",1)</f>
        <v>=DISPIMG("ID_DB6F8AF5DB3A47598A25307CB6CFA438",1)</v>
      </c>
      <c r="L78" s="154"/>
      <c r="M78" s="154"/>
    </row>
    <row r="79" ht="33" spans="1:13">
      <c r="A79" s="154">
        <v>77</v>
      </c>
      <c r="B79" s="155" t="s">
        <v>13</v>
      </c>
      <c r="C79" s="155" t="s">
        <v>248</v>
      </c>
      <c r="D79" s="154" t="s">
        <v>15</v>
      </c>
      <c r="E79" s="154" t="s">
        <v>598</v>
      </c>
      <c r="F79" s="202" t="s">
        <v>599</v>
      </c>
      <c r="G79" s="156">
        <v>45132</v>
      </c>
      <c r="H79" s="156">
        <v>48784</v>
      </c>
      <c r="I79" s="155" t="s">
        <v>496</v>
      </c>
      <c r="J79" s="155" t="s">
        <v>316</v>
      </c>
      <c r="K79" s="154" t="str">
        <f>_xlfn.DISPIMG("ID_9AE5E048B21A481C87914EFED442A628",1)</f>
        <v>=DISPIMG("ID_9AE5E048B21A481C87914EFED442A628",1)</v>
      </c>
      <c r="L79" s="154"/>
      <c r="M79" s="154"/>
    </row>
    <row r="80" ht="33" spans="1:13">
      <c r="A80" s="154">
        <v>78</v>
      </c>
      <c r="B80" s="155" t="s">
        <v>13</v>
      </c>
      <c r="C80" s="155" t="s">
        <v>248</v>
      </c>
      <c r="D80" s="154" t="s">
        <v>15</v>
      </c>
      <c r="E80" s="154" t="s">
        <v>415</v>
      </c>
      <c r="F80" s="202" t="s">
        <v>600</v>
      </c>
      <c r="G80" s="156">
        <v>44615</v>
      </c>
      <c r="H80" s="156">
        <v>48266</v>
      </c>
      <c r="I80" s="155" t="s">
        <v>601</v>
      </c>
      <c r="J80" s="155" t="s">
        <v>316</v>
      </c>
      <c r="K80" s="154" t="str">
        <f>_xlfn.DISPIMG("ID_AB327613E5A44CED91BF3A2710CB5186",1)</f>
        <v>=DISPIMG("ID_AB327613E5A44CED91BF3A2710CB5186",1)</v>
      </c>
      <c r="L80" s="154"/>
      <c r="M80" s="154"/>
    </row>
    <row r="81" ht="33" spans="1:13">
      <c r="A81" s="154">
        <v>79</v>
      </c>
      <c r="B81" s="155" t="s">
        <v>13</v>
      </c>
      <c r="C81" s="155" t="s">
        <v>248</v>
      </c>
      <c r="D81" s="154" t="s">
        <v>15</v>
      </c>
      <c r="E81" s="154" t="s">
        <v>406</v>
      </c>
      <c r="F81" s="202" t="s">
        <v>602</v>
      </c>
      <c r="G81" s="156">
        <v>44615</v>
      </c>
      <c r="H81" s="156">
        <v>48266</v>
      </c>
      <c r="I81" s="155" t="s">
        <v>603</v>
      </c>
      <c r="J81" s="155" t="s">
        <v>316</v>
      </c>
      <c r="K81" s="154" t="str">
        <f>_xlfn.DISPIMG("ID_CA38EF68312F4402B941E2F0A75DC900",1)</f>
        <v>=DISPIMG("ID_CA38EF68312F4402B941E2F0A75DC900",1)</v>
      </c>
      <c r="L81" s="154"/>
      <c r="M81" s="154"/>
    </row>
    <row r="82" ht="33" spans="1:13">
      <c r="A82" s="154">
        <v>80</v>
      </c>
      <c r="B82" s="155" t="s">
        <v>13</v>
      </c>
      <c r="C82" s="155" t="s">
        <v>248</v>
      </c>
      <c r="D82" s="154" t="s">
        <v>15</v>
      </c>
      <c r="E82" s="154" t="s">
        <v>312</v>
      </c>
      <c r="F82" s="202" t="s">
        <v>604</v>
      </c>
      <c r="G82" s="156">
        <v>44525</v>
      </c>
      <c r="H82" s="156">
        <v>48176</v>
      </c>
      <c r="I82" s="155" t="s">
        <v>315</v>
      </c>
      <c r="J82" s="155" t="s">
        <v>456</v>
      </c>
      <c r="K82" s="154" t="str">
        <f>_xlfn.DISPIMG("ID_47CFEB813B924126926A6529A957F034",1)</f>
        <v>=DISPIMG("ID_47CFEB813B924126926A6529A957F034",1)</v>
      </c>
      <c r="L82" s="154"/>
      <c r="M82" s="154"/>
    </row>
    <row r="83" ht="33" spans="1:13">
      <c r="A83" s="154">
        <v>81</v>
      </c>
      <c r="B83" s="155" t="s">
        <v>13</v>
      </c>
      <c r="C83" s="155" t="s">
        <v>248</v>
      </c>
      <c r="D83" s="154" t="s">
        <v>15</v>
      </c>
      <c r="E83" s="154" t="s">
        <v>324</v>
      </c>
      <c r="F83" s="202" t="s">
        <v>605</v>
      </c>
      <c r="G83" s="156">
        <v>44525</v>
      </c>
      <c r="H83" s="156">
        <v>48176</v>
      </c>
      <c r="I83" s="155" t="s">
        <v>606</v>
      </c>
      <c r="J83" s="155" t="s">
        <v>456</v>
      </c>
      <c r="K83" s="154" t="str">
        <f>_xlfn.DISPIMG("ID_55413F49B08F45A08F6DF9F4EEDF4B31",1)</f>
        <v>=DISPIMG("ID_55413F49B08F45A08F6DF9F4EEDF4B31",1)</v>
      </c>
      <c r="L83" s="154"/>
      <c r="M83" s="154"/>
    </row>
    <row r="84" ht="33" spans="1:13">
      <c r="A84" s="158">
        <v>82</v>
      </c>
      <c r="B84" s="159" t="s">
        <v>13</v>
      </c>
      <c r="C84" s="159" t="s">
        <v>248</v>
      </c>
      <c r="D84" s="158" t="s">
        <v>15</v>
      </c>
      <c r="E84" s="158" t="s">
        <v>321</v>
      </c>
      <c r="F84" s="203" t="s">
        <v>607</v>
      </c>
      <c r="G84" s="160">
        <v>44525</v>
      </c>
      <c r="H84" s="160">
        <v>48176</v>
      </c>
      <c r="I84" s="159" t="s">
        <v>322</v>
      </c>
      <c r="J84" s="159" t="s">
        <v>456</v>
      </c>
      <c r="K84" s="158" t="str">
        <f>_xlfn.DISPIMG("ID_3D5F2A65957A440EBB90EC8AC01EB471",1)</f>
        <v>=DISPIMG("ID_3D5F2A65957A440EBB90EC8AC01EB471",1)</v>
      </c>
      <c r="L84" s="158"/>
      <c r="M84" s="158"/>
    </row>
    <row r="85" ht="82.5" spans="1:16">
      <c r="A85" s="154">
        <v>83</v>
      </c>
      <c r="B85" s="155" t="s">
        <v>13</v>
      </c>
      <c r="C85" s="155" t="s">
        <v>248</v>
      </c>
      <c r="D85" s="154" t="s">
        <v>164</v>
      </c>
      <c r="E85" s="154"/>
      <c r="F85" s="202" t="s">
        <v>608</v>
      </c>
      <c r="G85" s="156" t="s">
        <v>609</v>
      </c>
      <c r="H85" s="156">
        <v>48849</v>
      </c>
      <c r="I85" s="155" t="s">
        <v>610</v>
      </c>
      <c r="J85" s="155" t="s">
        <v>25</v>
      </c>
      <c r="K85" s="154" t="str">
        <f>_xlfn.DISPIMG("ID_6324FFBEFCDE45668A7BA69030662124",1)</f>
        <v>=DISPIMG("ID_6324FFBEFCDE45668A7BA69030662124",1)</v>
      </c>
      <c r="L85" s="154" t="s">
        <v>611</v>
      </c>
      <c r="M85" s="154"/>
      <c r="N85" s="154"/>
      <c r="O85" s="154" t="s">
        <v>612</v>
      </c>
      <c r="P85" s="154"/>
    </row>
    <row r="86" ht="313.5" spans="1:16">
      <c r="A86" s="154">
        <v>84</v>
      </c>
      <c r="B86" s="155" t="s">
        <v>13</v>
      </c>
      <c r="C86" s="155" t="s">
        <v>248</v>
      </c>
      <c r="D86" s="154" t="s">
        <v>164</v>
      </c>
      <c r="E86" s="154"/>
      <c r="F86" s="202" t="s">
        <v>613</v>
      </c>
      <c r="G86" s="156">
        <v>44127</v>
      </c>
      <c r="H86" s="156">
        <v>47778</v>
      </c>
      <c r="I86" s="155" t="s">
        <v>614</v>
      </c>
      <c r="J86" s="155" t="s">
        <v>615</v>
      </c>
      <c r="K86" s="154" t="str">
        <f>_xlfn.DISPIMG("ID_F0F0CC93D3ED41B8BBBA85B2A043E68A",1)</f>
        <v>=DISPIMG("ID_F0F0CC93D3ED41B8BBBA85B2A043E68A",1)</v>
      </c>
      <c r="L86" s="154"/>
      <c r="M86" s="154"/>
      <c r="N86" s="154"/>
      <c r="O86" s="155" t="s">
        <v>616</v>
      </c>
      <c r="P86" s="156">
        <v>44958</v>
      </c>
    </row>
    <row r="87" ht="82.5" spans="1:16">
      <c r="A87" s="154">
        <v>85</v>
      </c>
      <c r="B87" s="155" t="s">
        <v>13</v>
      </c>
      <c r="C87" s="155" t="s">
        <v>248</v>
      </c>
      <c r="D87" s="154" t="s">
        <v>164</v>
      </c>
      <c r="E87" s="154"/>
      <c r="F87" s="202" t="s">
        <v>617</v>
      </c>
      <c r="G87" s="156">
        <v>45117</v>
      </c>
      <c r="H87" s="156">
        <v>48769</v>
      </c>
      <c r="I87" s="155" t="s">
        <v>618</v>
      </c>
      <c r="J87" s="155" t="s">
        <v>25</v>
      </c>
      <c r="K87" s="154" t="str">
        <f>_xlfn.DISPIMG("ID_6D70B60668564D8F88D9720F8BF50505",1)</f>
        <v>=DISPIMG("ID_6D70B60668564D8F88D9720F8BF50505",1)</v>
      </c>
      <c r="L87" s="154" t="s">
        <v>619</v>
      </c>
      <c r="M87" s="154"/>
      <c r="N87" s="154"/>
      <c r="O87" s="154" t="s">
        <v>612</v>
      </c>
      <c r="P87" s="154"/>
    </row>
    <row r="88" ht="82.5" spans="1:16">
      <c r="A88" s="154">
        <v>86</v>
      </c>
      <c r="B88" s="155" t="s">
        <v>13</v>
      </c>
      <c r="C88" s="155" t="s">
        <v>248</v>
      </c>
      <c r="D88" s="154" t="s">
        <v>164</v>
      </c>
      <c r="E88" s="154"/>
      <c r="F88" s="202" t="s">
        <v>620</v>
      </c>
      <c r="G88" s="156">
        <v>45117</v>
      </c>
      <c r="H88" s="156">
        <v>48769</v>
      </c>
      <c r="I88" s="155" t="s">
        <v>621</v>
      </c>
      <c r="J88" s="155" t="s">
        <v>25</v>
      </c>
      <c r="K88" s="154" t="str">
        <f>_xlfn.DISPIMG("ID_5AEED798F7D641378F1888A451938E45",1)</f>
        <v>=DISPIMG("ID_5AEED798F7D641378F1888A451938E45",1)</v>
      </c>
      <c r="L88" s="155" t="s">
        <v>622</v>
      </c>
      <c r="M88" s="154"/>
      <c r="N88" s="154"/>
      <c r="O88" s="154" t="s">
        <v>612</v>
      </c>
      <c r="P88" s="154"/>
    </row>
    <row r="89" ht="82.5" spans="1:16">
      <c r="A89" s="154">
        <v>87</v>
      </c>
      <c r="B89" s="155" t="s">
        <v>13</v>
      </c>
      <c r="C89" s="155" t="s">
        <v>248</v>
      </c>
      <c r="D89" s="154" t="s">
        <v>164</v>
      </c>
      <c r="E89" s="154"/>
      <c r="F89" s="202" t="s">
        <v>623</v>
      </c>
      <c r="G89" s="156">
        <v>45117</v>
      </c>
      <c r="H89" s="156">
        <v>48769</v>
      </c>
      <c r="I89" s="155" t="s">
        <v>624</v>
      </c>
      <c r="J89" s="155" t="s">
        <v>25</v>
      </c>
      <c r="K89" s="154" t="str">
        <f>_xlfn.DISPIMG("ID_BD5E9E00C93943E1BD64D3526BD47635",1)</f>
        <v>=DISPIMG("ID_BD5E9E00C93943E1BD64D3526BD47635",1)</v>
      </c>
      <c r="L89" s="155" t="s">
        <v>625</v>
      </c>
      <c r="M89" s="154"/>
      <c r="N89" s="154"/>
      <c r="O89" s="154" t="s">
        <v>612</v>
      </c>
      <c r="P89" s="154"/>
    </row>
    <row r="90" ht="115.5" spans="1:16">
      <c r="A90" s="154">
        <v>88</v>
      </c>
      <c r="B90" s="155" t="s">
        <v>13</v>
      </c>
      <c r="C90" s="155" t="s">
        <v>248</v>
      </c>
      <c r="D90" s="154" t="s">
        <v>164</v>
      </c>
      <c r="E90" s="154"/>
      <c r="F90" s="202" t="s">
        <v>626</v>
      </c>
      <c r="G90" s="156">
        <v>44515</v>
      </c>
      <c r="H90" s="156">
        <v>48166</v>
      </c>
      <c r="I90" s="155" t="s">
        <v>627</v>
      </c>
      <c r="J90" s="155" t="s">
        <v>628</v>
      </c>
      <c r="K90" s="154" t="str">
        <f>_xlfn.DISPIMG("ID_BAA79F33813C465AA80BA2ECAA6F32F3",1)</f>
        <v>=DISPIMG("ID_BAA79F33813C465AA80BA2ECAA6F32F3",1)</v>
      </c>
      <c r="L90" s="154"/>
      <c r="M90" s="154"/>
      <c r="N90" s="154"/>
      <c r="O90" s="154"/>
      <c r="P90" s="154"/>
    </row>
    <row r="91" ht="115.5" spans="1:16">
      <c r="A91" s="154">
        <v>89</v>
      </c>
      <c r="B91" s="155" t="s">
        <v>13</v>
      </c>
      <c r="C91" s="155" t="s">
        <v>248</v>
      </c>
      <c r="D91" s="154" t="s">
        <v>164</v>
      </c>
      <c r="E91" s="154"/>
      <c r="F91" s="202" t="s">
        <v>629</v>
      </c>
      <c r="G91" s="156">
        <v>44515</v>
      </c>
      <c r="H91" s="156">
        <v>48166</v>
      </c>
      <c r="I91" s="155" t="s">
        <v>630</v>
      </c>
      <c r="J91" s="155" t="s">
        <v>628</v>
      </c>
      <c r="K91" s="154" t="str">
        <f>_xlfn.DISPIMG("ID_E65BCE1C4BA249CA9A007B9B747F66D9",1)</f>
        <v>=DISPIMG("ID_E65BCE1C4BA249CA9A007B9B747F66D9",1)</v>
      </c>
      <c r="L91" s="154"/>
      <c r="M91" s="154"/>
      <c r="N91" s="154"/>
      <c r="O91" s="154"/>
      <c r="P91" s="154"/>
    </row>
    <row r="92" ht="115.5" spans="1:16">
      <c r="A92" s="154">
        <v>90</v>
      </c>
      <c r="B92" s="155" t="s">
        <v>13</v>
      </c>
      <c r="C92" s="155" t="s">
        <v>248</v>
      </c>
      <c r="D92" s="154" t="s">
        <v>164</v>
      </c>
      <c r="E92" s="154"/>
      <c r="F92" s="202" t="s">
        <v>631</v>
      </c>
      <c r="G92" s="156">
        <v>44515</v>
      </c>
      <c r="H92" s="156">
        <v>48166</v>
      </c>
      <c r="I92" s="155" t="s">
        <v>632</v>
      </c>
      <c r="J92" s="155" t="s">
        <v>628</v>
      </c>
      <c r="K92" s="154" t="str">
        <f>_xlfn.DISPIMG("ID_47278B70F3EA40F5B86CE94E7F6239B3",1)</f>
        <v>=DISPIMG("ID_47278B70F3EA40F5B86CE94E7F6239B3",1)</v>
      </c>
      <c r="L92" s="154"/>
      <c r="M92" s="154"/>
      <c r="N92" s="154"/>
      <c r="O92" s="154"/>
      <c r="P92" s="154"/>
    </row>
    <row r="93" ht="82.5" spans="1:16">
      <c r="A93" s="154">
        <v>91</v>
      </c>
      <c r="B93" s="155" t="s">
        <v>13</v>
      </c>
      <c r="C93" s="155" t="s">
        <v>248</v>
      </c>
      <c r="D93" s="154" t="s">
        <v>164</v>
      </c>
      <c r="E93" s="154"/>
      <c r="F93" s="202" t="s">
        <v>633</v>
      </c>
      <c r="G93" s="156">
        <v>44414</v>
      </c>
      <c r="H93" s="156">
        <v>48065</v>
      </c>
      <c r="I93" s="155" t="s">
        <v>634</v>
      </c>
      <c r="J93" s="155" t="s">
        <v>25</v>
      </c>
      <c r="K93" s="154" t="str">
        <f>_xlfn.DISPIMG("ID_C74F4B3630254DC5924C3328E3F01778",1)</f>
        <v>=DISPIMG("ID_C74F4B3630254DC5924C3328E3F01778",1)</v>
      </c>
      <c r="L93" s="155"/>
      <c r="M93" s="154"/>
      <c r="N93" s="154"/>
      <c r="O93" s="154"/>
      <c r="P93" s="154"/>
    </row>
    <row r="94" ht="82.5" spans="1:16">
      <c r="A94" s="154">
        <v>92</v>
      </c>
      <c r="B94" s="155" t="s">
        <v>13</v>
      </c>
      <c r="C94" s="155" t="s">
        <v>248</v>
      </c>
      <c r="D94" s="154" t="s">
        <v>164</v>
      </c>
      <c r="E94" s="154"/>
      <c r="F94" s="202" t="s">
        <v>635</v>
      </c>
      <c r="G94" s="156">
        <v>44414</v>
      </c>
      <c r="H94" s="156">
        <v>48065</v>
      </c>
      <c r="I94" s="155" t="s">
        <v>636</v>
      </c>
      <c r="J94" s="155" t="s">
        <v>25</v>
      </c>
      <c r="K94" s="154" t="str">
        <f>_xlfn.DISPIMG("ID_D15306761C3347BAA0D64F4279F92F28",1)</f>
        <v>=DISPIMG("ID_D15306761C3347BAA0D64F4279F92F28",1)</v>
      </c>
      <c r="L94" s="154"/>
      <c r="M94" s="154"/>
      <c r="N94" s="154"/>
      <c r="O94" s="154"/>
      <c r="P94" s="154"/>
    </row>
    <row r="95" ht="115.5" spans="1:16">
      <c r="A95" s="154">
        <v>93</v>
      </c>
      <c r="B95" s="155" t="s">
        <v>13</v>
      </c>
      <c r="C95" s="155" t="s">
        <v>248</v>
      </c>
      <c r="D95" s="154" t="s">
        <v>164</v>
      </c>
      <c r="E95" s="154"/>
      <c r="F95" s="202" t="s">
        <v>637</v>
      </c>
      <c r="G95" s="156">
        <v>44127</v>
      </c>
      <c r="H95" s="156">
        <v>47778</v>
      </c>
      <c r="I95" s="155" t="s">
        <v>638</v>
      </c>
      <c r="J95" s="155" t="s">
        <v>615</v>
      </c>
      <c r="K95" s="154" t="str">
        <f>_xlfn.DISPIMG("ID_64755DCB447B4EE7B4D94748D34D476A",1)</f>
        <v>=DISPIMG("ID_64755DCB447B4EE7B4D94748D34D476A",1)</v>
      </c>
      <c r="L95" s="154"/>
      <c r="M95" s="154"/>
      <c r="N95" s="154"/>
      <c r="O95" s="164" t="s">
        <v>639</v>
      </c>
      <c r="P95" s="156">
        <v>44958</v>
      </c>
    </row>
    <row r="96" ht="115.5" spans="1:16">
      <c r="A96" s="154">
        <v>94</v>
      </c>
      <c r="B96" s="155" t="s">
        <v>13</v>
      </c>
      <c r="C96" s="155" t="s">
        <v>248</v>
      </c>
      <c r="D96" s="154" t="s">
        <v>164</v>
      </c>
      <c r="E96" s="154"/>
      <c r="F96" s="202" t="s">
        <v>640</v>
      </c>
      <c r="G96" s="156">
        <v>44127</v>
      </c>
      <c r="H96" s="156">
        <v>47778</v>
      </c>
      <c r="I96" s="155" t="s">
        <v>641</v>
      </c>
      <c r="J96" s="155" t="s">
        <v>615</v>
      </c>
      <c r="K96" s="154" t="str">
        <f>_xlfn.DISPIMG("ID_80C48BC5942E46F5914580BBC0956E39",1)</f>
        <v>=DISPIMG("ID_80C48BC5942E46F5914580BBC0956E39",1)</v>
      </c>
      <c r="L96" s="154"/>
      <c r="M96" s="154"/>
      <c r="N96" s="154"/>
      <c r="O96" s="154" t="s">
        <v>642</v>
      </c>
      <c r="P96" s="156">
        <v>44082</v>
      </c>
    </row>
    <row r="97" ht="115.5" spans="1:16">
      <c r="A97" s="154">
        <v>95</v>
      </c>
      <c r="B97" s="155" t="s">
        <v>13</v>
      </c>
      <c r="C97" s="155" t="s">
        <v>248</v>
      </c>
      <c r="D97" s="154" t="s">
        <v>164</v>
      </c>
      <c r="E97" s="154"/>
      <c r="F97" s="202" t="s">
        <v>643</v>
      </c>
      <c r="G97" s="156">
        <v>44127</v>
      </c>
      <c r="H97" s="156">
        <v>47778</v>
      </c>
      <c r="I97" s="155" t="s">
        <v>644</v>
      </c>
      <c r="J97" s="155" t="s">
        <v>615</v>
      </c>
      <c r="K97" s="154" t="str">
        <f>_xlfn.DISPIMG("ID_FAC64FA7EF154E71B602BBEAC9573857",1)</f>
        <v>=DISPIMG("ID_FAC64FA7EF154E71B602BBEAC9573857",1)</v>
      </c>
      <c r="L97" s="154"/>
      <c r="M97" s="154"/>
      <c r="N97" s="154"/>
      <c r="O97" s="154" t="s">
        <v>645</v>
      </c>
      <c r="P97" s="156">
        <v>45096</v>
      </c>
    </row>
    <row r="98" ht="148.5" spans="1:16">
      <c r="A98" s="154">
        <v>96</v>
      </c>
      <c r="B98" s="155" t="s">
        <v>13</v>
      </c>
      <c r="C98" s="155" t="s">
        <v>248</v>
      </c>
      <c r="D98" s="154" t="s">
        <v>164</v>
      </c>
      <c r="E98" s="154"/>
      <c r="F98" s="202" t="s">
        <v>646</v>
      </c>
      <c r="G98" s="156">
        <v>44063</v>
      </c>
      <c r="H98" s="156">
        <v>47714</v>
      </c>
      <c r="I98" s="155" t="s">
        <v>647</v>
      </c>
      <c r="J98" s="155" t="s">
        <v>200</v>
      </c>
      <c r="K98" s="154" t="str">
        <f>_xlfn.DISPIMG("ID_EE36F952EC7643559CA7BD01B89B066C",1)</f>
        <v>=DISPIMG("ID_EE36F952EC7643559CA7BD01B89B066C",1)</v>
      </c>
      <c r="L98" s="154"/>
      <c r="M98" s="154"/>
      <c r="N98" s="155" t="s">
        <v>648</v>
      </c>
      <c r="O98" s="154"/>
      <c r="P98" s="154"/>
    </row>
    <row r="99" ht="82.5" spans="1:16">
      <c r="A99" s="154">
        <v>97</v>
      </c>
      <c r="B99" s="155" t="s">
        <v>13</v>
      </c>
      <c r="C99" s="155" t="s">
        <v>248</v>
      </c>
      <c r="D99" s="154" t="s">
        <v>164</v>
      </c>
      <c r="E99" s="154"/>
      <c r="F99" s="202" t="s">
        <v>649</v>
      </c>
      <c r="G99" s="156">
        <v>44063</v>
      </c>
      <c r="H99" s="156">
        <v>47714</v>
      </c>
      <c r="I99" s="155" t="s">
        <v>650</v>
      </c>
      <c r="J99" s="155" t="s">
        <v>651</v>
      </c>
      <c r="K99" s="154" t="str">
        <f>_xlfn.DISPIMG("ID_176B13E1112942AF9E91E4356A4DAF8E",1)</f>
        <v>=DISPIMG("ID_176B13E1112942AF9E91E4356A4DAF8E",1)</v>
      </c>
      <c r="L99" s="154"/>
      <c r="M99" s="154"/>
      <c r="N99" s="165" t="s">
        <v>652</v>
      </c>
      <c r="O99" s="154"/>
      <c r="P99" s="156">
        <v>44046</v>
      </c>
    </row>
    <row r="100" ht="82.5" spans="1:16">
      <c r="A100" s="154">
        <v>98</v>
      </c>
      <c r="B100" s="155" t="s">
        <v>13</v>
      </c>
      <c r="C100" s="155" t="s">
        <v>248</v>
      </c>
      <c r="D100" s="154" t="s">
        <v>164</v>
      </c>
      <c r="E100" s="154"/>
      <c r="F100" s="202" t="s">
        <v>653</v>
      </c>
      <c r="G100" s="156">
        <v>44053</v>
      </c>
      <c r="H100" s="156">
        <v>47704</v>
      </c>
      <c r="I100" s="155" t="s">
        <v>654</v>
      </c>
      <c r="J100" s="155" t="s">
        <v>651</v>
      </c>
      <c r="K100" s="154" t="str">
        <f>_xlfn.DISPIMG("ID_C435C2DE3E564C93A62EF1172D02CC4A",1)</f>
        <v>=DISPIMG("ID_C435C2DE3E564C93A62EF1172D02CC4A",1)</v>
      </c>
      <c r="L100" s="154"/>
      <c r="M100" s="154"/>
      <c r="N100" s="155" t="s">
        <v>655</v>
      </c>
      <c r="O100" s="154"/>
      <c r="P100" s="156">
        <v>44046</v>
      </c>
    </row>
    <row r="101" ht="82.5" spans="1:16">
      <c r="A101" s="154">
        <v>99</v>
      </c>
      <c r="B101" s="155" t="s">
        <v>13</v>
      </c>
      <c r="C101" s="155" t="s">
        <v>248</v>
      </c>
      <c r="D101" s="154" t="s">
        <v>164</v>
      </c>
      <c r="E101" s="154"/>
      <c r="F101" s="202" t="s">
        <v>656</v>
      </c>
      <c r="G101" s="156">
        <v>44414</v>
      </c>
      <c r="H101" s="156">
        <v>48065</v>
      </c>
      <c r="I101" s="155" t="s">
        <v>657</v>
      </c>
      <c r="J101" s="155" t="s">
        <v>25</v>
      </c>
      <c r="K101" s="154" t="str">
        <f>_xlfn.DISPIMG("ID_0C7CB341919D4D038984749ED2ED3C00",1)</f>
        <v>=DISPIMG("ID_0C7CB341919D4D038984749ED2ED3C00",1)</v>
      </c>
      <c r="L101" s="154"/>
      <c r="M101" s="154"/>
      <c r="N101" s="154"/>
      <c r="O101" s="154" t="s">
        <v>658</v>
      </c>
      <c r="P101" s="156">
        <v>45192</v>
      </c>
    </row>
    <row r="102" ht="82.5" spans="1:16">
      <c r="A102" s="154">
        <v>100</v>
      </c>
      <c r="B102" s="155" t="s">
        <v>13</v>
      </c>
      <c r="C102" s="155" t="s">
        <v>248</v>
      </c>
      <c r="D102" s="154" t="s">
        <v>15</v>
      </c>
      <c r="E102" s="154" t="s">
        <v>402</v>
      </c>
      <c r="F102" s="202" t="s">
        <v>659</v>
      </c>
      <c r="G102" s="156">
        <v>44735</v>
      </c>
      <c r="H102" s="156">
        <v>48387</v>
      </c>
      <c r="I102" s="155" t="s">
        <v>660</v>
      </c>
      <c r="J102" s="155" t="s">
        <v>25</v>
      </c>
      <c r="K102" s="154" t="str">
        <f>_xlfn.DISPIMG("ID_B9732F8CDB6B4D44A5DFB90C7D776797",1)</f>
        <v>=DISPIMG("ID_B9732F8CDB6B4D44A5DFB90C7D776797",1)</v>
      </c>
      <c r="L102" s="154"/>
      <c r="M102" s="154"/>
      <c r="N102" s="154"/>
      <c r="O102" s="154" t="s">
        <v>661</v>
      </c>
      <c r="P102" s="156">
        <v>45229</v>
      </c>
    </row>
    <row r="103" ht="409.5" spans="1:16">
      <c r="A103" s="154">
        <v>101</v>
      </c>
      <c r="B103" s="155" t="s">
        <v>13</v>
      </c>
      <c r="C103" s="155" t="s">
        <v>248</v>
      </c>
      <c r="D103" s="154" t="s">
        <v>15</v>
      </c>
      <c r="E103" s="154" t="s">
        <v>267</v>
      </c>
      <c r="F103" s="202" t="s">
        <v>662</v>
      </c>
      <c r="G103" s="156">
        <v>44153</v>
      </c>
      <c r="H103" s="156">
        <v>47804</v>
      </c>
      <c r="I103" s="155" t="s">
        <v>663</v>
      </c>
      <c r="J103" s="155" t="s">
        <v>664</v>
      </c>
      <c r="K103" s="154" t="str">
        <f>_xlfn.DISPIMG("ID_42CEEC6499054CCDA7852B044AF40ADB",1)</f>
        <v>=DISPIMG("ID_42CEEC6499054CCDA7852B044AF40ADB",1)</v>
      </c>
      <c r="L103" s="154"/>
      <c r="M103" s="154"/>
      <c r="N103" s="154"/>
      <c r="O103" s="154" t="s">
        <v>665</v>
      </c>
      <c r="P103" s="156">
        <v>45229</v>
      </c>
    </row>
    <row r="104" ht="82.5" spans="1:16">
      <c r="A104" s="154">
        <v>102</v>
      </c>
      <c r="B104" s="155" t="s">
        <v>13</v>
      </c>
      <c r="C104" s="155" t="s">
        <v>248</v>
      </c>
      <c r="D104" s="154" t="s">
        <v>15</v>
      </c>
      <c r="E104" s="154" t="s">
        <v>246</v>
      </c>
      <c r="F104" s="202" t="s">
        <v>666</v>
      </c>
      <c r="G104" s="156">
        <v>44153</v>
      </c>
      <c r="H104" s="156">
        <v>47804</v>
      </c>
      <c r="I104" s="155" t="s">
        <v>667</v>
      </c>
      <c r="J104" s="155" t="s">
        <v>25</v>
      </c>
      <c r="K104" s="154" t="str">
        <f>_xlfn.DISPIMG("ID_2215FF7307EF462B934969550C1224A1",1)</f>
        <v>=DISPIMG("ID_2215FF7307EF462B934969550C1224A1",1)</v>
      </c>
      <c r="L104" s="154"/>
      <c r="M104" s="154"/>
      <c r="N104" s="154"/>
      <c r="O104" s="154" t="s">
        <v>668</v>
      </c>
      <c r="P104" s="156">
        <v>45229</v>
      </c>
    </row>
    <row r="105" ht="82.5" spans="1:16">
      <c r="A105" s="154">
        <v>103</v>
      </c>
      <c r="B105" s="155" t="s">
        <v>13</v>
      </c>
      <c r="C105" s="155" t="s">
        <v>248</v>
      </c>
      <c r="D105" s="154" t="s">
        <v>15</v>
      </c>
      <c r="E105" s="154" t="s">
        <v>669</v>
      </c>
      <c r="F105" s="202" t="s">
        <v>670</v>
      </c>
      <c r="G105" s="154" t="s">
        <v>671</v>
      </c>
      <c r="H105" s="156">
        <v>48461</v>
      </c>
      <c r="I105" s="155" t="s">
        <v>672</v>
      </c>
      <c r="J105" s="155" t="s">
        <v>673</v>
      </c>
      <c r="K105" s="154" t="str">
        <f>_xlfn.DISPIMG("ID_1A33A7EAD7114BF99462D06778078D80",1)</f>
        <v>=DISPIMG("ID_1A33A7EAD7114BF99462D06778078D80",1)</v>
      </c>
      <c r="L105" s="154"/>
      <c r="M105" s="154"/>
      <c r="N105" s="154"/>
      <c r="O105" s="154" t="s">
        <v>612</v>
      </c>
      <c r="P105" s="154"/>
    </row>
    <row r="106" ht="132" spans="1:16">
      <c r="A106" s="154">
        <v>104</v>
      </c>
      <c r="B106" s="155" t="s">
        <v>13</v>
      </c>
      <c r="C106" s="155" t="s">
        <v>248</v>
      </c>
      <c r="D106" s="154" t="s">
        <v>15</v>
      </c>
      <c r="E106" s="154" t="s">
        <v>674</v>
      </c>
      <c r="F106" s="202" t="s">
        <v>675</v>
      </c>
      <c r="G106" s="154" t="s">
        <v>671</v>
      </c>
      <c r="H106" s="156">
        <v>48461</v>
      </c>
      <c r="I106" s="155" t="s">
        <v>676</v>
      </c>
      <c r="J106" s="155" t="s">
        <v>673</v>
      </c>
      <c r="K106" s="154" t="str">
        <f>_xlfn.DISPIMG("ID_001648DDF64045C2A6333EF7DCEAE724",1)</f>
        <v>=DISPIMG("ID_001648DDF64045C2A6333EF7DCEAE724",1)</v>
      </c>
      <c r="L106" s="154"/>
      <c r="M106" s="154"/>
      <c r="N106" s="154"/>
      <c r="O106" s="154" t="s">
        <v>612</v>
      </c>
      <c r="P106" s="154"/>
    </row>
    <row r="107" ht="165" spans="1:16">
      <c r="A107" s="154">
        <v>105</v>
      </c>
      <c r="B107" s="155" t="s">
        <v>13</v>
      </c>
      <c r="C107" s="155" t="s">
        <v>248</v>
      </c>
      <c r="D107" s="154" t="s">
        <v>15</v>
      </c>
      <c r="E107" s="154" t="s">
        <v>677</v>
      </c>
      <c r="F107" s="202" t="s">
        <v>678</v>
      </c>
      <c r="G107" s="154" t="s">
        <v>671</v>
      </c>
      <c r="H107" s="156">
        <v>48461</v>
      </c>
      <c r="I107" s="155" t="s">
        <v>679</v>
      </c>
      <c r="J107" s="155" t="s">
        <v>673</v>
      </c>
      <c r="K107" s="154" t="str">
        <f>_xlfn.DISPIMG("ID_1C8C3D5B7DC24EA3BEADEEDAA2A54887",1)</f>
        <v>=DISPIMG("ID_1C8C3D5B7DC24EA3BEADEEDAA2A54887",1)</v>
      </c>
      <c r="L107" s="154"/>
      <c r="M107" s="154"/>
      <c r="N107" s="154"/>
      <c r="O107" s="154" t="s">
        <v>612</v>
      </c>
      <c r="P107" s="154"/>
    </row>
    <row r="108" ht="280.5" spans="1:16">
      <c r="A108" s="154">
        <v>106</v>
      </c>
      <c r="B108" s="155" t="s">
        <v>13</v>
      </c>
      <c r="C108" s="155" t="s">
        <v>248</v>
      </c>
      <c r="D108" s="154" t="s">
        <v>15</v>
      </c>
      <c r="E108" s="154" t="s">
        <v>680</v>
      </c>
      <c r="F108" s="202" t="s">
        <v>681</v>
      </c>
      <c r="G108" s="154" t="s">
        <v>671</v>
      </c>
      <c r="H108" s="156">
        <v>48461</v>
      </c>
      <c r="I108" s="155" t="s">
        <v>682</v>
      </c>
      <c r="J108" s="155" t="s">
        <v>673</v>
      </c>
      <c r="K108" s="154" t="str">
        <f>_xlfn.DISPIMG("ID_4250858873D14E3BB67FC6A154D2E554",1)</f>
        <v>=DISPIMG("ID_4250858873D14E3BB67FC6A154D2E554",1)</v>
      </c>
      <c r="L108" s="154"/>
      <c r="M108" s="154"/>
      <c r="N108" s="154"/>
      <c r="O108" s="154" t="s">
        <v>612</v>
      </c>
      <c r="P108" s="154"/>
    </row>
    <row r="109" ht="82.5" spans="1:16">
      <c r="A109" s="154">
        <v>107</v>
      </c>
      <c r="B109" s="155" t="s">
        <v>13</v>
      </c>
      <c r="C109" s="155" t="s">
        <v>248</v>
      </c>
      <c r="D109" s="154" t="s">
        <v>15</v>
      </c>
      <c r="E109" s="154" t="s">
        <v>287</v>
      </c>
      <c r="F109" s="202" t="s">
        <v>683</v>
      </c>
      <c r="G109" s="156">
        <v>44532</v>
      </c>
      <c r="H109" s="156">
        <v>48183</v>
      </c>
      <c r="I109" s="155" t="s">
        <v>684</v>
      </c>
      <c r="J109" s="155" t="s">
        <v>25</v>
      </c>
      <c r="K109" s="154" t="str">
        <f>_xlfn.DISPIMG("ID_3F943F95480547778D3B18B1AD8E24BE",1)</f>
        <v>=DISPIMG("ID_3F943F95480547778D3B18B1AD8E24BE",1)</v>
      </c>
      <c r="L109" s="154"/>
      <c r="M109" s="154"/>
      <c r="N109" s="154"/>
      <c r="O109" s="154" t="s">
        <v>685</v>
      </c>
      <c r="P109" s="156">
        <v>45229</v>
      </c>
    </row>
    <row r="110" ht="82.5" spans="1:16">
      <c r="A110" s="154">
        <v>108</v>
      </c>
      <c r="B110" s="155" t="s">
        <v>13</v>
      </c>
      <c r="C110" s="155" t="s">
        <v>248</v>
      </c>
      <c r="D110" s="154" t="s">
        <v>15</v>
      </c>
      <c r="E110" s="154" t="s">
        <v>301</v>
      </c>
      <c r="F110" s="202" t="s">
        <v>686</v>
      </c>
      <c r="G110" s="156">
        <v>44630</v>
      </c>
      <c r="H110" s="156">
        <v>48282</v>
      </c>
      <c r="I110" s="155" t="s">
        <v>687</v>
      </c>
      <c r="J110" s="155" t="s">
        <v>25</v>
      </c>
      <c r="K110" s="154" t="str">
        <f>_xlfn.DISPIMG("ID_9223552C178F42199E1E9C9370E343F2",1)</f>
        <v>=DISPIMG("ID_9223552C178F42199E1E9C9370E343F2",1)</v>
      </c>
      <c r="L110" s="154"/>
      <c r="M110" s="154"/>
      <c r="N110" s="154"/>
      <c r="O110" s="154" t="s">
        <v>688</v>
      </c>
      <c r="P110" s="156">
        <v>45192</v>
      </c>
    </row>
    <row r="111" ht="82.5" spans="1:16">
      <c r="A111" s="154">
        <v>109</v>
      </c>
      <c r="B111" s="155" t="s">
        <v>13</v>
      </c>
      <c r="C111" s="155" t="s">
        <v>248</v>
      </c>
      <c r="D111" s="154" t="s">
        <v>15</v>
      </c>
      <c r="E111" s="154" t="s">
        <v>335</v>
      </c>
      <c r="F111" s="202" t="s">
        <v>689</v>
      </c>
      <c r="G111" s="156">
        <v>44630</v>
      </c>
      <c r="H111" s="156">
        <v>48282</v>
      </c>
      <c r="I111" s="155" t="s">
        <v>337</v>
      </c>
      <c r="J111" s="155" t="s">
        <v>25</v>
      </c>
      <c r="K111" s="154" t="str">
        <f>_xlfn.DISPIMG("ID_882ABC25B7B14C14879A410E68369100",1)</f>
        <v>=DISPIMG("ID_882ABC25B7B14C14879A410E68369100",1)</v>
      </c>
      <c r="L111" s="154"/>
      <c r="M111" s="154"/>
      <c r="N111" s="154"/>
      <c r="O111" s="154" t="s">
        <v>658</v>
      </c>
      <c r="P111" s="156">
        <v>45192</v>
      </c>
    </row>
    <row r="112" ht="82.5" spans="1:16">
      <c r="A112" s="154">
        <v>110</v>
      </c>
      <c r="B112" s="155" t="s">
        <v>13</v>
      </c>
      <c r="C112" s="155" t="s">
        <v>248</v>
      </c>
      <c r="D112" s="154" t="s">
        <v>15</v>
      </c>
      <c r="E112" s="154" t="s">
        <v>328</v>
      </c>
      <c r="F112" s="202" t="s">
        <v>690</v>
      </c>
      <c r="G112" s="156">
        <v>44630</v>
      </c>
      <c r="H112" s="156">
        <v>48282</v>
      </c>
      <c r="I112" s="155" t="s">
        <v>691</v>
      </c>
      <c r="J112" s="155" t="s">
        <v>25</v>
      </c>
      <c r="K112" s="154" t="str">
        <f>_xlfn.DISPIMG("ID_7B672F4BF5A84A379691307256D3154B",1)</f>
        <v>=DISPIMG("ID_7B672F4BF5A84A379691307256D3154B",1)</v>
      </c>
      <c r="L112" s="154"/>
      <c r="M112" s="154"/>
      <c r="N112" s="154"/>
      <c r="O112" s="154" t="s">
        <v>692</v>
      </c>
      <c r="P112" s="156">
        <v>45192</v>
      </c>
    </row>
    <row r="113" ht="82.5" spans="1:16">
      <c r="A113" s="154">
        <v>111</v>
      </c>
      <c r="B113" s="155" t="s">
        <v>13</v>
      </c>
      <c r="C113" s="155" t="s">
        <v>248</v>
      </c>
      <c r="D113" s="154" t="s">
        <v>15</v>
      </c>
      <c r="E113" s="154" t="s">
        <v>390</v>
      </c>
      <c r="F113" s="202" t="s">
        <v>693</v>
      </c>
      <c r="G113" s="156">
        <v>44153</v>
      </c>
      <c r="H113" s="156">
        <v>47804</v>
      </c>
      <c r="I113" s="155" t="s">
        <v>694</v>
      </c>
      <c r="J113" s="155" t="s">
        <v>25</v>
      </c>
      <c r="K113" s="154" t="str">
        <f>_xlfn.DISPIMG("ID_1025265B921D474A9B78C9547EDC10F5",1)</f>
        <v>=DISPIMG("ID_1025265B921D474A9B78C9547EDC10F5",1)</v>
      </c>
      <c r="L113" s="154"/>
      <c r="M113" s="154"/>
      <c r="N113" s="154"/>
      <c r="O113" s="154" t="s">
        <v>695</v>
      </c>
      <c r="P113" s="156">
        <v>45229</v>
      </c>
    </row>
    <row r="114" ht="132" spans="1:16">
      <c r="A114" s="154">
        <v>112</v>
      </c>
      <c r="B114" s="155" t="s">
        <v>13</v>
      </c>
      <c r="C114" s="155" t="s">
        <v>248</v>
      </c>
      <c r="D114" s="154" t="s">
        <v>15</v>
      </c>
      <c r="E114" s="154" t="s">
        <v>383</v>
      </c>
      <c r="F114" s="202" t="s">
        <v>696</v>
      </c>
      <c r="G114" s="156">
        <v>44153</v>
      </c>
      <c r="H114" s="156">
        <v>47804</v>
      </c>
      <c r="I114" s="155" t="s">
        <v>697</v>
      </c>
      <c r="J114" s="155" t="s">
        <v>25</v>
      </c>
      <c r="K114" s="154" t="str">
        <f>_xlfn.DISPIMG("ID_2E6309027CC14D71941BF8B5B69DCCCF",1)</f>
        <v>=DISPIMG("ID_2E6309027CC14D71941BF8B5B69DCCCF",1)</v>
      </c>
      <c r="L114" s="154"/>
      <c r="M114" s="154"/>
      <c r="N114" s="154"/>
      <c r="O114" s="154" t="s">
        <v>698</v>
      </c>
      <c r="P114" s="156">
        <v>45229</v>
      </c>
    </row>
    <row r="115" ht="115.5" spans="1:16">
      <c r="A115" s="154">
        <v>113</v>
      </c>
      <c r="B115" s="155" t="s">
        <v>13</v>
      </c>
      <c r="C115" s="155" t="s">
        <v>248</v>
      </c>
      <c r="D115" s="154" t="s">
        <v>15</v>
      </c>
      <c r="E115" s="154" t="s">
        <v>699</v>
      </c>
      <c r="F115" s="202" t="s">
        <v>700</v>
      </c>
      <c r="G115" s="156">
        <v>44529</v>
      </c>
      <c r="H115" s="156">
        <v>48180</v>
      </c>
      <c r="I115" s="155" t="s">
        <v>701</v>
      </c>
      <c r="J115" s="155" t="s">
        <v>702</v>
      </c>
      <c r="K115" s="154" t="str">
        <f>_xlfn.DISPIMG("ID_0DFE6E25CBC6429183C2ECCB75F99837",1)</f>
        <v>=DISPIMG("ID_0DFE6E25CBC6429183C2ECCB75F99837",1)</v>
      </c>
      <c r="L115" s="154"/>
      <c r="M115" s="154"/>
      <c r="N115" s="154"/>
      <c r="O115" s="154"/>
      <c r="P115" s="154"/>
    </row>
    <row r="116" ht="82.5" spans="1:16">
      <c r="A116" s="154">
        <v>114</v>
      </c>
      <c r="B116" s="155" t="s">
        <v>13</v>
      </c>
      <c r="C116" s="155" t="s">
        <v>248</v>
      </c>
      <c r="D116" s="154" t="s">
        <v>15</v>
      </c>
      <c r="E116" s="154" t="s">
        <v>396</v>
      </c>
      <c r="F116" s="202" t="s">
        <v>703</v>
      </c>
      <c r="G116" s="156">
        <v>44735</v>
      </c>
      <c r="H116" s="156">
        <v>48387</v>
      </c>
      <c r="I116" s="155" t="s">
        <v>704</v>
      </c>
      <c r="J116" s="155" t="s">
        <v>25</v>
      </c>
      <c r="K116" s="154" t="str">
        <f>_xlfn.DISPIMG("ID_63BF6DAE12DB4D549BCAFC81310648B5",1)</f>
        <v>=DISPIMG("ID_63BF6DAE12DB4D549BCAFC81310648B5",1)</v>
      </c>
      <c r="L116" s="154"/>
      <c r="M116" s="154"/>
      <c r="N116" s="154"/>
      <c r="O116" s="154" t="s">
        <v>661</v>
      </c>
      <c r="P116" s="156">
        <v>45229</v>
      </c>
    </row>
    <row r="117" ht="66" spans="1:16">
      <c r="A117" s="154">
        <v>115</v>
      </c>
      <c r="B117" s="155" t="s">
        <v>13</v>
      </c>
      <c r="C117" s="155" t="s">
        <v>248</v>
      </c>
      <c r="D117" s="154" t="s">
        <v>15</v>
      </c>
      <c r="E117" s="154" t="s">
        <v>705</v>
      </c>
      <c r="F117" s="202" t="s">
        <v>706</v>
      </c>
      <c r="G117" s="156">
        <v>44399</v>
      </c>
      <c r="H117" s="156">
        <v>48050</v>
      </c>
      <c r="I117" s="155" t="s">
        <v>707</v>
      </c>
      <c r="J117" s="155" t="s">
        <v>702</v>
      </c>
      <c r="K117" s="154" t="str">
        <f>_xlfn.DISPIMG("ID_35BB4AC1598146958295579B47679429",1)</f>
        <v>=DISPIMG("ID_35BB4AC1598146958295579B47679429",1)</v>
      </c>
      <c r="L117" s="154"/>
      <c r="M117" s="154"/>
      <c r="N117" s="154"/>
      <c r="O117" s="154" t="s">
        <v>708</v>
      </c>
      <c r="P117" s="156">
        <v>45096</v>
      </c>
    </row>
    <row r="118" ht="66" spans="1:16">
      <c r="A118" s="154">
        <v>116</v>
      </c>
      <c r="B118" s="155" t="s">
        <v>13</v>
      </c>
      <c r="C118" s="155" t="s">
        <v>248</v>
      </c>
      <c r="D118" s="154" t="s">
        <v>15</v>
      </c>
      <c r="E118" s="154" t="s">
        <v>709</v>
      </c>
      <c r="F118" s="202" t="s">
        <v>710</v>
      </c>
      <c r="G118" s="156">
        <v>44399</v>
      </c>
      <c r="H118" s="156">
        <v>48050</v>
      </c>
      <c r="I118" s="155" t="s">
        <v>711</v>
      </c>
      <c r="J118" s="155" t="s">
        <v>702</v>
      </c>
      <c r="K118" s="154" t="str">
        <f>_xlfn.DISPIMG("ID_E1850F504DDD4DD2BC5AFDC88F35E06E",1)</f>
        <v>=DISPIMG("ID_E1850F504DDD4DD2BC5AFDC88F35E06E",1)</v>
      </c>
      <c r="L118" s="154"/>
      <c r="M118" s="154"/>
      <c r="N118" s="154"/>
      <c r="O118" s="154" t="s">
        <v>712</v>
      </c>
      <c r="P118" s="156">
        <v>45096</v>
      </c>
    </row>
    <row r="119" ht="66" spans="1:16">
      <c r="A119" s="154">
        <v>117</v>
      </c>
      <c r="B119" s="155" t="s">
        <v>13</v>
      </c>
      <c r="C119" s="155" t="s">
        <v>248</v>
      </c>
      <c r="D119" s="154" t="s">
        <v>15</v>
      </c>
      <c r="E119" s="154" t="s">
        <v>713</v>
      </c>
      <c r="F119" s="202" t="s">
        <v>714</v>
      </c>
      <c r="G119" s="156">
        <v>44201</v>
      </c>
      <c r="H119" s="156">
        <v>47852</v>
      </c>
      <c r="I119" s="155" t="s">
        <v>715</v>
      </c>
      <c r="J119" s="155" t="s">
        <v>702</v>
      </c>
      <c r="K119" s="154" t="str">
        <f>_xlfn.DISPIMG("ID_798EA06D87C445CF8C2AD9341D4BECB0",1)</f>
        <v>=DISPIMG("ID_798EA06D87C445CF8C2AD9341D4BECB0",1)</v>
      </c>
      <c r="L119" s="154"/>
      <c r="M119" s="154"/>
      <c r="N119" s="154"/>
      <c r="O119" s="154" t="s">
        <v>645</v>
      </c>
      <c r="P119" s="156">
        <v>45096</v>
      </c>
    </row>
    <row r="120" ht="66" spans="1:16">
      <c r="A120" s="154">
        <v>118</v>
      </c>
      <c r="B120" s="155" t="s">
        <v>13</v>
      </c>
      <c r="C120" s="155" t="s">
        <v>248</v>
      </c>
      <c r="D120" s="154" t="s">
        <v>15</v>
      </c>
      <c r="E120" s="154" t="s">
        <v>716</v>
      </c>
      <c r="F120" s="202" t="s">
        <v>717</v>
      </c>
      <c r="G120" s="156">
        <v>44651</v>
      </c>
      <c r="H120" s="156">
        <v>48303</v>
      </c>
      <c r="I120" s="155" t="s">
        <v>718</v>
      </c>
      <c r="J120" s="155" t="s">
        <v>702</v>
      </c>
      <c r="K120" s="154" t="str">
        <f>_xlfn.DISPIMG("ID_0B1BB86DF2A2441B9F93AA0C7E543E3A",1)</f>
        <v>=DISPIMG("ID_0B1BB86DF2A2441B9F93AA0C7E543E3A",1)</v>
      </c>
      <c r="L120" s="154"/>
      <c r="M120" s="154"/>
      <c r="N120" s="154"/>
      <c r="O120" s="154"/>
      <c r="P120" s="154"/>
    </row>
    <row r="121" ht="99" spans="1:16">
      <c r="A121" s="154">
        <v>119</v>
      </c>
      <c r="B121" s="155" t="s">
        <v>13</v>
      </c>
      <c r="C121" s="155" t="s">
        <v>248</v>
      </c>
      <c r="D121" s="154" t="s">
        <v>15</v>
      </c>
      <c r="E121" s="154" t="s">
        <v>719</v>
      </c>
      <c r="F121" s="202" t="s">
        <v>720</v>
      </c>
      <c r="G121" s="156">
        <v>44571</v>
      </c>
      <c r="H121" s="156">
        <v>48222</v>
      </c>
      <c r="I121" s="155" t="s">
        <v>721</v>
      </c>
      <c r="J121" s="155" t="s">
        <v>673</v>
      </c>
      <c r="K121" s="154" t="str">
        <f>_xlfn.DISPIMG("ID_1829C16A755049FBB323DAE394DA00F8",1)</f>
        <v>=DISPIMG("ID_1829C16A755049FBB323DAE394DA00F8",1)</v>
      </c>
      <c r="L121" s="154"/>
      <c r="M121" s="154"/>
      <c r="N121" s="154"/>
      <c r="O121" s="154"/>
      <c r="P121" s="154"/>
    </row>
    <row r="122" ht="148.5" spans="1:16">
      <c r="A122" s="154">
        <v>120</v>
      </c>
      <c r="B122" s="155" t="s">
        <v>13</v>
      </c>
      <c r="C122" s="155" t="s">
        <v>248</v>
      </c>
      <c r="D122" s="154" t="s">
        <v>15</v>
      </c>
      <c r="E122" s="154" t="s">
        <v>722</v>
      </c>
      <c r="F122" s="202" t="s">
        <v>723</v>
      </c>
      <c r="G122" s="156">
        <v>44560</v>
      </c>
      <c r="H122" s="156">
        <v>48211</v>
      </c>
      <c r="I122" s="155" t="s">
        <v>724</v>
      </c>
      <c r="J122" s="155" t="s">
        <v>673</v>
      </c>
      <c r="K122" s="154" t="str">
        <f>_xlfn.DISPIMG("ID_3DF291000A434005A3BF710DA7B0AD94",1)</f>
        <v>=DISPIMG("ID_3DF291000A434005A3BF710DA7B0AD94",1)</v>
      </c>
      <c r="L122" s="154"/>
      <c r="M122" s="154"/>
      <c r="N122" s="154"/>
      <c r="O122" s="166" t="s">
        <v>639</v>
      </c>
      <c r="P122" s="156">
        <v>44958</v>
      </c>
    </row>
    <row r="123" ht="82.5" spans="1:16">
      <c r="A123" s="154">
        <v>121</v>
      </c>
      <c r="B123" s="155" t="s">
        <v>248</v>
      </c>
      <c r="C123" s="155" t="s">
        <v>248</v>
      </c>
      <c r="D123" s="154" t="s">
        <v>164</v>
      </c>
      <c r="E123" s="154"/>
      <c r="F123" s="202" t="s">
        <v>725</v>
      </c>
      <c r="G123" s="156">
        <v>45343</v>
      </c>
      <c r="H123" s="156">
        <v>48995</v>
      </c>
      <c r="I123" s="155" t="s">
        <v>726</v>
      </c>
      <c r="J123" s="155" t="s">
        <v>25</v>
      </c>
      <c r="K123" s="154" t="str">
        <f>_xlfn.DISPIMG("ID_D936743A787C428CA3E2FC8682904532",1)</f>
        <v>=DISPIMG("ID_D936743A787C428CA3E2FC8682904532",1)</v>
      </c>
      <c r="L123" s="154"/>
      <c r="M123" s="154"/>
      <c r="N123" s="154"/>
      <c r="O123" s="154"/>
      <c r="P123" s="154"/>
    </row>
    <row r="124" ht="33" spans="1:13">
      <c r="A124" s="161">
        <v>122</v>
      </c>
      <c r="B124" s="162" t="s">
        <v>248</v>
      </c>
      <c r="C124" s="162" t="s">
        <v>248</v>
      </c>
      <c r="D124" s="161" t="s">
        <v>164</v>
      </c>
      <c r="E124" s="161"/>
      <c r="F124" s="204" t="s">
        <v>727</v>
      </c>
      <c r="G124" s="163">
        <v>45266</v>
      </c>
      <c r="H124" s="163">
        <v>48918</v>
      </c>
      <c r="I124" s="162" t="s">
        <v>728</v>
      </c>
      <c r="J124" s="162" t="s">
        <v>729</v>
      </c>
      <c r="K124" s="161" t="str">
        <f>_xlfn.DISPIMG("ID_674E8E066570447DBDD56FF9CBA649B5",1)</f>
        <v>=DISPIMG("ID_674E8E066570447DBDD56FF9CBA649B5",1)</v>
      </c>
      <c r="L124" s="161"/>
      <c r="M124" s="161"/>
    </row>
    <row r="125" ht="33" spans="1:13">
      <c r="A125" s="158">
        <v>123</v>
      </c>
      <c r="B125" s="159" t="s">
        <v>248</v>
      </c>
      <c r="C125" s="159" t="s">
        <v>248</v>
      </c>
      <c r="D125" s="158" t="s">
        <v>164</v>
      </c>
      <c r="E125" s="158"/>
      <c r="F125" s="203" t="s">
        <v>730</v>
      </c>
      <c r="G125" s="160">
        <v>45266</v>
      </c>
      <c r="H125" s="160">
        <v>48918</v>
      </c>
      <c r="I125" s="159" t="s">
        <v>731</v>
      </c>
      <c r="J125" s="159" t="s">
        <v>729</v>
      </c>
      <c r="K125" s="158" t="str">
        <f>_xlfn.DISPIMG("ID_545618754C7547E2BFAE4672003918E3",1)</f>
        <v>=DISPIMG("ID_545618754C7547E2BFAE4672003918E3",1)</v>
      </c>
      <c r="L125" s="158"/>
      <c r="M125" s="158"/>
    </row>
    <row r="126" ht="82.5" spans="1:16">
      <c r="A126" s="154">
        <v>124</v>
      </c>
      <c r="B126" s="155" t="s">
        <v>248</v>
      </c>
      <c r="C126" s="155" t="s">
        <v>248</v>
      </c>
      <c r="D126" s="154" t="s">
        <v>164</v>
      </c>
      <c r="E126" s="154"/>
      <c r="F126" s="202" t="s">
        <v>732</v>
      </c>
      <c r="G126" s="156">
        <v>44260</v>
      </c>
      <c r="H126" s="156">
        <v>47911</v>
      </c>
      <c r="I126" s="155" t="s">
        <v>733</v>
      </c>
      <c r="J126" s="155" t="s">
        <v>25</v>
      </c>
      <c r="K126" s="154" t="str">
        <f>_xlfn.DISPIMG("ID_0CEA510CE0BD4D38A8EFF187A86C533D",1)</f>
        <v>=DISPIMG("ID_0CEA510CE0BD4D38A8EFF187A86C533D",1)</v>
      </c>
      <c r="L126" s="154"/>
      <c r="M126" s="154"/>
      <c r="N126" s="155" t="s">
        <v>734</v>
      </c>
      <c r="O126" s="154"/>
      <c r="P126" s="154"/>
    </row>
    <row r="127" ht="82.5" spans="1:16">
      <c r="A127" s="154">
        <v>125</v>
      </c>
      <c r="B127" s="155" t="s">
        <v>248</v>
      </c>
      <c r="C127" s="155" t="s">
        <v>248</v>
      </c>
      <c r="D127" s="154" t="s">
        <v>164</v>
      </c>
      <c r="E127" s="154"/>
      <c r="F127" s="202" t="s">
        <v>735</v>
      </c>
      <c r="G127" s="156">
        <v>45056</v>
      </c>
      <c r="H127" s="156">
        <v>48708</v>
      </c>
      <c r="I127" s="155" t="s">
        <v>736</v>
      </c>
      <c r="J127" s="155" t="s">
        <v>25</v>
      </c>
      <c r="K127" s="154" t="str">
        <f>_xlfn.DISPIMG("ID_5406D7C8BE9C4378BE8EA7826FA61AE3",1)</f>
        <v>=DISPIMG("ID_5406D7C8BE9C4378BE8EA7826FA61AE3",1)</v>
      </c>
      <c r="L127" s="154"/>
      <c r="M127" s="154"/>
      <c r="N127" s="154"/>
      <c r="O127" s="154"/>
      <c r="P127" s="154"/>
    </row>
    <row r="128" ht="82.5" spans="1:16">
      <c r="A128" s="154">
        <v>126</v>
      </c>
      <c r="B128" s="155" t="s">
        <v>248</v>
      </c>
      <c r="C128" s="155" t="s">
        <v>248</v>
      </c>
      <c r="D128" s="154" t="s">
        <v>164</v>
      </c>
      <c r="E128" s="154"/>
      <c r="F128" s="202" t="s">
        <v>737</v>
      </c>
      <c r="G128" s="156">
        <v>45056</v>
      </c>
      <c r="H128" s="156">
        <v>48708</v>
      </c>
      <c r="I128" s="155" t="s">
        <v>738</v>
      </c>
      <c r="J128" s="155" t="s">
        <v>25</v>
      </c>
      <c r="K128" s="154" t="str">
        <f>_xlfn.DISPIMG("ID_ACFA497E608C45C3A627B6C4B2B21E21",1)</f>
        <v>=DISPIMG("ID_ACFA497E608C45C3A627B6C4B2B21E21",1)</v>
      </c>
      <c r="L128" s="154"/>
      <c r="M128" s="154"/>
      <c r="N128" s="154"/>
      <c r="O128" s="154"/>
      <c r="P128" s="154"/>
    </row>
    <row r="129" ht="82.5" spans="1:16">
      <c r="A129" s="154">
        <v>127</v>
      </c>
      <c r="B129" s="155" t="s">
        <v>248</v>
      </c>
      <c r="C129" s="155" t="s">
        <v>248</v>
      </c>
      <c r="D129" s="154" t="s">
        <v>164</v>
      </c>
      <c r="E129" s="154"/>
      <c r="F129" s="202" t="s">
        <v>739</v>
      </c>
      <c r="G129" s="156">
        <v>45056</v>
      </c>
      <c r="H129" s="156">
        <v>48708</v>
      </c>
      <c r="I129" s="155" t="s">
        <v>740</v>
      </c>
      <c r="J129" s="155" t="s">
        <v>25</v>
      </c>
      <c r="K129" s="154" t="str">
        <f>_xlfn.DISPIMG("ID_9B0F6F8190EE41A4956A3E90562EC97B",1)</f>
        <v>=DISPIMG("ID_9B0F6F8190EE41A4956A3E90562EC97B",1)</v>
      </c>
      <c r="L129" s="154"/>
      <c r="M129" s="154"/>
      <c r="N129" s="154"/>
      <c r="O129" s="154"/>
      <c r="P129" s="154"/>
    </row>
    <row r="130" ht="82.5" spans="1:16">
      <c r="A130" s="154">
        <v>128</v>
      </c>
      <c r="B130" s="155" t="s">
        <v>248</v>
      </c>
      <c r="C130" s="155" t="s">
        <v>248</v>
      </c>
      <c r="D130" s="154" t="s">
        <v>164</v>
      </c>
      <c r="E130" s="154"/>
      <c r="F130" s="202" t="s">
        <v>741</v>
      </c>
      <c r="G130" s="156">
        <v>45056</v>
      </c>
      <c r="H130" s="156">
        <v>48708</v>
      </c>
      <c r="I130" s="155" t="s">
        <v>742</v>
      </c>
      <c r="J130" s="155" t="s">
        <v>25</v>
      </c>
      <c r="K130" s="154" t="str">
        <f>_xlfn.DISPIMG("ID_7F8C989867CE4A3D8E1C2EEA3D164345",1)</f>
        <v>=DISPIMG("ID_7F8C989867CE4A3D8E1C2EEA3D164345",1)</v>
      </c>
      <c r="L130" s="154"/>
      <c r="M130" s="154"/>
      <c r="N130" s="154"/>
      <c r="O130" s="154"/>
      <c r="P130" s="154"/>
    </row>
    <row r="131" ht="49.5" spans="1:13">
      <c r="A131" s="167">
        <v>129</v>
      </c>
      <c r="B131" s="168" t="s">
        <v>248</v>
      </c>
      <c r="C131" s="168" t="s">
        <v>248</v>
      </c>
      <c r="D131" s="167" t="s">
        <v>164</v>
      </c>
      <c r="E131" s="167"/>
      <c r="F131" s="205" t="s">
        <v>743</v>
      </c>
      <c r="G131" s="169">
        <v>45056</v>
      </c>
      <c r="H131" s="169">
        <v>48708</v>
      </c>
      <c r="I131" s="168" t="s">
        <v>744</v>
      </c>
      <c r="J131" s="168" t="s">
        <v>82</v>
      </c>
      <c r="K131" s="167" t="str">
        <f>_xlfn.DISPIMG("ID_ACB410866FE34E0DBD9F2F2818068E9B",1)</f>
        <v>=DISPIMG("ID_ACB410866FE34E0DBD9F2F2818068E9B",1)</v>
      </c>
      <c r="L131" s="167"/>
      <c r="M131" s="167"/>
    </row>
    <row r="132" ht="82.5" spans="1:16">
      <c r="A132" s="154">
        <v>130</v>
      </c>
      <c r="B132" s="155" t="s">
        <v>248</v>
      </c>
      <c r="C132" s="155" t="s">
        <v>248</v>
      </c>
      <c r="D132" s="154" t="s">
        <v>164</v>
      </c>
      <c r="E132" s="154"/>
      <c r="F132" s="202" t="s">
        <v>745</v>
      </c>
      <c r="G132" s="156">
        <v>45056</v>
      </c>
      <c r="H132" s="156">
        <v>48708</v>
      </c>
      <c r="I132" s="155" t="s">
        <v>746</v>
      </c>
      <c r="J132" s="155" t="s">
        <v>25</v>
      </c>
      <c r="K132" s="154" t="str">
        <f>_xlfn.DISPIMG("ID_0287C8036FD9430B9B97646C5ED10EC9",1)</f>
        <v>=DISPIMG("ID_0287C8036FD9430B9B97646C5ED10EC9",1)</v>
      </c>
      <c r="L132" s="155" t="s">
        <v>747</v>
      </c>
      <c r="M132" s="154"/>
      <c r="N132" s="154"/>
      <c r="O132" s="154"/>
      <c r="P132" s="154"/>
    </row>
    <row r="133" ht="82.5" spans="1:16">
      <c r="A133" s="154">
        <v>131</v>
      </c>
      <c r="B133" s="155" t="s">
        <v>248</v>
      </c>
      <c r="C133" s="155" t="s">
        <v>248</v>
      </c>
      <c r="D133" s="154" t="s">
        <v>164</v>
      </c>
      <c r="E133" s="154"/>
      <c r="F133" s="202" t="s">
        <v>748</v>
      </c>
      <c r="G133" s="156">
        <v>45056</v>
      </c>
      <c r="H133" s="156">
        <v>48708</v>
      </c>
      <c r="I133" s="155" t="s">
        <v>749</v>
      </c>
      <c r="J133" s="155" t="s">
        <v>25</v>
      </c>
      <c r="K133" s="154" t="str">
        <f>_xlfn.DISPIMG("ID_5AD2024445814FA68107144499C03056",1)</f>
        <v>=DISPIMG("ID_5AD2024445814FA68107144499C03056",1)</v>
      </c>
      <c r="L133" s="154" t="s">
        <v>750</v>
      </c>
      <c r="M133" s="154"/>
      <c r="N133" s="154"/>
      <c r="O133" s="154"/>
      <c r="P133" s="154"/>
    </row>
    <row r="134" ht="82.5" spans="1:16">
      <c r="A134" s="154">
        <v>132</v>
      </c>
      <c r="B134" s="155" t="s">
        <v>248</v>
      </c>
      <c r="C134" s="155" t="s">
        <v>248</v>
      </c>
      <c r="D134" s="154" t="s">
        <v>164</v>
      </c>
      <c r="E134" s="154"/>
      <c r="F134" s="202" t="s">
        <v>751</v>
      </c>
      <c r="G134" s="156">
        <v>44730</v>
      </c>
      <c r="H134" s="156">
        <v>48382</v>
      </c>
      <c r="I134" s="155" t="s">
        <v>726</v>
      </c>
      <c r="J134" s="155" t="s">
        <v>25</v>
      </c>
      <c r="K134" s="154" t="str">
        <f>_xlfn.DISPIMG("ID_4EFBD23E68C240399CAB7C0ADFF30008",1)</f>
        <v>=DISPIMG("ID_4EFBD23E68C240399CAB7C0ADFF30008",1)</v>
      </c>
      <c r="L134" s="154"/>
      <c r="M134" s="154"/>
      <c r="N134" s="154"/>
      <c r="O134" s="154"/>
      <c r="P134" s="154"/>
    </row>
    <row r="135" ht="82.5" spans="1:16">
      <c r="A135" s="154">
        <v>133</v>
      </c>
      <c r="B135" s="155" t="s">
        <v>248</v>
      </c>
      <c r="C135" s="155" t="s">
        <v>248</v>
      </c>
      <c r="D135" s="154" t="s">
        <v>164</v>
      </c>
      <c r="E135" s="154"/>
      <c r="F135" s="202" t="s">
        <v>752</v>
      </c>
      <c r="G135" s="156">
        <v>44730</v>
      </c>
      <c r="H135" s="156">
        <v>48382</v>
      </c>
      <c r="I135" s="155" t="s">
        <v>753</v>
      </c>
      <c r="J135" s="155" t="s">
        <v>25</v>
      </c>
      <c r="K135" s="154" t="str">
        <f>_xlfn.DISPIMG("ID_DBAE4ED8A28B438A909DF0D2AF8C8D9D",1)</f>
        <v>=DISPIMG("ID_DBAE4ED8A28B438A909DF0D2AF8C8D9D",1)</v>
      </c>
      <c r="L135" s="154"/>
      <c r="M135" s="154"/>
      <c r="N135" s="154"/>
      <c r="O135" s="154"/>
      <c r="P135" s="154"/>
    </row>
    <row r="136" ht="82.5" spans="1:16">
      <c r="A136" s="154">
        <v>134</v>
      </c>
      <c r="B136" s="155" t="s">
        <v>248</v>
      </c>
      <c r="C136" s="155" t="s">
        <v>248</v>
      </c>
      <c r="D136" s="154" t="s">
        <v>164</v>
      </c>
      <c r="E136" s="154"/>
      <c r="F136" s="202" t="s">
        <v>754</v>
      </c>
      <c r="G136" s="156">
        <v>44349</v>
      </c>
      <c r="H136" s="156">
        <v>48366</v>
      </c>
      <c r="I136" s="155" t="s">
        <v>755</v>
      </c>
      <c r="J136" s="155" t="s">
        <v>25</v>
      </c>
      <c r="K136" s="154" t="str">
        <f>_xlfn.DISPIMG("ID_3DBDEF1C7CF949BE9EFC7AE4C6D09D1E",1)</f>
        <v>=DISPIMG("ID_3DBDEF1C7CF949BE9EFC7AE4C6D09D1E",1)</v>
      </c>
      <c r="L136" s="154"/>
      <c r="M136" s="154"/>
      <c r="N136" s="154"/>
      <c r="O136" s="154"/>
      <c r="P136" s="154"/>
    </row>
    <row r="137" ht="82.5" spans="1:16">
      <c r="A137" s="154">
        <v>135</v>
      </c>
      <c r="B137" s="155" t="s">
        <v>248</v>
      </c>
      <c r="C137" s="155" t="s">
        <v>248</v>
      </c>
      <c r="D137" s="154" t="s">
        <v>164</v>
      </c>
      <c r="E137" s="154"/>
      <c r="F137" s="202" t="s">
        <v>756</v>
      </c>
      <c r="G137" s="156">
        <v>44260</v>
      </c>
      <c r="H137" s="156">
        <v>47911</v>
      </c>
      <c r="I137" s="155" t="s">
        <v>757</v>
      </c>
      <c r="J137" s="155" t="s">
        <v>25</v>
      </c>
      <c r="K137" s="154" t="str">
        <f>_xlfn.DISPIMG("ID_DB07FC17B94744E3AB9F61E8A678BB63",1)</f>
        <v>=DISPIMG("ID_DB07FC17B94744E3AB9F61E8A678BB63",1)</v>
      </c>
      <c r="L137" s="154"/>
      <c r="M137" s="154"/>
      <c r="N137" s="155" t="s">
        <v>758</v>
      </c>
      <c r="O137" s="154"/>
      <c r="P137" s="154"/>
    </row>
    <row r="138" ht="82.5" spans="1:16">
      <c r="A138" s="154">
        <v>136</v>
      </c>
      <c r="B138" s="155" t="s">
        <v>248</v>
      </c>
      <c r="C138" s="155" t="s">
        <v>248</v>
      </c>
      <c r="D138" s="154" t="s">
        <v>164</v>
      </c>
      <c r="E138" s="154"/>
      <c r="F138" s="202" t="s">
        <v>759</v>
      </c>
      <c r="G138" s="156">
        <v>44260</v>
      </c>
      <c r="H138" s="156">
        <v>47911</v>
      </c>
      <c r="I138" s="155" t="s">
        <v>760</v>
      </c>
      <c r="J138" s="155" t="s">
        <v>25</v>
      </c>
      <c r="K138" s="154" t="str">
        <f>_xlfn.DISPIMG("ID_4D3BA3B905DD492AACB21CD23ACD4590",1)</f>
        <v>=DISPIMG("ID_4D3BA3B905DD492AACB21CD23ACD4590",1)</v>
      </c>
      <c r="L138" s="154"/>
      <c r="M138" s="154"/>
      <c r="N138" s="155" t="s">
        <v>761</v>
      </c>
      <c r="O138" s="154"/>
      <c r="P138" s="154"/>
    </row>
    <row r="139" ht="82.5" spans="1:16">
      <c r="A139" s="154">
        <v>137</v>
      </c>
      <c r="B139" s="155" t="s">
        <v>248</v>
      </c>
      <c r="C139" s="155" t="s">
        <v>248</v>
      </c>
      <c r="D139" s="154" t="s">
        <v>164</v>
      </c>
      <c r="E139" s="154"/>
      <c r="F139" s="202" t="s">
        <v>762</v>
      </c>
      <c r="G139" s="156">
        <v>44260</v>
      </c>
      <c r="H139" s="156">
        <v>47911</v>
      </c>
      <c r="I139" s="155" t="s">
        <v>763</v>
      </c>
      <c r="J139" s="155" t="s">
        <v>25</v>
      </c>
      <c r="K139" s="154" t="str">
        <f>_xlfn.DISPIMG("ID_CBBF1214F8D145B08ADCB915EDD13E26",1)</f>
        <v>=DISPIMG("ID_CBBF1214F8D145B08ADCB915EDD13E26",1)</v>
      </c>
      <c r="L139" s="154"/>
      <c r="M139" s="154"/>
      <c r="N139" s="155" t="s">
        <v>764</v>
      </c>
      <c r="O139" s="154"/>
      <c r="P139" s="154"/>
    </row>
    <row r="140" ht="82.5" spans="1:16">
      <c r="A140" s="154">
        <v>138</v>
      </c>
      <c r="B140" s="155" t="s">
        <v>248</v>
      </c>
      <c r="C140" s="155" t="s">
        <v>248</v>
      </c>
      <c r="D140" s="154" t="s">
        <v>164</v>
      </c>
      <c r="E140" s="154"/>
      <c r="F140" s="202" t="s">
        <v>765</v>
      </c>
      <c r="G140" s="156">
        <v>44260</v>
      </c>
      <c r="H140" s="156">
        <v>47911</v>
      </c>
      <c r="I140" s="155" t="s">
        <v>766</v>
      </c>
      <c r="J140" s="155" t="s">
        <v>25</v>
      </c>
      <c r="K140" s="154" t="str">
        <f>_xlfn.DISPIMG("ID_28DEBE8453044D008BC6285AC28EA805",1)</f>
        <v>=DISPIMG("ID_28DEBE8453044D008BC6285AC28EA805",1)</v>
      </c>
      <c r="L140" s="154"/>
      <c r="M140" s="154"/>
      <c r="N140" s="155" t="s">
        <v>767</v>
      </c>
      <c r="O140" s="154"/>
      <c r="P140" s="154"/>
    </row>
    <row r="141" ht="82.5" spans="1:16">
      <c r="A141" s="154">
        <v>139</v>
      </c>
      <c r="B141" s="155" t="s">
        <v>248</v>
      </c>
      <c r="C141" s="155" t="s">
        <v>248</v>
      </c>
      <c r="D141" s="154" t="s">
        <v>164</v>
      </c>
      <c r="E141" s="154"/>
      <c r="F141" s="202" t="s">
        <v>768</v>
      </c>
      <c r="G141" s="156">
        <v>44260</v>
      </c>
      <c r="H141" s="156">
        <v>47911</v>
      </c>
      <c r="I141" s="155" t="s">
        <v>769</v>
      </c>
      <c r="J141" s="155" t="s">
        <v>25</v>
      </c>
      <c r="K141" s="154" t="str">
        <f>_xlfn.DISPIMG("ID_2AB4CAD3273A4F8DAFC67F715ACC70BD",1)</f>
        <v>=DISPIMG("ID_2AB4CAD3273A4F8DAFC67F715ACC70BD",1)</v>
      </c>
      <c r="L141" s="154"/>
      <c r="M141" s="154"/>
      <c r="N141" s="155" t="s">
        <v>770</v>
      </c>
      <c r="O141" s="154"/>
      <c r="P141" s="154"/>
    </row>
    <row r="142" ht="82.5" spans="1:16">
      <c r="A142" s="154">
        <v>140</v>
      </c>
      <c r="B142" s="155" t="s">
        <v>248</v>
      </c>
      <c r="C142" s="155" t="s">
        <v>248</v>
      </c>
      <c r="D142" s="154" t="s">
        <v>164</v>
      </c>
      <c r="E142" s="154"/>
      <c r="F142" s="202" t="s">
        <v>771</v>
      </c>
      <c r="G142" s="156">
        <v>44382</v>
      </c>
      <c r="H142" s="156">
        <v>48033</v>
      </c>
      <c r="I142" s="155" t="s">
        <v>772</v>
      </c>
      <c r="J142" s="155" t="s">
        <v>25</v>
      </c>
      <c r="K142" s="154" t="str">
        <f>_xlfn.DISPIMG("ID_7226103F40C4489EB47C600C56EF9147",1)</f>
        <v>=DISPIMG("ID_7226103F40C4489EB47C600C56EF9147",1)</v>
      </c>
      <c r="L142" s="154"/>
      <c r="M142" s="154"/>
      <c r="N142" s="154"/>
      <c r="O142" s="154" t="s">
        <v>773</v>
      </c>
      <c r="P142" s="156">
        <v>45096</v>
      </c>
    </row>
    <row r="143" ht="82.5" spans="1:16">
      <c r="A143" s="154">
        <v>141</v>
      </c>
      <c r="B143" s="155" t="s">
        <v>248</v>
      </c>
      <c r="C143" s="155" t="s">
        <v>248</v>
      </c>
      <c r="D143" s="154" t="s">
        <v>164</v>
      </c>
      <c r="E143" s="154"/>
      <c r="F143" s="202" t="s">
        <v>774</v>
      </c>
      <c r="G143" s="156">
        <v>44382</v>
      </c>
      <c r="H143" s="156">
        <v>48033</v>
      </c>
      <c r="I143" s="155" t="s">
        <v>775</v>
      </c>
      <c r="J143" s="155" t="s">
        <v>25</v>
      </c>
      <c r="K143" s="154" t="str">
        <f>_xlfn.DISPIMG("ID_91D14AA9FBEF400692CBB813BC71DBCB",1)</f>
        <v>=DISPIMG("ID_91D14AA9FBEF400692CBB813BC71DBCB",1)</v>
      </c>
      <c r="L143" s="154"/>
      <c r="M143" s="154"/>
      <c r="N143" s="154"/>
      <c r="O143" s="154" t="s">
        <v>776</v>
      </c>
      <c r="P143" s="156">
        <v>45096</v>
      </c>
    </row>
    <row r="144" ht="115.5" spans="1:16">
      <c r="A144" s="154">
        <v>142</v>
      </c>
      <c r="B144" s="155" t="s">
        <v>248</v>
      </c>
      <c r="C144" s="155" t="s">
        <v>248</v>
      </c>
      <c r="D144" s="154" t="s">
        <v>164</v>
      </c>
      <c r="E144" s="154"/>
      <c r="F144" s="202" t="s">
        <v>777</v>
      </c>
      <c r="G144" s="156">
        <v>44162</v>
      </c>
      <c r="H144" s="156">
        <v>47813</v>
      </c>
      <c r="I144" s="155" t="s">
        <v>778</v>
      </c>
      <c r="J144" s="155" t="s">
        <v>615</v>
      </c>
      <c r="K144" s="154" t="str">
        <f>_xlfn.DISPIMG("ID_969C6456A0744289B2D11C992536C892",1)</f>
        <v>=DISPIMG("ID_969C6456A0744289B2D11C992536C892",1)</v>
      </c>
      <c r="L144" s="154" t="str">
        <f>_xlfn.DISPIMG("ID_9EF82098ACC34EE4BC044E1773E66221",1)</f>
        <v>=DISPIMG("ID_9EF82098ACC34EE4BC044E1773E66221",1)</v>
      </c>
      <c r="M144" s="154"/>
      <c r="N144" s="155" t="s">
        <v>779</v>
      </c>
      <c r="O144" s="154" t="s">
        <v>780</v>
      </c>
      <c r="P144" s="156">
        <v>44104</v>
      </c>
    </row>
    <row r="145" ht="115.5" spans="1:16">
      <c r="A145" s="154">
        <v>143</v>
      </c>
      <c r="B145" s="155" t="s">
        <v>248</v>
      </c>
      <c r="C145" s="155" t="s">
        <v>248</v>
      </c>
      <c r="D145" s="154" t="s">
        <v>164</v>
      </c>
      <c r="E145" s="154"/>
      <c r="F145" s="202" t="s">
        <v>781</v>
      </c>
      <c r="G145" s="156">
        <v>44162</v>
      </c>
      <c r="H145" s="156">
        <v>47813</v>
      </c>
      <c r="I145" s="155" t="s">
        <v>782</v>
      </c>
      <c r="J145" s="155" t="s">
        <v>615</v>
      </c>
      <c r="K145" s="154" t="str">
        <f>_xlfn.DISPIMG("ID_97679381BC12480BB0DC1964B59185B4",1)</f>
        <v>=DISPIMG("ID_97679381BC12480BB0DC1964B59185B4",1)</v>
      </c>
      <c r="L145" s="154" t="str">
        <f>_xlfn.DISPIMG("ID_DD247A8205B24645B2D2577452931DCD",1)</f>
        <v>=DISPIMG("ID_DD247A8205B24645B2D2577452931DCD",1)</v>
      </c>
      <c r="M145" s="154"/>
      <c r="N145" s="155" t="s">
        <v>783</v>
      </c>
      <c r="O145" s="154" t="s">
        <v>784</v>
      </c>
      <c r="P145" s="156">
        <v>44104</v>
      </c>
    </row>
    <row r="146" ht="409.5" spans="1:16">
      <c r="A146" s="154">
        <v>144</v>
      </c>
      <c r="B146" s="155" t="s">
        <v>248</v>
      </c>
      <c r="C146" s="155" t="s">
        <v>248</v>
      </c>
      <c r="D146" s="154" t="s">
        <v>15</v>
      </c>
      <c r="E146" s="154" t="s">
        <v>785</v>
      </c>
      <c r="F146" s="202" t="s">
        <v>786</v>
      </c>
      <c r="G146" s="156">
        <v>44488</v>
      </c>
      <c r="H146" s="156">
        <v>48139</v>
      </c>
      <c r="I146" s="155" t="s">
        <v>787</v>
      </c>
      <c r="J146" s="155" t="s">
        <v>673</v>
      </c>
      <c r="K146" s="154" t="str">
        <f>_xlfn.DISPIMG("ID_7DA8294BA59D4F5F950D73D50A5CE3C2",1)</f>
        <v>=DISPIMG("ID_7DA8294BA59D4F5F950D73D50A5CE3C2",1)</v>
      </c>
      <c r="L146" s="154"/>
      <c r="M146" s="154"/>
      <c r="N146" s="154"/>
      <c r="O146" s="154" t="s">
        <v>776</v>
      </c>
      <c r="P146" s="156">
        <v>45096</v>
      </c>
    </row>
    <row r="147" ht="198" spans="1:16">
      <c r="A147" s="154">
        <v>145</v>
      </c>
      <c r="B147" s="155" t="s">
        <v>248</v>
      </c>
      <c r="C147" s="155" t="s">
        <v>248</v>
      </c>
      <c r="D147" s="154" t="s">
        <v>15</v>
      </c>
      <c r="E147" s="154" t="s">
        <v>788</v>
      </c>
      <c r="F147" s="206" t="s">
        <v>789</v>
      </c>
      <c r="G147" s="156">
        <v>44488</v>
      </c>
      <c r="H147" s="156">
        <v>48139</v>
      </c>
      <c r="I147" s="155" t="s">
        <v>790</v>
      </c>
      <c r="J147" s="155" t="s">
        <v>673</v>
      </c>
      <c r="K147" s="154" t="str">
        <f>_xlfn.DISPIMG("ID_DEF1FC98E3E14266A5FF8F6BF3A60737",1)</f>
        <v>=DISPIMG("ID_DEF1FC98E3E14266A5FF8F6BF3A60737",1)</v>
      </c>
      <c r="L147" s="154"/>
      <c r="M147" s="154"/>
      <c r="N147" s="154"/>
      <c r="O147" s="154"/>
      <c r="P147" s="154"/>
    </row>
    <row r="148" ht="181.5" spans="1:16">
      <c r="A148" s="154">
        <v>146</v>
      </c>
      <c r="B148" s="155" t="s">
        <v>248</v>
      </c>
      <c r="C148" s="155" t="s">
        <v>248</v>
      </c>
      <c r="D148" s="154" t="s">
        <v>15</v>
      </c>
      <c r="E148" s="154" t="s">
        <v>791</v>
      </c>
      <c r="F148" s="202" t="s">
        <v>792</v>
      </c>
      <c r="G148" s="156">
        <v>44572</v>
      </c>
      <c r="H148" s="156">
        <v>48223</v>
      </c>
      <c r="I148" s="155" t="s">
        <v>793</v>
      </c>
      <c r="J148" s="155" t="s">
        <v>673</v>
      </c>
      <c r="K148" s="154" t="str">
        <f>_xlfn.DISPIMG("ID_2628E4C438CA44E6AD32BAC3D58490AF",1)</f>
        <v>=DISPIMG("ID_2628E4C438CA44E6AD32BAC3D58490AF",1)</v>
      </c>
      <c r="L148" s="154"/>
      <c r="M148" s="154"/>
      <c r="N148" s="154"/>
      <c r="O148" s="154" t="s">
        <v>794</v>
      </c>
      <c r="P148" s="156">
        <v>45096</v>
      </c>
    </row>
    <row r="149" ht="82.5" spans="1:16">
      <c r="A149" s="154">
        <v>147</v>
      </c>
      <c r="B149" s="155" t="s">
        <v>248</v>
      </c>
      <c r="C149" s="155" t="s">
        <v>248</v>
      </c>
      <c r="D149" s="154" t="s">
        <v>15</v>
      </c>
      <c r="E149" s="154" t="s">
        <v>345</v>
      </c>
      <c r="F149" s="202" t="s">
        <v>795</v>
      </c>
      <c r="G149" s="156">
        <v>44153</v>
      </c>
      <c r="H149" s="156">
        <v>47804</v>
      </c>
      <c r="I149" s="155" t="s">
        <v>796</v>
      </c>
      <c r="J149" s="155" t="s">
        <v>25</v>
      </c>
      <c r="K149" s="154" t="str">
        <f>_xlfn.DISPIMG("ID_A7B5CB3C46FD44529034F69367F003FD",1)</f>
        <v>=DISPIMG("ID_A7B5CB3C46FD44529034F69367F003FD",1)</v>
      </c>
      <c r="L149" s="154"/>
      <c r="M149" s="154"/>
      <c r="N149" s="154"/>
      <c r="O149" s="154" t="s">
        <v>612</v>
      </c>
      <c r="P149" s="154"/>
    </row>
    <row r="150" ht="82.5" spans="1:16">
      <c r="A150" s="154">
        <v>148</v>
      </c>
      <c r="B150" s="155" t="s">
        <v>248</v>
      </c>
      <c r="C150" s="155" t="s">
        <v>248</v>
      </c>
      <c r="D150" s="154" t="s">
        <v>15</v>
      </c>
      <c r="E150" s="154" t="s">
        <v>351</v>
      </c>
      <c r="F150" s="202" t="s">
        <v>797</v>
      </c>
      <c r="G150" s="156">
        <v>44153</v>
      </c>
      <c r="H150" s="156">
        <v>47804</v>
      </c>
      <c r="I150" s="155" t="s">
        <v>798</v>
      </c>
      <c r="J150" s="155" t="s">
        <v>25</v>
      </c>
      <c r="K150" s="154" t="str">
        <f>_xlfn.DISPIMG("ID_5510B2D6AE314F6F9C8BB2DED71D1141",1)</f>
        <v>=DISPIMG("ID_5510B2D6AE314F6F9C8BB2DED71D1141",1)</v>
      </c>
      <c r="L150" s="154"/>
      <c r="M150" s="154"/>
      <c r="N150" s="154"/>
      <c r="O150" s="154" t="s">
        <v>612</v>
      </c>
      <c r="P150" s="154"/>
    </row>
    <row r="151" ht="82.5" spans="1:16">
      <c r="A151" s="154">
        <v>149</v>
      </c>
      <c r="B151" s="155" t="s">
        <v>248</v>
      </c>
      <c r="C151" s="155" t="s">
        <v>248</v>
      </c>
      <c r="D151" s="154" t="s">
        <v>15</v>
      </c>
      <c r="E151" s="154" t="s">
        <v>373</v>
      </c>
      <c r="F151" s="202" t="s">
        <v>799</v>
      </c>
      <c r="G151" s="156">
        <v>44153</v>
      </c>
      <c r="H151" s="156">
        <v>47804</v>
      </c>
      <c r="I151" s="155" t="s">
        <v>800</v>
      </c>
      <c r="J151" s="155" t="s">
        <v>25</v>
      </c>
      <c r="K151" s="154" t="str">
        <f>_xlfn.DISPIMG("ID_C8F581C54AF24859B5DD039066ACA73E",1)</f>
        <v>=DISPIMG("ID_C8F581C54AF24859B5DD039066ACA73E",1)</v>
      </c>
      <c r="L151" s="154"/>
      <c r="M151" s="154"/>
      <c r="N151" s="154"/>
      <c r="O151" s="154" t="s">
        <v>801</v>
      </c>
      <c r="P151" s="156">
        <v>45192</v>
      </c>
    </row>
    <row r="152" ht="82.5" spans="1:16">
      <c r="A152" s="154">
        <v>150</v>
      </c>
      <c r="B152" s="155" t="s">
        <v>248</v>
      </c>
      <c r="C152" s="155" t="s">
        <v>248</v>
      </c>
      <c r="D152" s="154" t="s">
        <v>15</v>
      </c>
      <c r="E152" s="154" t="s">
        <v>357</v>
      </c>
      <c r="F152" s="202" t="s">
        <v>802</v>
      </c>
      <c r="G152" s="156">
        <v>44153</v>
      </c>
      <c r="H152" s="156">
        <v>47804</v>
      </c>
      <c r="I152" s="155" t="s">
        <v>803</v>
      </c>
      <c r="J152" s="155" t="s">
        <v>25</v>
      </c>
      <c r="K152" s="154" t="str">
        <f>_xlfn.DISPIMG("ID_BCDA4BA3EE7F47F0A71BA80FBEEF2E04",1)</f>
        <v>=DISPIMG("ID_BCDA4BA3EE7F47F0A71BA80FBEEF2E04",1)</v>
      </c>
      <c r="L152" s="154"/>
      <c r="M152" s="154"/>
      <c r="N152" s="154"/>
      <c r="O152" s="154" t="s">
        <v>804</v>
      </c>
      <c r="P152" s="156">
        <v>45192</v>
      </c>
    </row>
    <row r="153" ht="82.5" spans="1:16">
      <c r="A153" s="154">
        <v>151</v>
      </c>
      <c r="B153" s="155" t="s">
        <v>248</v>
      </c>
      <c r="C153" s="155" t="s">
        <v>248</v>
      </c>
      <c r="D153" s="154" t="s">
        <v>15</v>
      </c>
      <c r="E153" s="154" t="s">
        <v>340</v>
      </c>
      <c r="F153" s="202" t="s">
        <v>805</v>
      </c>
      <c r="G153" s="156">
        <v>44153</v>
      </c>
      <c r="H153" s="156">
        <v>47804</v>
      </c>
      <c r="I153" s="155" t="s">
        <v>342</v>
      </c>
      <c r="J153" s="155" t="s">
        <v>25</v>
      </c>
      <c r="K153" s="154" t="str">
        <f>_xlfn.DISPIMG("ID_7CDCB34F2AFE402180D83BF97294E397",1)</f>
        <v>=DISPIMG("ID_7CDCB34F2AFE402180D83BF97294E397",1)</v>
      </c>
      <c r="L153" s="154"/>
      <c r="M153" s="154"/>
      <c r="N153" s="154"/>
      <c r="O153" s="154"/>
      <c r="P153" s="154"/>
    </row>
  </sheetData>
  <autoFilter xmlns:etc="http://www.wps.cn/officeDocument/2017/etCustomData" ref="A1:P153" etc:filterBottomFollowUsedRange="0">
    <extLst/>
  </autoFilter>
  <mergeCells count="1">
    <mergeCell ref="A1:P1"/>
  </mergeCells>
  <dataValidations count="1">
    <dataValidation type="list" allowBlank="1" showInputMessage="1" showErrorMessage="1" sqref="D$1:D$1048576">
      <formula1>Sheet2!$B$8:$B$10</formula1>
    </dataValidation>
  </dataValidation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6"/>
  <sheetViews>
    <sheetView zoomScale="80" zoomScaleNormal="80" workbookViewId="0">
      <pane xSplit="1" ySplit="1" topLeftCell="B2" activePane="bottomRight" state="frozen"/>
      <selection/>
      <selection pane="topRight"/>
      <selection pane="bottomLeft"/>
      <selection pane="bottomRight" activeCell="A53" sqref="A53"/>
    </sheetView>
  </sheetViews>
  <sheetFormatPr defaultColWidth="9" defaultRowHeight="14.5"/>
  <cols>
    <col min="1" max="1" width="21.2545454545455" style="128" customWidth="1"/>
    <col min="2" max="3" width="16" style="129" customWidth="1"/>
    <col min="4" max="5" width="18.1272727272727" style="129" customWidth="1"/>
    <col min="6" max="6" width="18.5" style="129" customWidth="1"/>
    <col min="7" max="7" width="28.6272727272727" style="129" customWidth="1"/>
    <col min="8" max="8" width="9.75454545454545" style="129" customWidth="1"/>
    <col min="9" max="9" width="56.2545454545455" style="129" customWidth="1"/>
    <col min="10" max="10" width="20.7363636363636" style="129" customWidth="1"/>
    <col min="11" max="11" width="20.3727272727273" style="129" customWidth="1"/>
    <col min="12" max="12" width="19.5" style="129" customWidth="1"/>
    <col min="13" max="13" width="19.5363636363636" style="129" customWidth="1"/>
    <col min="14" max="14" width="15.1272727272727" style="129" customWidth="1"/>
    <col min="15" max="16384" width="9" style="129"/>
  </cols>
  <sheetData>
    <row r="1" s="127" customFormat="1" ht="27" customHeight="1" spans="1:15">
      <c r="A1" s="130" t="s">
        <v>228</v>
      </c>
      <c r="B1" s="131" t="s">
        <v>806</v>
      </c>
      <c r="C1" s="132" t="s">
        <v>237</v>
      </c>
      <c r="D1" s="132" t="s">
        <v>807</v>
      </c>
      <c r="E1" s="132" t="s">
        <v>808</v>
      </c>
      <c r="F1" s="132" t="s">
        <v>809</v>
      </c>
      <c r="G1" s="132" t="s">
        <v>810</v>
      </c>
      <c r="H1" s="132" t="s">
        <v>811</v>
      </c>
      <c r="I1" s="131" t="s">
        <v>812</v>
      </c>
      <c r="J1" s="131" t="s">
        <v>813</v>
      </c>
      <c r="K1" s="131" t="s">
        <v>11</v>
      </c>
      <c r="L1" s="131" t="s">
        <v>12</v>
      </c>
      <c r="M1" s="131" t="s">
        <v>814</v>
      </c>
      <c r="N1" s="131" t="s">
        <v>815</v>
      </c>
      <c r="O1" s="131" t="s">
        <v>816</v>
      </c>
    </row>
    <row r="2" ht="101.5" spans="1:15">
      <c r="A2" s="133" t="s">
        <v>788</v>
      </c>
      <c r="B2" s="134">
        <v>44461</v>
      </c>
      <c r="C2" s="134">
        <v>46286</v>
      </c>
      <c r="D2" s="135" t="s">
        <v>817</v>
      </c>
      <c r="E2" s="135" t="s">
        <v>673</v>
      </c>
      <c r="F2" s="135" t="s">
        <v>818</v>
      </c>
      <c r="G2" s="135" t="s">
        <v>819</v>
      </c>
      <c r="H2" s="136" t="s">
        <v>820</v>
      </c>
      <c r="I2" s="142" t="s">
        <v>790</v>
      </c>
      <c r="J2" s="142" t="s">
        <v>821</v>
      </c>
      <c r="K2" s="143" t="s">
        <v>822</v>
      </c>
      <c r="L2" s="144" t="s">
        <v>823</v>
      </c>
      <c r="M2" s="145"/>
      <c r="N2" s="145"/>
      <c r="O2" s="145"/>
    </row>
    <row r="3" ht="145" spans="1:15">
      <c r="A3" s="133" t="s">
        <v>791</v>
      </c>
      <c r="B3" s="134">
        <v>44571</v>
      </c>
      <c r="C3" s="134">
        <v>46397</v>
      </c>
      <c r="D3" s="135" t="s">
        <v>817</v>
      </c>
      <c r="E3" s="135" t="s">
        <v>673</v>
      </c>
      <c r="F3" s="135" t="s">
        <v>824</v>
      </c>
      <c r="G3" s="135" t="s">
        <v>819</v>
      </c>
      <c r="H3" s="136" t="s">
        <v>820</v>
      </c>
      <c r="I3" s="142" t="s">
        <v>793</v>
      </c>
      <c r="J3" s="142" t="s">
        <v>825</v>
      </c>
      <c r="K3" s="143" t="s">
        <v>826</v>
      </c>
      <c r="L3" s="144" t="s">
        <v>827</v>
      </c>
      <c r="M3" s="145"/>
      <c r="N3" s="145"/>
      <c r="O3" s="145"/>
    </row>
    <row r="4" ht="188.5" spans="1:15">
      <c r="A4" s="133" t="s">
        <v>428</v>
      </c>
      <c r="B4" s="134">
        <v>44582</v>
      </c>
      <c r="C4" s="134">
        <v>46407</v>
      </c>
      <c r="D4" s="135" t="s">
        <v>828</v>
      </c>
      <c r="E4" s="135" t="s">
        <v>316</v>
      </c>
      <c r="F4" s="135" t="s">
        <v>829</v>
      </c>
      <c r="G4" s="135" t="s">
        <v>819</v>
      </c>
      <c r="H4" s="136" t="s">
        <v>820</v>
      </c>
      <c r="I4" s="142" t="s">
        <v>830</v>
      </c>
      <c r="J4" s="142" t="s">
        <v>831</v>
      </c>
      <c r="K4" s="144" t="s">
        <v>832</v>
      </c>
      <c r="L4" s="144" t="s">
        <v>833</v>
      </c>
      <c r="M4" s="145"/>
      <c r="N4" s="145"/>
      <c r="O4" s="145"/>
    </row>
    <row r="5" ht="101.5" spans="1:15">
      <c r="A5" s="133" t="s">
        <v>446</v>
      </c>
      <c r="B5" s="134">
        <v>44582</v>
      </c>
      <c r="C5" s="134">
        <v>46407</v>
      </c>
      <c r="D5" s="135" t="s">
        <v>828</v>
      </c>
      <c r="E5" s="135" t="s">
        <v>316</v>
      </c>
      <c r="F5" s="135" t="s">
        <v>834</v>
      </c>
      <c r="G5" s="135" t="s">
        <v>819</v>
      </c>
      <c r="H5" s="136" t="s">
        <v>835</v>
      </c>
      <c r="I5" s="142" t="s">
        <v>448</v>
      </c>
      <c r="J5" s="142" t="s">
        <v>836</v>
      </c>
      <c r="K5" s="144" t="s">
        <v>832</v>
      </c>
      <c r="L5" s="145"/>
      <c r="M5" s="145"/>
      <c r="N5" s="145"/>
      <c r="O5" s="145"/>
    </row>
    <row r="6" ht="43.5" spans="1:15">
      <c r="A6" s="133" t="s">
        <v>443</v>
      </c>
      <c r="B6" s="134">
        <v>44582</v>
      </c>
      <c r="C6" s="134">
        <v>46407</v>
      </c>
      <c r="D6" s="135" t="s">
        <v>828</v>
      </c>
      <c r="E6" s="135" t="s">
        <v>316</v>
      </c>
      <c r="F6" s="135" t="s">
        <v>829</v>
      </c>
      <c r="G6" s="135" t="s">
        <v>819</v>
      </c>
      <c r="H6" s="136" t="s">
        <v>835</v>
      </c>
      <c r="I6" s="136" t="s">
        <v>445</v>
      </c>
      <c r="J6" s="142" t="s">
        <v>837</v>
      </c>
      <c r="K6" s="144" t="s">
        <v>832</v>
      </c>
      <c r="L6" s="145"/>
      <c r="M6" s="145"/>
      <c r="N6" s="145"/>
      <c r="O6" s="145"/>
    </row>
    <row r="7" ht="87" spans="1:15">
      <c r="A7" s="133" t="s">
        <v>440</v>
      </c>
      <c r="B7" s="134">
        <v>44582</v>
      </c>
      <c r="C7" s="134">
        <v>46407</v>
      </c>
      <c r="D7" s="135" t="s">
        <v>828</v>
      </c>
      <c r="E7" s="135" t="s">
        <v>316</v>
      </c>
      <c r="F7" s="135" t="s">
        <v>829</v>
      </c>
      <c r="G7" s="135" t="s">
        <v>819</v>
      </c>
      <c r="H7" s="136" t="s">
        <v>835</v>
      </c>
      <c r="I7" s="136" t="s">
        <v>442</v>
      </c>
      <c r="J7" s="142" t="s">
        <v>838</v>
      </c>
      <c r="K7" s="144" t="s">
        <v>832</v>
      </c>
      <c r="L7" s="145"/>
      <c r="M7" s="145"/>
      <c r="N7" s="145"/>
      <c r="O7" s="145"/>
    </row>
    <row r="8" ht="43.5" spans="1:15">
      <c r="A8" s="133" t="s">
        <v>839</v>
      </c>
      <c r="B8" s="134">
        <v>44582</v>
      </c>
      <c r="C8" s="134">
        <v>46407</v>
      </c>
      <c r="D8" s="135" t="s">
        <v>828</v>
      </c>
      <c r="E8" s="135" t="s">
        <v>316</v>
      </c>
      <c r="F8" s="135" t="s">
        <v>829</v>
      </c>
      <c r="G8" s="135" t="s">
        <v>819</v>
      </c>
      <c r="H8" s="136" t="s">
        <v>835</v>
      </c>
      <c r="I8" s="136" t="s">
        <v>439</v>
      </c>
      <c r="J8" s="142" t="s">
        <v>840</v>
      </c>
      <c r="K8" s="144" t="s">
        <v>832</v>
      </c>
      <c r="L8" s="145"/>
      <c r="M8" s="145"/>
      <c r="N8" s="145"/>
      <c r="O8" s="145"/>
    </row>
    <row r="9" ht="43.5" spans="1:15">
      <c r="A9" s="133" t="s">
        <v>434</v>
      </c>
      <c r="B9" s="134">
        <v>44582</v>
      </c>
      <c r="C9" s="134">
        <v>46407</v>
      </c>
      <c r="D9" s="135" t="s">
        <v>828</v>
      </c>
      <c r="E9" s="135" t="s">
        <v>316</v>
      </c>
      <c r="F9" s="135" t="s">
        <v>829</v>
      </c>
      <c r="G9" s="135" t="s">
        <v>819</v>
      </c>
      <c r="H9" s="136" t="s">
        <v>835</v>
      </c>
      <c r="I9" s="136" t="s">
        <v>436</v>
      </c>
      <c r="J9" s="142" t="s">
        <v>841</v>
      </c>
      <c r="K9" s="144" t="s">
        <v>832</v>
      </c>
      <c r="L9" s="145"/>
      <c r="M9" s="145"/>
      <c r="N9" s="145"/>
      <c r="O9" s="145"/>
    </row>
    <row r="10" ht="43.5" spans="1:15">
      <c r="A10" s="133" t="s">
        <v>431</v>
      </c>
      <c r="B10" s="134">
        <v>44582</v>
      </c>
      <c r="C10" s="134">
        <v>46407</v>
      </c>
      <c r="D10" s="135" t="s">
        <v>828</v>
      </c>
      <c r="E10" s="135" t="s">
        <v>316</v>
      </c>
      <c r="F10" s="135" t="s">
        <v>829</v>
      </c>
      <c r="G10" s="135" t="s">
        <v>819</v>
      </c>
      <c r="H10" s="136" t="s">
        <v>835</v>
      </c>
      <c r="I10" s="136" t="s">
        <v>433</v>
      </c>
      <c r="J10" s="142" t="s">
        <v>842</v>
      </c>
      <c r="K10" s="144" t="s">
        <v>832</v>
      </c>
      <c r="L10" s="145"/>
      <c r="M10" s="145"/>
      <c r="N10" s="145"/>
      <c r="O10" s="145"/>
    </row>
    <row r="11" ht="406" spans="1:15">
      <c r="A11" s="133" t="s">
        <v>785</v>
      </c>
      <c r="B11" s="137">
        <v>44461</v>
      </c>
      <c r="C11" s="137">
        <v>46286</v>
      </c>
      <c r="D11" s="135" t="s">
        <v>817</v>
      </c>
      <c r="E11" s="135" t="s">
        <v>673</v>
      </c>
      <c r="F11" s="135" t="s">
        <v>843</v>
      </c>
      <c r="G11" s="135" t="s">
        <v>819</v>
      </c>
      <c r="H11" s="136" t="s">
        <v>844</v>
      </c>
      <c r="I11" s="142" t="s">
        <v>787</v>
      </c>
      <c r="J11" s="142" t="s">
        <v>845</v>
      </c>
      <c r="K11" s="142" t="s">
        <v>846</v>
      </c>
      <c r="L11" s="144" t="s">
        <v>847</v>
      </c>
      <c r="M11" s="144" t="s">
        <v>848</v>
      </c>
      <c r="N11" s="145"/>
      <c r="O11" s="145"/>
    </row>
    <row r="12" ht="58" spans="1:15">
      <c r="A12" s="133" t="s">
        <v>669</v>
      </c>
      <c r="B12" s="134">
        <v>44805</v>
      </c>
      <c r="C12" s="134">
        <v>46630</v>
      </c>
      <c r="D12" s="135" t="s">
        <v>817</v>
      </c>
      <c r="E12" s="135" t="s">
        <v>673</v>
      </c>
      <c r="F12" s="135" t="s">
        <v>849</v>
      </c>
      <c r="G12" s="135" t="s">
        <v>850</v>
      </c>
      <c r="H12" s="135" t="s">
        <v>851</v>
      </c>
      <c r="I12" s="142" t="s">
        <v>672</v>
      </c>
      <c r="J12" s="142"/>
      <c r="K12" s="144" t="s">
        <v>852</v>
      </c>
      <c r="M12" s="145"/>
      <c r="N12" s="145"/>
      <c r="O12" s="145"/>
    </row>
    <row r="13" ht="87" spans="1:15">
      <c r="A13" s="133" t="s">
        <v>674</v>
      </c>
      <c r="B13" s="134">
        <v>44805</v>
      </c>
      <c r="C13" s="134">
        <v>46630</v>
      </c>
      <c r="D13" s="135" t="s">
        <v>817</v>
      </c>
      <c r="E13" s="135" t="s">
        <v>673</v>
      </c>
      <c r="F13" s="135" t="s">
        <v>853</v>
      </c>
      <c r="G13" s="135" t="s">
        <v>850</v>
      </c>
      <c r="H13" s="135" t="s">
        <v>835</v>
      </c>
      <c r="I13" s="142" t="s">
        <v>676</v>
      </c>
      <c r="J13" s="142" t="s">
        <v>854</v>
      </c>
      <c r="K13" s="144" t="s">
        <v>852</v>
      </c>
      <c r="L13" s="144" t="s">
        <v>855</v>
      </c>
      <c r="M13" s="145"/>
      <c r="N13" s="145"/>
      <c r="O13" s="145"/>
    </row>
    <row r="14" ht="116" spans="1:15">
      <c r="A14" s="133" t="s">
        <v>677</v>
      </c>
      <c r="B14" s="134">
        <v>44805</v>
      </c>
      <c r="C14" s="134">
        <v>46630</v>
      </c>
      <c r="D14" s="135" t="s">
        <v>817</v>
      </c>
      <c r="E14" s="135" t="s">
        <v>673</v>
      </c>
      <c r="F14" s="135" t="s">
        <v>856</v>
      </c>
      <c r="G14" s="135" t="s">
        <v>850</v>
      </c>
      <c r="H14" s="135" t="s">
        <v>835</v>
      </c>
      <c r="I14" s="142" t="s">
        <v>679</v>
      </c>
      <c r="J14" s="142"/>
      <c r="K14" s="144" t="s">
        <v>852</v>
      </c>
      <c r="L14" s="144" t="s">
        <v>857</v>
      </c>
      <c r="M14" s="145"/>
      <c r="N14" s="145"/>
      <c r="O14" s="145"/>
    </row>
    <row r="15" ht="217.5" spans="1:15">
      <c r="A15" s="133" t="s">
        <v>680</v>
      </c>
      <c r="B15" s="134">
        <v>44805</v>
      </c>
      <c r="C15" s="134">
        <v>46630</v>
      </c>
      <c r="D15" s="135" t="s">
        <v>817</v>
      </c>
      <c r="E15" s="135" t="s">
        <v>673</v>
      </c>
      <c r="F15" s="135" t="s">
        <v>856</v>
      </c>
      <c r="G15" s="135" t="s">
        <v>850</v>
      </c>
      <c r="H15" s="135" t="s">
        <v>835</v>
      </c>
      <c r="I15" s="142" t="s">
        <v>858</v>
      </c>
      <c r="J15" s="142"/>
      <c r="K15" s="144" t="s">
        <v>852</v>
      </c>
      <c r="L15" s="144" t="s">
        <v>859</v>
      </c>
      <c r="M15" s="145"/>
      <c r="N15" s="145"/>
      <c r="O15" s="145"/>
    </row>
    <row r="16" ht="217.5" spans="1:15">
      <c r="A16" s="133" t="s">
        <v>722</v>
      </c>
      <c r="B16" s="138">
        <v>44553</v>
      </c>
      <c r="C16" s="138">
        <v>46378</v>
      </c>
      <c r="D16" s="135" t="s">
        <v>817</v>
      </c>
      <c r="E16" s="135" t="s">
        <v>673</v>
      </c>
      <c r="F16" s="135" t="s">
        <v>860</v>
      </c>
      <c r="G16" s="135" t="s">
        <v>850</v>
      </c>
      <c r="H16" s="135" t="s">
        <v>844</v>
      </c>
      <c r="I16" s="142" t="s">
        <v>724</v>
      </c>
      <c r="J16" s="142" t="s">
        <v>861</v>
      </c>
      <c r="K16" s="144" t="s">
        <v>862</v>
      </c>
      <c r="L16" s="144" t="s">
        <v>863</v>
      </c>
      <c r="M16" s="144" t="s">
        <v>864</v>
      </c>
      <c r="N16" s="144" t="s">
        <v>865</v>
      </c>
      <c r="O16" s="145"/>
    </row>
    <row r="17" ht="145" spans="1:15">
      <c r="A17" s="133" t="s">
        <v>719</v>
      </c>
      <c r="B17" s="138">
        <v>44566</v>
      </c>
      <c r="C17" s="138">
        <v>46391</v>
      </c>
      <c r="D17" s="135" t="s">
        <v>817</v>
      </c>
      <c r="E17" s="135" t="s">
        <v>673</v>
      </c>
      <c r="F17" s="135" t="s">
        <v>860</v>
      </c>
      <c r="G17" s="135" t="s">
        <v>850</v>
      </c>
      <c r="H17" s="135" t="s">
        <v>844</v>
      </c>
      <c r="I17" s="142" t="s">
        <v>721</v>
      </c>
      <c r="J17" s="142" t="s">
        <v>866</v>
      </c>
      <c r="K17" s="144" t="s">
        <v>867</v>
      </c>
      <c r="L17" s="144" t="s">
        <v>868</v>
      </c>
      <c r="M17" s="144" t="s">
        <v>869</v>
      </c>
      <c r="N17" s="144" t="s">
        <v>870</v>
      </c>
      <c r="O17" s="145"/>
    </row>
    <row r="18" ht="58" spans="1:15">
      <c r="A18" s="133" t="s">
        <v>716</v>
      </c>
      <c r="B18" s="138">
        <v>44642</v>
      </c>
      <c r="C18" s="138">
        <v>46467</v>
      </c>
      <c r="D18" s="135" t="s">
        <v>817</v>
      </c>
      <c r="E18" s="135" t="s">
        <v>702</v>
      </c>
      <c r="F18" s="135" t="s">
        <v>871</v>
      </c>
      <c r="G18" s="135" t="s">
        <v>850</v>
      </c>
      <c r="H18" s="135" t="s">
        <v>835</v>
      </c>
      <c r="I18" s="142" t="s">
        <v>718</v>
      </c>
      <c r="J18" s="142"/>
      <c r="K18" s="142" t="s">
        <v>872</v>
      </c>
      <c r="L18" s="145"/>
      <c r="M18" s="145"/>
      <c r="N18" s="145"/>
      <c r="O18" s="145"/>
    </row>
    <row r="19" ht="72.5" spans="1:15">
      <c r="A19" s="133" t="s">
        <v>699</v>
      </c>
      <c r="B19" s="138">
        <v>44524</v>
      </c>
      <c r="C19" s="139">
        <v>46349</v>
      </c>
      <c r="D19" s="135" t="s">
        <v>817</v>
      </c>
      <c r="E19" s="135" t="s">
        <v>702</v>
      </c>
      <c r="F19" s="135" t="s">
        <v>871</v>
      </c>
      <c r="G19" s="135" t="s">
        <v>850</v>
      </c>
      <c r="H19" s="135" t="s">
        <v>835</v>
      </c>
      <c r="I19" s="135" t="s">
        <v>873</v>
      </c>
      <c r="J19" s="135"/>
      <c r="K19" s="142" t="s">
        <v>872</v>
      </c>
      <c r="L19" s="145"/>
      <c r="M19" s="145"/>
      <c r="N19" s="145"/>
      <c r="O19" s="145"/>
    </row>
    <row r="20" ht="58" spans="1:15">
      <c r="A20" s="133" t="s">
        <v>705</v>
      </c>
      <c r="B20" s="137">
        <v>44393</v>
      </c>
      <c r="C20" s="137">
        <v>46218</v>
      </c>
      <c r="D20" s="135" t="s">
        <v>817</v>
      </c>
      <c r="E20" s="135" t="s">
        <v>702</v>
      </c>
      <c r="F20" s="135" t="s">
        <v>871</v>
      </c>
      <c r="G20" s="135" t="s">
        <v>850</v>
      </c>
      <c r="H20" s="135" t="s">
        <v>835</v>
      </c>
      <c r="I20" s="136" t="s">
        <v>707</v>
      </c>
      <c r="J20" s="142" t="s">
        <v>874</v>
      </c>
      <c r="K20" s="142" t="s">
        <v>872</v>
      </c>
      <c r="L20" s="145"/>
      <c r="M20" s="145"/>
      <c r="N20" s="145"/>
      <c r="O20" s="145"/>
    </row>
    <row r="21" ht="58" spans="1:15">
      <c r="A21" s="133" t="s">
        <v>709</v>
      </c>
      <c r="B21" s="137">
        <v>44393</v>
      </c>
      <c r="C21" s="137">
        <v>46218</v>
      </c>
      <c r="D21" s="135" t="s">
        <v>817</v>
      </c>
      <c r="E21" s="135" t="s">
        <v>702</v>
      </c>
      <c r="F21" s="135" t="s">
        <v>871</v>
      </c>
      <c r="G21" s="135" t="s">
        <v>850</v>
      </c>
      <c r="H21" s="135" t="s">
        <v>835</v>
      </c>
      <c r="I21" s="135" t="s">
        <v>711</v>
      </c>
      <c r="J21" s="135" t="s">
        <v>875</v>
      </c>
      <c r="K21" s="142" t="s">
        <v>872</v>
      </c>
      <c r="L21" s="145"/>
      <c r="M21" s="145"/>
      <c r="N21" s="145"/>
      <c r="O21" s="145"/>
    </row>
    <row r="22" ht="72.5" spans="1:15">
      <c r="A22" s="133" t="s">
        <v>876</v>
      </c>
      <c r="B22" s="137">
        <v>44383</v>
      </c>
      <c r="C22" s="137">
        <v>46208</v>
      </c>
      <c r="D22" s="135" t="s">
        <v>877</v>
      </c>
      <c r="E22" s="135" t="s">
        <v>878</v>
      </c>
      <c r="F22" s="135" t="s">
        <v>871</v>
      </c>
      <c r="G22" s="135" t="s">
        <v>850</v>
      </c>
      <c r="H22" s="135" t="s">
        <v>835</v>
      </c>
      <c r="I22" s="142" t="s">
        <v>879</v>
      </c>
      <c r="J22" s="142"/>
      <c r="K22" s="142" t="s">
        <v>872</v>
      </c>
      <c r="L22" s="145"/>
      <c r="M22" s="145"/>
      <c r="N22" s="145"/>
      <c r="O22" s="145"/>
    </row>
    <row r="23" ht="58" spans="1:15">
      <c r="A23" s="133" t="s">
        <v>713</v>
      </c>
      <c r="B23" s="137">
        <v>44193</v>
      </c>
      <c r="C23" s="137">
        <v>46018</v>
      </c>
      <c r="D23" s="135" t="s">
        <v>817</v>
      </c>
      <c r="E23" s="133" t="s">
        <v>702</v>
      </c>
      <c r="F23" s="135" t="s">
        <v>871</v>
      </c>
      <c r="G23" s="135" t="s">
        <v>850</v>
      </c>
      <c r="H23" s="135" t="s">
        <v>835</v>
      </c>
      <c r="I23" s="142" t="s">
        <v>715</v>
      </c>
      <c r="J23" s="142" t="s">
        <v>880</v>
      </c>
      <c r="K23" s="142" t="s">
        <v>872</v>
      </c>
      <c r="L23" s="145"/>
      <c r="M23" s="145"/>
      <c r="N23" s="145"/>
      <c r="O23" s="145"/>
    </row>
    <row r="24" ht="188.5" spans="1:15">
      <c r="A24" s="133" t="s">
        <v>586</v>
      </c>
      <c r="B24" s="137">
        <v>44134</v>
      </c>
      <c r="C24" s="137">
        <v>45959</v>
      </c>
      <c r="D24" s="135" t="s">
        <v>828</v>
      </c>
      <c r="E24" s="135" t="s">
        <v>316</v>
      </c>
      <c r="F24" s="135" t="s">
        <v>871</v>
      </c>
      <c r="G24" s="135" t="s">
        <v>850</v>
      </c>
      <c r="H24" s="135" t="s">
        <v>820</v>
      </c>
      <c r="I24" s="142" t="s">
        <v>522</v>
      </c>
      <c r="J24" s="142" t="s">
        <v>831</v>
      </c>
      <c r="K24" s="142" t="s">
        <v>872</v>
      </c>
      <c r="L24" s="144" t="s">
        <v>881</v>
      </c>
      <c r="M24" s="145"/>
      <c r="N24" s="145"/>
      <c r="O24" s="145"/>
    </row>
    <row r="25" ht="58" spans="1:15">
      <c r="A25" s="133" t="s">
        <v>596</v>
      </c>
      <c r="B25" s="137">
        <v>44134</v>
      </c>
      <c r="C25" s="137">
        <v>45959</v>
      </c>
      <c r="D25" s="135" t="s">
        <v>828</v>
      </c>
      <c r="E25" s="135" t="s">
        <v>316</v>
      </c>
      <c r="F25" s="135" t="s">
        <v>871</v>
      </c>
      <c r="G25" s="135" t="s">
        <v>850</v>
      </c>
      <c r="H25" s="135" t="s">
        <v>820</v>
      </c>
      <c r="I25" s="136" t="s">
        <v>528</v>
      </c>
      <c r="J25" s="142" t="s">
        <v>837</v>
      </c>
      <c r="K25" s="142" t="s">
        <v>872</v>
      </c>
      <c r="L25" s="144" t="s">
        <v>881</v>
      </c>
      <c r="M25" s="145"/>
      <c r="N25" s="145"/>
      <c r="O25" s="145"/>
    </row>
    <row r="26" ht="58" spans="1:15">
      <c r="A26" s="133" t="s">
        <v>539</v>
      </c>
      <c r="B26" s="137">
        <v>44134</v>
      </c>
      <c r="C26" s="137">
        <v>45959</v>
      </c>
      <c r="D26" s="135" t="s">
        <v>828</v>
      </c>
      <c r="E26" s="135" t="s">
        <v>316</v>
      </c>
      <c r="F26" s="135" t="s">
        <v>882</v>
      </c>
      <c r="G26" s="135" t="s">
        <v>850</v>
      </c>
      <c r="H26" s="135" t="s">
        <v>820</v>
      </c>
      <c r="I26" s="142" t="s">
        <v>526</v>
      </c>
      <c r="J26" s="142" t="s">
        <v>883</v>
      </c>
      <c r="K26" s="142" t="s">
        <v>872</v>
      </c>
      <c r="L26" s="144" t="s">
        <v>884</v>
      </c>
      <c r="M26" s="145"/>
      <c r="N26" s="145"/>
      <c r="O26" s="145"/>
    </row>
    <row r="27" ht="58" spans="1:15">
      <c r="A27" s="133" t="s">
        <v>885</v>
      </c>
      <c r="B27" s="137">
        <v>44134</v>
      </c>
      <c r="C27" s="137">
        <v>45959</v>
      </c>
      <c r="D27" s="135" t="s">
        <v>828</v>
      </c>
      <c r="E27" s="135" t="s">
        <v>456</v>
      </c>
      <c r="F27" s="135" t="s">
        <v>871</v>
      </c>
      <c r="G27" s="135" t="s">
        <v>850</v>
      </c>
      <c r="H27" s="135" t="s">
        <v>835</v>
      </c>
      <c r="I27" s="136" t="s">
        <v>520</v>
      </c>
      <c r="J27" s="136"/>
      <c r="K27" s="142" t="s">
        <v>872</v>
      </c>
      <c r="L27" s="145"/>
      <c r="M27" s="145"/>
      <c r="N27" s="145"/>
      <c r="O27" s="145"/>
    </row>
    <row r="28" ht="58" spans="1:15">
      <c r="A28" s="140" t="s">
        <v>886</v>
      </c>
      <c r="B28" s="141">
        <v>44134</v>
      </c>
      <c r="C28" s="141">
        <v>45959</v>
      </c>
      <c r="D28" s="140" t="s">
        <v>828</v>
      </c>
      <c r="E28" s="140" t="s">
        <v>456</v>
      </c>
      <c r="F28" s="140" t="s">
        <v>871</v>
      </c>
      <c r="G28" s="140" t="s">
        <v>850</v>
      </c>
      <c r="H28" s="140" t="s">
        <v>835</v>
      </c>
      <c r="I28" s="146" t="s">
        <v>518</v>
      </c>
      <c r="J28" s="146"/>
      <c r="K28" s="140" t="s">
        <v>887</v>
      </c>
      <c r="L28" s="147" t="s">
        <v>888</v>
      </c>
      <c r="M28" s="146"/>
      <c r="N28" s="146"/>
      <c r="O28" s="146"/>
    </row>
    <row r="29" ht="87" spans="1:15">
      <c r="A29" s="133" t="s">
        <v>594</v>
      </c>
      <c r="B29" s="137">
        <v>44134</v>
      </c>
      <c r="C29" s="137">
        <v>45959</v>
      </c>
      <c r="D29" s="135" t="s">
        <v>828</v>
      </c>
      <c r="E29" s="135" t="s">
        <v>316</v>
      </c>
      <c r="F29" s="135" t="s">
        <v>871</v>
      </c>
      <c r="G29" s="135" t="s">
        <v>850</v>
      </c>
      <c r="H29" s="135" t="s">
        <v>820</v>
      </c>
      <c r="I29" s="136" t="s">
        <v>442</v>
      </c>
      <c r="J29" s="142" t="s">
        <v>838</v>
      </c>
      <c r="K29" s="142" t="s">
        <v>872</v>
      </c>
      <c r="L29" s="144" t="s">
        <v>881</v>
      </c>
      <c r="M29" s="145"/>
      <c r="N29" s="145"/>
      <c r="O29" s="145"/>
    </row>
    <row r="30" ht="58" spans="1:15">
      <c r="A30" s="133" t="s">
        <v>580</v>
      </c>
      <c r="B30" s="137">
        <v>44134</v>
      </c>
      <c r="C30" s="137">
        <v>45959</v>
      </c>
      <c r="D30" s="135" t="s">
        <v>828</v>
      </c>
      <c r="E30" s="135" t="s">
        <v>316</v>
      </c>
      <c r="F30" s="135" t="s">
        <v>871</v>
      </c>
      <c r="G30" s="135" t="s">
        <v>850</v>
      </c>
      <c r="H30" s="135" t="s">
        <v>820</v>
      </c>
      <c r="I30" s="142" t="s">
        <v>514</v>
      </c>
      <c r="J30" s="142" t="s">
        <v>889</v>
      </c>
      <c r="K30" s="142" t="s">
        <v>872</v>
      </c>
      <c r="L30" s="144" t="s">
        <v>881</v>
      </c>
      <c r="M30" s="145"/>
      <c r="N30" s="145"/>
      <c r="O30" s="145"/>
    </row>
    <row r="31" ht="58" spans="1:15">
      <c r="A31" s="133" t="s">
        <v>592</v>
      </c>
      <c r="B31" s="137">
        <v>44134</v>
      </c>
      <c r="C31" s="137">
        <v>45959</v>
      </c>
      <c r="D31" s="135" t="s">
        <v>828</v>
      </c>
      <c r="E31" s="135" t="s">
        <v>316</v>
      </c>
      <c r="F31" s="135" t="s">
        <v>871</v>
      </c>
      <c r="G31" s="135" t="s">
        <v>850</v>
      </c>
      <c r="H31" s="135" t="s">
        <v>820</v>
      </c>
      <c r="I31" s="136" t="s">
        <v>439</v>
      </c>
      <c r="J31" s="142" t="s">
        <v>840</v>
      </c>
      <c r="K31" s="142" t="s">
        <v>872</v>
      </c>
      <c r="L31" s="144" t="s">
        <v>881</v>
      </c>
      <c r="M31" s="145"/>
      <c r="N31" s="145"/>
      <c r="O31" s="145"/>
    </row>
    <row r="32" ht="58" spans="1:15">
      <c r="A32" s="133" t="s">
        <v>590</v>
      </c>
      <c r="B32" s="137">
        <v>44134</v>
      </c>
      <c r="C32" s="137">
        <v>45959</v>
      </c>
      <c r="D32" s="135" t="s">
        <v>828</v>
      </c>
      <c r="E32" s="135" t="s">
        <v>316</v>
      </c>
      <c r="F32" s="135" t="s">
        <v>871</v>
      </c>
      <c r="G32" s="135" t="s">
        <v>850</v>
      </c>
      <c r="H32" s="135" t="s">
        <v>820</v>
      </c>
      <c r="I32" s="136" t="s">
        <v>436</v>
      </c>
      <c r="J32" s="142" t="s">
        <v>841</v>
      </c>
      <c r="K32" s="142" t="s">
        <v>872</v>
      </c>
      <c r="L32" s="144" t="s">
        <v>881</v>
      </c>
      <c r="M32" s="145"/>
      <c r="N32" s="145"/>
      <c r="O32" s="145"/>
    </row>
    <row r="33" ht="58" spans="1:15">
      <c r="A33" s="140" t="s">
        <v>890</v>
      </c>
      <c r="B33" s="141">
        <v>44134</v>
      </c>
      <c r="C33" s="141">
        <v>45959</v>
      </c>
      <c r="D33" s="140" t="s">
        <v>828</v>
      </c>
      <c r="E33" s="140" t="s">
        <v>456</v>
      </c>
      <c r="F33" s="140" t="s">
        <v>871</v>
      </c>
      <c r="G33" s="140" t="s">
        <v>850</v>
      </c>
      <c r="H33" s="140" t="s">
        <v>835</v>
      </c>
      <c r="I33" s="140" t="s">
        <v>509</v>
      </c>
      <c r="J33" s="140"/>
      <c r="K33" s="140" t="s">
        <v>887</v>
      </c>
      <c r="L33" s="147" t="s">
        <v>888</v>
      </c>
      <c r="M33" s="146"/>
      <c r="N33" s="146"/>
      <c r="O33" s="146"/>
    </row>
    <row r="34" ht="58" spans="1:15">
      <c r="A34" s="133" t="s">
        <v>588</v>
      </c>
      <c r="B34" s="137">
        <v>44134</v>
      </c>
      <c r="C34" s="137">
        <v>45959</v>
      </c>
      <c r="D34" s="135" t="s">
        <v>828</v>
      </c>
      <c r="E34" s="135" t="s">
        <v>316</v>
      </c>
      <c r="F34" s="135" t="s">
        <v>871</v>
      </c>
      <c r="G34" s="135" t="s">
        <v>850</v>
      </c>
      <c r="H34" s="135" t="s">
        <v>820</v>
      </c>
      <c r="I34" s="136" t="s">
        <v>507</v>
      </c>
      <c r="J34" s="142" t="s">
        <v>891</v>
      </c>
      <c r="K34" s="142" t="s">
        <v>872</v>
      </c>
      <c r="L34" s="144" t="s">
        <v>881</v>
      </c>
      <c r="M34" s="145"/>
      <c r="N34" s="145"/>
      <c r="O34" s="145"/>
    </row>
    <row r="35" ht="101.5" spans="1:15">
      <c r="A35" s="133" t="s">
        <v>892</v>
      </c>
      <c r="B35" s="137">
        <v>44134</v>
      </c>
      <c r="C35" s="137">
        <v>45959</v>
      </c>
      <c r="D35" s="135" t="s">
        <v>828</v>
      </c>
      <c r="E35" s="135" t="s">
        <v>456</v>
      </c>
      <c r="F35" s="135" t="s">
        <v>871</v>
      </c>
      <c r="G35" s="135" t="s">
        <v>850</v>
      </c>
      <c r="H35" s="135" t="s">
        <v>835</v>
      </c>
      <c r="I35" s="142" t="s">
        <v>505</v>
      </c>
      <c r="J35" s="142"/>
      <c r="K35" s="142" t="s">
        <v>872</v>
      </c>
      <c r="L35" s="145"/>
      <c r="M35" s="145"/>
      <c r="N35" s="145"/>
      <c r="O35" s="145"/>
    </row>
    <row r="36" ht="85" customHeight="1" spans="1:15">
      <c r="A36" s="140" t="s">
        <v>893</v>
      </c>
      <c r="B36" s="141">
        <v>44134</v>
      </c>
      <c r="C36" s="141">
        <v>45959</v>
      </c>
      <c r="D36" s="140" t="s">
        <v>828</v>
      </c>
      <c r="E36" s="140" t="s">
        <v>456</v>
      </c>
      <c r="F36" s="140" t="s">
        <v>871</v>
      </c>
      <c r="G36" s="140" t="s">
        <v>850</v>
      </c>
      <c r="H36" s="140" t="s">
        <v>835</v>
      </c>
      <c r="I36" s="140" t="s">
        <v>498</v>
      </c>
      <c r="J36" s="140"/>
      <c r="K36" s="140" t="s">
        <v>887</v>
      </c>
      <c r="L36" s="147" t="s">
        <v>888</v>
      </c>
      <c r="M36" s="146"/>
      <c r="N36" s="146"/>
      <c r="O36" s="146"/>
    </row>
    <row r="37" ht="58" spans="1:15">
      <c r="A37" s="133" t="s">
        <v>598</v>
      </c>
      <c r="B37" s="137">
        <v>44134</v>
      </c>
      <c r="C37" s="137">
        <v>45959</v>
      </c>
      <c r="D37" s="135" t="s">
        <v>828</v>
      </c>
      <c r="E37" s="135" t="s">
        <v>316</v>
      </c>
      <c r="F37" s="135" t="s">
        <v>871</v>
      </c>
      <c r="G37" s="135" t="s">
        <v>850</v>
      </c>
      <c r="H37" s="135" t="s">
        <v>820</v>
      </c>
      <c r="I37" s="136" t="s">
        <v>496</v>
      </c>
      <c r="J37" s="142" t="s">
        <v>894</v>
      </c>
      <c r="K37" s="142" t="s">
        <v>872</v>
      </c>
      <c r="L37" s="144" t="s">
        <v>881</v>
      </c>
      <c r="M37" s="145"/>
      <c r="N37" s="145"/>
      <c r="O37" s="145"/>
    </row>
    <row r="38" ht="87" spans="1:15">
      <c r="A38" s="133" t="s">
        <v>584</v>
      </c>
      <c r="B38" s="137">
        <v>44134</v>
      </c>
      <c r="C38" s="137">
        <v>45959</v>
      </c>
      <c r="D38" s="135" t="s">
        <v>828</v>
      </c>
      <c r="E38" s="135" t="s">
        <v>316</v>
      </c>
      <c r="F38" s="135" t="s">
        <v>871</v>
      </c>
      <c r="G38" s="135" t="s">
        <v>850</v>
      </c>
      <c r="H38" s="135" t="s">
        <v>820</v>
      </c>
      <c r="I38" s="142" t="s">
        <v>516</v>
      </c>
      <c r="J38" s="142" t="s">
        <v>836</v>
      </c>
      <c r="K38" s="142" t="s">
        <v>872</v>
      </c>
      <c r="L38" s="144" t="s">
        <v>881</v>
      </c>
      <c r="M38" s="145"/>
      <c r="N38" s="145"/>
      <c r="O38" s="145"/>
    </row>
    <row r="39" ht="58" spans="1:15">
      <c r="A39" s="133" t="s">
        <v>543</v>
      </c>
      <c r="B39" s="137">
        <v>44134</v>
      </c>
      <c r="C39" s="137">
        <v>45959</v>
      </c>
      <c r="D39" s="135" t="s">
        <v>828</v>
      </c>
      <c r="E39" s="135" t="s">
        <v>316</v>
      </c>
      <c r="F39" s="135" t="s">
        <v>871</v>
      </c>
      <c r="G39" s="135" t="s">
        <v>850</v>
      </c>
      <c r="H39" s="135" t="s">
        <v>820</v>
      </c>
      <c r="I39" s="136" t="s">
        <v>545</v>
      </c>
      <c r="J39" s="142" t="s">
        <v>895</v>
      </c>
      <c r="K39" s="142" t="s">
        <v>872</v>
      </c>
      <c r="L39" s="144" t="s">
        <v>884</v>
      </c>
      <c r="M39" s="145"/>
      <c r="N39" s="145"/>
      <c r="O39" s="145"/>
    </row>
    <row r="40" ht="58" spans="1:15">
      <c r="A40" s="133" t="s">
        <v>582</v>
      </c>
      <c r="B40" s="137">
        <v>44134</v>
      </c>
      <c r="C40" s="137">
        <v>45959</v>
      </c>
      <c r="D40" s="135" t="s">
        <v>828</v>
      </c>
      <c r="E40" s="135" t="s">
        <v>316</v>
      </c>
      <c r="F40" s="135" t="s">
        <v>871</v>
      </c>
      <c r="G40" s="135" t="s">
        <v>850</v>
      </c>
      <c r="H40" s="135" t="s">
        <v>820</v>
      </c>
      <c r="I40" s="136" t="s">
        <v>536</v>
      </c>
      <c r="J40" s="142" t="s">
        <v>896</v>
      </c>
      <c r="K40" s="142" t="s">
        <v>872</v>
      </c>
      <c r="L40" s="144" t="s">
        <v>884</v>
      </c>
      <c r="M40" s="145"/>
      <c r="N40" s="145"/>
      <c r="O40" s="145"/>
    </row>
    <row r="41" ht="58" spans="1:15">
      <c r="A41" s="133" t="s">
        <v>546</v>
      </c>
      <c r="B41" s="137">
        <v>44134</v>
      </c>
      <c r="C41" s="137">
        <v>45959</v>
      </c>
      <c r="D41" s="135" t="s">
        <v>828</v>
      </c>
      <c r="E41" s="135" t="s">
        <v>316</v>
      </c>
      <c r="F41" s="135" t="s">
        <v>871</v>
      </c>
      <c r="G41" s="135" t="s">
        <v>850</v>
      </c>
      <c r="H41" s="135" t="s">
        <v>820</v>
      </c>
      <c r="I41" s="142" t="s">
        <v>538</v>
      </c>
      <c r="J41" s="142" t="s">
        <v>897</v>
      </c>
      <c r="K41" s="142" t="s">
        <v>872</v>
      </c>
      <c r="L41" s="144" t="s">
        <v>884</v>
      </c>
      <c r="M41" s="145"/>
      <c r="N41" s="145"/>
      <c r="O41" s="145"/>
    </row>
    <row r="42" ht="58" spans="1:15">
      <c r="A42" s="133" t="s">
        <v>577</v>
      </c>
      <c r="B42" s="137">
        <v>44134</v>
      </c>
      <c r="C42" s="137">
        <v>45959</v>
      </c>
      <c r="D42" s="135" t="s">
        <v>828</v>
      </c>
      <c r="E42" s="135" t="s">
        <v>316</v>
      </c>
      <c r="F42" s="135" t="s">
        <v>871</v>
      </c>
      <c r="G42" s="135" t="s">
        <v>850</v>
      </c>
      <c r="H42" s="135" t="s">
        <v>820</v>
      </c>
      <c r="I42" s="142" t="s">
        <v>579</v>
      </c>
      <c r="J42" s="142" t="s">
        <v>898</v>
      </c>
      <c r="K42" s="142" t="s">
        <v>872</v>
      </c>
      <c r="L42" s="144" t="s">
        <v>881</v>
      </c>
      <c r="M42" s="145"/>
      <c r="N42" s="145"/>
      <c r="O42" s="145"/>
    </row>
    <row r="43" ht="58" spans="1:15">
      <c r="A43" s="133" t="s">
        <v>574</v>
      </c>
      <c r="B43" s="137">
        <v>44134</v>
      </c>
      <c r="C43" s="137">
        <v>45959</v>
      </c>
      <c r="D43" s="135" t="s">
        <v>828</v>
      </c>
      <c r="E43" s="135" t="s">
        <v>316</v>
      </c>
      <c r="F43" s="135" t="s">
        <v>871</v>
      </c>
      <c r="G43" s="135" t="s">
        <v>850</v>
      </c>
      <c r="H43" s="135" t="s">
        <v>820</v>
      </c>
      <c r="I43" s="142" t="s">
        <v>576</v>
      </c>
      <c r="J43" s="142" t="s">
        <v>899</v>
      </c>
      <c r="K43" s="142" t="s">
        <v>872</v>
      </c>
      <c r="L43" s="144" t="s">
        <v>881</v>
      </c>
      <c r="M43" s="145"/>
      <c r="N43" s="145"/>
      <c r="O43" s="145"/>
    </row>
    <row r="44" ht="130.5" spans="1:15">
      <c r="A44" s="133" t="s">
        <v>571</v>
      </c>
      <c r="B44" s="137">
        <v>44134</v>
      </c>
      <c r="C44" s="137">
        <v>45959</v>
      </c>
      <c r="D44" s="135" t="s">
        <v>828</v>
      </c>
      <c r="E44" s="135" t="s">
        <v>316</v>
      </c>
      <c r="F44" s="135" t="s">
        <v>871</v>
      </c>
      <c r="G44" s="135" t="s">
        <v>850</v>
      </c>
      <c r="H44" s="135" t="s">
        <v>820</v>
      </c>
      <c r="I44" s="142" t="s">
        <v>573</v>
      </c>
      <c r="J44" s="142" t="s">
        <v>900</v>
      </c>
      <c r="K44" s="142" t="s">
        <v>872</v>
      </c>
      <c r="L44" s="144" t="s">
        <v>881</v>
      </c>
      <c r="M44" s="145"/>
      <c r="N44" s="145"/>
      <c r="O44" s="145"/>
    </row>
    <row r="45" ht="58" spans="1:15">
      <c r="A45" s="133" t="s">
        <v>568</v>
      </c>
      <c r="B45" s="137">
        <v>44134</v>
      </c>
      <c r="C45" s="137">
        <v>45959</v>
      </c>
      <c r="D45" s="135" t="s">
        <v>828</v>
      </c>
      <c r="E45" s="135" t="s">
        <v>316</v>
      </c>
      <c r="F45" s="135" t="s">
        <v>871</v>
      </c>
      <c r="G45" s="135" t="s">
        <v>850</v>
      </c>
      <c r="H45" s="135" t="s">
        <v>820</v>
      </c>
      <c r="I45" s="142" t="s">
        <v>570</v>
      </c>
      <c r="J45" s="142" t="s">
        <v>901</v>
      </c>
      <c r="K45" s="142" t="s">
        <v>872</v>
      </c>
      <c r="L45" s="144" t="s">
        <v>881</v>
      </c>
      <c r="M45" s="145"/>
      <c r="N45" s="145"/>
      <c r="O45" s="145"/>
    </row>
    <row r="46" ht="58" spans="1:15">
      <c r="A46" s="133" t="s">
        <v>541</v>
      </c>
      <c r="B46" s="137">
        <v>44134</v>
      </c>
      <c r="C46" s="137">
        <v>45959</v>
      </c>
      <c r="D46" s="135" t="s">
        <v>828</v>
      </c>
      <c r="E46" s="135" t="s">
        <v>316</v>
      </c>
      <c r="F46" s="135" t="s">
        <v>882</v>
      </c>
      <c r="G46" s="135" t="s">
        <v>850</v>
      </c>
      <c r="H46" s="135" t="s">
        <v>820</v>
      </c>
      <c r="I46" s="142" t="s">
        <v>534</v>
      </c>
      <c r="J46" s="142" t="s">
        <v>902</v>
      </c>
      <c r="K46" s="142" t="s">
        <v>872</v>
      </c>
      <c r="L46" s="144" t="s">
        <v>884</v>
      </c>
      <c r="M46" s="145"/>
      <c r="N46" s="145"/>
      <c r="O46" s="145"/>
    </row>
    <row r="47" ht="58" spans="1:15">
      <c r="A47" s="133" t="s">
        <v>566</v>
      </c>
      <c r="B47" s="137">
        <v>44134</v>
      </c>
      <c r="C47" s="137">
        <v>45959</v>
      </c>
      <c r="D47" s="135" t="s">
        <v>828</v>
      </c>
      <c r="E47" s="135" t="s">
        <v>316</v>
      </c>
      <c r="F47" s="135" t="s">
        <v>871</v>
      </c>
      <c r="G47" s="135" t="s">
        <v>850</v>
      </c>
      <c r="H47" s="135" t="s">
        <v>820</v>
      </c>
      <c r="I47" s="136" t="s">
        <v>532</v>
      </c>
      <c r="J47" s="142" t="s">
        <v>903</v>
      </c>
      <c r="K47" s="142" t="s">
        <v>872</v>
      </c>
      <c r="L47" s="144" t="s">
        <v>881</v>
      </c>
      <c r="M47" s="145"/>
      <c r="N47" s="145"/>
      <c r="O47" s="145"/>
    </row>
    <row r="48" ht="58" spans="1:15">
      <c r="A48" s="133" t="s">
        <v>564</v>
      </c>
      <c r="B48" s="137">
        <v>44134</v>
      </c>
      <c r="C48" s="137">
        <v>45959</v>
      </c>
      <c r="D48" s="135" t="s">
        <v>828</v>
      </c>
      <c r="E48" s="135" t="s">
        <v>316</v>
      </c>
      <c r="F48" s="135" t="s">
        <v>871</v>
      </c>
      <c r="G48" s="135" t="s">
        <v>850</v>
      </c>
      <c r="H48" s="135" t="s">
        <v>820</v>
      </c>
      <c r="I48" s="136" t="s">
        <v>530</v>
      </c>
      <c r="J48" s="142" t="s">
        <v>904</v>
      </c>
      <c r="K48" s="142" t="s">
        <v>872</v>
      </c>
      <c r="L48" s="144" t="s">
        <v>881</v>
      </c>
      <c r="M48" s="145"/>
      <c r="N48" s="145"/>
      <c r="O48" s="145"/>
    </row>
    <row r="49" ht="58" spans="1:15">
      <c r="A49" s="140" t="s">
        <v>905</v>
      </c>
      <c r="B49" s="141">
        <v>44134</v>
      </c>
      <c r="C49" s="141">
        <v>45959</v>
      </c>
      <c r="D49" s="140" t="s">
        <v>828</v>
      </c>
      <c r="E49" s="140" t="s">
        <v>456</v>
      </c>
      <c r="F49" s="140" t="s">
        <v>871</v>
      </c>
      <c r="G49" s="140" t="s">
        <v>850</v>
      </c>
      <c r="H49" s="140" t="s">
        <v>835</v>
      </c>
      <c r="I49" s="146" t="s">
        <v>906</v>
      </c>
      <c r="J49" s="146"/>
      <c r="K49" s="140" t="s">
        <v>887</v>
      </c>
      <c r="L49" s="147" t="s">
        <v>888</v>
      </c>
      <c r="M49" s="146"/>
      <c r="N49" s="146"/>
      <c r="O49" s="146"/>
    </row>
    <row r="50" ht="58" spans="1:15">
      <c r="A50" s="133" t="s">
        <v>561</v>
      </c>
      <c r="B50" s="137">
        <v>44134</v>
      </c>
      <c r="C50" s="137">
        <v>45959</v>
      </c>
      <c r="D50" s="135" t="s">
        <v>828</v>
      </c>
      <c r="E50" s="135" t="s">
        <v>316</v>
      </c>
      <c r="F50" s="135" t="s">
        <v>871</v>
      </c>
      <c r="G50" s="135" t="s">
        <v>850</v>
      </c>
      <c r="H50" s="135" t="s">
        <v>820</v>
      </c>
      <c r="I50" s="136" t="s">
        <v>563</v>
      </c>
      <c r="J50" s="142" t="s">
        <v>907</v>
      </c>
      <c r="K50" s="142" t="s">
        <v>872</v>
      </c>
      <c r="L50" s="144" t="s">
        <v>881</v>
      </c>
      <c r="M50" s="145"/>
      <c r="N50" s="145"/>
      <c r="O50" s="145"/>
    </row>
    <row r="51" ht="58" spans="1:15">
      <c r="A51" s="133" t="s">
        <v>559</v>
      </c>
      <c r="B51" s="137">
        <v>44134</v>
      </c>
      <c r="C51" s="137">
        <v>45959</v>
      </c>
      <c r="D51" s="135" t="s">
        <v>828</v>
      </c>
      <c r="E51" s="135" t="s">
        <v>316</v>
      </c>
      <c r="F51" s="135" t="s">
        <v>871</v>
      </c>
      <c r="G51" s="135" t="s">
        <v>850</v>
      </c>
      <c r="H51" s="135" t="s">
        <v>820</v>
      </c>
      <c r="I51" s="136" t="s">
        <v>501</v>
      </c>
      <c r="J51" s="142" t="s">
        <v>842</v>
      </c>
      <c r="K51" s="142" t="s">
        <v>872</v>
      </c>
      <c r="L51" s="144" t="s">
        <v>881</v>
      </c>
      <c r="M51" s="145"/>
      <c r="N51" s="145"/>
      <c r="O51" s="145"/>
    </row>
    <row r="52" ht="72.5" spans="1:15">
      <c r="A52" s="133" t="s">
        <v>556</v>
      </c>
      <c r="B52" s="137">
        <v>44134</v>
      </c>
      <c r="C52" s="137">
        <v>45959</v>
      </c>
      <c r="D52" s="135" t="s">
        <v>828</v>
      </c>
      <c r="E52" s="135" t="s">
        <v>316</v>
      </c>
      <c r="F52" s="135" t="s">
        <v>871</v>
      </c>
      <c r="G52" s="135" t="s">
        <v>850</v>
      </c>
      <c r="H52" s="135" t="s">
        <v>820</v>
      </c>
      <c r="I52" s="142" t="s">
        <v>558</v>
      </c>
      <c r="J52" s="142" t="s">
        <v>908</v>
      </c>
      <c r="K52" s="142" t="s">
        <v>872</v>
      </c>
      <c r="L52" s="144" t="s">
        <v>881</v>
      </c>
      <c r="M52" s="145"/>
      <c r="N52" s="145"/>
      <c r="O52" s="145"/>
    </row>
    <row r="53" ht="58" spans="1:15">
      <c r="A53" s="133" t="s">
        <v>553</v>
      </c>
      <c r="B53" s="137">
        <v>44134</v>
      </c>
      <c r="C53" s="137">
        <v>45959</v>
      </c>
      <c r="D53" s="135" t="s">
        <v>828</v>
      </c>
      <c r="E53" s="135" t="s">
        <v>316</v>
      </c>
      <c r="F53" s="135" t="s">
        <v>871</v>
      </c>
      <c r="G53" s="135" t="s">
        <v>850</v>
      </c>
      <c r="H53" s="135" t="s">
        <v>820</v>
      </c>
      <c r="I53" s="142" t="s">
        <v>555</v>
      </c>
      <c r="J53" s="142" t="s">
        <v>909</v>
      </c>
      <c r="K53" s="142" t="s">
        <v>872</v>
      </c>
      <c r="L53" s="144" t="s">
        <v>881</v>
      </c>
      <c r="M53" s="145"/>
      <c r="N53" s="145"/>
      <c r="O53" s="145"/>
    </row>
    <row r="54" ht="72.5" spans="1:15">
      <c r="A54" s="133" t="s">
        <v>551</v>
      </c>
      <c r="B54" s="137">
        <v>44134</v>
      </c>
      <c r="C54" s="137">
        <v>45959</v>
      </c>
      <c r="D54" s="135" t="s">
        <v>828</v>
      </c>
      <c r="E54" s="135" t="s">
        <v>316</v>
      </c>
      <c r="F54" s="135" t="s">
        <v>871</v>
      </c>
      <c r="G54" s="135" t="s">
        <v>850</v>
      </c>
      <c r="H54" s="135" t="s">
        <v>820</v>
      </c>
      <c r="I54" s="142" t="s">
        <v>503</v>
      </c>
      <c r="J54" s="142" t="s">
        <v>910</v>
      </c>
      <c r="K54" s="142" t="s">
        <v>872</v>
      </c>
      <c r="L54" s="144" t="s">
        <v>881</v>
      </c>
      <c r="M54" s="145"/>
      <c r="N54" s="145"/>
      <c r="O54" s="145"/>
    </row>
    <row r="55" ht="58" spans="1:15">
      <c r="A55" s="140" t="s">
        <v>911</v>
      </c>
      <c r="B55" s="141">
        <v>44134</v>
      </c>
      <c r="C55" s="141">
        <v>45959</v>
      </c>
      <c r="D55" s="140" t="s">
        <v>828</v>
      </c>
      <c r="E55" s="140" t="s">
        <v>456</v>
      </c>
      <c r="F55" s="140" t="s">
        <v>871</v>
      </c>
      <c r="G55" s="140" t="s">
        <v>850</v>
      </c>
      <c r="H55" s="140" t="s">
        <v>835</v>
      </c>
      <c r="I55" s="146" t="s">
        <v>524</v>
      </c>
      <c r="J55" s="146"/>
      <c r="K55" s="140" t="s">
        <v>887</v>
      </c>
      <c r="L55" s="147" t="s">
        <v>888</v>
      </c>
      <c r="M55" s="146"/>
      <c r="N55" s="146"/>
      <c r="O55" s="146"/>
    </row>
    <row r="56" ht="116" spans="1:15">
      <c r="A56" s="133" t="s">
        <v>548</v>
      </c>
      <c r="B56" s="137">
        <v>44134</v>
      </c>
      <c r="C56" s="137">
        <v>45959</v>
      </c>
      <c r="D56" s="135" t="s">
        <v>828</v>
      </c>
      <c r="E56" s="135" t="s">
        <v>316</v>
      </c>
      <c r="F56" s="135" t="s">
        <v>871</v>
      </c>
      <c r="G56" s="135" t="s">
        <v>850</v>
      </c>
      <c r="H56" s="135" t="s">
        <v>820</v>
      </c>
      <c r="I56" s="142" t="s">
        <v>550</v>
      </c>
      <c r="J56" s="142" t="s">
        <v>912</v>
      </c>
      <c r="K56" s="142" t="s">
        <v>872</v>
      </c>
      <c r="L56" s="144" t="s">
        <v>881</v>
      </c>
      <c r="M56" s="145"/>
      <c r="N56" s="145"/>
      <c r="O56" s="145"/>
    </row>
  </sheetData>
  <autoFilter xmlns:etc="http://www.wps.cn/officeDocument/2017/etCustomData" ref="A1:K56" etc:filterBottomFollowUsedRange="0">
    <extLst/>
  </autoFilter>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2"/>
  <sheetViews>
    <sheetView tabSelected="1" zoomScale="55" zoomScaleNormal="55" workbookViewId="0">
      <pane xSplit="1" ySplit="2" topLeftCell="B41" activePane="bottomRight" state="frozen"/>
      <selection/>
      <selection pane="topRight"/>
      <selection pane="bottomLeft"/>
      <selection pane="bottomRight" activeCell="D43" sqref="D43"/>
    </sheetView>
  </sheetViews>
  <sheetFormatPr defaultColWidth="9" defaultRowHeight="15"/>
  <cols>
    <col min="1" max="1" width="5" style="78" customWidth="1"/>
    <col min="2" max="2" width="21.7272727272727" style="90" customWidth="1"/>
    <col min="3" max="3" width="21.9090909090909" style="90" customWidth="1"/>
    <col min="4" max="4" width="25.1818181818182" style="78" customWidth="1"/>
    <col min="5" max="5" width="28.0909090909091" style="91" customWidth="1"/>
    <col min="6" max="6" width="27.0909090909091" style="91" customWidth="1"/>
    <col min="7" max="7" width="16.6363636363636" style="91" customWidth="1"/>
    <col min="8" max="8" width="13.6363636363636" style="91" customWidth="1"/>
    <col min="9" max="9" width="52.7272727272727" style="78" customWidth="1"/>
    <col min="10" max="11" width="21.9090909090909" style="78" customWidth="1"/>
    <col min="12" max="12" width="23.6363636363636" style="78" customWidth="1"/>
    <col min="13" max="13" width="14.6363636363636" style="78" customWidth="1"/>
    <col min="14" max="16384" width="9" style="78"/>
  </cols>
  <sheetData>
    <row r="1" s="78" customFormat="1" ht="27.5" spans="1:13">
      <c r="A1" s="92" t="s">
        <v>420</v>
      </c>
      <c r="B1" s="92"/>
      <c r="C1" s="92"/>
      <c r="D1" s="92"/>
      <c r="E1" s="92"/>
      <c r="F1" s="92"/>
      <c r="G1" s="92"/>
      <c r="H1" s="92"/>
      <c r="I1" s="92"/>
      <c r="J1" s="92"/>
      <c r="K1" s="92"/>
      <c r="L1" s="92"/>
      <c r="M1" s="92"/>
    </row>
    <row r="2" s="78" customFormat="1" ht="30" spans="1:13">
      <c r="A2" s="80" t="s">
        <v>1</v>
      </c>
      <c r="B2" s="80" t="s">
        <v>2</v>
      </c>
      <c r="C2" s="80" t="s">
        <v>3</v>
      </c>
      <c r="D2" s="80" t="s">
        <v>4</v>
      </c>
      <c r="E2" s="81" t="s">
        <v>5</v>
      </c>
      <c r="F2" s="81" t="s">
        <v>6</v>
      </c>
      <c r="G2" s="81" t="s">
        <v>7</v>
      </c>
      <c r="H2" s="81" t="s">
        <v>8</v>
      </c>
      <c r="I2" s="80" t="s">
        <v>9</v>
      </c>
      <c r="J2" s="80" t="s">
        <v>10</v>
      </c>
      <c r="K2" s="80" t="s">
        <v>422</v>
      </c>
      <c r="L2" s="80" t="s">
        <v>11</v>
      </c>
      <c r="M2" s="80" t="s">
        <v>12</v>
      </c>
    </row>
    <row r="3" s="86" customFormat="1" ht="83" customHeight="1" spans="1:13">
      <c r="A3" s="30">
        <v>1</v>
      </c>
      <c r="B3" s="31" t="s">
        <v>248</v>
      </c>
      <c r="C3" s="31" t="s">
        <v>248</v>
      </c>
      <c r="D3" s="30" t="s">
        <v>15</v>
      </c>
      <c r="E3" s="32" t="s">
        <v>351</v>
      </c>
      <c r="F3" s="32" t="s">
        <v>797</v>
      </c>
      <c r="G3" s="32" t="s">
        <v>913</v>
      </c>
      <c r="H3" s="32" t="s">
        <v>914</v>
      </c>
      <c r="I3" s="31" t="s">
        <v>915</v>
      </c>
      <c r="J3" s="31" t="s">
        <v>21</v>
      </c>
      <c r="K3" s="101" t="str">
        <f>_xlfn.DISPIMG("ID_D6A168054E5F469F93D27017398C65E2",1)</f>
        <v>=DISPIMG("ID_D6A168054E5F469F93D27017398C65E2",1)</v>
      </c>
      <c r="L3" s="31" t="s">
        <v>916</v>
      </c>
      <c r="M3" s="31"/>
    </row>
    <row r="4" s="86" customFormat="1" ht="83" customHeight="1" spans="1:13">
      <c r="A4" s="30">
        <v>2</v>
      </c>
      <c r="B4" s="33" t="s">
        <v>248</v>
      </c>
      <c r="C4" s="31" t="s">
        <v>248</v>
      </c>
      <c r="D4" s="30" t="s">
        <v>15</v>
      </c>
      <c r="E4" s="32" t="s">
        <v>345</v>
      </c>
      <c r="F4" s="32" t="s">
        <v>795</v>
      </c>
      <c r="G4" s="32" t="s">
        <v>913</v>
      </c>
      <c r="H4" s="32" t="s">
        <v>914</v>
      </c>
      <c r="I4" s="34" t="s">
        <v>917</v>
      </c>
      <c r="J4" s="33" t="s">
        <v>21</v>
      </c>
      <c r="K4" s="101" t="str">
        <f>_xlfn.DISPIMG("ID_19F1359C980F4684B5EC1191481C74ED",1)</f>
        <v>=DISPIMG("ID_19F1359C980F4684B5EC1191481C74ED",1)</v>
      </c>
      <c r="L4" s="31" t="s">
        <v>916</v>
      </c>
      <c r="M4" s="31"/>
    </row>
    <row r="5" s="24" customFormat="1" ht="83" customHeight="1" spans="1:13">
      <c r="A5" s="30">
        <v>3</v>
      </c>
      <c r="B5" s="33" t="s">
        <v>248</v>
      </c>
      <c r="C5" s="31" t="s">
        <v>248</v>
      </c>
      <c r="D5" s="30" t="s">
        <v>15</v>
      </c>
      <c r="E5" s="32" t="s">
        <v>373</v>
      </c>
      <c r="F5" s="32" t="s">
        <v>918</v>
      </c>
      <c r="G5" s="32" t="s">
        <v>913</v>
      </c>
      <c r="H5" s="32" t="s">
        <v>914</v>
      </c>
      <c r="I5" s="34" t="s">
        <v>800</v>
      </c>
      <c r="J5" s="33" t="s">
        <v>25</v>
      </c>
      <c r="K5" t="str">
        <f>_xlfn.DISPIMG("ID_5C72BE128E9547F7B176D28424730222",1)</f>
        <v>=DISPIMG("ID_5C72BE128E9547F7B176D28424730222",1)</v>
      </c>
      <c r="L5" s="31" t="s">
        <v>916</v>
      </c>
      <c r="M5" s="31"/>
    </row>
    <row r="6" s="24" customFormat="1" ht="83" customHeight="1" spans="1:13">
      <c r="A6" s="30">
        <v>4</v>
      </c>
      <c r="B6" s="33" t="s">
        <v>248</v>
      </c>
      <c r="C6" s="31" t="s">
        <v>248</v>
      </c>
      <c r="D6" s="30" t="s">
        <v>15</v>
      </c>
      <c r="E6" s="32" t="s">
        <v>340</v>
      </c>
      <c r="F6" s="32" t="s">
        <v>805</v>
      </c>
      <c r="G6" s="32" t="s">
        <v>913</v>
      </c>
      <c r="H6" s="32" t="s">
        <v>914</v>
      </c>
      <c r="I6" s="34" t="s">
        <v>919</v>
      </c>
      <c r="J6" s="33" t="s">
        <v>21</v>
      </c>
      <c r="K6" s="101" t="str">
        <f>_xlfn.DISPIMG("ID_9A20EEA6591945D698939D77357BCBE9",1)</f>
        <v>=DISPIMG("ID_9A20EEA6591945D698939D77357BCBE9",1)</v>
      </c>
      <c r="L6" s="31" t="s">
        <v>916</v>
      </c>
      <c r="M6" s="31"/>
    </row>
    <row r="7" s="24" customFormat="1" ht="83" customHeight="1" spans="1:13">
      <c r="A7" s="30">
        <v>5</v>
      </c>
      <c r="B7" s="33" t="s">
        <v>248</v>
      </c>
      <c r="C7" s="31" t="s">
        <v>248</v>
      </c>
      <c r="D7" s="30" t="s">
        <v>15</v>
      </c>
      <c r="E7" s="32" t="s">
        <v>357</v>
      </c>
      <c r="F7" s="32" t="s">
        <v>920</v>
      </c>
      <c r="G7" s="32" t="s">
        <v>913</v>
      </c>
      <c r="H7" s="32" t="s">
        <v>914</v>
      </c>
      <c r="I7" s="34" t="s">
        <v>803</v>
      </c>
      <c r="J7" s="33" t="s">
        <v>25</v>
      </c>
      <c r="K7" t="str">
        <f>_xlfn.DISPIMG("ID_BFD79F7602ED4898BD11501961BEE387",1)</f>
        <v>=DISPIMG("ID_BFD79F7602ED4898BD11501961BEE387",1)</v>
      </c>
      <c r="L7" s="31" t="s">
        <v>916</v>
      </c>
      <c r="M7" s="31"/>
    </row>
    <row r="8" s="24" customFormat="1" ht="100" customHeight="1" spans="1:13">
      <c r="A8" s="30">
        <v>6</v>
      </c>
      <c r="B8" s="33" t="s">
        <v>248</v>
      </c>
      <c r="C8" s="31" t="s">
        <v>248</v>
      </c>
      <c r="D8" s="30" t="s">
        <v>15</v>
      </c>
      <c r="E8" s="32" t="s">
        <v>785</v>
      </c>
      <c r="F8" s="32" t="s">
        <v>921</v>
      </c>
      <c r="G8" s="32" t="s">
        <v>65</v>
      </c>
      <c r="H8" s="32" t="s">
        <v>71</v>
      </c>
      <c r="I8" s="34" t="s">
        <v>922</v>
      </c>
      <c r="J8" s="33" t="s">
        <v>923</v>
      </c>
      <c r="K8" s="101" t="str">
        <f>_xlfn.DISPIMG("ID_99F2B68C120C435F9F25DF257C8BB7C2",1)</f>
        <v>=DISPIMG("ID_99F2B68C120C435F9F25DF257C8BB7C2",1)</v>
      </c>
      <c r="L8" s="35"/>
      <c r="M8" s="31"/>
    </row>
    <row r="9" s="24" customFormat="1" ht="88" customHeight="1" spans="1:13">
      <c r="A9" s="30">
        <v>7</v>
      </c>
      <c r="B9" s="33" t="s">
        <v>248</v>
      </c>
      <c r="C9" s="31" t="s">
        <v>248</v>
      </c>
      <c r="D9" s="30" t="s">
        <v>15</v>
      </c>
      <c r="E9" s="32" t="s">
        <v>788</v>
      </c>
      <c r="F9" s="32" t="s">
        <v>924</v>
      </c>
      <c r="G9" s="32" t="s">
        <v>70</v>
      </c>
      <c r="H9" s="32" t="s">
        <v>71</v>
      </c>
      <c r="I9" s="34" t="s">
        <v>925</v>
      </c>
      <c r="J9" s="33" t="s">
        <v>923</v>
      </c>
      <c r="K9" s="101" t="str">
        <f>_xlfn.DISPIMG("ID_2C8F248E84D3480999C8234CC379E9D2",1)</f>
        <v>=DISPIMG("ID_2C8F248E84D3480999C8234CC379E9D2",1)</v>
      </c>
      <c r="L9" s="35" t="s">
        <v>926</v>
      </c>
      <c r="M9" s="31"/>
    </row>
    <row r="10" s="78" customFormat="1" ht="81" customHeight="1" spans="1:13">
      <c r="A10" s="30">
        <v>8</v>
      </c>
      <c r="B10" s="30" t="s">
        <v>248</v>
      </c>
      <c r="C10" s="30" t="s">
        <v>248</v>
      </c>
      <c r="D10" s="30" t="s">
        <v>28</v>
      </c>
      <c r="E10" s="32"/>
      <c r="F10" s="32" t="s">
        <v>756</v>
      </c>
      <c r="G10" s="32" t="s">
        <v>927</v>
      </c>
      <c r="H10" s="32" t="s">
        <v>928</v>
      </c>
      <c r="I10" s="37" t="s">
        <v>929</v>
      </c>
      <c r="J10" s="30" t="s">
        <v>21</v>
      </c>
      <c r="K10" s="102" t="str">
        <f>_xlfn.DISPIMG("ID_52B3876AC42044718DBDC8D33C7FA69C",1)</f>
        <v>=DISPIMG("ID_52B3876AC42044718DBDC8D33C7FA69C",1)</v>
      </c>
      <c r="L10" s="32"/>
      <c r="M10" s="30"/>
    </row>
    <row r="11" s="78" customFormat="1" ht="81" customHeight="1" spans="1:13">
      <c r="A11" s="30">
        <v>9</v>
      </c>
      <c r="B11" s="30" t="s">
        <v>248</v>
      </c>
      <c r="C11" s="30" t="s">
        <v>248</v>
      </c>
      <c r="D11" s="30" t="s">
        <v>28</v>
      </c>
      <c r="E11" s="32"/>
      <c r="F11" s="32" t="s">
        <v>930</v>
      </c>
      <c r="G11" s="32" t="s">
        <v>927</v>
      </c>
      <c r="H11" s="32" t="s">
        <v>928</v>
      </c>
      <c r="I11" s="37" t="s">
        <v>931</v>
      </c>
      <c r="J11" s="30" t="s">
        <v>21</v>
      </c>
      <c r="K11" s="102" t="str">
        <f>_xlfn.DISPIMG("ID_C02911929B424256A5C82D3F714B3C59",1)</f>
        <v>=DISPIMG("ID_C02911929B424256A5C82D3F714B3C59",1)</v>
      </c>
      <c r="L11" s="32"/>
      <c r="M11" s="30"/>
    </row>
    <row r="12" s="78" customFormat="1" ht="81" customHeight="1" spans="1:13">
      <c r="A12" s="30">
        <v>10</v>
      </c>
      <c r="B12" s="30" t="s">
        <v>248</v>
      </c>
      <c r="C12" s="30" t="s">
        <v>248</v>
      </c>
      <c r="D12" s="30" t="s">
        <v>28</v>
      </c>
      <c r="E12" s="32"/>
      <c r="F12" s="32" t="s">
        <v>762</v>
      </c>
      <c r="G12" s="32" t="s">
        <v>927</v>
      </c>
      <c r="H12" s="32" t="s">
        <v>928</v>
      </c>
      <c r="I12" s="37" t="s">
        <v>932</v>
      </c>
      <c r="J12" s="30" t="s">
        <v>21</v>
      </c>
      <c r="K12" s="102" t="str">
        <f>_xlfn.DISPIMG("ID_88F9BB44EDCA43D6BBBB1E8C58EF9563",1)</f>
        <v>=DISPIMG("ID_88F9BB44EDCA43D6BBBB1E8C58EF9563",1)</v>
      </c>
      <c r="L12" s="32"/>
      <c r="M12" s="30"/>
    </row>
    <row r="13" s="78" customFormat="1" ht="81" customHeight="1" spans="1:13">
      <c r="A13" s="30">
        <v>11</v>
      </c>
      <c r="B13" s="30" t="s">
        <v>248</v>
      </c>
      <c r="C13" s="30" t="s">
        <v>248</v>
      </c>
      <c r="D13" s="30" t="s">
        <v>28</v>
      </c>
      <c r="E13" s="32"/>
      <c r="F13" s="32" t="s">
        <v>765</v>
      </c>
      <c r="G13" s="32" t="s">
        <v>927</v>
      </c>
      <c r="H13" s="32" t="s">
        <v>928</v>
      </c>
      <c r="I13" s="37" t="s">
        <v>933</v>
      </c>
      <c r="J13" s="30" t="s">
        <v>21</v>
      </c>
      <c r="K13" s="102" t="str">
        <f>_xlfn.DISPIMG("ID_380B6730DC8B4ADEBA3CB09B8239F26C",1)</f>
        <v>=DISPIMG("ID_380B6730DC8B4ADEBA3CB09B8239F26C",1)</v>
      </c>
      <c r="L13" s="32"/>
      <c r="M13" s="30"/>
    </row>
    <row r="14" s="78" customFormat="1" ht="81" customHeight="1" spans="1:13">
      <c r="A14" s="30">
        <v>12</v>
      </c>
      <c r="B14" s="30" t="s">
        <v>248</v>
      </c>
      <c r="C14" s="30" t="s">
        <v>248</v>
      </c>
      <c r="D14" s="30" t="s">
        <v>28</v>
      </c>
      <c r="E14" s="32"/>
      <c r="F14" s="32" t="s">
        <v>934</v>
      </c>
      <c r="G14" s="32" t="s">
        <v>927</v>
      </c>
      <c r="H14" s="32" t="s">
        <v>928</v>
      </c>
      <c r="I14" s="37" t="s">
        <v>769</v>
      </c>
      <c r="J14" s="30" t="s">
        <v>21</v>
      </c>
      <c r="K14" s="102" t="str">
        <f>_xlfn.DISPIMG("ID_D5A1A538F8204F2DBDA979C243EB5ECB",1)</f>
        <v>=DISPIMG("ID_D5A1A538F8204F2DBDA979C243EB5ECB",1)</v>
      </c>
      <c r="L14" s="32"/>
      <c r="M14" s="30"/>
    </row>
    <row r="15" s="78" customFormat="1" ht="83" customHeight="1" spans="1:13">
      <c r="A15" s="30">
        <v>13</v>
      </c>
      <c r="B15" s="30" t="s">
        <v>248</v>
      </c>
      <c r="C15" s="30" t="s">
        <v>248</v>
      </c>
      <c r="D15" s="30" t="s">
        <v>28</v>
      </c>
      <c r="E15" s="32"/>
      <c r="F15" s="32" t="s">
        <v>935</v>
      </c>
      <c r="G15" s="32" t="s">
        <v>936</v>
      </c>
      <c r="H15" s="32" t="s">
        <v>937</v>
      </c>
      <c r="I15" s="37" t="s">
        <v>938</v>
      </c>
      <c r="J15" s="30" t="s">
        <v>21</v>
      </c>
      <c r="K15" s="102" t="str">
        <f>_xlfn.DISPIMG("ID_97DA2B3085F349E093E5D230B46328EA",1)</f>
        <v>=DISPIMG("ID_97DA2B3085F349E093E5D230B46328EA",1)</v>
      </c>
      <c r="L15" s="32"/>
      <c r="M15" s="30"/>
    </row>
    <row r="16" s="78" customFormat="1" ht="120" spans="1:13">
      <c r="A16" s="30">
        <v>14</v>
      </c>
      <c r="B16" s="30" t="s">
        <v>248</v>
      </c>
      <c r="C16" s="30" t="s">
        <v>248</v>
      </c>
      <c r="D16" s="30" t="s">
        <v>28</v>
      </c>
      <c r="E16" s="32"/>
      <c r="F16" s="32" t="s">
        <v>732</v>
      </c>
      <c r="G16" s="32" t="s">
        <v>927</v>
      </c>
      <c r="H16" s="32" t="s">
        <v>928</v>
      </c>
      <c r="I16" s="37" t="s">
        <v>939</v>
      </c>
      <c r="J16" s="30" t="s">
        <v>21</v>
      </c>
      <c r="K16" s="102" t="str">
        <f>_xlfn.DISPIMG("ID_8444FD02E5DA48C79FF2A2119C1E988A",1)</f>
        <v>=DISPIMG("ID_8444FD02E5DA48C79FF2A2119C1E988A",1)</v>
      </c>
      <c r="L16" s="32"/>
      <c r="M16" s="30"/>
    </row>
    <row r="17" s="78" customFormat="1" ht="84" customHeight="1" spans="1:13">
      <c r="A17" s="30">
        <v>15</v>
      </c>
      <c r="B17" s="30" t="s">
        <v>248</v>
      </c>
      <c r="C17" s="30" t="s">
        <v>248</v>
      </c>
      <c r="D17" s="30" t="s">
        <v>28</v>
      </c>
      <c r="E17" s="32"/>
      <c r="F17" s="32" t="s">
        <v>940</v>
      </c>
      <c r="G17" s="32" t="s">
        <v>941</v>
      </c>
      <c r="H17" s="32" t="s">
        <v>942</v>
      </c>
      <c r="I17" s="37" t="s">
        <v>943</v>
      </c>
      <c r="J17" s="30" t="s">
        <v>21</v>
      </c>
      <c r="K17" s="102" t="str">
        <f>_xlfn.DISPIMG("ID_1C822083821949F59AD11248EF755D0D",1)</f>
        <v>=DISPIMG("ID_1C822083821949F59AD11248EF755D0D",1)</v>
      </c>
      <c r="L17" s="32" t="s">
        <v>944</v>
      </c>
      <c r="M17" s="30"/>
    </row>
    <row r="18" s="87" customFormat="1" ht="84" customHeight="1" spans="1:13">
      <c r="A18" s="93">
        <v>16</v>
      </c>
      <c r="B18" s="93" t="s">
        <v>248</v>
      </c>
      <c r="C18" s="93" t="s">
        <v>248</v>
      </c>
      <c r="D18" s="93" t="s">
        <v>28</v>
      </c>
      <c r="E18" s="43"/>
      <c r="F18" s="43" t="s">
        <v>945</v>
      </c>
      <c r="G18" s="43" t="s">
        <v>946</v>
      </c>
      <c r="H18" s="43" t="s">
        <v>947</v>
      </c>
      <c r="I18" s="103" t="s">
        <v>948</v>
      </c>
      <c r="J18" s="93" t="s">
        <v>21</v>
      </c>
      <c r="K18" s="104" t="str">
        <f>_xlfn.DISPIMG("ID_F3C4F53CBCE54BE5B3AFD6A487FFF464",1)</f>
        <v>=DISPIMG("ID_F3C4F53CBCE54BE5B3AFD6A487FFF464",1)</v>
      </c>
      <c r="L18" s="43" t="s">
        <v>944</v>
      </c>
      <c r="M18" s="93"/>
    </row>
    <row r="19" s="78" customFormat="1" ht="84" customHeight="1" spans="1:13">
      <c r="A19" s="30">
        <v>17</v>
      </c>
      <c r="B19" s="30" t="s">
        <v>248</v>
      </c>
      <c r="C19" s="30" t="s">
        <v>248</v>
      </c>
      <c r="D19" s="30" t="s">
        <v>28</v>
      </c>
      <c r="E19" s="32"/>
      <c r="F19" s="32" t="s">
        <v>777</v>
      </c>
      <c r="G19" s="32" t="s">
        <v>949</v>
      </c>
      <c r="H19" s="32" t="s">
        <v>950</v>
      </c>
      <c r="I19" s="37" t="s">
        <v>951</v>
      </c>
      <c r="J19" s="30" t="s">
        <v>615</v>
      </c>
      <c r="K19" s="102" t="str">
        <f>_xlfn.DISPIMG("ID_7241229F91394643B67C822D6C47B264",1)</f>
        <v>=DISPIMG("ID_7241229F91394643B67C822D6C47B264",1)</v>
      </c>
      <c r="L19" s="32"/>
      <c r="M19" s="30"/>
    </row>
    <row r="20" s="78" customFormat="1" ht="84" customHeight="1" spans="1:13">
      <c r="A20" s="30">
        <v>18</v>
      </c>
      <c r="B20" s="30" t="s">
        <v>248</v>
      </c>
      <c r="C20" s="30" t="s">
        <v>248</v>
      </c>
      <c r="D20" s="30" t="s">
        <v>28</v>
      </c>
      <c r="E20" s="32"/>
      <c r="F20" s="32" t="s">
        <v>781</v>
      </c>
      <c r="G20" s="32" t="s">
        <v>949</v>
      </c>
      <c r="H20" s="32" t="s">
        <v>950</v>
      </c>
      <c r="I20" s="37" t="s">
        <v>952</v>
      </c>
      <c r="J20" s="30" t="s">
        <v>169</v>
      </c>
      <c r="K20" s="102" t="str">
        <f>_xlfn.DISPIMG("ID_19655B6E33BD490E85CD09BD53E9C77B",1)</f>
        <v>=DISPIMG("ID_19655B6E33BD490E85CD09BD53E9C77B",1)</v>
      </c>
      <c r="L20" s="32"/>
      <c r="M20" s="30"/>
    </row>
    <row r="21" s="78" customFormat="1" ht="84" customHeight="1" spans="1:13">
      <c r="A21" s="30">
        <v>19</v>
      </c>
      <c r="B21" s="30" t="s">
        <v>248</v>
      </c>
      <c r="C21" s="30" t="s">
        <v>248</v>
      </c>
      <c r="D21" s="30" t="s">
        <v>28</v>
      </c>
      <c r="E21" s="32"/>
      <c r="F21" s="32" t="s">
        <v>426</v>
      </c>
      <c r="G21" s="32" t="s">
        <v>953</v>
      </c>
      <c r="H21" s="32" t="s">
        <v>954</v>
      </c>
      <c r="I21" s="37" t="s">
        <v>955</v>
      </c>
      <c r="J21" s="30" t="s">
        <v>41</v>
      </c>
      <c r="K21" s="102" t="str">
        <f>_xlfn.DISPIMG("ID_EF279158D11145108DB5A4198EC2D092",1)</f>
        <v>=DISPIMG("ID_EF279158D11145108DB5A4198EC2D092",1)</v>
      </c>
      <c r="L21" s="32"/>
      <c r="M21" s="30"/>
    </row>
    <row r="22" s="24" customFormat="1" ht="84" customHeight="1" spans="1:13">
      <c r="A22" s="30">
        <v>20</v>
      </c>
      <c r="B22" s="31" t="s">
        <v>13</v>
      </c>
      <c r="C22" s="31" t="s">
        <v>248</v>
      </c>
      <c r="D22" s="30" t="s">
        <v>15</v>
      </c>
      <c r="E22" s="32" t="s">
        <v>287</v>
      </c>
      <c r="F22" s="32" t="s">
        <v>683</v>
      </c>
      <c r="G22" s="32" t="s">
        <v>956</v>
      </c>
      <c r="H22" s="32" t="s">
        <v>957</v>
      </c>
      <c r="I22" s="34" t="s">
        <v>684</v>
      </c>
      <c r="J22" s="33" t="s">
        <v>25</v>
      </c>
      <c r="K22" s="101" t="str">
        <f>_xlfn.DISPIMG("ID_5D873F247C58434D8AB6CBE1CF0A37EE",1)</f>
        <v>=DISPIMG("ID_5D873F247C58434D8AB6CBE1CF0A37EE",1)</v>
      </c>
      <c r="L22" s="35"/>
      <c r="M22" s="31"/>
    </row>
    <row r="23" s="24" customFormat="1" ht="88" customHeight="1" spans="1:13">
      <c r="A23" s="30">
        <v>21</v>
      </c>
      <c r="B23" s="31" t="s">
        <v>13</v>
      </c>
      <c r="C23" s="31" t="s">
        <v>248</v>
      </c>
      <c r="D23" s="30" t="s">
        <v>15</v>
      </c>
      <c r="E23" s="32" t="s">
        <v>699</v>
      </c>
      <c r="F23" s="32" t="s">
        <v>700</v>
      </c>
      <c r="G23" s="32" t="s">
        <v>958</v>
      </c>
      <c r="H23" s="32" t="s">
        <v>959</v>
      </c>
      <c r="I23" s="34" t="s">
        <v>701</v>
      </c>
      <c r="J23" s="33" t="s">
        <v>960</v>
      </c>
      <c r="K23" s="101" t="str">
        <f>_xlfn.DISPIMG("ID_A33AE5AE920B420D965593B0D1CEBE84",1)</f>
        <v>=DISPIMG("ID_A33AE5AE920B420D965593B0D1CEBE84",1)</v>
      </c>
      <c r="L23" s="35"/>
      <c r="M23" s="31"/>
    </row>
    <row r="24" s="24" customFormat="1" ht="82" customHeight="1" spans="1:13">
      <c r="A24" s="30">
        <v>22</v>
      </c>
      <c r="B24" s="31" t="s">
        <v>13</v>
      </c>
      <c r="C24" s="31" t="s">
        <v>248</v>
      </c>
      <c r="D24" s="30" t="s">
        <v>15</v>
      </c>
      <c r="E24" s="32" t="s">
        <v>312</v>
      </c>
      <c r="F24" s="32" t="s">
        <v>604</v>
      </c>
      <c r="G24" s="32" t="s">
        <v>961</v>
      </c>
      <c r="H24" s="32" t="s">
        <v>962</v>
      </c>
      <c r="I24" s="34" t="s">
        <v>315</v>
      </c>
      <c r="J24" s="33" t="s">
        <v>963</v>
      </c>
      <c r="K24" s="101" t="str">
        <f>_xlfn.DISPIMG("ID_CF9D296DFD134F01BD3C04E4DC1BD0BA",1)</f>
        <v>=DISPIMG("ID_CF9D296DFD134F01BD3C04E4DC1BD0BA",1)</v>
      </c>
      <c r="L24" s="35"/>
      <c r="M24" s="31"/>
    </row>
    <row r="25" s="24" customFormat="1" ht="82" customHeight="1" spans="1:13">
      <c r="A25" s="30">
        <v>23</v>
      </c>
      <c r="B25" s="31" t="s">
        <v>13</v>
      </c>
      <c r="C25" s="31" t="s">
        <v>248</v>
      </c>
      <c r="D25" s="30" t="s">
        <v>15</v>
      </c>
      <c r="E25" s="32" t="s">
        <v>324</v>
      </c>
      <c r="F25" s="32" t="s">
        <v>605</v>
      </c>
      <c r="G25" s="32" t="s">
        <v>961</v>
      </c>
      <c r="H25" s="32" t="s">
        <v>962</v>
      </c>
      <c r="I25" s="34" t="s">
        <v>964</v>
      </c>
      <c r="J25" s="33" t="s">
        <v>963</v>
      </c>
      <c r="K25" s="101" t="str">
        <f>_xlfn.DISPIMG("ID_5706BBFF5BF043CEBEB40EE32BCC6C68",1)</f>
        <v>=DISPIMG("ID_5706BBFF5BF043CEBEB40EE32BCC6C68",1)</v>
      </c>
      <c r="L25" s="35"/>
      <c r="M25" s="31"/>
    </row>
    <row r="26" s="24" customFormat="1" ht="84" customHeight="1" spans="1:13">
      <c r="A26" s="30">
        <v>24</v>
      </c>
      <c r="B26" s="31" t="s">
        <v>13</v>
      </c>
      <c r="C26" s="31" t="s">
        <v>248</v>
      </c>
      <c r="D26" s="30" t="s">
        <v>15</v>
      </c>
      <c r="E26" s="32" t="s">
        <v>321</v>
      </c>
      <c r="F26" s="32" t="s">
        <v>607</v>
      </c>
      <c r="G26" s="32" t="s">
        <v>961</v>
      </c>
      <c r="H26" s="32" t="s">
        <v>962</v>
      </c>
      <c r="I26" s="34" t="s">
        <v>322</v>
      </c>
      <c r="J26" s="33" t="s">
        <v>963</v>
      </c>
      <c r="K26" s="101" t="str">
        <f>_xlfn.DISPIMG("ID_230532EE0EBB4CE297F957F3DFE12E1D",1)</f>
        <v>=DISPIMG("ID_230532EE0EBB4CE297F957F3DFE12E1D",1)</v>
      </c>
      <c r="L26" s="18"/>
      <c r="M26" s="31"/>
    </row>
    <row r="27" s="24" customFormat="1" ht="90" customHeight="1" spans="1:13">
      <c r="A27" s="30">
        <v>25</v>
      </c>
      <c r="B27" s="31" t="s">
        <v>13</v>
      </c>
      <c r="C27" s="31" t="s">
        <v>248</v>
      </c>
      <c r="D27" s="30" t="s">
        <v>15</v>
      </c>
      <c r="E27" s="32" t="s">
        <v>383</v>
      </c>
      <c r="F27" s="32" t="s">
        <v>965</v>
      </c>
      <c r="G27" s="32" t="s">
        <v>913</v>
      </c>
      <c r="H27" s="32" t="s">
        <v>966</v>
      </c>
      <c r="I27" s="34" t="s">
        <v>967</v>
      </c>
      <c r="J27" s="33" t="s">
        <v>21</v>
      </c>
      <c r="K27" s="101" t="str">
        <f>_xlfn.DISPIMG("ID_0E85EB01EE264B15946ED22F3E75A5EF",1)</f>
        <v>=DISPIMG("ID_0E85EB01EE264B15946ED22F3E75A5EF",1)</v>
      </c>
      <c r="L27" s="35"/>
      <c r="M27" s="31"/>
    </row>
    <row r="28" s="88" customFormat="1" ht="118" customHeight="1" spans="1:13">
      <c r="A28" s="94">
        <v>26</v>
      </c>
      <c r="B28" s="95" t="s">
        <v>13</v>
      </c>
      <c r="C28" s="95" t="s">
        <v>248</v>
      </c>
      <c r="D28" s="94" t="s">
        <v>15</v>
      </c>
      <c r="E28" s="96" t="s">
        <v>246</v>
      </c>
      <c r="F28" s="96" t="s">
        <v>968</v>
      </c>
      <c r="G28" s="96" t="s">
        <v>913</v>
      </c>
      <c r="H28" s="96" t="s">
        <v>966</v>
      </c>
      <c r="I28" s="105" t="s">
        <v>667</v>
      </c>
      <c r="J28" s="106" t="s">
        <v>25</v>
      </c>
      <c r="K28" s="107" t="str">
        <f>_xlfn.DISPIMG("ID_E742127D8E634F6D8D7EA140F8DBCB3D",1)</f>
        <v>=DISPIMG("ID_E742127D8E634F6D8D7EA140F8DBCB3D",1)</v>
      </c>
      <c r="L28" s="108" t="str">
        <f>_xlfn.DISPIMG("ID_0F9722BA4E984519B5337779FB0691C4",1)</f>
        <v>=DISPIMG("ID_0F9722BA4E984519B5337779FB0691C4",1)</v>
      </c>
      <c r="M28" s="95"/>
    </row>
    <row r="29" s="88" customFormat="1" ht="315" spans="1:13">
      <c r="A29" s="94">
        <v>27</v>
      </c>
      <c r="B29" s="95" t="s">
        <v>13</v>
      </c>
      <c r="C29" s="95" t="s">
        <v>248</v>
      </c>
      <c r="D29" s="94" t="s">
        <v>15</v>
      </c>
      <c r="E29" s="96" t="s">
        <v>267</v>
      </c>
      <c r="F29" s="96" t="s">
        <v>969</v>
      </c>
      <c r="G29" s="96" t="s">
        <v>913</v>
      </c>
      <c r="H29" s="96" t="s">
        <v>966</v>
      </c>
      <c r="I29" s="105" t="s">
        <v>663</v>
      </c>
      <c r="J29" s="106" t="s">
        <v>25</v>
      </c>
      <c r="K29" s="107" t="str">
        <f>_xlfn.DISPIMG("ID_41C1B2A404734300AD86F57CF23EA095",1)</f>
        <v>=DISPIMG("ID_41C1B2A404734300AD86F57CF23EA095",1)</v>
      </c>
      <c r="L29" s="108" t="str">
        <f>_xlfn.DISPIMG("ID_D89885B5C2924BACB9806E900B7B1A24",1)</f>
        <v>=DISPIMG("ID_D89885B5C2924BACB9806E900B7B1A24",1)</v>
      </c>
      <c r="M29" s="95"/>
    </row>
    <row r="30" s="24" customFormat="1" ht="89" customHeight="1" spans="1:13">
      <c r="A30" s="30">
        <v>28</v>
      </c>
      <c r="B30" s="31" t="s">
        <v>13</v>
      </c>
      <c r="C30" s="31" t="s">
        <v>248</v>
      </c>
      <c r="D30" s="30" t="s">
        <v>15</v>
      </c>
      <c r="E30" s="32" t="s">
        <v>390</v>
      </c>
      <c r="F30" s="32" t="s">
        <v>693</v>
      </c>
      <c r="G30" s="32" t="s">
        <v>913</v>
      </c>
      <c r="H30" s="32" t="s">
        <v>966</v>
      </c>
      <c r="I30" s="39" t="s">
        <v>970</v>
      </c>
      <c r="J30" s="33" t="s">
        <v>25</v>
      </c>
      <c r="K30" s="101" t="str">
        <f>_xlfn.DISPIMG("ID_9F39D6E1D4DE487FACC0793A8EC61161",1)</f>
        <v>=DISPIMG("ID_9F39D6E1D4DE487FACC0793A8EC61161",1)</v>
      </c>
      <c r="L30" s="35"/>
      <c r="M30" s="31"/>
    </row>
    <row r="31" s="24" customFormat="1" ht="89" customHeight="1" spans="1:13">
      <c r="A31" s="30">
        <v>29</v>
      </c>
      <c r="B31" s="31" t="s">
        <v>13</v>
      </c>
      <c r="C31" s="31" t="s">
        <v>248</v>
      </c>
      <c r="D31" s="30" t="s">
        <v>15</v>
      </c>
      <c r="E31" s="32" t="s">
        <v>709</v>
      </c>
      <c r="F31" s="32" t="s">
        <v>971</v>
      </c>
      <c r="G31" s="32" t="s">
        <v>972</v>
      </c>
      <c r="H31" s="32" t="s">
        <v>973</v>
      </c>
      <c r="I31" s="34" t="s">
        <v>974</v>
      </c>
      <c r="J31" s="33" t="s">
        <v>960</v>
      </c>
      <c r="K31" s="101" t="str">
        <f>_xlfn.DISPIMG("ID_403557C561004C60A092B8C0E494DCCC",1)</f>
        <v>=DISPIMG("ID_403557C561004C60A092B8C0E494DCCC",1)</v>
      </c>
      <c r="L31" s="35" t="s">
        <v>975</v>
      </c>
      <c r="M31" s="31"/>
    </row>
    <row r="32" s="24" customFormat="1" ht="90" customHeight="1" spans="1:13">
      <c r="A32" s="30">
        <v>30</v>
      </c>
      <c r="B32" s="31" t="s">
        <v>13</v>
      </c>
      <c r="C32" s="31" t="s">
        <v>248</v>
      </c>
      <c r="D32" s="30" t="s">
        <v>15</v>
      </c>
      <c r="E32" s="32" t="s">
        <v>705</v>
      </c>
      <c r="F32" s="32" t="s">
        <v>706</v>
      </c>
      <c r="G32" s="32" t="s">
        <v>972</v>
      </c>
      <c r="H32" s="32" t="s">
        <v>973</v>
      </c>
      <c r="I32" s="34" t="s">
        <v>707</v>
      </c>
      <c r="J32" s="33" t="s">
        <v>960</v>
      </c>
      <c r="K32" s="101" t="str">
        <f>_xlfn.DISPIMG("ID_351E4B9DEFD44F5C8F6976E231A34EF9",1)</f>
        <v>=DISPIMG("ID_351E4B9DEFD44F5C8F6976E231A34EF9",1)</v>
      </c>
      <c r="L32" s="35" t="s">
        <v>975</v>
      </c>
      <c r="M32" s="31"/>
    </row>
    <row r="33" s="24" customFormat="1" ht="87" customHeight="1" spans="1:13">
      <c r="A33" s="30">
        <v>31</v>
      </c>
      <c r="B33" s="31" t="s">
        <v>13</v>
      </c>
      <c r="C33" s="31" t="s">
        <v>248</v>
      </c>
      <c r="D33" s="30" t="s">
        <v>15</v>
      </c>
      <c r="E33" s="32" t="s">
        <v>713</v>
      </c>
      <c r="F33" s="32" t="s">
        <v>714</v>
      </c>
      <c r="G33" s="32" t="s">
        <v>976</v>
      </c>
      <c r="H33" s="32" t="s">
        <v>977</v>
      </c>
      <c r="I33" s="34" t="s">
        <v>715</v>
      </c>
      <c r="J33" s="33" t="s">
        <v>960</v>
      </c>
      <c r="K33" s="101" t="str">
        <f>_xlfn.DISPIMG("ID_C3AB7E3907CE43E3A0F178646B663BAD",1)</f>
        <v>=DISPIMG("ID_C3AB7E3907CE43E3A0F178646B663BAD",1)</v>
      </c>
      <c r="L33" s="35" t="s">
        <v>978</v>
      </c>
      <c r="M33" s="31"/>
    </row>
    <row r="34" s="24" customFormat="1" ht="86" customHeight="1" spans="1:13">
      <c r="A34" s="30">
        <v>32</v>
      </c>
      <c r="B34" s="31" t="s">
        <v>13</v>
      </c>
      <c r="C34" s="31" t="s">
        <v>248</v>
      </c>
      <c r="D34" s="30" t="s">
        <v>28</v>
      </c>
      <c r="E34" s="32"/>
      <c r="F34" s="32" t="s">
        <v>629</v>
      </c>
      <c r="G34" s="32" t="s">
        <v>979</v>
      </c>
      <c r="H34" s="32" t="s">
        <v>980</v>
      </c>
      <c r="I34" s="34" t="s">
        <v>981</v>
      </c>
      <c r="J34" s="33" t="s">
        <v>982</v>
      </c>
      <c r="K34" s="101" t="str">
        <f>_xlfn.DISPIMG("ID_C2465D68709044EBB64FAEA0ED8A1890",1)</f>
        <v>=DISPIMG("ID_C2465D68709044EBB64FAEA0ED8A1890",1)</v>
      </c>
      <c r="L34" s="35"/>
      <c r="M34" s="31"/>
    </row>
    <row r="35" s="24" customFormat="1" ht="82" customHeight="1" spans="1:13">
      <c r="A35" s="30">
        <v>33</v>
      </c>
      <c r="B35" s="31" t="s">
        <v>13</v>
      </c>
      <c r="C35" s="31" t="s">
        <v>248</v>
      </c>
      <c r="D35" s="30" t="s">
        <v>28</v>
      </c>
      <c r="E35" s="32"/>
      <c r="F35" s="32" t="s">
        <v>631</v>
      </c>
      <c r="G35" s="32" t="s">
        <v>979</v>
      </c>
      <c r="H35" s="32" t="s">
        <v>980</v>
      </c>
      <c r="I35" s="34" t="s">
        <v>632</v>
      </c>
      <c r="J35" s="33" t="s">
        <v>982</v>
      </c>
      <c r="K35" s="101" t="str">
        <f>_xlfn.DISPIMG("ID_9BE1AD4B766D4894B5644A8F546365F9",1)</f>
        <v>=DISPIMG("ID_9BE1AD4B766D4894B5644A8F546365F9",1)</v>
      </c>
      <c r="L35" s="35"/>
      <c r="M35" s="31"/>
    </row>
    <row r="36" s="24" customFormat="1" ht="82" customHeight="1" spans="1:13">
      <c r="A36" s="94">
        <v>34</v>
      </c>
      <c r="B36" s="95" t="s">
        <v>13</v>
      </c>
      <c r="C36" s="95" t="s">
        <v>248</v>
      </c>
      <c r="D36" s="94" t="s">
        <v>28</v>
      </c>
      <c r="E36" s="96"/>
      <c r="F36" s="96" t="s">
        <v>452</v>
      </c>
      <c r="G36" s="96" t="s">
        <v>58</v>
      </c>
      <c r="H36" s="96" t="s">
        <v>983</v>
      </c>
      <c r="I36" s="105" t="s">
        <v>453</v>
      </c>
      <c r="J36" s="106" t="s">
        <v>984</v>
      </c>
      <c r="K36" s="107" t="str">
        <f>_xlfn.DISPIMG("ID_4762E7A374664880A89EDFB8C3D34D9E",1)</f>
        <v>=DISPIMG("ID_4762E7A374664880A89EDFB8C3D34D9E",1)</v>
      </c>
      <c r="L36" s="109"/>
      <c r="M36" s="95"/>
    </row>
    <row r="37" s="24" customFormat="1" ht="82" customHeight="1" spans="1:13">
      <c r="A37" s="30">
        <v>35</v>
      </c>
      <c r="B37" s="31" t="s">
        <v>13</v>
      </c>
      <c r="C37" s="31" t="s">
        <v>248</v>
      </c>
      <c r="D37" s="30" t="s">
        <v>28</v>
      </c>
      <c r="E37" s="32"/>
      <c r="F37" s="32" t="s">
        <v>985</v>
      </c>
      <c r="G37" s="32" t="s">
        <v>986</v>
      </c>
      <c r="H37" s="32" t="s">
        <v>987</v>
      </c>
      <c r="I37" s="34" t="s">
        <v>634</v>
      </c>
      <c r="J37" s="33" t="s">
        <v>21</v>
      </c>
      <c r="K37" s="101" t="str">
        <f>_xlfn.DISPIMG("ID_42ACD0DAE71C46DABB639767FB412323",1)</f>
        <v>=DISPIMG("ID_42ACD0DAE71C46DABB639767FB412323",1)</v>
      </c>
      <c r="L37" s="35" t="s">
        <v>988</v>
      </c>
      <c r="M37" s="31"/>
    </row>
    <row r="38" s="24" customFormat="1" ht="82" customHeight="1" spans="1:13">
      <c r="A38" s="30">
        <v>36</v>
      </c>
      <c r="B38" s="31" t="s">
        <v>13</v>
      </c>
      <c r="C38" s="31" t="s">
        <v>248</v>
      </c>
      <c r="D38" s="30" t="s">
        <v>28</v>
      </c>
      <c r="E38" s="32"/>
      <c r="F38" s="43" t="s">
        <v>989</v>
      </c>
      <c r="G38" s="32" t="s">
        <v>986</v>
      </c>
      <c r="H38" s="32" t="s">
        <v>987</v>
      </c>
      <c r="I38" s="34" t="s">
        <v>990</v>
      </c>
      <c r="J38" s="33" t="s">
        <v>21</v>
      </c>
      <c r="K38" s="101" t="str">
        <f>_xlfn.DISPIMG("ID_B235415A02EF40CA9E8249B16865EE98",1)</f>
        <v>=DISPIMG("ID_B235415A02EF40CA9E8249B16865EE98",1)</v>
      </c>
      <c r="L38" s="35" t="s">
        <v>988</v>
      </c>
      <c r="M38" s="31"/>
    </row>
    <row r="39" s="24" customFormat="1" ht="82" customHeight="1" spans="1:13">
      <c r="A39" s="30">
        <v>37</v>
      </c>
      <c r="B39" s="31" t="s">
        <v>13</v>
      </c>
      <c r="C39" s="31" t="s">
        <v>248</v>
      </c>
      <c r="D39" s="30" t="s">
        <v>28</v>
      </c>
      <c r="E39" s="32"/>
      <c r="F39" s="32" t="s">
        <v>991</v>
      </c>
      <c r="G39" s="32" t="s">
        <v>986</v>
      </c>
      <c r="H39" s="32" t="s">
        <v>987</v>
      </c>
      <c r="I39" s="34" t="s">
        <v>636</v>
      </c>
      <c r="J39" s="33" t="s">
        <v>21</v>
      </c>
      <c r="K39" s="101" t="str">
        <f>_xlfn.DISPIMG("ID_86961691DB4C4A86B09BDDECD6A32080",1)</f>
        <v>=DISPIMG("ID_86961691DB4C4A86B09BDDECD6A32080",1)</v>
      </c>
      <c r="L39" s="35" t="s">
        <v>988</v>
      </c>
      <c r="M39" s="31"/>
    </row>
    <row r="40" s="24" customFormat="1" ht="82" customHeight="1" spans="1:13">
      <c r="A40" s="30">
        <v>38</v>
      </c>
      <c r="B40" s="31" t="s">
        <v>13</v>
      </c>
      <c r="C40" s="31" t="s">
        <v>248</v>
      </c>
      <c r="D40" s="30" t="s">
        <v>28</v>
      </c>
      <c r="E40" s="32"/>
      <c r="F40" s="32" t="s">
        <v>992</v>
      </c>
      <c r="G40" s="32" t="s">
        <v>993</v>
      </c>
      <c r="H40" s="32" t="s">
        <v>994</v>
      </c>
      <c r="I40" s="34" t="s">
        <v>995</v>
      </c>
      <c r="J40" s="33" t="s">
        <v>169</v>
      </c>
      <c r="K40" s="101" t="str">
        <f>_xlfn.DISPIMG("ID_FE6D0DAA809740949D97408BC3DFCD6E",1)</f>
        <v>=DISPIMG("ID_FE6D0DAA809740949D97408BC3DFCD6E",1)</v>
      </c>
      <c r="L40" s="35" t="s">
        <v>996</v>
      </c>
      <c r="M40" s="31"/>
    </row>
    <row r="41" s="24" customFormat="1" ht="94" customHeight="1" spans="1:13">
      <c r="A41" s="30">
        <v>39</v>
      </c>
      <c r="B41" s="31" t="s">
        <v>13</v>
      </c>
      <c r="C41" s="31" t="s">
        <v>248</v>
      </c>
      <c r="D41" s="30" t="s">
        <v>28</v>
      </c>
      <c r="E41" s="32"/>
      <c r="F41" s="32" t="s">
        <v>997</v>
      </c>
      <c r="G41" s="32" t="s">
        <v>993</v>
      </c>
      <c r="H41" s="32" t="s">
        <v>994</v>
      </c>
      <c r="I41" s="34" t="s">
        <v>998</v>
      </c>
      <c r="J41" s="33" t="s">
        <v>169</v>
      </c>
      <c r="K41" s="101" t="str">
        <f>_xlfn.DISPIMG("ID_F9D37B6252824B638F73C4D30E7DF670",1)</f>
        <v>=DISPIMG("ID_F9D37B6252824B638F73C4D30E7DF670",1)</v>
      </c>
      <c r="L41" s="35" t="s">
        <v>996</v>
      </c>
      <c r="M41" s="31"/>
    </row>
    <row r="42" s="24" customFormat="1" ht="94" customHeight="1" spans="1:13">
      <c r="A42" s="30">
        <v>40</v>
      </c>
      <c r="B42" s="31" t="s">
        <v>13</v>
      </c>
      <c r="C42" s="31" t="s">
        <v>248</v>
      </c>
      <c r="D42" s="30" t="s">
        <v>28</v>
      </c>
      <c r="E42" s="32"/>
      <c r="F42" s="32" t="s">
        <v>643</v>
      </c>
      <c r="G42" s="32" t="s">
        <v>993</v>
      </c>
      <c r="H42" s="32" t="s">
        <v>994</v>
      </c>
      <c r="I42" s="34" t="s">
        <v>999</v>
      </c>
      <c r="J42" s="33" t="s">
        <v>169</v>
      </c>
      <c r="K42" s="101" t="str">
        <f>_xlfn.DISPIMG("ID_DD87294C6E7342D7B9CE65852D999DDF",1)</f>
        <v>=DISPIMG("ID_DD87294C6E7342D7B9CE65852D999DDF",1)</v>
      </c>
      <c r="L42" s="35"/>
      <c r="M42" s="31"/>
    </row>
    <row r="43" s="24" customFormat="1" ht="94" customHeight="1" spans="1:13">
      <c r="A43" s="30">
        <v>41</v>
      </c>
      <c r="B43" s="31" t="s">
        <v>13</v>
      </c>
      <c r="C43" s="31" t="s">
        <v>248</v>
      </c>
      <c r="D43" s="30" t="s">
        <v>28</v>
      </c>
      <c r="E43" s="32"/>
      <c r="F43" s="32" t="s">
        <v>646</v>
      </c>
      <c r="G43" s="32" t="s">
        <v>1000</v>
      </c>
      <c r="H43" s="32" t="s">
        <v>1001</v>
      </c>
      <c r="I43" s="34" t="s">
        <v>647</v>
      </c>
      <c r="J43" s="33" t="s">
        <v>176</v>
      </c>
      <c r="K43" s="101" t="str">
        <f>_xlfn.DISPIMG("ID_37A7C4B6C29B4A728150374C9C27CCB9",1)</f>
        <v>=DISPIMG("ID_37A7C4B6C29B4A728150374C9C27CCB9",1)</v>
      </c>
      <c r="L43" s="35"/>
      <c r="M43" s="31"/>
    </row>
    <row r="44" s="24" customFormat="1" ht="94" customHeight="1" spans="1:13">
      <c r="A44" s="30">
        <v>42</v>
      </c>
      <c r="B44" s="31" t="s">
        <v>13</v>
      </c>
      <c r="C44" s="31" t="s">
        <v>248</v>
      </c>
      <c r="D44" s="30" t="s">
        <v>28</v>
      </c>
      <c r="E44" s="32"/>
      <c r="F44" s="32" t="s">
        <v>1002</v>
      </c>
      <c r="G44" s="32" t="s">
        <v>1003</v>
      </c>
      <c r="H44" s="32" t="s">
        <v>1004</v>
      </c>
      <c r="I44" s="34" t="s">
        <v>1005</v>
      </c>
      <c r="J44" s="33" t="s">
        <v>651</v>
      </c>
      <c r="K44" s="101" t="str">
        <f>_xlfn.DISPIMG("ID_4B012F7D6E5746CB88FD945FBCCE218F",1)</f>
        <v>=DISPIMG("ID_4B012F7D6E5746CB88FD945FBCCE218F",1)</v>
      </c>
      <c r="L44" s="32"/>
      <c r="M44" s="31"/>
    </row>
    <row r="45" s="24" customFormat="1" ht="94" customHeight="1" spans="1:13">
      <c r="A45" s="30">
        <v>43</v>
      </c>
      <c r="B45" s="31" t="s">
        <v>13</v>
      </c>
      <c r="C45" s="31" t="s">
        <v>248</v>
      </c>
      <c r="D45" s="30" t="s">
        <v>28</v>
      </c>
      <c r="E45" s="54"/>
      <c r="F45" s="32" t="s">
        <v>1006</v>
      </c>
      <c r="G45" s="32" t="s">
        <v>1003</v>
      </c>
      <c r="H45" s="32" t="s">
        <v>1004</v>
      </c>
      <c r="I45" s="30" t="s">
        <v>1007</v>
      </c>
      <c r="J45" s="33" t="s">
        <v>651</v>
      </c>
      <c r="K45" s="101" t="str">
        <f>_xlfn.DISPIMG("ID_47FB13D432AB485EBD4C56727DB40B12",1)</f>
        <v>=DISPIMG("ID_47FB13D432AB485EBD4C56727DB40B12",1)</v>
      </c>
      <c r="L45" s="30"/>
      <c r="M45" s="18"/>
    </row>
    <row r="46" s="24" customFormat="1" ht="94" customHeight="1" spans="1:13">
      <c r="A46" s="30">
        <v>44</v>
      </c>
      <c r="B46" s="31" t="s">
        <v>13</v>
      </c>
      <c r="C46" s="31" t="s">
        <v>248</v>
      </c>
      <c r="D46" s="30" t="s">
        <v>28</v>
      </c>
      <c r="E46" s="54"/>
      <c r="F46" s="32" t="s">
        <v>1008</v>
      </c>
      <c r="G46" s="32" t="s">
        <v>1009</v>
      </c>
      <c r="H46" s="32" t="s">
        <v>174</v>
      </c>
      <c r="I46" s="30" t="s">
        <v>1010</v>
      </c>
      <c r="J46" s="33" t="s">
        <v>1011</v>
      </c>
      <c r="K46" s="101" t="str">
        <f>_xlfn.DISPIMG("ID_158C95882C654AA9B66D2B18C4FD0A20",1)</f>
        <v>=DISPIMG("ID_158C95882C654AA9B66D2B18C4FD0A20",1)</v>
      </c>
      <c r="L46" s="30" t="s">
        <v>1012</v>
      </c>
      <c r="M46" s="18"/>
    </row>
    <row r="47" s="24" customFormat="1" ht="94" customHeight="1" spans="1:13">
      <c r="A47" s="30">
        <v>45</v>
      </c>
      <c r="B47" s="31" t="s">
        <v>13</v>
      </c>
      <c r="C47" s="31" t="s">
        <v>248</v>
      </c>
      <c r="D47" s="30" t="s">
        <v>28</v>
      </c>
      <c r="E47" s="54"/>
      <c r="F47" s="32" t="s">
        <v>1013</v>
      </c>
      <c r="G47" s="32" t="s">
        <v>1009</v>
      </c>
      <c r="H47" s="32" t="s">
        <v>174</v>
      </c>
      <c r="I47" s="30" t="s">
        <v>1014</v>
      </c>
      <c r="J47" s="33" t="s">
        <v>1011</v>
      </c>
      <c r="K47" s="101" t="str">
        <f>_xlfn.DISPIMG("ID_8CF357CA931A41AD91D9F0FA47118BA4",1)</f>
        <v>=DISPIMG("ID_8CF357CA931A41AD91D9F0FA47118BA4",1)</v>
      </c>
      <c r="L47" s="30" t="s">
        <v>1015</v>
      </c>
      <c r="M47" s="18"/>
    </row>
    <row r="48" s="24" customFormat="1" ht="94" customHeight="1" spans="1:13">
      <c r="A48" s="30">
        <v>46</v>
      </c>
      <c r="B48" s="31" t="s">
        <v>13</v>
      </c>
      <c r="C48" s="31" t="s">
        <v>248</v>
      </c>
      <c r="D48" s="30" t="s">
        <v>28</v>
      </c>
      <c r="E48" s="54"/>
      <c r="F48" s="32" t="s">
        <v>1016</v>
      </c>
      <c r="G48" s="32" t="s">
        <v>1017</v>
      </c>
      <c r="H48" s="32" t="s">
        <v>1018</v>
      </c>
      <c r="I48" s="30" t="s">
        <v>1019</v>
      </c>
      <c r="J48" s="33" t="s">
        <v>1020</v>
      </c>
      <c r="K48" s="101" t="str">
        <f>_xlfn.DISPIMG("ID_45D9A69ADD98496F97B9C5A5E14909A9",1)</f>
        <v>=DISPIMG("ID_45D9A69ADD98496F97B9C5A5E14909A9",1)</v>
      </c>
      <c r="L48" s="30" t="s">
        <v>1021</v>
      </c>
      <c r="M48" s="18"/>
    </row>
    <row r="49" s="78" customFormat="1" ht="94" customHeight="1" spans="1:13">
      <c r="A49" s="30">
        <v>47</v>
      </c>
      <c r="B49" s="30" t="s">
        <v>248</v>
      </c>
      <c r="C49" s="30" t="s">
        <v>248</v>
      </c>
      <c r="D49" s="30" t="s">
        <v>28</v>
      </c>
      <c r="E49" s="19"/>
      <c r="F49" s="32" t="s">
        <v>752</v>
      </c>
      <c r="G49" s="32" t="s">
        <v>1022</v>
      </c>
      <c r="H49" s="32" t="s">
        <v>1023</v>
      </c>
      <c r="I49" s="30" t="s">
        <v>753</v>
      </c>
      <c r="J49" s="30" t="s">
        <v>25</v>
      </c>
      <c r="K49" s="102" t="str">
        <f>_xlfn.DISPIMG("ID_EE61734E3F784D07A86AD286A5BFB30A",1)</f>
        <v>=DISPIMG("ID_EE61734E3F784D07A86AD286A5BFB30A",1)</v>
      </c>
      <c r="L49" s="30"/>
      <c r="M49" s="52" t="s">
        <v>1024</v>
      </c>
    </row>
    <row r="50" s="87" customFormat="1" ht="94" customHeight="1" spans="1:13">
      <c r="A50" s="93">
        <v>48</v>
      </c>
      <c r="B50" s="93" t="s">
        <v>248</v>
      </c>
      <c r="C50" s="93" t="s">
        <v>248</v>
      </c>
      <c r="D50" s="93" t="s">
        <v>28</v>
      </c>
      <c r="E50" s="97"/>
      <c r="F50" s="43" t="s">
        <v>751</v>
      </c>
      <c r="G50" s="43" t="s">
        <v>1022</v>
      </c>
      <c r="H50" s="43" t="s">
        <v>1023</v>
      </c>
      <c r="I50" s="93" t="s">
        <v>726</v>
      </c>
      <c r="J50" s="93" t="s">
        <v>25</v>
      </c>
      <c r="K50" s="104" t="str">
        <f>_xlfn.DISPIMG("ID_6B8B8883307147099EBE737D3A7DDB4C",1)</f>
        <v>=DISPIMG("ID_6B8B8883307147099EBE737D3A7DDB4C",1)</v>
      </c>
      <c r="L50" s="93"/>
      <c r="M50" s="110"/>
    </row>
    <row r="51" s="88" customFormat="1" ht="368" customHeight="1" spans="1:13">
      <c r="A51" s="94">
        <v>49</v>
      </c>
      <c r="B51" s="95" t="s">
        <v>13</v>
      </c>
      <c r="C51" s="95" t="s">
        <v>248</v>
      </c>
      <c r="D51" s="94" t="s">
        <v>171</v>
      </c>
      <c r="E51" s="96"/>
      <c r="F51" s="96" t="s">
        <v>468</v>
      </c>
      <c r="G51" s="96" t="s">
        <v>1025</v>
      </c>
      <c r="H51" s="96" t="s">
        <v>1026</v>
      </c>
      <c r="I51" s="105" t="s">
        <v>1027</v>
      </c>
      <c r="J51" s="106" t="s">
        <v>470</v>
      </c>
      <c r="K51" s="107" t="str">
        <f>_xlfn.DISPIMG("ID_C4EAA991AC934248B5912D5CAED0227D",1)</f>
        <v>=DISPIMG("ID_C4EAA991AC934248B5912D5CAED0227D",1)</v>
      </c>
      <c r="L51" s="96" t="s">
        <v>1028</v>
      </c>
      <c r="M51" s="95"/>
    </row>
    <row r="52" s="24" customFormat="1" ht="89" customHeight="1" spans="1:14">
      <c r="A52" s="30">
        <v>50</v>
      </c>
      <c r="B52" s="31" t="s">
        <v>13</v>
      </c>
      <c r="C52" s="31" t="s">
        <v>248</v>
      </c>
      <c r="D52" s="30" t="s">
        <v>15</v>
      </c>
      <c r="E52" s="32" t="s">
        <v>546</v>
      </c>
      <c r="F52" s="32" t="s">
        <v>1029</v>
      </c>
      <c r="G52" s="32" t="s">
        <v>1030</v>
      </c>
      <c r="H52" s="32" t="s">
        <v>1031</v>
      </c>
      <c r="I52" s="34" t="s">
        <v>1032</v>
      </c>
      <c r="J52" s="33" t="s">
        <v>1033</v>
      </c>
      <c r="K52" s="101" t="str">
        <f>_xlfn.DISPIMG("ID_D0833C3D56CE41DFBF3168C35D789A2C",1)</f>
        <v>=DISPIMG("ID_D0833C3D56CE41DFBF3168C35D789A2C",1)</v>
      </c>
      <c r="L52" s="43" t="s">
        <v>1034</v>
      </c>
      <c r="M52" s="31" t="s">
        <v>1035</v>
      </c>
      <c r="N52" s="24" t="s">
        <v>1036</v>
      </c>
    </row>
    <row r="53" s="24" customFormat="1" ht="89" customHeight="1" spans="1:14">
      <c r="A53" s="98">
        <v>51</v>
      </c>
      <c r="B53" s="99" t="s">
        <v>13</v>
      </c>
      <c r="C53" s="99" t="s">
        <v>248</v>
      </c>
      <c r="D53" s="98" t="s">
        <v>171</v>
      </c>
      <c r="E53" s="100" t="s">
        <v>582</v>
      </c>
      <c r="F53" s="100" t="s">
        <v>1037</v>
      </c>
      <c r="G53" s="100" t="s">
        <v>1000</v>
      </c>
      <c r="H53" s="100" t="s">
        <v>1038</v>
      </c>
      <c r="I53" s="111" t="s">
        <v>536</v>
      </c>
      <c r="J53" s="112" t="s">
        <v>41</v>
      </c>
      <c r="K53" s="113" t="str">
        <f>_xlfn.DISPIMG("ID_C663856859C04CD5AAC138FD0D8B8E5D",1)</f>
        <v>=DISPIMG("ID_C663856859C04CD5AAC138FD0D8B8E5D",1)</v>
      </c>
      <c r="L53" s="114" t="s">
        <v>1039</v>
      </c>
      <c r="M53" s="99" t="s">
        <v>1040</v>
      </c>
      <c r="N53" s="115" t="s">
        <v>1036</v>
      </c>
    </row>
    <row r="54" s="24" customFormat="1" ht="95" customHeight="1" spans="1:14">
      <c r="A54" s="30">
        <v>52</v>
      </c>
      <c r="B54" s="31" t="s">
        <v>13</v>
      </c>
      <c r="C54" s="31" t="s">
        <v>248</v>
      </c>
      <c r="D54" s="30" t="s">
        <v>15</v>
      </c>
      <c r="E54" s="32" t="s">
        <v>541</v>
      </c>
      <c r="F54" s="32" t="s">
        <v>542</v>
      </c>
      <c r="G54" s="32" t="s">
        <v>1000</v>
      </c>
      <c r="H54" s="32" t="s">
        <v>1038</v>
      </c>
      <c r="I54" s="34" t="s">
        <v>1041</v>
      </c>
      <c r="J54" s="33" t="s">
        <v>1033</v>
      </c>
      <c r="K54" s="101" t="str">
        <f>_xlfn.DISPIMG("ID_4468B7F82F114E49BF6172DFE7E05975",1)</f>
        <v>=DISPIMG("ID_4468B7F82F114E49BF6172DFE7E05975",1)</v>
      </c>
      <c r="L54" s="43" t="s">
        <v>1042</v>
      </c>
      <c r="M54" s="31" t="s">
        <v>1040</v>
      </c>
      <c r="N54" s="24" t="s">
        <v>1043</v>
      </c>
    </row>
    <row r="55" s="24" customFormat="1" ht="98" customHeight="1" spans="1:14">
      <c r="A55" s="98">
        <v>53</v>
      </c>
      <c r="B55" s="99" t="s">
        <v>13</v>
      </c>
      <c r="C55" s="99" t="s">
        <v>248</v>
      </c>
      <c r="D55" s="98" t="s">
        <v>171</v>
      </c>
      <c r="E55" s="100" t="s">
        <v>566</v>
      </c>
      <c r="F55" s="100" t="s">
        <v>1044</v>
      </c>
      <c r="G55" s="100" t="s">
        <v>1000</v>
      </c>
      <c r="H55" s="100" t="s">
        <v>1038</v>
      </c>
      <c r="I55" s="111" t="s">
        <v>532</v>
      </c>
      <c r="J55" s="112" t="s">
        <v>1011</v>
      </c>
      <c r="K55" s="113" t="str">
        <f>_xlfn.DISPIMG("ID_14B9693B2DC64A5897D5176FBC0103C3",1)</f>
        <v>=DISPIMG("ID_14B9693B2DC64A5897D5176FBC0103C3",1)</v>
      </c>
      <c r="L55" s="114" t="s">
        <v>1045</v>
      </c>
      <c r="M55" s="99" t="s">
        <v>1040</v>
      </c>
      <c r="N55" s="115" t="s">
        <v>1043</v>
      </c>
    </row>
    <row r="56" s="24" customFormat="1" ht="92" customHeight="1" spans="1:14">
      <c r="A56" s="98">
        <v>54</v>
      </c>
      <c r="B56" s="99" t="s">
        <v>13</v>
      </c>
      <c r="C56" s="99" t="s">
        <v>248</v>
      </c>
      <c r="D56" s="98" t="s">
        <v>171</v>
      </c>
      <c r="E56" s="100" t="s">
        <v>564</v>
      </c>
      <c r="F56" s="100" t="s">
        <v>529</v>
      </c>
      <c r="G56" s="100" t="s">
        <v>1000</v>
      </c>
      <c r="H56" s="100" t="s">
        <v>1038</v>
      </c>
      <c r="I56" s="111" t="s">
        <v>1046</v>
      </c>
      <c r="J56" s="112" t="s">
        <v>1011</v>
      </c>
      <c r="K56" s="113" t="str">
        <f>_xlfn.DISPIMG("ID_6CEBDF47349C489FAF209B74EAD487AA",1)</f>
        <v>=DISPIMG("ID_6CEBDF47349C489FAF209B74EAD487AA",1)</v>
      </c>
      <c r="L56" s="114" t="s">
        <v>1047</v>
      </c>
      <c r="M56" s="99" t="s">
        <v>1040</v>
      </c>
      <c r="N56" s="115" t="s">
        <v>1043</v>
      </c>
    </row>
    <row r="57" s="24" customFormat="1" ht="92" customHeight="1" spans="1:14">
      <c r="A57" s="98">
        <v>55</v>
      </c>
      <c r="B57" s="99" t="s">
        <v>13</v>
      </c>
      <c r="C57" s="99" t="s">
        <v>248</v>
      </c>
      <c r="D57" s="98" t="s">
        <v>171</v>
      </c>
      <c r="E57" s="100" t="s">
        <v>596</v>
      </c>
      <c r="F57" s="100" t="s">
        <v>527</v>
      </c>
      <c r="G57" s="100" t="s">
        <v>1000</v>
      </c>
      <c r="H57" s="100" t="s">
        <v>1038</v>
      </c>
      <c r="I57" s="111" t="s">
        <v>1048</v>
      </c>
      <c r="J57" s="112" t="s">
        <v>1011</v>
      </c>
      <c r="K57" s="113" t="str">
        <f>_xlfn.DISPIMG("ID_BA25EFDD309C481A83A1026C1DC84953",1)</f>
        <v>=DISPIMG("ID_BA25EFDD309C481A83A1026C1DC84953",1)</v>
      </c>
      <c r="L57" s="114" t="s">
        <v>1049</v>
      </c>
      <c r="M57" s="99" t="s">
        <v>1040</v>
      </c>
      <c r="N57" s="115" t="s">
        <v>1036</v>
      </c>
    </row>
    <row r="58" s="24" customFormat="1" ht="86" customHeight="1" spans="1:14">
      <c r="A58" s="30">
        <v>56</v>
      </c>
      <c r="B58" s="31" t="s">
        <v>13</v>
      </c>
      <c r="C58" s="31" t="s">
        <v>248</v>
      </c>
      <c r="D58" s="30" t="s">
        <v>171</v>
      </c>
      <c r="E58" s="32" t="s">
        <v>539</v>
      </c>
      <c r="F58" s="32" t="s">
        <v>525</v>
      </c>
      <c r="G58" s="32" t="s">
        <v>1050</v>
      </c>
      <c r="H58" s="32" t="s">
        <v>1038</v>
      </c>
      <c r="I58" s="34" t="s">
        <v>1051</v>
      </c>
      <c r="J58" s="33" t="s">
        <v>1011</v>
      </c>
      <c r="K58" s="101" t="str">
        <f>_xlfn.DISPIMG("ID_E421498CD7764CA18AC7065E16D1EE20",1)</f>
        <v>=DISPIMG("ID_E421498CD7764CA18AC7065E16D1EE20",1)</v>
      </c>
      <c r="L58" s="43" t="s">
        <v>1052</v>
      </c>
      <c r="M58" s="31" t="s">
        <v>1040</v>
      </c>
      <c r="N58" s="24" t="s">
        <v>1036</v>
      </c>
    </row>
    <row r="59" s="24" customFormat="1" ht="94" customHeight="1" spans="1:14">
      <c r="A59" s="30">
        <v>57</v>
      </c>
      <c r="B59" s="31" t="s">
        <v>13</v>
      </c>
      <c r="C59" s="31" t="s">
        <v>248</v>
      </c>
      <c r="D59" s="30" t="s">
        <v>171</v>
      </c>
      <c r="E59" s="32" t="s">
        <v>1053</v>
      </c>
      <c r="F59" s="32" t="s">
        <v>1054</v>
      </c>
      <c r="G59" s="32" t="s">
        <v>1050</v>
      </c>
      <c r="H59" s="32" t="s">
        <v>1038</v>
      </c>
      <c r="I59" s="34" t="s">
        <v>1055</v>
      </c>
      <c r="J59" s="33" t="s">
        <v>1011</v>
      </c>
      <c r="K59" s="101" t="str">
        <f>_xlfn.DISPIMG("ID_9E39FC6605E44495ACADB1F7BF217C1E",1)</f>
        <v>=DISPIMG("ID_9E39FC6605E44495ACADB1F7BF217C1E",1)</v>
      </c>
      <c r="L59" s="43" t="s">
        <v>1056</v>
      </c>
      <c r="M59" s="31" t="s">
        <v>1040</v>
      </c>
      <c r="N59" s="24" t="s">
        <v>1036</v>
      </c>
    </row>
    <row r="60" s="24" customFormat="1" ht="199.5" customHeight="1" spans="1:14">
      <c r="A60" s="94">
        <v>58</v>
      </c>
      <c r="B60" s="95" t="s">
        <v>13</v>
      </c>
      <c r="C60" s="95" t="s">
        <v>248</v>
      </c>
      <c r="D60" s="94" t="s">
        <v>171</v>
      </c>
      <c r="E60" s="96" t="s">
        <v>586</v>
      </c>
      <c r="F60" s="96" t="s">
        <v>587</v>
      </c>
      <c r="G60" s="96" t="s">
        <v>1057</v>
      </c>
      <c r="H60" s="96" t="s">
        <v>1058</v>
      </c>
      <c r="I60" s="105" t="s">
        <v>1059</v>
      </c>
      <c r="J60" s="106" t="s">
        <v>1060</v>
      </c>
      <c r="K60" s="107" t="str">
        <f>_xlfn.DISPIMG("ID_8B62F6A528C2406C8EB5196EE48F2F04",1)</f>
        <v>=DISPIMG("ID_8B62F6A528C2406C8EB5196EE48F2F04",1)</v>
      </c>
      <c r="L60" s="116" t="s">
        <v>1061</v>
      </c>
      <c r="M60" s="95" t="s">
        <v>1040</v>
      </c>
      <c r="N60" s="88" t="s">
        <v>1036</v>
      </c>
    </row>
    <row r="61" s="24" customFormat="1" ht="88" customHeight="1" spans="1:14">
      <c r="A61" s="30">
        <v>59</v>
      </c>
      <c r="B61" s="31" t="s">
        <v>13</v>
      </c>
      <c r="C61" s="31" t="s">
        <v>248</v>
      </c>
      <c r="D61" s="30" t="s">
        <v>171</v>
      </c>
      <c r="E61" s="32" t="s">
        <v>885</v>
      </c>
      <c r="F61" s="32" t="s">
        <v>1062</v>
      </c>
      <c r="G61" s="32" t="s">
        <v>1050</v>
      </c>
      <c r="H61" s="32" t="s">
        <v>1038</v>
      </c>
      <c r="I61" s="34" t="s">
        <v>1063</v>
      </c>
      <c r="J61" s="33" t="s">
        <v>1011</v>
      </c>
      <c r="K61" s="101" t="str">
        <f>_xlfn.DISPIMG("ID_52B7E8945DA84B7A9D084F694F6B049A",1)</f>
        <v>=DISPIMG("ID_52B7E8945DA84B7A9D084F694F6B049A",1)</v>
      </c>
      <c r="L61" s="43" t="s">
        <v>1064</v>
      </c>
      <c r="M61" s="31" t="s">
        <v>1040</v>
      </c>
      <c r="N61" s="24" t="s">
        <v>1036</v>
      </c>
    </row>
    <row r="62" s="24" customFormat="1" ht="88" customHeight="1" spans="1:14">
      <c r="A62" s="30">
        <v>60</v>
      </c>
      <c r="B62" s="31" t="s">
        <v>13</v>
      </c>
      <c r="C62" s="31" t="s">
        <v>248</v>
      </c>
      <c r="D62" s="30" t="s">
        <v>171</v>
      </c>
      <c r="E62" s="32" t="s">
        <v>1065</v>
      </c>
      <c r="F62" s="32" t="s">
        <v>517</v>
      </c>
      <c r="G62" s="32" t="s">
        <v>1050</v>
      </c>
      <c r="H62" s="32" t="s">
        <v>1038</v>
      </c>
      <c r="I62" s="34" t="s">
        <v>518</v>
      </c>
      <c r="J62" s="33" t="s">
        <v>1011</v>
      </c>
      <c r="K62" s="101" t="str">
        <f>_xlfn.DISPIMG("ID_7F495D440C8D4114AEDEFB6F0F994E63",1)</f>
        <v>=DISPIMG("ID_7F495D440C8D4114AEDEFB6F0F994E63",1)</v>
      </c>
      <c r="L62" s="43" t="s">
        <v>1066</v>
      </c>
      <c r="M62" s="31" t="s">
        <v>1040</v>
      </c>
      <c r="N62" s="24" t="s">
        <v>1036</v>
      </c>
    </row>
    <row r="63" s="24" customFormat="1" ht="109" customHeight="1" spans="1:14">
      <c r="A63" s="98">
        <v>61</v>
      </c>
      <c r="B63" s="99" t="s">
        <v>13</v>
      </c>
      <c r="C63" s="99" t="s">
        <v>248</v>
      </c>
      <c r="D63" s="98" t="s">
        <v>171</v>
      </c>
      <c r="E63" s="100" t="s">
        <v>584</v>
      </c>
      <c r="F63" s="100" t="s">
        <v>1067</v>
      </c>
      <c r="G63" s="100" t="s">
        <v>1050</v>
      </c>
      <c r="H63" s="100" t="s">
        <v>1038</v>
      </c>
      <c r="I63" s="111" t="s">
        <v>1068</v>
      </c>
      <c r="J63" s="112" t="s">
        <v>1011</v>
      </c>
      <c r="K63" s="113" t="str">
        <f>_xlfn.DISPIMG("ID_5A58CD8A8416477D95D05C7D69DED82C",1)</f>
        <v>=DISPIMG("ID_5A58CD8A8416477D95D05C7D69DED82C",1)</v>
      </c>
      <c r="L63" s="114" t="s">
        <v>1069</v>
      </c>
      <c r="M63" s="99" t="s">
        <v>1040</v>
      </c>
      <c r="N63" s="115" t="s">
        <v>1036</v>
      </c>
    </row>
    <row r="64" s="24" customFormat="1" ht="89" customHeight="1" spans="1:14">
      <c r="A64" s="98">
        <v>62</v>
      </c>
      <c r="B64" s="99" t="s">
        <v>13</v>
      </c>
      <c r="C64" s="99" t="s">
        <v>248</v>
      </c>
      <c r="D64" s="98" t="s">
        <v>171</v>
      </c>
      <c r="E64" s="100" t="s">
        <v>580</v>
      </c>
      <c r="F64" s="100" t="s">
        <v>513</v>
      </c>
      <c r="G64" s="100" t="s">
        <v>1050</v>
      </c>
      <c r="H64" s="100" t="s">
        <v>1038</v>
      </c>
      <c r="I64" s="111" t="s">
        <v>1070</v>
      </c>
      <c r="J64" s="112" t="s">
        <v>1011</v>
      </c>
      <c r="K64" s="113" t="str">
        <f>_xlfn.DISPIMG("ID_CA59E0C5583C41269D6957DC3ED60873",1)</f>
        <v>=DISPIMG("ID_CA59E0C5583C41269D6957DC3ED60873",1)</v>
      </c>
      <c r="L64" s="100" t="s">
        <v>1071</v>
      </c>
      <c r="M64" s="99" t="s">
        <v>1040</v>
      </c>
      <c r="N64" s="115" t="s">
        <v>1036</v>
      </c>
    </row>
    <row r="65" s="24" customFormat="1" ht="89" customHeight="1" spans="1:14">
      <c r="A65" s="98">
        <v>63</v>
      </c>
      <c r="B65" s="99" t="s">
        <v>13</v>
      </c>
      <c r="C65" s="99" t="s">
        <v>248</v>
      </c>
      <c r="D65" s="98" t="s">
        <v>171</v>
      </c>
      <c r="E65" s="100" t="s">
        <v>594</v>
      </c>
      <c r="F65" s="100" t="s">
        <v>512</v>
      </c>
      <c r="G65" s="100" t="s">
        <v>1050</v>
      </c>
      <c r="H65" s="100" t="s">
        <v>1038</v>
      </c>
      <c r="I65" s="111" t="s">
        <v>1072</v>
      </c>
      <c r="J65" s="112" t="s">
        <v>1011</v>
      </c>
      <c r="K65" s="113" t="str">
        <f>_xlfn.DISPIMG("ID_A86A6157E13D4F8EB359A440DA677269",1)</f>
        <v>=DISPIMG("ID_A86A6157E13D4F8EB359A440DA677269",1)</v>
      </c>
      <c r="L65" s="114" t="s">
        <v>1073</v>
      </c>
      <c r="M65" s="99" t="s">
        <v>1040</v>
      </c>
      <c r="N65" s="115" t="s">
        <v>1036</v>
      </c>
    </row>
    <row r="66" s="24" customFormat="1" ht="101" customHeight="1" spans="1:14">
      <c r="A66" s="98">
        <v>64</v>
      </c>
      <c r="B66" s="99" t="s">
        <v>13</v>
      </c>
      <c r="C66" s="99" t="s">
        <v>248</v>
      </c>
      <c r="D66" s="98" t="s">
        <v>171</v>
      </c>
      <c r="E66" s="114" t="s">
        <v>592</v>
      </c>
      <c r="F66" s="100" t="s">
        <v>511</v>
      </c>
      <c r="G66" s="100" t="s">
        <v>1050</v>
      </c>
      <c r="H66" s="100" t="s">
        <v>1038</v>
      </c>
      <c r="I66" s="111" t="s">
        <v>1074</v>
      </c>
      <c r="J66" s="112" t="s">
        <v>1011</v>
      </c>
      <c r="K66" s="113" t="str">
        <f>_xlfn.DISPIMG("ID_4A793C8C39A14FB8967F2AE65B571597",1)</f>
        <v>=DISPIMG("ID_4A793C8C39A14FB8967F2AE65B571597",1)</v>
      </c>
      <c r="L66" s="114" t="s">
        <v>1075</v>
      </c>
      <c r="M66" s="99" t="s">
        <v>1040</v>
      </c>
      <c r="N66" s="115" t="s">
        <v>1036</v>
      </c>
    </row>
    <row r="67" s="24" customFormat="1" ht="92" customHeight="1" spans="1:14">
      <c r="A67" s="98">
        <v>65</v>
      </c>
      <c r="B67" s="99" t="s">
        <v>13</v>
      </c>
      <c r="C67" s="99" t="s">
        <v>248</v>
      </c>
      <c r="D67" s="98" t="s">
        <v>171</v>
      </c>
      <c r="E67" s="114" t="s">
        <v>590</v>
      </c>
      <c r="F67" s="100" t="s">
        <v>1076</v>
      </c>
      <c r="G67" s="100" t="s">
        <v>1050</v>
      </c>
      <c r="H67" s="100" t="s">
        <v>1038</v>
      </c>
      <c r="I67" s="111" t="s">
        <v>1077</v>
      </c>
      <c r="J67" s="112" t="s">
        <v>1011</v>
      </c>
      <c r="K67" s="113" t="str">
        <f>_xlfn.DISPIMG("ID_7AAC40F4CF4A41C6BBA05BE636564A82",1)</f>
        <v>=DISPIMG("ID_7AAC40F4CF4A41C6BBA05BE636564A82",1)</v>
      </c>
      <c r="L67" s="114" t="s">
        <v>1078</v>
      </c>
      <c r="M67" s="99" t="s">
        <v>1040</v>
      </c>
      <c r="N67" s="115" t="s">
        <v>1036</v>
      </c>
    </row>
    <row r="68" s="24" customFormat="1" ht="105" customHeight="1" spans="1:14">
      <c r="A68" s="30">
        <v>66</v>
      </c>
      <c r="B68" s="31" t="s">
        <v>13</v>
      </c>
      <c r="C68" s="31" t="s">
        <v>248</v>
      </c>
      <c r="D68" s="30" t="s">
        <v>171</v>
      </c>
      <c r="E68" s="43" t="s">
        <v>890</v>
      </c>
      <c r="F68" s="32" t="s">
        <v>1079</v>
      </c>
      <c r="G68" s="32" t="s">
        <v>1050</v>
      </c>
      <c r="H68" s="32" t="s">
        <v>1038</v>
      </c>
      <c r="I68" s="34" t="s">
        <v>509</v>
      </c>
      <c r="J68" s="33" t="s">
        <v>1011</v>
      </c>
      <c r="K68" s="101" t="str">
        <f>_xlfn.DISPIMG("ID_E896668836874CF1A1F5FC0CD40B1B0C",1)</f>
        <v>=DISPIMG("ID_E896668836874CF1A1F5FC0CD40B1B0C",1)</v>
      </c>
      <c r="L68" s="43" t="s">
        <v>1080</v>
      </c>
      <c r="M68" s="31" t="s">
        <v>1040</v>
      </c>
      <c r="N68" s="24" t="s">
        <v>1036</v>
      </c>
    </row>
    <row r="69" s="24" customFormat="1" ht="104" customHeight="1" spans="1:14">
      <c r="A69" s="98">
        <v>67</v>
      </c>
      <c r="B69" s="99" t="s">
        <v>13</v>
      </c>
      <c r="C69" s="99" t="s">
        <v>248</v>
      </c>
      <c r="D69" s="98" t="s">
        <v>171</v>
      </c>
      <c r="E69" s="114" t="s">
        <v>1081</v>
      </c>
      <c r="F69" s="100" t="s">
        <v>506</v>
      </c>
      <c r="G69" s="100" t="s">
        <v>1050</v>
      </c>
      <c r="H69" s="100" t="s">
        <v>1038</v>
      </c>
      <c r="I69" s="111" t="s">
        <v>1082</v>
      </c>
      <c r="J69" s="112" t="s">
        <v>1011</v>
      </c>
      <c r="K69" s="113" t="str">
        <f>_xlfn.DISPIMG("ID_8294A8532E19444A986739BDA571257F",1)</f>
        <v>=DISPIMG("ID_8294A8532E19444A986739BDA571257F",1)</v>
      </c>
      <c r="L69" s="114" t="s">
        <v>1083</v>
      </c>
      <c r="M69" s="99" t="s">
        <v>1040</v>
      </c>
      <c r="N69" s="115" t="s">
        <v>1036</v>
      </c>
    </row>
    <row r="70" s="24" customFormat="1" ht="120" spans="1:14">
      <c r="A70" s="30">
        <v>68</v>
      </c>
      <c r="B70" s="31" t="s">
        <v>13</v>
      </c>
      <c r="C70" s="31" t="s">
        <v>248</v>
      </c>
      <c r="D70" s="30" t="s">
        <v>171</v>
      </c>
      <c r="E70" s="43" t="s">
        <v>892</v>
      </c>
      <c r="F70" s="32" t="s">
        <v>1084</v>
      </c>
      <c r="G70" s="32" t="s">
        <v>1050</v>
      </c>
      <c r="H70" s="32" t="s">
        <v>1038</v>
      </c>
      <c r="I70" s="34" t="s">
        <v>1085</v>
      </c>
      <c r="J70" s="33" t="s">
        <v>1011</v>
      </c>
      <c r="K70" s="101" t="str">
        <f>_xlfn.DISPIMG("ID_6D8232A706BF499E8CAE3F58567CC881",1)</f>
        <v>=DISPIMG("ID_6D8232A706BF499E8CAE3F58567CC881",1)</v>
      </c>
      <c r="L70" s="43" t="s">
        <v>1086</v>
      </c>
      <c r="M70" s="31" t="s">
        <v>1040</v>
      </c>
      <c r="N70" s="24" t="s">
        <v>1036</v>
      </c>
    </row>
    <row r="71" s="24" customFormat="1" ht="92" customHeight="1" spans="1:14">
      <c r="A71" s="98">
        <v>69</v>
      </c>
      <c r="B71" s="99" t="s">
        <v>13</v>
      </c>
      <c r="C71" s="99" t="s">
        <v>248</v>
      </c>
      <c r="D71" s="98" t="s">
        <v>171</v>
      </c>
      <c r="E71" s="100" t="s">
        <v>551</v>
      </c>
      <c r="F71" s="100" t="s">
        <v>1087</v>
      </c>
      <c r="G71" s="100" t="s">
        <v>1050</v>
      </c>
      <c r="H71" s="100" t="s">
        <v>1038</v>
      </c>
      <c r="I71" s="111" t="s">
        <v>1088</v>
      </c>
      <c r="J71" s="112" t="s">
        <v>1011</v>
      </c>
      <c r="K71" s="113" t="str">
        <f>_xlfn.DISPIMG("ID_1EDE1E048CC5418A86C63BD05517B3BE",1)</f>
        <v>=DISPIMG("ID_1EDE1E048CC5418A86C63BD05517B3BE",1)</v>
      </c>
      <c r="L71" s="123" t="s">
        <v>1089</v>
      </c>
      <c r="M71" s="99" t="s">
        <v>1040</v>
      </c>
      <c r="N71" s="115" t="s">
        <v>1036</v>
      </c>
    </row>
    <row r="72" s="24" customFormat="1" ht="105" customHeight="1" spans="1:14">
      <c r="A72" s="98">
        <v>70</v>
      </c>
      <c r="B72" s="99" t="s">
        <v>13</v>
      </c>
      <c r="C72" s="99" t="s">
        <v>248</v>
      </c>
      <c r="D72" s="98" t="s">
        <v>171</v>
      </c>
      <c r="E72" s="100" t="s">
        <v>559</v>
      </c>
      <c r="F72" s="100" t="s">
        <v>500</v>
      </c>
      <c r="G72" s="100" t="s">
        <v>1050</v>
      </c>
      <c r="H72" s="100" t="s">
        <v>1038</v>
      </c>
      <c r="I72" s="111" t="s">
        <v>501</v>
      </c>
      <c r="J72" s="112" t="s">
        <v>1011</v>
      </c>
      <c r="K72" s="113" t="str">
        <f>_xlfn.DISPIMG("ID_12080DF6D50C4FCDBA86C3188ADAB868",1)</f>
        <v>=DISPIMG("ID_12080DF6D50C4FCDBA86C3188ADAB868",1)</v>
      </c>
      <c r="L72" s="123" t="s">
        <v>1090</v>
      </c>
      <c r="M72" s="99" t="s">
        <v>1040</v>
      </c>
      <c r="N72" s="115" t="s">
        <v>1036</v>
      </c>
    </row>
    <row r="73" s="24" customFormat="1" ht="99" customHeight="1" spans="1:14">
      <c r="A73" s="30">
        <v>71</v>
      </c>
      <c r="B73" s="31" t="s">
        <v>13</v>
      </c>
      <c r="C73" s="31" t="s">
        <v>248</v>
      </c>
      <c r="D73" s="30" t="s">
        <v>171</v>
      </c>
      <c r="E73" s="32" t="s">
        <v>893</v>
      </c>
      <c r="F73" s="32" t="s">
        <v>1091</v>
      </c>
      <c r="G73" s="32" t="s">
        <v>1050</v>
      </c>
      <c r="H73" s="32" t="s">
        <v>1038</v>
      </c>
      <c r="I73" s="34" t="s">
        <v>498</v>
      </c>
      <c r="J73" s="33" t="s">
        <v>1092</v>
      </c>
      <c r="K73" s="101" t="str">
        <f>_xlfn.DISPIMG("ID_88528C7B7501470EB5DC10D5E6B512CB",1)</f>
        <v>=DISPIMG("ID_88528C7B7501470EB5DC10D5E6B512CB",1)</v>
      </c>
      <c r="L73" s="49" t="s">
        <v>1093</v>
      </c>
      <c r="M73" s="31" t="s">
        <v>1040</v>
      </c>
      <c r="N73" s="24" t="s">
        <v>1036</v>
      </c>
    </row>
    <row r="74" s="24" customFormat="1" ht="94" customHeight="1" spans="1:14">
      <c r="A74" s="98">
        <v>72</v>
      </c>
      <c r="B74" s="99" t="s">
        <v>13</v>
      </c>
      <c r="C74" s="99" t="s">
        <v>248</v>
      </c>
      <c r="D74" s="98" t="s">
        <v>171</v>
      </c>
      <c r="E74" s="100" t="s">
        <v>1094</v>
      </c>
      <c r="F74" s="100" t="s">
        <v>495</v>
      </c>
      <c r="G74" s="100" t="s">
        <v>1003</v>
      </c>
      <c r="H74" s="100" t="s">
        <v>1004</v>
      </c>
      <c r="I74" s="111" t="s">
        <v>496</v>
      </c>
      <c r="J74" s="112" t="s">
        <v>1011</v>
      </c>
      <c r="K74" s="113" t="str">
        <f>_xlfn.DISPIMG("ID_105F6499ADEA4C6A99CF987CF846105A",1)</f>
        <v>=DISPIMG("ID_105F6499ADEA4C6A99CF987CF846105A",1)</v>
      </c>
      <c r="L74" s="123" t="s">
        <v>1095</v>
      </c>
      <c r="M74" s="99" t="s">
        <v>1040</v>
      </c>
      <c r="N74" s="115" t="s">
        <v>1036</v>
      </c>
    </row>
    <row r="75" s="24" customFormat="1" ht="112" customHeight="1" spans="1:14">
      <c r="A75" s="98">
        <v>73</v>
      </c>
      <c r="B75" s="99" t="s">
        <v>13</v>
      </c>
      <c r="C75" s="99" t="s">
        <v>248</v>
      </c>
      <c r="D75" s="98" t="s">
        <v>15</v>
      </c>
      <c r="E75" s="114" t="s">
        <v>553</v>
      </c>
      <c r="F75" s="100" t="s">
        <v>554</v>
      </c>
      <c r="G75" s="100" t="s">
        <v>1096</v>
      </c>
      <c r="H75" s="100" t="s">
        <v>1097</v>
      </c>
      <c r="I75" s="111" t="s">
        <v>494</v>
      </c>
      <c r="J75" s="112" t="s">
        <v>1098</v>
      </c>
      <c r="K75" s="113" t="str">
        <f>_xlfn.DISPIMG("ID_12615E003768473A90F58A8ADF2845E2",1)</f>
        <v>=DISPIMG("ID_12615E003768473A90F58A8ADF2845E2",1)</v>
      </c>
      <c r="L75" s="123" t="s">
        <v>1099</v>
      </c>
      <c r="M75" s="99" t="s">
        <v>1035</v>
      </c>
      <c r="N75" s="115" t="s">
        <v>1036</v>
      </c>
    </row>
    <row r="76" s="24" customFormat="1" ht="124" customHeight="1" spans="1:14">
      <c r="A76" s="98">
        <v>74</v>
      </c>
      <c r="B76" s="99" t="s">
        <v>13</v>
      </c>
      <c r="C76" s="99" t="s">
        <v>248</v>
      </c>
      <c r="D76" s="98" t="s">
        <v>15</v>
      </c>
      <c r="E76" s="114" t="s">
        <v>1100</v>
      </c>
      <c r="F76" s="100" t="s">
        <v>569</v>
      </c>
      <c r="G76" s="100" t="s">
        <v>1096</v>
      </c>
      <c r="H76" s="100" t="s">
        <v>1097</v>
      </c>
      <c r="I76" s="111" t="s">
        <v>492</v>
      </c>
      <c r="J76" s="112" t="s">
        <v>1098</v>
      </c>
      <c r="K76" s="113" t="str">
        <f>_xlfn.DISPIMG("ID_7DFDAE64BF714BEF9C65BF66BBB06D82",1)</f>
        <v>=DISPIMG("ID_7DFDAE64BF714BEF9C65BF66BBB06D82",1)</v>
      </c>
      <c r="L76" s="123" t="s">
        <v>1101</v>
      </c>
      <c r="M76" s="99" t="s">
        <v>1035</v>
      </c>
      <c r="N76" s="115"/>
    </row>
    <row r="77" s="24" customFormat="1" ht="127" customHeight="1" spans="1:14">
      <c r="A77" s="98">
        <v>75</v>
      </c>
      <c r="B77" s="99" t="s">
        <v>13</v>
      </c>
      <c r="C77" s="99" t="s">
        <v>248</v>
      </c>
      <c r="D77" s="98" t="s">
        <v>15</v>
      </c>
      <c r="E77" s="114" t="s">
        <v>556</v>
      </c>
      <c r="F77" s="100" t="s">
        <v>1102</v>
      </c>
      <c r="G77" s="100" t="s">
        <v>1096</v>
      </c>
      <c r="H77" s="100" t="s">
        <v>1097</v>
      </c>
      <c r="I77" s="111" t="s">
        <v>490</v>
      </c>
      <c r="J77" s="112" t="s">
        <v>1098</v>
      </c>
      <c r="K77" s="113" t="str">
        <f>_xlfn.DISPIMG("ID_9C3649970EB74F7D8CC9C1A69D7DE8A2",1)</f>
        <v>=DISPIMG("ID_9C3649970EB74F7D8CC9C1A69D7DE8A2",1)</v>
      </c>
      <c r="L77" s="123" t="s">
        <v>1103</v>
      </c>
      <c r="M77" s="99" t="s">
        <v>1035</v>
      </c>
      <c r="N77" s="115" t="s">
        <v>1036</v>
      </c>
    </row>
    <row r="78" s="24" customFormat="1" ht="173" customHeight="1" spans="1:14">
      <c r="A78" s="98">
        <v>76</v>
      </c>
      <c r="B78" s="99" t="s">
        <v>13</v>
      </c>
      <c r="C78" s="99" t="s">
        <v>248</v>
      </c>
      <c r="D78" s="98" t="s">
        <v>15</v>
      </c>
      <c r="E78" s="114" t="s">
        <v>548</v>
      </c>
      <c r="F78" s="100" t="s">
        <v>1104</v>
      </c>
      <c r="G78" s="100" t="s">
        <v>1105</v>
      </c>
      <c r="H78" s="100" t="s">
        <v>1106</v>
      </c>
      <c r="I78" s="111" t="s">
        <v>488</v>
      </c>
      <c r="J78" s="112" t="s">
        <v>1098</v>
      </c>
      <c r="K78" s="113" t="str">
        <f>_xlfn.DISPIMG("ID_3310C584E17144E7B96FBD6EE19DA2A0",1)</f>
        <v>=DISPIMG("ID_3310C584E17144E7B96FBD6EE19DA2A0",1)</v>
      </c>
      <c r="L78" s="123" t="s">
        <v>1107</v>
      </c>
      <c r="M78" s="99" t="s">
        <v>1035</v>
      </c>
      <c r="N78" s="115" t="s">
        <v>1036</v>
      </c>
    </row>
    <row r="79" s="24" customFormat="1" ht="45" spans="1:14">
      <c r="A79" s="30">
        <v>77</v>
      </c>
      <c r="B79" s="31" t="s">
        <v>13</v>
      </c>
      <c r="C79" s="31" t="s">
        <v>248</v>
      </c>
      <c r="D79" s="30" t="s">
        <v>15</v>
      </c>
      <c r="E79" s="43" t="s">
        <v>543</v>
      </c>
      <c r="F79" s="32" t="s">
        <v>544</v>
      </c>
      <c r="G79" s="32" t="s">
        <v>1108</v>
      </c>
      <c r="H79" s="32" t="s">
        <v>1031</v>
      </c>
      <c r="I79" s="50" t="s">
        <v>1109</v>
      </c>
      <c r="J79" s="33" t="s">
        <v>1098</v>
      </c>
      <c r="K79" s="101" t="str">
        <f>_xlfn.DISPIMG("ID_52485726895F42E88E633F4E5B3E875E",1)</f>
        <v>=DISPIMG("ID_52485726895F42E88E633F4E5B3E875E",1)</v>
      </c>
      <c r="L79" s="49" t="s">
        <v>1110</v>
      </c>
      <c r="M79" s="31" t="s">
        <v>1035</v>
      </c>
      <c r="N79" s="24" t="s">
        <v>1036</v>
      </c>
    </row>
    <row r="80" s="24" customFormat="1" ht="102" customHeight="1" spans="1:14">
      <c r="A80" s="98">
        <v>78</v>
      </c>
      <c r="B80" s="99" t="s">
        <v>13</v>
      </c>
      <c r="C80" s="99" t="s">
        <v>248</v>
      </c>
      <c r="D80" s="98" t="s">
        <v>171</v>
      </c>
      <c r="E80" s="114" t="s">
        <v>568</v>
      </c>
      <c r="F80" s="100" t="s">
        <v>1111</v>
      </c>
      <c r="G80" s="100" t="s">
        <v>1105</v>
      </c>
      <c r="H80" s="100" t="s">
        <v>1106</v>
      </c>
      <c r="I80" s="111" t="s">
        <v>1112</v>
      </c>
      <c r="J80" s="112" t="s">
        <v>1011</v>
      </c>
      <c r="K80" s="113" t="str">
        <f>_xlfn.DISPIMG("ID_11376D93B20149ECBEBD719C78496B02",1)</f>
        <v>=DISPIMG("ID_11376D93B20149ECBEBD719C78496B02",1)</v>
      </c>
      <c r="L80" s="123" t="s">
        <v>1113</v>
      </c>
      <c r="M80" s="99" t="s">
        <v>1040</v>
      </c>
      <c r="N80" s="115" t="s">
        <v>1036</v>
      </c>
    </row>
    <row r="81" s="24" customFormat="1" ht="102" customHeight="1" spans="1:14">
      <c r="A81" s="98">
        <v>79</v>
      </c>
      <c r="B81" s="99" t="s">
        <v>13</v>
      </c>
      <c r="C81" s="99" t="s">
        <v>248</v>
      </c>
      <c r="D81" s="98" t="s">
        <v>171</v>
      </c>
      <c r="E81" s="114" t="s">
        <v>1114</v>
      </c>
      <c r="F81" s="100" t="s">
        <v>481</v>
      </c>
      <c r="G81" s="100" t="s">
        <v>1105</v>
      </c>
      <c r="H81" s="100" t="s">
        <v>1106</v>
      </c>
      <c r="I81" s="111" t="s">
        <v>482</v>
      </c>
      <c r="J81" s="112" t="s">
        <v>1011</v>
      </c>
      <c r="K81" s="113" t="str">
        <f>_xlfn.DISPIMG("ID_C91F79614D8749AF9AE728544247B452",1)</f>
        <v>=DISPIMG("ID_C91F79614D8749AF9AE728544247B452",1)</v>
      </c>
      <c r="L81" s="123" t="s">
        <v>1115</v>
      </c>
      <c r="M81" s="99" t="s">
        <v>1040</v>
      </c>
      <c r="N81" s="115" t="s">
        <v>1036</v>
      </c>
    </row>
    <row r="82" s="24" customFormat="1" ht="102" customHeight="1" spans="1:14">
      <c r="A82" s="98" t="s">
        <v>449</v>
      </c>
      <c r="B82" s="99" t="s">
        <v>13</v>
      </c>
      <c r="C82" s="99" t="s">
        <v>248</v>
      </c>
      <c r="D82" s="98" t="s">
        <v>15</v>
      </c>
      <c r="E82" s="114" t="s">
        <v>561</v>
      </c>
      <c r="F82" s="100" t="s">
        <v>1116</v>
      </c>
      <c r="G82" s="100" t="s">
        <v>1096</v>
      </c>
      <c r="H82" s="100" t="s">
        <v>1097</v>
      </c>
      <c r="I82" s="111" t="s">
        <v>1117</v>
      </c>
      <c r="J82" s="33" t="s">
        <v>1098</v>
      </c>
      <c r="K82" s="113" t="str">
        <f>_xlfn.DISPIMG("ID_F258E6398F86455287113D33F9086BC8",1)</f>
        <v>=DISPIMG("ID_F258E6398F86455287113D33F9086BC8",1)</v>
      </c>
      <c r="L82" s="123" t="s">
        <v>1118</v>
      </c>
      <c r="M82" s="99" t="s">
        <v>1035</v>
      </c>
      <c r="N82" s="115" t="s">
        <v>1036</v>
      </c>
    </row>
    <row r="83" s="24" customFormat="1" ht="111" customHeight="1" spans="1:14">
      <c r="A83" s="98">
        <v>81</v>
      </c>
      <c r="B83" s="99" t="s">
        <v>13</v>
      </c>
      <c r="C83" s="99" t="s">
        <v>248</v>
      </c>
      <c r="D83" s="98" t="s">
        <v>15</v>
      </c>
      <c r="E83" s="114" t="s">
        <v>577</v>
      </c>
      <c r="F83" s="100" t="s">
        <v>578</v>
      </c>
      <c r="G83" s="100" t="s">
        <v>1096</v>
      </c>
      <c r="H83" s="100" t="s">
        <v>1097</v>
      </c>
      <c r="I83" s="111" t="s">
        <v>1119</v>
      </c>
      <c r="J83" s="33" t="s">
        <v>1098</v>
      </c>
      <c r="K83" s="113" t="str">
        <f>_xlfn.DISPIMG("ID_C2001C59F68348E5A392C64A1A13ED26",1)</f>
        <v>=DISPIMG("ID_C2001C59F68348E5A392C64A1A13ED26",1)</v>
      </c>
      <c r="L83" s="123" t="s">
        <v>1120</v>
      </c>
      <c r="M83" s="99" t="s">
        <v>1035</v>
      </c>
      <c r="N83" s="115" t="s">
        <v>1036</v>
      </c>
    </row>
    <row r="84" s="24" customFormat="1" ht="111" customHeight="1" spans="1:13">
      <c r="A84" s="30">
        <v>82</v>
      </c>
      <c r="B84" s="31" t="s">
        <v>13</v>
      </c>
      <c r="C84" s="31" t="s">
        <v>248</v>
      </c>
      <c r="D84" s="30" t="s">
        <v>171</v>
      </c>
      <c r="E84" s="32"/>
      <c r="F84" s="32" t="s">
        <v>1121</v>
      </c>
      <c r="G84" s="32" t="s">
        <v>1122</v>
      </c>
      <c r="H84" s="32" t="s">
        <v>1123</v>
      </c>
      <c r="I84" s="51" t="s">
        <v>477</v>
      </c>
      <c r="J84" s="33" t="s">
        <v>1124</v>
      </c>
      <c r="K84" s="101" t="str">
        <f>_xlfn.DISPIMG("ID_C0DDC52D3EB345D484823D54F9949EF8",1)</f>
        <v>=DISPIMG("ID_C0DDC52D3EB345D484823D54F9949EF8",1)</v>
      </c>
      <c r="L84" s="49" t="s">
        <v>1125</v>
      </c>
      <c r="M84" s="31"/>
    </row>
    <row r="85" s="24" customFormat="1" ht="300" spans="1:13">
      <c r="A85" s="30">
        <v>83</v>
      </c>
      <c r="B85" s="31" t="s">
        <v>13</v>
      </c>
      <c r="C85" s="31" t="s">
        <v>248</v>
      </c>
      <c r="D85" s="30" t="s">
        <v>171</v>
      </c>
      <c r="E85" s="32"/>
      <c r="F85" s="32" t="s">
        <v>1126</v>
      </c>
      <c r="G85" s="32" t="s">
        <v>1025</v>
      </c>
      <c r="H85" s="32" t="s">
        <v>1026</v>
      </c>
      <c r="I85" s="34" t="s">
        <v>1127</v>
      </c>
      <c r="J85" s="33" t="s">
        <v>34</v>
      </c>
      <c r="K85" s="101" t="str">
        <f>_xlfn.DISPIMG("ID_6BDF909F57E046AA8D6FD84477871005",1)</f>
        <v>=DISPIMG("ID_6BDF909F57E046AA8D6FD84477871005",1)</v>
      </c>
      <c r="L85" s="49" t="s">
        <v>1128</v>
      </c>
      <c r="M85" s="31"/>
    </row>
    <row r="86" s="24" customFormat="1" ht="89" customHeight="1" spans="1:13">
      <c r="A86" s="30">
        <v>84</v>
      </c>
      <c r="B86" s="31" t="s">
        <v>13</v>
      </c>
      <c r="C86" s="31" t="s">
        <v>248</v>
      </c>
      <c r="D86" s="30" t="s">
        <v>15</v>
      </c>
      <c r="E86" s="54" t="s">
        <v>722</v>
      </c>
      <c r="F86" s="19" t="s">
        <v>723</v>
      </c>
      <c r="G86" s="32" t="s">
        <v>1129</v>
      </c>
      <c r="H86" s="54" t="s">
        <v>1130</v>
      </c>
      <c r="I86" s="52" t="s">
        <v>724</v>
      </c>
      <c r="J86" s="53" t="s">
        <v>1131</v>
      </c>
      <c r="K86" s="101" t="str">
        <f>_xlfn.DISPIMG("ID_D7FDFD6AF81A46E997480E76F12B0DE5",1)</f>
        <v>=DISPIMG("ID_D7FDFD6AF81A46E997480E76F12B0DE5",1)</v>
      </c>
      <c r="L86" s="18" t="s">
        <v>1132</v>
      </c>
      <c r="M86" s="18"/>
    </row>
    <row r="87" s="24" customFormat="1" ht="86" customHeight="1" spans="1:13">
      <c r="A87" s="30">
        <v>85</v>
      </c>
      <c r="B87" s="31" t="s">
        <v>13</v>
      </c>
      <c r="C87" s="31" t="s">
        <v>248</v>
      </c>
      <c r="D87" s="30" t="s">
        <v>15</v>
      </c>
      <c r="E87" s="54" t="s">
        <v>719</v>
      </c>
      <c r="F87" s="19" t="s">
        <v>720</v>
      </c>
      <c r="G87" s="32" t="s">
        <v>1133</v>
      </c>
      <c r="H87" s="54" t="s">
        <v>1134</v>
      </c>
      <c r="I87" s="52" t="s">
        <v>721</v>
      </c>
      <c r="J87" s="53" t="s">
        <v>1131</v>
      </c>
      <c r="K87" s="101" t="str">
        <f>_xlfn.DISPIMG("ID_A9EADB4449D149C29118DF0F8CCEE460",1)</f>
        <v>=DISPIMG("ID_A9EADB4449D149C29118DF0F8CCEE460",1)</v>
      </c>
      <c r="L87" s="18" t="s">
        <v>1135</v>
      </c>
      <c r="M87" s="18"/>
    </row>
    <row r="88" s="24" customFormat="1" ht="93" customHeight="1" spans="1:13">
      <c r="A88" s="30">
        <v>86</v>
      </c>
      <c r="B88" s="31" t="s">
        <v>13</v>
      </c>
      <c r="C88" s="31" t="s">
        <v>248</v>
      </c>
      <c r="D88" s="30" t="s">
        <v>15</v>
      </c>
      <c r="E88" s="54" t="s">
        <v>876</v>
      </c>
      <c r="F88" s="19"/>
      <c r="G88" s="32"/>
      <c r="H88" s="54"/>
      <c r="I88" s="18" t="s">
        <v>1136</v>
      </c>
      <c r="J88" s="18" t="s">
        <v>1137</v>
      </c>
      <c r="K88" s="18"/>
      <c r="L88" s="18" t="s">
        <v>1138</v>
      </c>
      <c r="M88" s="18"/>
    </row>
    <row r="89" s="24" customFormat="1" ht="94" customHeight="1" spans="1:13">
      <c r="A89" s="30">
        <v>87</v>
      </c>
      <c r="B89" s="31" t="s">
        <v>1139</v>
      </c>
      <c r="C89" s="31" t="s">
        <v>1139</v>
      </c>
      <c r="D89" s="30" t="s">
        <v>15</v>
      </c>
      <c r="E89" s="54" t="s">
        <v>1140</v>
      </c>
      <c r="F89" s="54" t="s">
        <v>792</v>
      </c>
      <c r="G89" s="32" t="s">
        <v>1141</v>
      </c>
      <c r="H89" s="32" t="s">
        <v>1142</v>
      </c>
      <c r="I89" s="18" t="s">
        <v>1143</v>
      </c>
      <c r="J89" s="18" t="s">
        <v>923</v>
      </c>
      <c r="K89" s="101" t="str">
        <f>_xlfn.DISPIMG("ID_89B5C7C4E8EC48F2AA2335527BF9BD64",1)</f>
        <v>=DISPIMG("ID_89B5C7C4E8EC48F2AA2335527BF9BD64",1)</v>
      </c>
      <c r="L89" s="18">
        <v>1880</v>
      </c>
      <c r="M89" s="18"/>
    </row>
    <row r="90" s="24" customFormat="1" ht="88" customHeight="1" spans="1:13">
      <c r="A90" s="30">
        <v>88</v>
      </c>
      <c r="B90" s="31" t="s">
        <v>13</v>
      </c>
      <c r="C90" s="31" t="s">
        <v>248</v>
      </c>
      <c r="D90" s="30" t="s">
        <v>15</v>
      </c>
      <c r="E90" s="54" t="s">
        <v>328</v>
      </c>
      <c r="F90" s="19" t="s">
        <v>690</v>
      </c>
      <c r="G90" s="32" t="s">
        <v>1144</v>
      </c>
      <c r="H90" s="54" t="s">
        <v>1145</v>
      </c>
      <c r="I90" s="55" t="s">
        <v>691</v>
      </c>
      <c r="J90" s="18" t="s">
        <v>25</v>
      </c>
      <c r="K90" s="101" t="str">
        <f>_xlfn.DISPIMG("ID_74206DFB710C4571B6762052A005C248",1)</f>
        <v>=DISPIMG("ID_74206DFB710C4571B6762052A005C248",1)</v>
      </c>
      <c r="L90" s="18" t="s">
        <v>1146</v>
      </c>
      <c r="M90" s="18"/>
    </row>
    <row r="91" s="24" customFormat="1" ht="88" customHeight="1" spans="1:13">
      <c r="A91" s="30">
        <v>89</v>
      </c>
      <c r="B91" s="31" t="s">
        <v>13</v>
      </c>
      <c r="C91" s="31" t="s">
        <v>248</v>
      </c>
      <c r="D91" s="30" t="s">
        <v>15</v>
      </c>
      <c r="E91" s="54" t="s">
        <v>335</v>
      </c>
      <c r="F91" s="19" t="s">
        <v>689</v>
      </c>
      <c r="G91" s="32" t="s">
        <v>1144</v>
      </c>
      <c r="H91" s="54" t="s">
        <v>1145</v>
      </c>
      <c r="I91" s="55" t="s">
        <v>337</v>
      </c>
      <c r="J91" s="18" t="s">
        <v>25</v>
      </c>
      <c r="K91" s="101" t="str">
        <f>_xlfn.DISPIMG("ID_38745028036F44189884586D96DE6A53",1)</f>
        <v>=DISPIMG("ID_38745028036F44189884586D96DE6A53",1)</v>
      </c>
      <c r="L91" s="18" t="s">
        <v>1147</v>
      </c>
      <c r="M91" s="18"/>
    </row>
    <row r="92" s="24" customFormat="1" ht="88" customHeight="1" spans="1:13">
      <c r="A92" s="30">
        <v>90</v>
      </c>
      <c r="B92" s="31" t="s">
        <v>13</v>
      </c>
      <c r="C92" s="31" t="s">
        <v>248</v>
      </c>
      <c r="D92" s="30" t="s">
        <v>15</v>
      </c>
      <c r="E92" s="54" t="s">
        <v>301</v>
      </c>
      <c r="F92" s="19" t="s">
        <v>686</v>
      </c>
      <c r="G92" s="32" t="s">
        <v>1144</v>
      </c>
      <c r="H92" s="54" t="s">
        <v>1145</v>
      </c>
      <c r="I92" s="55" t="s">
        <v>1148</v>
      </c>
      <c r="J92" s="18" t="s">
        <v>25</v>
      </c>
      <c r="K92" s="101" t="str">
        <f>_xlfn.DISPIMG("ID_8714A871F0B04F9C93B80B403EA7FD5E",1)</f>
        <v>=DISPIMG("ID_8714A871F0B04F9C93B80B403EA7FD5E",1)</v>
      </c>
      <c r="L92" s="18" t="s">
        <v>1149</v>
      </c>
      <c r="M92" s="18"/>
    </row>
    <row r="93" s="24" customFormat="1" ht="86" customHeight="1" spans="1:13">
      <c r="A93" s="30">
        <v>91</v>
      </c>
      <c r="B93" s="31" t="s">
        <v>13</v>
      </c>
      <c r="C93" s="31" t="s">
        <v>248</v>
      </c>
      <c r="D93" s="30" t="s">
        <v>15</v>
      </c>
      <c r="E93" s="54" t="s">
        <v>396</v>
      </c>
      <c r="F93" s="19" t="s">
        <v>703</v>
      </c>
      <c r="G93" s="32" t="s">
        <v>1150</v>
      </c>
      <c r="H93" s="54" t="s">
        <v>1151</v>
      </c>
      <c r="I93" s="55" t="s">
        <v>704</v>
      </c>
      <c r="J93" s="18" t="s">
        <v>25</v>
      </c>
      <c r="K93" s="101" t="str">
        <f>_xlfn.DISPIMG("ID_5FD97D14C4384A1B8670386565E3CD0C",1)</f>
        <v>=DISPIMG("ID_5FD97D14C4384A1B8670386565E3CD0C",1)</v>
      </c>
      <c r="L93" s="18" t="s">
        <v>1152</v>
      </c>
      <c r="M93" s="18"/>
    </row>
    <row r="94" s="24" customFormat="1" ht="90" customHeight="1" spans="1:13">
      <c r="A94" s="30">
        <v>92</v>
      </c>
      <c r="B94" s="31" t="s">
        <v>13</v>
      </c>
      <c r="C94" s="31" t="s">
        <v>248</v>
      </c>
      <c r="D94" s="30" t="s">
        <v>15</v>
      </c>
      <c r="E94" s="54" t="s">
        <v>402</v>
      </c>
      <c r="F94" s="19" t="s">
        <v>659</v>
      </c>
      <c r="G94" s="32" t="s">
        <v>1150</v>
      </c>
      <c r="H94" s="54" t="s">
        <v>1151</v>
      </c>
      <c r="I94" s="55" t="s">
        <v>1153</v>
      </c>
      <c r="J94" s="18" t="s">
        <v>25</v>
      </c>
      <c r="K94" s="101" t="str">
        <f>_xlfn.DISPIMG("ID_7F4F0A2DA53D4385A7013EBFB7A7C980",1)</f>
        <v>=DISPIMG("ID_7F4F0A2DA53D4385A7013EBFB7A7C980",1)</v>
      </c>
      <c r="L94" s="18" t="s">
        <v>1154</v>
      </c>
      <c r="M94" s="18"/>
    </row>
    <row r="95" s="24" customFormat="1" ht="104" customHeight="1" spans="1:13">
      <c r="A95" s="30">
        <v>93</v>
      </c>
      <c r="B95" s="31" t="s">
        <v>248</v>
      </c>
      <c r="C95" s="31" t="s">
        <v>248</v>
      </c>
      <c r="D95" s="30" t="s">
        <v>15</v>
      </c>
      <c r="E95" s="54" t="s">
        <v>446</v>
      </c>
      <c r="F95" s="54" t="s">
        <v>447</v>
      </c>
      <c r="G95" s="32" t="s">
        <v>305</v>
      </c>
      <c r="H95" s="32" t="s">
        <v>306</v>
      </c>
      <c r="I95" s="57" t="s">
        <v>448</v>
      </c>
      <c r="J95" s="18" t="s">
        <v>499</v>
      </c>
      <c r="K95" s="101" t="str">
        <f>_xlfn.DISPIMG("ID_D663D80B35B34AFFABEE26995907F429",1)</f>
        <v>=DISPIMG("ID_D663D80B35B34AFFABEE26995907F429",1)</v>
      </c>
      <c r="L95" s="18" t="s">
        <v>1155</v>
      </c>
      <c r="M95" s="18"/>
    </row>
    <row r="96" s="24" customFormat="1" ht="196" spans="1:13">
      <c r="A96" s="30">
        <v>94</v>
      </c>
      <c r="B96" s="31" t="s">
        <v>248</v>
      </c>
      <c r="C96" s="31" t="s">
        <v>248</v>
      </c>
      <c r="D96" s="30" t="s">
        <v>15</v>
      </c>
      <c r="E96" s="54" t="s">
        <v>428</v>
      </c>
      <c r="F96" s="54" t="s">
        <v>429</v>
      </c>
      <c r="G96" s="32" t="s">
        <v>305</v>
      </c>
      <c r="H96" s="32" t="s">
        <v>306</v>
      </c>
      <c r="I96" s="57" t="s">
        <v>1156</v>
      </c>
      <c r="J96" s="18" t="s">
        <v>499</v>
      </c>
      <c r="K96" s="101" t="str">
        <f>_xlfn.DISPIMG("ID_93DCD132B41548949D7909CFEA68C8D3",1)</f>
        <v>=DISPIMG("ID_93DCD132B41548949D7909CFEA68C8D3",1)</v>
      </c>
      <c r="L96" s="18" t="s">
        <v>1155</v>
      </c>
      <c r="M96" s="18"/>
    </row>
    <row r="97" s="24" customFormat="1" ht="91" customHeight="1" spans="1:13">
      <c r="A97" s="30">
        <v>95</v>
      </c>
      <c r="B97" s="31" t="s">
        <v>248</v>
      </c>
      <c r="C97" s="31" t="s">
        <v>248</v>
      </c>
      <c r="D97" s="30" t="s">
        <v>15</v>
      </c>
      <c r="E97" s="54" t="s">
        <v>443</v>
      </c>
      <c r="F97" s="54" t="s">
        <v>1157</v>
      </c>
      <c r="G97" s="32" t="s">
        <v>305</v>
      </c>
      <c r="H97" s="32" t="s">
        <v>306</v>
      </c>
      <c r="I97" s="57" t="s">
        <v>445</v>
      </c>
      <c r="J97" s="18" t="s">
        <v>499</v>
      </c>
      <c r="K97" s="101" t="str">
        <f>_xlfn.DISPIMG("ID_FA333D13D61344F5AF1F2F46667B635A",1)</f>
        <v>=DISPIMG("ID_FA333D13D61344F5AF1F2F46667B635A",1)</v>
      </c>
      <c r="L97" s="18" t="s">
        <v>1155</v>
      </c>
      <c r="M97" s="18"/>
    </row>
    <row r="98" s="24" customFormat="1" ht="91" customHeight="1" spans="1:13">
      <c r="A98" s="30">
        <v>96</v>
      </c>
      <c r="B98" s="31" t="s">
        <v>248</v>
      </c>
      <c r="C98" s="31" t="s">
        <v>248</v>
      </c>
      <c r="D98" s="30" t="s">
        <v>15</v>
      </c>
      <c r="E98" s="54" t="s">
        <v>440</v>
      </c>
      <c r="F98" s="54" t="s">
        <v>1158</v>
      </c>
      <c r="G98" s="32" t="s">
        <v>305</v>
      </c>
      <c r="H98" s="32" t="s">
        <v>306</v>
      </c>
      <c r="I98" s="57" t="s">
        <v>442</v>
      </c>
      <c r="J98" s="18" t="s">
        <v>499</v>
      </c>
      <c r="K98" s="101" t="str">
        <f>_xlfn.DISPIMG("ID_9E1652E8FB5C4272AD6D999D3AA9B7B8",1)</f>
        <v>=DISPIMG("ID_9E1652E8FB5C4272AD6D999D3AA9B7B8",1)</v>
      </c>
      <c r="L98" s="18" t="s">
        <v>1155</v>
      </c>
      <c r="M98" s="18"/>
    </row>
    <row r="99" s="24" customFormat="1" ht="91" customHeight="1" spans="1:13">
      <c r="A99" s="30">
        <v>97</v>
      </c>
      <c r="B99" s="31" t="s">
        <v>248</v>
      </c>
      <c r="C99" s="31" t="s">
        <v>248</v>
      </c>
      <c r="D99" s="30" t="s">
        <v>15</v>
      </c>
      <c r="E99" s="54" t="s">
        <v>1159</v>
      </c>
      <c r="F99" s="54" t="s">
        <v>1160</v>
      </c>
      <c r="G99" s="32" t="s">
        <v>305</v>
      </c>
      <c r="H99" s="32" t="s">
        <v>306</v>
      </c>
      <c r="I99" s="57" t="s">
        <v>439</v>
      </c>
      <c r="J99" s="18" t="s">
        <v>499</v>
      </c>
      <c r="K99" s="101" t="str">
        <f>_xlfn.DISPIMG("ID_321C50F32C68413DB15AD981C90E20FD",1)</f>
        <v>=DISPIMG("ID_321C50F32C68413DB15AD981C90E20FD",1)</v>
      </c>
      <c r="L99" s="18" t="s">
        <v>1155</v>
      </c>
      <c r="M99" s="18"/>
    </row>
    <row r="100" s="24" customFormat="1" ht="91" customHeight="1" spans="1:13">
      <c r="A100" s="30">
        <v>98</v>
      </c>
      <c r="B100" s="31" t="s">
        <v>248</v>
      </c>
      <c r="C100" s="31" t="s">
        <v>248</v>
      </c>
      <c r="D100" s="30" t="s">
        <v>15</v>
      </c>
      <c r="E100" s="54" t="s">
        <v>1161</v>
      </c>
      <c r="F100" s="54" t="s">
        <v>435</v>
      </c>
      <c r="G100" s="32" t="s">
        <v>305</v>
      </c>
      <c r="H100" s="32" t="s">
        <v>306</v>
      </c>
      <c r="I100" s="57" t="s">
        <v>436</v>
      </c>
      <c r="J100" s="18" t="s">
        <v>499</v>
      </c>
      <c r="K100" s="101" t="str">
        <f>_xlfn.DISPIMG("ID_2D2AD73D85E24F0DACCF0C10093EE639",1)</f>
        <v>=DISPIMG("ID_2D2AD73D85E24F0DACCF0C10093EE639",1)</v>
      </c>
      <c r="L100" s="18" t="s">
        <v>1155</v>
      </c>
      <c r="M100" s="18"/>
    </row>
    <row r="101" s="24" customFormat="1" ht="91" customHeight="1" spans="1:13">
      <c r="A101" s="30">
        <v>99</v>
      </c>
      <c r="B101" s="31" t="s">
        <v>248</v>
      </c>
      <c r="C101" s="31" t="s">
        <v>248</v>
      </c>
      <c r="D101" s="30" t="s">
        <v>15</v>
      </c>
      <c r="E101" s="54" t="s">
        <v>431</v>
      </c>
      <c r="F101" s="54" t="s">
        <v>1162</v>
      </c>
      <c r="G101" s="32" t="s">
        <v>305</v>
      </c>
      <c r="H101" s="32" t="s">
        <v>306</v>
      </c>
      <c r="I101" s="57" t="s">
        <v>433</v>
      </c>
      <c r="J101" s="18" t="s">
        <v>499</v>
      </c>
      <c r="K101" s="101" t="str">
        <f>_xlfn.DISPIMG("ID_AD527B16B1DA42B0BF68ED398CF13440",1)</f>
        <v>=DISPIMG("ID_AD527B16B1DA42B0BF68ED398CF13440",1)</v>
      </c>
      <c r="L101" s="18" t="s">
        <v>1155</v>
      </c>
      <c r="M101" s="18"/>
    </row>
    <row r="102" s="24" customFormat="1" ht="80" customHeight="1" spans="1:13">
      <c r="A102" s="30">
        <v>100</v>
      </c>
      <c r="B102" s="31" t="s">
        <v>13</v>
      </c>
      <c r="C102" s="31" t="s">
        <v>248</v>
      </c>
      <c r="D102" s="30" t="s">
        <v>15</v>
      </c>
      <c r="E102" s="54" t="s">
        <v>716</v>
      </c>
      <c r="F102" s="19" t="s">
        <v>717</v>
      </c>
      <c r="G102" s="32" t="s">
        <v>1163</v>
      </c>
      <c r="H102" s="54" t="s">
        <v>1164</v>
      </c>
      <c r="I102" s="18" t="s">
        <v>718</v>
      </c>
      <c r="J102" s="57" t="s">
        <v>1131</v>
      </c>
      <c r="K102" s="101" t="str">
        <f>_xlfn.DISPIMG("ID_462431F685A642468843033EF0BF5B46",1)</f>
        <v>=DISPIMG("ID_462431F685A642468843033EF0BF5B46",1)</v>
      </c>
      <c r="L102" s="18" t="s">
        <v>1165</v>
      </c>
      <c r="M102" s="18"/>
    </row>
    <row r="103" s="88" customFormat="1" ht="124" customHeight="1" spans="1:13">
      <c r="A103" s="94">
        <v>101</v>
      </c>
      <c r="B103" s="95" t="s">
        <v>13</v>
      </c>
      <c r="C103" s="95" t="s">
        <v>248</v>
      </c>
      <c r="D103" s="94" t="s">
        <v>15</v>
      </c>
      <c r="E103" s="117" t="s">
        <v>680</v>
      </c>
      <c r="F103" s="118" t="s">
        <v>681</v>
      </c>
      <c r="G103" s="96" t="s">
        <v>1166</v>
      </c>
      <c r="H103" s="117" t="s">
        <v>1167</v>
      </c>
      <c r="I103" s="124" t="s">
        <v>1168</v>
      </c>
      <c r="J103" s="125" t="s">
        <v>673</v>
      </c>
      <c r="K103" s="107" t="str">
        <f>_xlfn.DISPIMG("ID_8254B023DE234CEEBDCBCA273ED9DB4A",1)</f>
        <v>=DISPIMG("ID_8254B023DE234CEEBDCBCA273ED9DB4A",1)</v>
      </c>
      <c r="L103" s="119" t="s">
        <v>1169</v>
      </c>
      <c r="M103" s="119" t="s">
        <v>1170</v>
      </c>
    </row>
    <row r="104" s="88" customFormat="1" ht="103" customHeight="1" spans="1:13">
      <c r="A104" s="94">
        <v>102</v>
      </c>
      <c r="B104" s="95" t="s">
        <v>13</v>
      </c>
      <c r="C104" s="95" t="s">
        <v>248</v>
      </c>
      <c r="D104" s="94" t="s">
        <v>15</v>
      </c>
      <c r="E104" s="117" t="s">
        <v>669</v>
      </c>
      <c r="F104" s="118" t="s">
        <v>670</v>
      </c>
      <c r="G104" s="96" t="s">
        <v>1166</v>
      </c>
      <c r="H104" s="117" t="s">
        <v>1167</v>
      </c>
      <c r="I104" s="119" t="s">
        <v>672</v>
      </c>
      <c r="J104" s="125" t="s">
        <v>673</v>
      </c>
      <c r="K104" s="107" t="str">
        <f>_xlfn.DISPIMG("ID_090B66E337294DA8AE25F249C85A41D9",1)</f>
        <v>=DISPIMG("ID_090B66E337294DA8AE25F249C85A41D9",1)</v>
      </c>
      <c r="L104" s="119" t="s">
        <v>1171</v>
      </c>
      <c r="M104" s="119" t="s">
        <v>1172</v>
      </c>
    </row>
    <row r="105" s="88" customFormat="1" ht="89" customHeight="1" spans="1:13">
      <c r="A105" s="94">
        <v>103</v>
      </c>
      <c r="B105" s="95" t="s">
        <v>13</v>
      </c>
      <c r="C105" s="95" t="s">
        <v>248</v>
      </c>
      <c r="D105" s="94" t="s">
        <v>15</v>
      </c>
      <c r="E105" s="117" t="s">
        <v>674</v>
      </c>
      <c r="F105" s="118" t="s">
        <v>675</v>
      </c>
      <c r="G105" s="96" t="s">
        <v>1166</v>
      </c>
      <c r="H105" s="117" t="s">
        <v>1167</v>
      </c>
      <c r="I105" s="119" t="s">
        <v>1173</v>
      </c>
      <c r="J105" s="125" t="s">
        <v>673</v>
      </c>
      <c r="K105" s="107" t="str">
        <f>_xlfn.DISPIMG("ID_03996575973B4CEBA2BC6E21CF998F96",1)</f>
        <v>=DISPIMG("ID_03996575973B4CEBA2BC6E21CF998F96",1)</v>
      </c>
      <c r="L105" s="119" t="s">
        <v>1171</v>
      </c>
      <c r="M105" s="119" t="s">
        <v>1174</v>
      </c>
    </row>
    <row r="106" s="88" customFormat="1" ht="112" spans="1:13">
      <c r="A106" s="94">
        <v>104</v>
      </c>
      <c r="B106" s="95" t="s">
        <v>13</v>
      </c>
      <c r="C106" s="95" t="s">
        <v>248</v>
      </c>
      <c r="D106" s="94" t="s">
        <v>15</v>
      </c>
      <c r="E106" s="117" t="s">
        <v>677</v>
      </c>
      <c r="F106" s="118" t="s">
        <v>678</v>
      </c>
      <c r="G106" s="96" t="s">
        <v>1166</v>
      </c>
      <c r="H106" s="117" t="s">
        <v>1167</v>
      </c>
      <c r="I106" s="119" t="s">
        <v>1175</v>
      </c>
      <c r="J106" s="125" t="s">
        <v>673</v>
      </c>
      <c r="K106" s="107" t="str">
        <f>_xlfn.DISPIMG("ID_1C77238A964748C6AA4F50F02F06219F",1)</f>
        <v>=DISPIMG("ID_1C77238A964748C6AA4F50F02F06219F",1)</v>
      </c>
      <c r="L106" s="119" t="s">
        <v>1176</v>
      </c>
      <c r="M106" s="119" t="s">
        <v>1177</v>
      </c>
    </row>
    <row r="107" s="24" customFormat="1" ht="95" customHeight="1" spans="1:13">
      <c r="A107" s="30">
        <v>105</v>
      </c>
      <c r="B107" s="31" t="s">
        <v>13</v>
      </c>
      <c r="C107" s="31" t="s">
        <v>248</v>
      </c>
      <c r="D107" s="18" t="s">
        <v>164</v>
      </c>
      <c r="E107" s="54"/>
      <c r="F107" s="19" t="s">
        <v>617</v>
      </c>
      <c r="G107" s="32" t="s">
        <v>1178</v>
      </c>
      <c r="H107" s="54" t="s">
        <v>1179</v>
      </c>
      <c r="I107" s="18" t="s">
        <v>618</v>
      </c>
      <c r="J107" s="18" t="s">
        <v>25</v>
      </c>
      <c r="K107" s="101" t="str">
        <f>_xlfn.DISPIMG("ID_71ECAF9C8D7B48BAA892239E39A0AD07",1)</f>
        <v>=DISPIMG("ID_71ECAF9C8D7B48BAA892239E39A0AD07",1)</v>
      </c>
      <c r="L107" s="18" t="s">
        <v>1180</v>
      </c>
      <c r="M107" s="18"/>
    </row>
    <row r="108" s="24" customFormat="1" ht="92" customHeight="1" spans="1:13">
      <c r="A108" s="30">
        <v>106</v>
      </c>
      <c r="B108" s="31" t="s">
        <v>13</v>
      </c>
      <c r="C108" s="31" t="s">
        <v>248</v>
      </c>
      <c r="D108" s="18" t="s">
        <v>164</v>
      </c>
      <c r="E108" s="54"/>
      <c r="F108" s="19" t="s">
        <v>620</v>
      </c>
      <c r="G108" s="32" t="s">
        <v>1178</v>
      </c>
      <c r="H108" s="54" t="s">
        <v>1179</v>
      </c>
      <c r="I108" s="18" t="s">
        <v>1181</v>
      </c>
      <c r="J108" s="18" t="s">
        <v>25</v>
      </c>
      <c r="K108" s="101" t="str">
        <f>_xlfn.DISPIMG("ID_001195B873DE41B195FAAD668D8FAB9F",1)</f>
        <v>=DISPIMG("ID_001195B873DE41B195FAAD668D8FAB9F",1)</v>
      </c>
      <c r="L108" s="18" t="s">
        <v>1180</v>
      </c>
      <c r="M108" s="18"/>
    </row>
    <row r="109" s="24" customFormat="1" ht="100" customHeight="1" spans="1:13">
      <c r="A109" s="30">
        <v>107</v>
      </c>
      <c r="B109" s="31" t="s">
        <v>13</v>
      </c>
      <c r="C109" s="31" t="s">
        <v>248</v>
      </c>
      <c r="D109" s="18" t="s">
        <v>164</v>
      </c>
      <c r="E109" s="54"/>
      <c r="F109" s="207" t="s">
        <v>623</v>
      </c>
      <c r="G109" s="32" t="s">
        <v>1178</v>
      </c>
      <c r="H109" s="54" t="s">
        <v>1179</v>
      </c>
      <c r="I109" s="18" t="s">
        <v>1182</v>
      </c>
      <c r="J109" s="18" t="s">
        <v>25</v>
      </c>
      <c r="K109" s="101" t="str">
        <f>_xlfn.DISPIMG("ID_704303D1617F41889F7E7136A2A55798",1)</f>
        <v>=DISPIMG("ID_704303D1617F41889F7E7136A2A55798",1)</v>
      </c>
      <c r="L109" s="18" t="s">
        <v>1180</v>
      </c>
      <c r="M109" s="18"/>
    </row>
    <row r="110" s="88" customFormat="1" ht="101" customHeight="1" spans="1:13">
      <c r="A110" s="94">
        <v>108</v>
      </c>
      <c r="B110" s="95" t="s">
        <v>13</v>
      </c>
      <c r="C110" s="95" t="s">
        <v>248</v>
      </c>
      <c r="D110" s="119" t="s">
        <v>164</v>
      </c>
      <c r="E110" s="117"/>
      <c r="F110" s="118" t="s">
        <v>450</v>
      </c>
      <c r="G110" s="96" t="s">
        <v>1183</v>
      </c>
      <c r="H110" s="117" t="s">
        <v>1184</v>
      </c>
      <c r="I110" s="119" t="s">
        <v>1185</v>
      </c>
      <c r="J110" s="119" t="s">
        <v>316</v>
      </c>
      <c r="K110" s="126" t="str">
        <f>_xlfn.DISPIMG("ID_E810EA4DF35F499186202A28423F222E",1)</f>
        <v>=DISPIMG("ID_E810EA4DF35F499186202A28423F222E",1)</v>
      </c>
      <c r="L110" s="119" t="s">
        <v>1186</v>
      </c>
      <c r="M110" s="119"/>
    </row>
    <row r="111" s="24" customFormat="1" ht="101" customHeight="1" spans="1:13">
      <c r="A111" s="30">
        <v>109</v>
      </c>
      <c r="B111" s="31" t="s">
        <v>13</v>
      </c>
      <c r="C111" s="31" t="s">
        <v>248</v>
      </c>
      <c r="D111" s="18" t="s">
        <v>164</v>
      </c>
      <c r="E111" s="54"/>
      <c r="F111" s="19" t="s">
        <v>454</v>
      </c>
      <c r="G111" s="32" t="s">
        <v>1187</v>
      </c>
      <c r="H111" s="54" t="s">
        <v>1188</v>
      </c>
      <c r="I111" s="18" t="s">
        <v>455</v>
      </c>
      <c r="J111" s="18" t="s">
        <v>456</v>
      </c>
      <c r="K111" s="101" t="str">
        <f>_xlfn.DISPIMG("ID_975AC4229DE44F00A51F3B726E9526DA",1)</f>
        <v>=DISPIMG("ID_975AC4229DE44F00A51F3B726E9526DA",1)</v>
      </c>
      <c r="L111" s="18" t="s">
        <v>1189</v>
      </c>
      <c r="M111" s="18"/>
    </row>
    <row r="112" s="24" customFormat="1" ht="89" customHeight="1" spans="1:13">
      <c r="A112" s="30">
        <v>110</v>
      </c>
      <c r="B112" s="31" t="s">
        <v>13</v>
      </c>
      <c r="C112" s="31" t="s">
        <v>248</v>
      </c>
      <c r="D112" s="18" t="s">
        <v>164</v>
      </c>
      <c r="E112" s="54"/>
      <c r="F112" s="19" t="s">
        <v>457</v>
      </c>
      <c r="G112" s="32" t="s">
        <v>1187</v>
      </c>
      <c r="H112" s="54" t="s">
        <v>1188</v>
      </c>
      <c r="I112" s="18" t="s">
        <v>458</v>
      </c>
      <c r="J112" s="18" t="s">
        <v>456</v>
      </c>
      <c r="K112" s="101" t="str">
        <f>_xlfn.DISPIMG("ID_7DAD7C52AA02422E9082473701834D81",1)</f>
        <v>=DISPIMG("ID_7DAD7C52AA02422E9082473701834D81",1)</v>
      </c>
      <c r="L112" s="18" t="s">
        <v>418</v>
      </c>
      <c r="M112" s="18"/>
    </row>
    <row r="113" s="24" customFormat="1" ht="140" spans="1:13">
      <c r="A113" s="30">
        <v>111</v>
      </c>
      <c r="B113" s="31" t="s">
        <v>13</v>
      </c>
      <c r="C113" s="31" t="s">
        <v>248</v>
      </c>
      <c r="D113" s="18" t="s">
        <v>164</v>
      </c>
      <c r="E113" s="54"/>
      <c r="F113" s="19" t="s">
        <v>613</v>
      </c>
      <c r="G113" s="32" t="s">
        <v>993</v>
      </c>
      <c r="H113" s="54" t="s">
        <v>1190</v>
      </c>
      <c r="I113" s="18" t="s">
        <v>1191</v>
      </c>
      <c r="J113" s="18" t="s">
        <v>615</v>
      </c>
      <c r="K113" s="101" t="str">
        <f>_xlfn.DISPIMG("ID_92205E83649C4477B02691FD029EC02A",1)</f>
        <v>=DISPIMG("ID_92205E83649C4477B02691FD029EC02A",1)</v>
      </c>
      <c r="L113" s="18" t="s">
        <v>1192</v>
      </c>
      <c r="M113" s="18"/>
    </row>
    <row r="114" s="24" customFormat="1" ht="97" customHeight="1" spans="1:13">
      <c r="A114" s="30">
        <v>112</v>
      </c>
      <c r="B114" s="31" t="s">
        <v>13</v>
      </c>
      <c r="C114" s="31" t="s">
        <v>248</v>
      </c>
      <c r="D114" s="18" t="s">
        <v>164</v>
      </c>
      <c r="E114" s="54"/>
      <c r="F114" s="19" t="s">
        <v>626</v>
      </c>
      <c r="G114" s="32" t="s">
        <v>1193</v>
      </c>
      <c r="H114" s="54" t="s">
        <v>1194</v>
      </c>
      <c r="I114" s="18" t="s">
        <v>627</v>
      </c>
      <c r="J114" s="18" t="s">
        <v>628</v>
      </c>
      <c r="K114" s="101" t="str">
        <f>_xlfn.DISPIMG("ID_5E28FCE00D51475381988F0D4EEE994C",1)</f>
        <v>=DISPIMG("ID_5E28FCE00D51475381988F0D4EEE994C",1)</v>
      </c>
      <c r="L114" s="18"/>
      <c r="M114" s="18"/>
    </row>
    <row r="115" s="24" customFormat="1" ht="92" customHeight="1" spans="1:13">
      <c r="A115" s="30">
        <v>113</v>
      </c>
      <c r="B115" s="31" t="s">
        <v>13</v>
      </c>
      <c r="C115" s="31" t="s">
        <v>248</v>
      </c>
      <c r="D115" s="30" t="s">
        <v>15</v>
      </c>
      <c r="E115" s="54" t="s">
        <v>415</v>
      </c>
      <c r="F115" s="19" t="s">
        <v>600</v>
      </c>
      <c r="G115" s="32" t="s">
        <v>1195</v>
      </c>
      <c r="H115" s="54" t="s">
        <v>1196</v>
      </c>
      <c r="I115" s="18" t="s">
        <v>601</v>
      </c>
      <c r="J115" s="18" t="s">
        <v>316</v>
      </c>
      <c r="K115" s="101" t="str">
        <f>_xlfn.DISPIMG("ID_4B3BDD18681A491AB770EF04813AFB6E",1)</f>
        <v>=DISPIMG("ID_4B3BDD18681A491AB770EF04813AFB6E",1)</v>
      </c>
      <c r="L115" s="18" t="s">
        <v>1197</v>
      </c>
      <c r="M115" s="18"/>
    </row>
    <row r="116" s="24" customFormat="1" ht="92" customHeight="1" spans="1:13">
      <c r="A116" s="30">
        <v>114</v>
      </c>
      <c r="B116" s="31" t="s">
        <v>13</v>
      </c>
      <c r="C116" s="31" t="s">
        <v>248</v>
      </c>
      <c r="D116" s="30" t="s">
        <v>15</v>
      </c>
      <c r="E116" s="54" t="s">
        <v>406</v>
      </c>
      <c r="F116" s="19" t="s">
        <v>602</v>
      </c>
      <c r="G116" s="32" t="s">
        <v>1195</v>
      </c>
      <c r="H116" s="54" t="s">
        <v>1196</v>
      </c>
      <c r="I116" s="18" t="s">
        <v>603</v>
      </c>
      <c r="J116" s="18" t="s">
        <v>316</v>
      </c>
      <c r="K116" s="101" t="str">
        <f>_xlfn.DISPIMG("ID_4C76A966170E4C51B6231F01754929A3",1)</f>
        <v>=DISPIMG("ID_4C76A966170E4C51B6231F01754929A3",1)</v>
      </c>
      <c r="L116" s="18" t="s">
        <v>1197</v>
      </c>
      <c r="M116" s="18"/>
    </row>
    <row r="117" s="78" customFormat="1" ht="92" customHeight="1" spans="1:13">
      <c r="A117" s="30">
        <v>115</v>
      </c>
      <c r="B117" s="30" t="s">
        <v>248</v>
      </c>
      <c r="C117" s="30" t="s">
        <v>248</v>
      </c>
      <c r="D117" s="52" t="s">
        <v>164</v>
      </c>
      <c r="E117" s="19"/>
      <c r="F117" s="32" t="s">
        <v>735</v>
      </c>
      <c r="G117" s="32" t="s">
        <v>1198</v>
      </c>
      <c r="H117" s="32" t="s">
        <v>1199</v>
      </c>
      <c r="I117" s="52" t="s">
        <v>736</v>
      </c>
      <c r="J117" s="52" t="s">
        <v>25</v>
      </c>
      <c r="K117" s="102" t="str">
        <f>_xlfn.DISPIMG("ID_5F8861B808AC49A58DB65FE4FA261EED",1)</f>
        <v>=DISPIMG("ID_5F8861B808AC49A58DB65FE4FA261EED",1)</v>
      </c>
      <c r="L117" s="52"/>
      <c r="M117" s="52" t="s">
        <v>1200</v>
      </c>
    </row>
    <row r="118" s="78" customFormat="1" ht="92" customHeight="1" spans="1:13">
      <c r="A118" s="30">
        <v>116</v>
      </c>
      <c r="B118" s="30" t="s">
        <v>248</v>
      </c>
      <c r="C118" s="30" t="s">
        <v>248</v>
      </c>
      <c r="D118" s="52" t="s">
        <v>164</v>
      </c>
      <c r="E118" s="19"/>
      <c r="F118" s="19" t="s">
        <v>737</v>
      </c>
      <c r="G118" s="32" t="s">
        <v>1198</v>
      </c>
      <c r="H118" s="32" t="s">
        <v>1199</v>
      </c>
      <c r="I118" s="52" t="s">
        <v>738</v>
      </c>
      <c r="J118" s="52" t="s">
        <v>25</v>
      </c>
      <c r="K118" s="102" t="str">
        <f>_xlfn.DISPIMG("ID_A256CCDEB6C54063897F5F2D7A154DA1",1)</f>
        <v>=DISPIMG("ID_A256CCDEB6C54063897F5F2D7A154DA1",1)</v>
      </c>
      <c r="L118" s="52"/>
      <c r="M118" s="52" t="s">
        <v>1201</v>
      </c>
    </row>
    <row r="119" s="78" customFormat="1" ht="92" customHeight="1" spans="1:13">
      <c r="A119" s="30">
        <v>117</v>
      </c>
      <c r="B119" s="30" t="s">
        <v>248</v>
      </c>
      <c r="C119" s="30" t="s">
        <v>248</v>
      </c>
      <c r="D119" s="52" t="s">
        <v>164</v>
      </c>
      <c r="E119" s="19"/>
      <c r="F119" s="19" t="s">
        <v>739</v>
      </c>
      <c r="G119" s="32" t="s">
        <v>1198</v>
      </c>
      <c r="H119" s="32" t="s">
        <v>1199</v>
      </c>
      <c r="I119" s="52" t="s">
        <v>740</v>
      </c>
      <c r="J119" s="52" t="s">
        <v>25</v>
      </c>
      <c r="K119" s="102" t="str">
        <f>_xlfn.DISPIMG("ID_F654CD60F21A42D69F77D2A5AA02F594",1)</f>
        <v>=DISPIMG("ID_F654CD60F21A42D69F77D2A5AA02F594",1)</v>
      </c>
      <c r="L119" s="52"/>
      <c r="M119" s="52" t="s">
        <v>1202</v>
      </c>
    </row>
    <row r="120" s="78" customFormat="1" ht="92" customHeight="1" spans="1:13">
      <c r="A120" s="30">
        <v>118</v>
      </c>
      <c r="B120" s="30" t="s">
        <v>248</v>
      </c>
      <c r="C120" s="30" t="s">
        <v>248</v>
      </c>
      <c r="D120" s="52" t="s">
        <v>164</v>
      </c>
      <c r="E120" s="19"/>
      <c r="F120" s="19" t="s">
        <v>741</v>
      </c>
      <c r="G120" s="32" t="s">
        <v>1198</v>
      </c>
      <c r="H120" s="32" t="s">
        <v>1199</v>
      </c>
      <c r="I120" s="52" t="s">
        <v>742</v>
      </c>
      <c r="J120" s="52" t="s">
        <v>25</v>
      </c>
      <c r="K120" s="102" t="str">
        <f>_xlfn.DISPIMG("ID_28368E8FD7E24C4EBE30232BF3FD4570",1)</f>
        <v>=DISPIMG("ID_28368E8FD7E24C4EBE30232BF3FD4570",1)</v>
      </c>
      <c r="L120" s="52"/>
      <c r="M120" s="52" t="s">
        <v>1203</v>
      </c>
    </row>
    <row r="121" s="78" customFormat="1" ht="92" customHeight="1" spans="1:13">
      <c r="A121" s="30">
        <v>119</v>
      </c>
      <c r="B121" s="30" t="s">
        <v>248</v>
      </c>
      <c r="C121" s="30" t="s">
        <v>248</v>
      </c>
      <c r="D121" s="52" t="s">
        <v>164</v>
      </c>
      <c r="E121" s="19"/>
      <c r="F121" s="19" t="s">
        <v>743</v>
      </c>
      <c r="G121" s="32" t="s">
        <v>1198</v>
      </c>
      <c r="H121" s="32" t="s">
        <v>1199</v>
      </c>
      <c r="I121" s="52" t="s">
        <v>744</v>
      </c>
      <c r="J121" s="52" t="s">
        <v>82</v>
      </c>
      <c r="K121" s="102" t="str">
        <f>_xlfn.DISPIMG("ID_4603CE0FD66F4B80B37AFE49411156D0",1)</f>
        <v>=DISPIMG("ID_4603CE0FD66F4B80B37AFE49411156D0",1)</v>
      </c>
      <c r="L121" s="52"/>
      <c r="M121" s="52" t="s">
        <v>1204</v>
      </c>
    </row>
    <row r="122" s="78" customFormat="1" ht="92" customHeight="1" spans="1:13">
      <c r="A122" s="30">
        <v>120</v>
      </c>
      <c r="B122" s="30" t="s">
        <v>248</v>
      </c>
      <c r="C122" s="30" t="s">
        <v>248</v>
      </c>
      <c r="D122" s="52" t="s">
        <v>164</v>
      </c>
      <c r="E122" s="19"/>
      <c r="F122" s="19" t="s">
        <v>745</v>
      </c>
      <c r="G122" s="32" t="s">
        <v>1198</v>
      </c>
      <c r="H122" s="32" t="s">
        <v>1199</v>
      </c>
      <c r="I122" s="52" t="s">
        <v>746</v>
      </c>
      <c r="J122" s="52" t="s">
        <v>25</v>
      </c>
      <c r="K122" s="102" t="str">
        <f>_xlfn.DISPIMG("ID_CC54D3663CDD4ACCB4946EE083AEA082",1)</f>
        <v>=DISPIMG("ID_CC54D3663CDD4ACCB4946EE083AEA082",1)</v>
      </c>
      <c r="L122" s="52"/>
      <c r="M122" s="52"/>
    </row>
    <row r="123" s="78" customFormat="1" ht="92" customHeight="1" spans="1:13">
      <c r="A123" s="30">
        <v>121</v>
      </c>
      <c r="B123" s="30" t="s">
        <v>248</v>
      </c>
      <c r="C123" s="30" t="s">
        <v>248</v>
      </c>
      <c r="D123" s="52" t="s">
        <v>164</v>
      </c>
      <c r="E123" s="19"/>
      <c r="F123" s="19" t="s">
        <v>748</v>
      </c>
      <c r="G123" s="32" t="s">
        <v>1198</v>
      </c>
      <c r="H123" s="32" t="s">
        <v>1199</v>
      </c>
      <c r="I123" s="52" t="s">
        <v>749</v>
      </c>
      <c r="J123" s="52" t="s">
        <v>25</v>
      </c>
      <c r="K123" s="102" t="str">
        <f>_xlfn.DISPIMG("ID_E3D99CA09F49483681B5E4B371450C5B",1)</f>
        <v>=DISPIMG("ID_E3D99CA09F49483681B5E4B371450C5B",1)</v>
      </c>
      <c r="L123" s="52"/>
      <c r="M123" s="52"/>
    </row>
    <row r="124" ht="154" spans="1:13">
      <c r="A124" s="30">
        <v>122</v>
      </c>
      <c r="B124" s="37" t="s">
        <v>248</v>
      </c>
      <c r="C124" s="30" t="s">
        <v>1205</v>
      </c>
      <c r="D124" s="52" t="s">
        <v>171</v>
      </c>
      <c r="E124" s="19"/>
      <c r="F124" s="19" t="s">
        <v>1206</v>
      </c>
      <c r="G124" s="32" t="s">
        <v>1207</v>
      </c>
      <c r="H124" s="19"/>
      <c r="I124" s="52" t="s">
        <v>1208</v>
      </c>
      <c r="J124" s="52"/>
      <c r="K124" s="52" t="str">
        <f>_xlfn.DISPIMG("ID_2E015EA2FFE645F587E31B06D68D32E0",1)</f>
        <v>=DISPIMG("ID_2E015EA2FFE645F587E31B06D68D32E0",1)</v>
      </c>
      <c r="L124" s="52"/>
      <c r="M124" s="52"/>
    </row>
    <row r="125" ht="252" spans="1:13">
      <c r="A125" s="52">
        <v>123</v>
      </c>
      <c r="B125" s="37" t="s">
        <v>248</v>
      </c>
      <c r="C125" s="30" t="s">
        <v>1205</v>
      </c>
      <c r="D125" s="52" t="s">
        <v>171</v>
      </c>
      <c r="E125" s="19"/>
      <c r="F125" s="19" t="s">
        <v>1209</v>
      </c>
      <c r="G125" s="32" t="s">
        <v>1207</v>
      </c>
      <c r="H125" s="19"/>
      <c r="I125" s="52" t="s">
        <v>1210</v>
      </c>
      <c r="J125" s="52"/>
      <c r="K125" s="52"/>
      <c r="L125" s="52"/>
      <c r="M125" s="52"/>
    </row>
    <row r="126" ht="126" spans="1:13">
      <c r="A126" s="52">
        <v>124</v>
      </c>
      <c r="B126" s="37" t="s">
        <v>248</v>
      </c>
      <c r="C126" s="30" t="s">
        <v>1205</v>
      </c>
      <c r="D126" s="52" t="s">
        <v>171</v>
      </c>
      <c r="E126" s="19"/>
      <c r="F126" s="207" t="s">
        <v>1211</v>
      </c>
      <c r="G126" s="19"/>
      <c r="H126" s="19"/>
      <c r="I126" s="52" t="s">
        <v>1212</v>
      </c>
      <c r="J126" s="52"/>
      <c r="K126" s="52" t="str">
        <f>_xlfn.DISPIMG("ID_EE7948B4A31F48A0B163DB408102C68F",1)</f>
        <v>=DISPIMG("ID_EE7948B4A31F48A0B163DB408102C68F",1)</v>
      </c>
      <c r="L126" s="52"/>
      <c r="M126" s="52"/>
    </row>
    <row r="127" ht="99" customHeight="1" spans="1:13">
      <c r="A127" s="52">
        <v>125</v>
      </c>
      <c r="B127" s="37" t="s">
        <v>248</v>
      </c>
      <c r="C127" s="30" t="s">
        <v>1205</v>
      </c>
      <c r="D127" s="52" t="s">
        <v>171</v>
      </c>
      <c r="E127" s="19"/>
      <c r="F127" s="207" t="s">
        <v>1213</v>
      </c>
      <c r="G127" s="19"/>
      <c r="H127" s="19"/>
      <c r="I127" s="52" t="s">
        <v>1214</v>
      </c>
      <c r="J127" s="52"/>
      <c r="K127" s="52" t="str">
        <f>_xlfn.DISPIMG("ID_ADD85556F9A64803835D36FF731862E9",1)</f>
        <v>=DISPIMG("ID_ADD85556F9A64803835D36FF731862E9",1)</v>
      </c>
      <c r="L127" s="52"/>
      <c r="M127" s="52"/>
    </row>
    <row r="128" s="89" customFormat="1" ht="103" customHeight="1" spans="2:11">
      <c r="B128" s="120" t="s">
        <v>13</v>
      </c>
      <c r="C128" s="120" t="s">
        <v>248</v>
      </c>
      <c r="D128" s="121" t="s">
        <v>164</v>
      </c>
      <c r="E128" s="122"/>
      <c r="F128" s="122" t="s">
        <v>1215</v>
      </c>
      <c r="G128" s="122" t="s">
        <v>1216</v>
      </c>
      <c r="H128" s="122" t="s">
        <v>1217</v>
      </c>
      <c r="I128" s="121" t="s">
        <v>610</v>
      </c>
      <c r="J128" s="121" t="s">
        <v>25</v>
      </c>
      <c r="K128" s="121" t="str">
        <f>_xlfn.DISPIMG("ID_E074D422A5EE4A3784F7B5AFB8208918",1)</f>
        <v>=DISPIMG("ID_E074D422A5EE4A3784F7B5AFB8208918",1)</v>
      </c>
    </row>
    <row r="129" ht="112" customHeight="1" spans="1:13">
      <c r="A129" s="52">
        <v>126</v>
      </c>
      <c r="B129" s="30" t="s">
        <v>248</v>
      </c>
      <c r="C129" s="30" t="s">
        <v>248</v>
      </c>
      <c r="D129" s="52" t="s">
        <v>164</v>
      </c>
      <c r="E129" s="19"/>
      <c r="F129" s="19" t="s">
        <v>1218</v>
      </c>
      <c r="G129" s="19" t="s">
        <v>1219</v>
      </c>
      <c r="H129" s="19" t="s">
        <v>1220</v>
      </c>
      <c r="I129" s="52" t="s">
        <v>726</v>
      </c>
      <c r="J129" s="52" t="s">
        <v>25</v>
      </c>
      <c r="K129" s="52" t="str">
        <f>_xlfn.DISPIMG("ID_C33167F76E844E3982E16A3AA2C5D883",1)</f>
        <v>=DISPIMG("ID_C33167F76E844E3982E16A3AA2C5D883",1)</v>
      </c>
      <c r="L129" s="52"/>
      <c r="M129" s="52"/>
    </row>
    <row r="130" ht="120" customHeight="1" spans="1:13">
      <c r="A130" s="52">
        <v>127</v>
      </c>
      <c r="B130" s="30"/>
      <c r="C130" s="30"/>
      <c r="D130" s="52" t="s">
        <v>15</v>
      </c>
      <c r="E130" s="19" t="s">
        <v>548</v>
      </c>
      <c r="F130" s="19" t="s">
        <v>1221</v>
      </c>
      <c r="G130" s="19" t="s">
        <v>1096</v>
      </c>
      <c r="H130" s="19" t="s">
        <v>1097</v>
      </c>
      <c r="I130" s="55" t="s">
        <v>550</v>
      </c>
      <c r="J130" s="52" t="s">
        <v>316</v>
      </c>
      <c r="K130" s="52" t="str">
        <f>_xlfn.DISPIMG("ID_6161CCB8E4E8479FBC1F0AECF765547B",1)</f>
        <v>=DISPIMG("ID_6161CCB8E4E8479FBC1F0AECF765547B",1)</v>
      </c>
      <c r="L130" s="52"/>
      <c r="M130" s="52"/>
    </row>
    <row r="131" ht="112" customHeight="1" spans="1:13">
      <c r="A131" s="52">
        <v>128</v>
      </c>
      <c r="B131" s="30"/>
      <c r="C131" s="30"/>
      <c r="D131" s="52" t="s">
        <v>15</v>
      </c>
      <c r="E131" s="19" t="s">
        <v>553</v>
      </c>
      <c r="F131" s="19" t="s">
        <v>554</v>
      </c>
      <c r="G131" s="19" t="s">
        <v>1096</v>
      </c>
      <c r="H131" s="19" t="s">
        <v>1097</v>
      </c>
      <c r="I131" s="55" t="s">
        <v>555</v>
      </c>
      <c r="J131" s="52" t="s">
        <v>316</v>
      </c>
      <c r="K131" s="52" t="str">
        <f>_xlfn.DISPIMG("ID_9C4BC65EC2D04F92BF31331782EF8FC9",1)</f>
        <v>=DISPIMG("ID_9C4BC65EC2D04F92BF31331782EF8FC9",1)</v>
      </c>
      <c r="L131" s="52"/>
      <c r="M131" s="52"/>
    </row>
    <row r="132" ht="104" customHeight="1" spans="2:11">
      <c r="B132" s="120" t="s">
        <v>13</v>
      </c>
      <c r="C132" s="120" t="s">
        <v>248</v>
      </c>
      <c r="D132" s="78" t="s">
        <v>15</v>
      </c>
      <c r="E132" s="91" t="s">
        <v>577</v>
      </c>
      <c r="F132" s="91" t="s">
        <v>578</v>
      </c>
      <c r="G132" s="91" t="s">
        <v>1096</v>
      </c>
      <c r="H132" s="19" t="s">
        <v>1097</v>
      </c>
      <c r="I132" s="78" t="s">
        <v>579</v>
      </c>
      <c r="J132" s="52" t="s">
        <v>316</v>
      </c>
      <c r="K132" s="78" t="str">
        <f>_xlfn.DISPIMG("ID_ACF2DF267E82498BAC9F9116D265D9C8",1)</f>
        <v>=DISPIMG("ID_ACF2DF267E82498BAC9F9116D265D9C8",1)</v>
      </c>
    </row>
  </sheetData>
  <autoFilter xmlns:etc="http://www.wps.cn/officeDocument/2017/etCustomData" ref="A1:N132" etc:filterBottomFollowUsedRange="0">
    <extLst/>
  </autoFilter>
  <mergeCells count="1">
    <mergeCell ref="A1:M1"/>
  </mergeCells>
  <dataValidations count="1">
    <dataValidation type="list" allowBlank="1" showInputMessage="1" showErrorMessage="1" sqref="D$1:D$1048576">
      <formula1>Sheet2!$B$8:$B$10</formula1>
    </dataValidation>
  </dataValidation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zoomScale="85" zoomScaleNormal="85" topLeftCell="A7" workbookViewId="0">
      <selection activeCell="G16" sqref="G16"/>
    </sheetView>
  </sheetViews>
  <sheetFormatPr defaultColWidth="8.72727272727273" defaultRowHeight="14"/>
  <cols>
    <col min="1" max="1" width="6.27272727272727" style="21" customWidth="1"/>
    <col min="2" max="2" width="10.9" style="21" customWidth="1"/>
    <col min="3" max="3" width="11" style="21" customWidth="1"/>
    <col min="4" max="4" width="21.0909090909091" style="78" customWidth="1"/>
    <col min="5" max="5" width="13.7272727272727" style="78" customWidth="1"/>
    <col min="6" max="6" width="21.3636363636364" style="21" customWidth="1"/>
    <col min="7" max="7" width="16.0909090909091" style="21" customWidth="1"/>
    <col min="8" max="8" width="12.2727272727273" style="21" customWidth="1"/>
    <col min="9" max="9" width="54.8181818181818" style="79" customWidth="1"/>
    <col min="10" max="10" width="20.9090909090909" style="21" customWidth="1"/>
    <col min="11" max="11" width="20.1818181818182" style="21" customWidth="1"/>
    <col min="12" max="12" width="8.09090909090909" style="21" customWidth="1"/>
    <col min="13" max="13" width="8.72727272727273" style="21"/>
    <col min="14" max="14" width="11" style="21" customWidth="1"/>
    <col min="15" max="16384" width="8.72727272727273" style="21"/>
  </cols>
  <sheetData>
    <row r="1" ht="37" customHeight="1" spans="1:12">
      <c r="A1" s="27" t="s">
        <v>420</v>
      </c>
      <c r="B1" s="27"/>
      <c r="C1" s="27"/>
      <c r="D1" s="27"/>
      <c r="E1" s="27"/>
      <c r="F1" s="27"/>
      <c r="G1" s="27"/>
      <c r="H1" s="27"/>
      <c r="I1" s="82"/>
      <c r="J1" s="27"/>
      <c r="K1" s="27"/>
      <c r="L1" s="27"/>
    </row>
    <row r="2" ht="31" customHeight="1" spans="1:14">
      <c r="A2" s="28" t="s">
        <v>1</v>
      </c>
      <c r="B2" s="28" t="s">
        <v>2</v>
      </c>
      <c r="C2" s="28" t="s">
        <v>3</v>
      </c>
      <c r="D2" s="80" t="s">
        <v>4</v>
      </c>
      <c r="E2" s="81" t="s">
        <v>5</v>
      </c>
      <c r="F2" s="29" t="s">
        <v>6</v>
      </c>
      <c r="G2" s="29" t="s">
        <v>7</v>
      </c>
      <c r="H2" s="29" t="s">
        <v>8</v>
      </c>
      <c r="I2" s="28" t="s">
        <v>9</v>
      </c>
      <c r="J2" s="28" t="s">
        <v>10</v>
      </c>
      <c r="K2" s="28" t="s">
        <v>11</v>
      </c>
      <c r="L2" s="28" t="s">
        <v>12</v>
      </c>
      <c r="M2" s="28" t="s">
        <v>1222</v>
      </c>
      <c r="N2" s="28" t="s">
        <v>1223</v>
      </c>
    </row>
    <row r="3" ht="147" customHeight="1" spans="1:14">
      <c r="A3" s="30">
        <v>1</v>
      </c>
      <c r="B3" s="30" t="s">
        <v>13</v>
      </c>
      <c r="C3" s="30" t="s">
        <v>248</v>
      </c>
      <c r="D3" s="30" t="s">
        <v>171</v>
      </c>
      <c r="E3" s="32"/>
      <c r="F3" s="15" t="s">
        <v>1224</v>
      </c>
      <c r="G3" s="32" t="s">
        <v>1225</v>
      </c>
      <c r="H3" s="32" t="s">
        <v>1226</v>
      </c>
      <c r="I3" s="83" t="s">
        <v>1227</v>
      </c>
      <c r="J3" s="30" t="s">
        <v>1228</v>
      </c>
      <c r="K3" s="43" t="s">
        <v>1229</v>
      </c>
      <c r="L3" s="36"/>
      <c r="M3" s="48" t="s">
        <v>1230</v>
      </c>
      <c r="N3" s="48" t="s">
        <v>1231</v>
      </c>
    </row>
    <row r="4" ht="75" spans="1:14">
      <c r="A4" s="30">
        <v>2</v>
      </c>
      <c r="B4" s="30" t="s">
        <v>13</v>
      </c>
      <c r="C4" s="30" t="s">
        <v>248</v>
      </c>
      <c r="D4" s="30" t="s">
        <v>171</v>
      </c>
      <c r="E4" s="32"/>
      <c r="F4" s="15" t="s">
        <v>1232</v>
      </c>
      <c r="G4" s="32" t="s">
        <v>1233</v>
      </c>
      <c r="H4" s="32" t="s">
        <v>1234</v>
      </c>
      <c r="I4" s="83" t="s">
        <v>1235</v>
      </c>
      <c r="J4" s="30" t="s">
        <v>475</v>
      </c>
      <c r="K4" s="43" t="s">
        <v>1236</v>
      </c>
      <c r="L4" s="36"/>
      <c r="M4" s="48" t="s">
        <v>1230</v>
      </c>
      <c r="N4" s="48" t="s">
        <v>1231</v>
      </c>
    </row>
    <row r="5" ht="60" spans="1:14">
      <c r="A5" s="30">
        <v>3</v>
      </c>
      <c r="B5" s="30" t="s">
        <v>13</v>
      </c>
      <c r="C5" s="30" t="s">
        <v>248</v>
      </c>
      <c r="D5" s="30" t="s">
        <v>171</v>
      </c>
      <c r="E5" s="32"/>
      <c r="F5" s="15" t="s">
        <v>1237</v>
      </c>
      <c r="G5" s="32" t="s">
        <v>1238</v>
      </c>
      <c r="H5" s="32" t="s">
        <v>1239</v>
      </c>
      <c r="I5" s="83" t="s">
        <v>1240</v>
      </c>
      <c r="J5" s="30" t="s">
        <v>1241</v>
      </c>
      <c r="K5" s="43" t="s">
        <v>1242</v>
      </c>
      <c r="L5" s="36"/>
      <c r="M5" s="48" t="s">
        <v>1230</v>
      </c>
      <c r="N5" s="48" t="s">
        <v>1231</v>
      </c>
    </row>
    <row r="6" ht="60" spans="1:14">
      <c r="A6" s="30">
        <v>4</v>
      </c>
      <c r="B6" s="30" t="s">
        <v>13</v>
      </c>
      <c r="C6" s="30" t="s">
        <v>248</v>
      </c>
      <c r="D6" s="30" t="s">
        <v>171</v>
      </c>
      <c r="E6" s="32"/>
      <c r="F6" s="15" t="s">
        <v>1243</v>
      </c>
      <c r="G6" s="32" t="s">
        <v>1238</v>
      </c>
      <c r="H6" s="32" t="s">
        <v>1239</v>
      </c>
      <c r="I6" s="83" t="s">
        <v>1244</v>
      </c>
      <c r="J6" s="30" t="s">
        <v>1245</v>
      </c>
      <c r="K6" s="43" t="s">
        <v>1246</v>
      </c>
      <c r="L6" s="36"/>
      <c r="M6" s="48" t="s">
        <v>1230</v>
      </c>
      <c r="N6" s="48" t="s">
        <v>1231</v>
      </c>
    </row>
    <row r="7" ht="60" spans="1:14">
      <c r="A7" s="30">
        <v>6</v>
      </c>
      <c r="B7" s="30" t="s">
        <v>13</v>
      </c>
      <c r="C7" s="30" t="s">
        <v>248</v>
      </c>
      <c r="D7" s="30" t="s">
        <v>171</v>
      </c>
      <c r="E7" s="32"/>
      <c r="F7" s="15" t="s">
        <v>1247</v>
      </c>
      <c r="G7" s="32" t="s">
        <v>1000</v>
      </c>
      <c r="H7" s="32" t="s">
        <v>1038</v>
      </c>
      <c r="I7" s="83" t="s">
        <v>1248</v>
      </c>
      <c r="J7" s="30" t="s">
        <v>1011</v>
      </c>
      <c r="K7" s="43" t="s">
        <v>1249</v>
      </c>
      <c r="L7" s="36"/>
      <c r="M7" s="48" t="s">
        <v>1230</v>
      </c>
      <c r="N7" s="48" t="s">
        <v>1231</v>
      </c>
    </row>
    <row r="8" ht="60" spans="1:14">
      <c r="A8" s="30">
        <v>5</v>
      </c>
      <c r="B8" s="30" t="s">
        <v>13</v>
      </c>
      <c r="C8" s="30" t="s">
        <v>248</v>
      </c>
      <c r="D8" s="30" t="s">
        <v>171</v>
      </c>
      <c r="E8" s="32" t="s">
        <v>546</v>
      </c>
      <c r="F8" s="15" t="s">
        <v>1250</v>
      </c>
      <c r="G8" s="32" t="s">
        <v>1000</v>
      </c>
      <c r="H8" s="32" t="s">
        <v>1038</v>
      </c>
      <c r="I8" s="83" t="s">
        <v>1251</v>
      </c>
      <c r="J8" s="30" t="s">
        <v>1011</v>
      </c>
      <c r="K8" s="43" t="s">
        <v>1252</v>
      </c>
      <c r="L8" s="36" t="s">
        <v>1040</v>
      </c>
      <c r="M8" s="48"/>
      <c r="N8" s="48"/>
    </row>
    <row r="9" s="21" customFormat="1" ht="60" spans="1:14">
      <c r="A9" s="30">
        <v>7</v>
      </c>
      <c r="B9" s="30" t="s">
        <v>13</v>
      </c>
      <c r="C9" s="30" t="s">
        <v>248</v>
      </c>
      <c r="D9" s="30" t="s">
        <v>171</v>
      </c>
      <c r="E9" s="32" t="s">
        <v>582</v>
      </c>
      <c r="F9" s="15" t="s">
        <v>1037</v>
      </c>
      <c r="G9" s="32" t="s">
        <v>1000</v>
      </c>
      <c r="H9" s="32" t="s">
        <v>1038</v>
      </c>
      <c r="I9" s="83" t="s">
        <v>536</v>
      </c>
      <c r="J9" s="30" t="s">
        <v>41</v>
      </c>
      <c r="K9" s="43" t="s">
        <v>1039</v>
      </c>
      <c r="L9" s="36" t="s">
        <v>1040</v>
      </c>
      <c r="M9" s="48"/>
      <c r="N9" s="48"/>
    </row>
    <row r="10" ht="60" spans="1:14">
      <c r="A10" s="30">
        <v>8</v>
      </c>
      <c r="B10" s="30" t="s">
        <v>13</v>
      </c>
      <c r="C10" s="30" t="s">
        <v>248</v>
      </c>
      <c r="D10" s="30" t="s">
        <v>171</v>
      </c>
      <c r="E10" s="32" t="s">
        <v>541</v>
      </c>
      <c r="F10" s="15" t="s">
        <v>1253</v>
      </c>
      <c r="G10" s="32" t="s">
        <v>1000</v>
      </c>
      <c r="H10" s="32" t="s">
        <v>1038</v>
      </c>
      <c r="I10" s="83" t="s">
        <v>1041</v>
      </c>
      <c r="J10" s="30" t="s">
        <v>1011</v>
      </c>
      <c r="K10" s="43" t="s">
        <v>1042</v>
      </c>
      <c r="L10" s="36" t="s">
        <v>1040</v>
      </c>
      <c r="M10" s="48"/>
      <c r="N10" s="48"/>
    </row>
    <row r="11" ht="60" spans="1:14">
      <c r="A11" s="30">
        <v>9</v>
      </c>
      <c r="B11" s="30" t="s">
        <v>13</v>
      </c>
      <c r="C11" s="30" t="s">
        <v>248</v>
      </c>
      <c r="D11" s="30" t="s">
        <v>171</v>
      </c>
      <c r="E11" s="32" t="s">
        <v>566</v>
      </c>
      <c r="F11" s="15" t="s">
        <v>1044</v>
      </c>
      <c r="G11" s="32" t="s">
        <v>1000</v>
      </c>
      <c r="H11" s="32" t="s">
        <v>1038</v>
      </c>
      <c r="I11" s="83" t="s">
        <v>532</v>
      </c>
      <c r="J11" s="30" t="s">
        <v>1011</v>
      </c>
      <c r="K11" s="43" t="s">
        <v>1045</v>
      </c>
      <c r="L11" s="36" t="s">
        <v>1040</v>
      </c>
      <c r="M11" s="48"/>
      <c r="N11" s="48"/>
    </row>
    <row r="12" ht="60" spans="1:14">
      <c r="A12" s="30">
        <v>10</v>
      </c>
      <c r="B12" s="30" t="s">
        <v>13</v>
      </c>
      <c r="C12" s="30" t="s">
        <v>248</v>
      </c>
      <c r="D12" s="30" t="s">
        <v>171</v>
      </c>
      <c r="E12" s="32" t="s">
        <v>1254</v>
      </c>
      <c r="F12" s="15" t="s">
        <v>1255</v>
      </c>
      <c r="G12" s="32" t="s">
        <v>1000</v>
      </c>
      <c r="H12" s="32" t="s">
        <v>1038</v>
      </c>
      <c r="I12" s="83" t="s">
        <v>1256</v>
      </c>
      <c r="J12" s="30" t="s">
        <v>1011</v>
      </c>
      <c r="K12" s="43" t="s">
        <v>1257</v>
      </c>
      <c r="L12" s="36" t="s">
        <v>1040</v>
      </c>
      <c r="M12" s="48" t="s">
        <v>1230</v>
      </c>
      <c r="N12" s="48" t="s">
        <v>1231</v>
      </c>
    </row>
    <row r="13" ht="60" spans="1:14">
      <c r="A13" s="30">
        <v>11</v>
      </c>
      <c r="B13" s="30" t="s">
        <v>13</v>
      </c>
      <c r="C13" s="30" t="s">
        <v>248</v>
      </c>
      <c r="D13" s="30" t="s">
        <v>171</v>
      </c>
      <c r="E13" s="32" t="s">
        <v>905</v>
      </c>
      <c r="F13" s="15" t="s">
        <v>1258</v>
      </c>
      <c r="G13" s="32" t="s">
        <v>1000</v>
      </c>
      <c r="H13" s="32" t="s">
        <v>1038</v>
      </c>
      <c r="I13" s="83" t="s">
        <v>1259</v>
      </c>
      <c r="J13" s="30" t="s">
        <v>41</v>
      </c>
      <c r="K13" s="43" t="s">
        <v>1260</v>
      </c>
      <c r="L13" s="36" t="s">
        <v>1040</v>
      </c>
      <c r="M13" s="48" t="s">
        <v>1230</v>
      </c>
      <c r="N13" s="48" t="s">
        <v>1231</v>
      </c>
    </row>
    <row r="14" ht="60" spans="1:14">
      <c r="A14" s="30">
        <v>12</v>
      </c>
      <c r="B14" s="30" t="s">
        <v>13</v>
      </c>
      <c r="C14" s="30" t="s">
        <v>248</v>
      </c>
      <c r="D14" s="30" t="s">
        <v>171</v>
      </c>
      <c r="E14" s="32" t="s">
        <v>564</v>
      </c>
      <c r="F14" s="15" t="s">
        <v>529</v>
      </c>
      <c r="G14" s="32" t="s">
        <v>1000</v>
      </c>
      <c r="H14" s="32" t="s">
        <v>1038</v>
      </c>
      <c r="I14" s="83" t="s">
        <v>1046</v>
      </c>
      <c r="J14" s="30" t="s">
        <v>1011</v>
      </c>
      <c r="K14" s="43" t="s">
        <v>1047</v>
      </c>
      <c r="L14" s="36" t="s">
        <v>1040</v>
      </c>
      <c r="M14" s="48"/>
      <c r="N14" s="48"/>
    </row>
    <row r="15" ht="60" spans="1:14">
      <c r="A15" s="30">
        <v>13</v>
      </c>
      <c r="B15" s="30" t="s">
        <v>13</v>
      </c>
      <c r="C15" s="30" t="s">
        <v>248</v>
      </c>
      <c r="D15" s="30" t="s">
        <v>171</v>
      </c>
      <c r="E15" s="32"/>
      <c r="F15" s="15" t="s">
        <v>1261</v>
      </c>
      <c r="G15" s="32" t="s">
        <v>1000</v>
      </c>
      <c r="H15" s="32" t="s">
        <v>1038</v>
      </c>
      <c r="I15" s="83" t="s">
        <v>1262</v>
      </c>
      <c r="J15" s="30" t="s">
        <v>1011</v>
      </c>
      <c r="K15" s="43" t="s">
        <v>1263</v>
      </c>
      <c r="L15" s="36"/>
      <c r="M15" s="48" t="s">
        <v>1230</v>
      </c>
      <c r="N15" s="48" t="s">
        <v>1231</v>
      </c>
    </row>
    <row r="16" ht="60" spans="1:14">
      <c r="A16" s="30">
        <v>14</v>
      </c>
      <c r="B16" s="30" t="s">
        <v>13</v>
      </c>
      <c r="C16" s="30" t="s">
        <v>248</v>
      </c>
      <c r="D16" s="30" t="s">
        <v>171</v>
      </c>
      <c r="E16" s="32"/>
      <c r="F16" s="15" t="s">
        <v>1264</v>
      </c>
      <c r="G16" s="32" t="s">
        <v>1050</v>
      </c>
      <c r="H16" s="32" t="s">
        <v>1038</v>
      </c>
      <c r="I16" s="83" t="s">
        <v>1265</v>
      </c>
      <c r="J16" s="30" t="s">
        <v>1011</v>
      </c>
      <c r="K16" s="43" t="s">
        <v>1266</v>
      </c>
      <c r="L16" s="36"/>
      <c r="M16" s="48" t="s">
        <v>1230</v>
      </c>
      <c r="N16" s="48" t="s">
        <v>1231</v>
      </c>
    </row>
    <row r="17" ht="60" spans="1:14">
      <c r="A17" s="30">
        <v>15</v>
      </c>
      <c r="B17" s="30" t="s">
        <v>13</v>
      </c>
      <c r="C17" s="30" t="s">
        <v>248</v>
      </c>
      <c r="D17" s="30" t="s">
        <v>171</v>
      </c>
      <c r="E17" s="32" t="s">
        <v>539</v>
      </c>
      <c r="F17" s="15" t="s">
        <v>525</v>
      </c>
      <c r="G17" s="32" t="s">
        <v>1050</v>
      </c>
      <c r="H17" s="32" t="s">
        <v>1038</v>
      </c>
      <c r="I17" s="83" t="s">
        <v>1051</v>
      </c>
      <c r="J17" s="30" t="s">
        <v>1011</v>
      </c>
      <c r="K17" s="43" t="s">
        <v>1052</v>
      </c>
      <c r="L17" s="36" t="s">
        <v>1040</v>
      </c>
      <c r="M17" s="48"/>
      <c r="N17" s="48"/>
    </row>
    <row r="18" ht="60" spans="1:14">
      <c r="A18" s="30">
        <v>16</v>
      </c>
      <c r="B18" s="30" t="s">
        <v>13</v>
      </c>
      <c r="C18" s="30" t="s">
        <v>248</v>
      </c>
      <c r="D18" s="30" t="s">
        <v>171</v>
      </c>
      <c r="E18" s="32" t="s">
        <v>885</v>
      </c>
      <c r="F18" s="15" t="s">
        <v>1062</v>
      </c>
      <c r="G18" s="32" t="s">
        <v>1050</v>
      </c>
      <c r="H18" s="32" t="s">
        <v>1038</v>
      </c>
      <c r="I18" s="83" t="s">
        <v>1267</v>
      </c>
      <c r="J18" s="30" t="s">
        <v>1011</v>
      </c>
      <c r="K18" s="43" t="s">
        <v>1064</v>
      </c>
      <c r="L18" s="36" t="s">
        <v>1040</v>
      </c>
      <c r="M18" s="48"/>
      <c r="N18" s="48"/>
    </row>
    <row r="19" ht="60" spans="1:14">
      <c r="A19" s="30">
        <v>17</v>
      </c>
      <c r="B19" s="30" t="s">
        <v>13</v>
      </c>
      <c r="C19" s="30" t="s">
        <v>248</v>
      </c>
      <c r="D19" s="30" t="s">
        <v>171</v>
      </c>
      <c r="E19" s="32" t="s">
        <v>1065</v>
      </c>
      <c r="F19" s="15" t="s">
        <v>517</v>
      </c>
      <c r="G19" s="32" t="s">
        <v>1050</v>
      </c>
      <c r="H19" s="32" t="s">
        <v>1038</v>
      </c>
      <c r="I19" s="83" t="s">
        <v>518</v>
      </c>
      <c r="J19" s="30" t="s">
        <v>1011</v>
      </c>
      <c r="K19" s="43" t="s">
        <v>1066</v>
      </c>
      <c r="L19" s="36" t="s">
        <v>1040</v>
      </c>
      <c r="M19" s="48"/>
      <c r="N19" s="48"/>
    </row>
    <row r="20" ht="60" spans="1:14">
      <c r="A20" s="30">
        <v>18</v>
      </c>
      <c r="B20" s="30" t="s">
        <v>13</v>
      </c>
      <c r="C20" s="30" t="s">
        <v>248</v>
      </c>
      <c r="D20" s="30" t="s">
        <v>171</v>
      </c>
      <c r="E20" s="32" t="s">
        <v>890</v>
      </c>
      <c r="F20" s="15" t="s">
        <v>1079</v>
      </c>
      <c r="G20" s="32" t="s">
        <v>1050</v>
      </c>
      <c r="H20" s="32" t="s">
        <v>1038</v>
      </c>
      <c r="I20" s="83" t="s">
        <v>509</v>
      </c>
      <c r="J20" s="30" t="s">
        <v>1011</v>
      </c>
      <c r="K20" s="43" t="s">
        <v>1080</v>
      </c>
      <c r="L20" s="36" t="s">
        <v>1040</v>
      </c>
      <c r="M20" s="48"/>
      <c r="N20" s="48"/>
    </row>
    <row r="21" ht="60" spans="1:14">
      <c r="A21" s="30">
        <v>19</v>
      </c>
      <c r="B21" s="30" t="s">
        <v>13</v>
      </c>
      <c r="C21" s="30" t="s">
        <v>248</v>
      </c>
      <c r="D21" s="30" t="s">
        <v>171</v>
      </c>
      <c r="E21" s="32" t="s">
        <v>1081</v>
      </c>
      <c r="F21" s="15" t="s">
        <v>506</v>
      </c>
      <c r="G21" s="32" t="s">
        <v>1050</v>
      </c>
      <c r="H21" s="32" t="s">
        <v>1038</v>
      </c>
      <c r="I21" s="83" t="s">
        <v>1082</v>
      </c>
      <c r="J21" s="30" t="s">
        <v>1011</v>
      </c>
      <c r="K21" s="43" t="s">
        <v>1083</v>
      </c>
      <c r="L21" s="36" t="s">
        <v>1040</v>
      </c>
      <c r="M21" s="48"/>
      <c r="N21" s="48"/>
    </row>
    <row r="22" ht="120" spans="1:14">
      <c r="A22" s="30">
        <v>20</v>
      </c>
      <c r="B22" s="30" t="s">
        <v>13</v>
      </c>
      <c r="C22" s="30" t="s">
        <v>248</v>
      </c>
      <c r="D22" s="30" t="s">
        <v>171</v>
      </c>
      <c r="E22" s="32" t="s">
        <v>892</v>
      </c>
      <c r="F22" s="15" t="s">
        <v>1084</v>
      </c>
      <c r="G22" s="32" t="s">
        <v>1050</v>
      </c>
      <c r="H22" s="32" t="s">
        <v>1038</v>
      </c>
      <c r="I22" s="83" t="s">
        <v>1268</v>
      </c>
      <c r="J22" s="30" t="s">
        <v>1011</v>
      </c>
      <c r="K22" s="43" t="s">
        <v>1086</v>
      </c>
      <c r="L22" s="36" t="s">
        <v>1040</v>
      </c>
      <c r="M22" s="48"/>
      <c r="N22" s="48"/>
    </row>
    <row r="23" ht="60" spans="1:14">
      <c r="A23" s="30">
        <v>21</v>
      </c>
      <c r="B23" s="30" t="s">
        <v>13</v>
      </c>
      <c r="C23" s="30" t="s">
        <v>248</v>
      </c>
      <c r="D23" s="30" t="s">
        <v>171</v>
      </c>
      <c r="E23" s="32"/>
      <c r="F23" s="15" t="s">
        <v>1269</v>
      </c>
      <c r="G23" s="32" t="s">
        <v>1050</v>
      </c>
      <c r="H23" s="32" t="s">
        <v>1038</v>
      </c>
      <c r="I23" s="83" t="s">
        <v>1270</v>
      </c>
      <c r="J23" s="30" t="s">
        <v>1011</v>
      </c>
      <c r="K23" s="84" t="s">
        <v>1271</v>
      </c>
      <c r="L23" s="36"/>
      <c r="M23" s="48" t="s">
        <v>1230</v>
      </c>
      <c r="N23" s="48" t="s">
        <v>1231</v>
      </c>
    </row>
    <row r="24" ht="60" spans="1:14">
      <c r="A24" s="30">
        <v>22</v>
      </c>
      <c r="B24" s="30" t="s">
        <v>13</v>
      </c>
      <c r="C24" s="30" t="s">
        <v>248</v>
      </c>
      <c r="D24" s="30" t="s">
        <v>171</v>
      </c>
      <c r="E24" s="32"/>
      <c r="F24" s="15" t="s">
        <v>1272</v>
      </c>
      <c r="G24" s="32" t="s">
        <v>1050</v>
      </c>
      <c r="H24" s="32" t="s">
        <v>1038</v>
      </c>
      <c r="I24" s="83" t="s">
        <v>1273</v>
      </c>
      <c r="J24" s="30" t="s">
        <v>1011</v>
      </c>
      <c r="K24" s="43" t="s">
        <v>1274</v>
      </c>
      <c r="L24" s="36"/>
      <c r="M24" s="48" t="s">
        <v>1230</v>
      </c>
      <c r="N24" s="48" t="s">
        <v>1231</v>
      </c>
    </row>
    <row r="25" ht="90" spans="1:14">
      <c r="A25" s="30">
        <v>23</v>
      </c>
      <c r="B25" s="30" t="s">
        <v>13</v>
      </c>
      <c r="C25" s="30" t="s">
        <v>248</v>
      </c>
      <c r="D25" s="30" t="s">
        <v>171</v>
      </c>
      <c r="E25" s="32" t="s">
        <v>551</v>
      </c>
      <c r="F25" s="15" t="s">
        <v>1087</v>
      </c>
      <c r="G25" s="32" t="s">
        <v>1050</v>
      </c>
      <c r="H25" s="32" t="s">
        <v>1038</v>
      </c>
      <c r="I25" s="83" t="s">
        <v>1088</v>
      </c>
      <c r="J25" s="30" t="s">
        <v>1011</v>
      </c>
      <c r="K25" s="43" t="s">
        <v>1089</v>
      </c>
      <c r="L25" s="36" t="s">
        <v>1040</v>
      </c>
      <c r="M25" s="48"/>
      <c r="N25" s="48"/>
    </row>
    <row r="26" ht="125" customHeight="1" spans="1:14">
      <c r="A26" s="30">
        <v>24</v>
      </c>
      <c r="B26" s="30" t="s">
        <v>13</v>
      </c>
      <c r="C26" s="30" t="s">
        <v>248</v>
      </c>
      <c r="D26" s="30" t="s">
        <v>171</v>
      </c>
      <c r="E26" s="32" t="s">
        <v>893</v>
      </c>
      <c r="F26" s="15" t="s">
        <v>1091</v>
      </c>
      <c r="G26" s="32" t="s">
        <v>1050</v>
      </c>
      <c r="H26" s="32" t="s">
        <v>1038</v>
      </c>
      <c r="I26" s="83" t="s">
        <v>1275</v>
      </c>
      <c r="J26" s="30" t="s">
        <v>1092</v>
      </c>
      <c r="K26" s="43" t="s">
        <v>1093</v>
      </c>
      <c r="L26" s="36" t="s">
        <v>1040</v>
      </c>
      <c r="M26" s="48"/>
      <c r="N26" s="48"/>
    </row>
    <row r="27" ht="60" spans="1:14">
      <c r="A27" s="30">
        <v>25</v>
      </c>
      <c r="B27" s="30" t="s">
        <v>13</v>
      </c>
      <c r="C27" s="30" t="s">
        <v>248</v>
      </c>
      <c r="D27" s="30" t="s">
        <v>171</v>
      </c>
      <c r="E27" s="32"/>
      <c r="F27" s="15" t="s">
        <v>1276</v>
      </c>
      <c r="G27" s="32" t="s">
        <v>1277</v>
      </c>
      <c r="H27" s="32" t="s">
        <v>1278</v>
      </c>
      <c r="I27" s="83" t="s">
        <v>1279</v>
      </c>
      <c r="J27" s="30" t="s">
        <v>34</v>
      </c>
      <c r="K27" s="43" t="s">
        <v>1280</v>
      </c>
      <c r="L27" s="36"/>
      <c r="M27" s="48" t="s">
        <v>1230</v>
      </c>
      <c r="N27" s="48" t="s">
        <v>1231</v>
      </c>
    </row>
    <row r="28" ht="60" spans="1:14">
      <c r="A28" s="30">
        <v>26</v>
      </c>
      <c r="B28" s="30" t="s">
        <v>13</v>
      </c>
      <c r="C28" s="30" t="s">
        <v>248</v>
      </c>
      <c r="D28" s="30" t="s">
        <v>171</v>
      </c>
      <c r="E28" s="32" t="s">
        <v>1094</v>
      </c>
      <c r="F28" s="15" t="s">
        <v>495</v>
      </c>
      <c r="G28" s="32" t="s">
        <v>1003</v>
      </c>
      <c r="H28" s="32" t="s">
        <v>1004</v>
      </c>
      <c r="I28" s="83" t="s">
        <v>1281</v>
      </c>
      <c r="J28" s="30" t="s">
        <v>1011</v>
      </c>
      <c r="K28" s="43" t="s">
        <v>1095</v>
      </c>
      <c r="L28" s="36" t="s">
        <v>1040</v>
      </c>
      <c r="M28" s="48"/>
      <c r="N28" s="48"/>
    </row>
    <row r="29" ht="75" spans="1:14">
      <c r="A29" s="30">
        <v>27</v>
      </c>
      <c r="B29" s="30" t="s">
        <v>13</v>
      </c>
      <c r="C29" s="30" t="s">
        <v>248</v>
      </c>
      <c r="D29" s="30" t="s">
        <v>171</v>
      </c>
      <c r="E29" s="32" t="s">
        <v>553</v>
      </c>
      <c r="F29" s="15" t="s">
        <v>1282</v>
      </c>
      <c r="G29" s="32" t="s">
        <v>1105</v>
      </c>
      <c r="H29" s="32" t="s">
        <v>1106</v>
      </c>
      <c r="I29" s="83" t="s">
        <v>1283</v>
      </c>
      <c r="J29" s="30" t="s">
        <v>1011</v>
      </c>
      <c r="K29" s="43" t="s">
        <v>1284</v>
      </c>
      <c r="L29" s="36" t="s">
        <v>1040</v>
      </c>
      <c r="M29" s="48"/>
      <c r="N29" s="48"/>
    </row>
    <row r="30" ht="120" spans="1:14">
      <c r="A30" s="30">
        <v>28</v>
      </c>
      <c r="B30" s="30" t="s">
        <v>13</v>
      </c>
      <c r="C30" s="30" t="s">
        <v>248</v>
      </c>
      <c r="D30" s="30" t="s">
        <v>171</v>
      </c>
      <c r="E30" s="32" t="s">
        <v>1100</v>
      </c>
      <c r="F30" s="15" t="s">
        <v>1285</v>
      </c>
      <c r="G30" s="32" t="s">
        <v>1105</v>
      </c>
      <c r="H30" s="32" t="s">
        <v>1106</v>
      </c>
      <c r="I30" s="83" t="s">
        <v>1286</v>
      </c>
      <c r="J30" s="30" t="s">
        <v>1011</v>
      </c>
      <c r="K30" s="43" t="s">
        <v>1101</v>
      </c>
      <c r="L30" s="36" t="s">
        <v>1040</v>
      </c>
      <c r="M30" s="48"/>
      <c r="N30" s="48"/>
    </row>
    <row r="31" ht="105" spans="1:14">
      <c r="A31" s="30">
        <v>29</v>
      </c>
      <c r="B31" s="30" t="s">
        <v>13</v>
      </c>
      <c r="C31" s="30" t="s">
        <v>248</v>
      </c>
      <c r="D31" s="30" t="s">
        <v>171</v>
      </c>
      <c r="E31" s="32" t="s">
        <v>556</v>
      </c>
      <c r="F31" s="15" t="s">
        <v>1287</v>
      </c>
      <c r="G31" s="32" t="s">
        <v>1105</v>
      </c>
      <c r="H31" s="32" t="s">
        <v>1106</v>
      </c>
      <c r="I31" s="83" t="s">
        <v>1288</v>
      </c>
      <c r="J31" s="30" t="s">
        <v>1011</v>
      </c>
      <c r="K31" s="43" t="s">
        <v>1289</v>
      </c>
      <c r="L31" s="36" t="s">
        <v>1040</v>
      </c>
      <c r="M31" s="48"/>
      <c r="N31" s="48"/>
    </row>
    <row r="32" ht="180" spans="1:14">
      <c r="A32" s="30">
        <v>30</v>
      </c>
      <c r="B32" s="30" t="s">
        <v>13</v>
      </c>
      <c r="C32" s="30" t="s">
        <v>248</v>
      </c>
      <c r="D32" s="30" t="s">
        <v>171</v>
      </c>
      <c r="E32" s="32" t="s">
        <v>548</v>
      </c>
      <c r="F32" s="15" t="s">
        <v>1104</v>
      </c>
      <c r="G32" s="32" t="s">
        <v>1105</v>
      </c>
      <c r="H32" s="32" t="s">
        <v>1106</v>
      </c>
      <c r="I32" s="83" t="s">
        <v>1290</v>
      </c>
      <c r="J32" s="30" t="s">
        <v>1011</v>
      </c>
      <c r="K32" s="43" t="s">
        <v>1107</v>
      </c>
      <c r="L32" s="36" t="s">
        <v>1040</v>
      </c>
      <c r="M32" s="48"/>
      <c r="N32" s="48"/>
    </row>
    <row r="33" ht="120" spans="1:14">
      <c r="A33" s="30">
        <v>31</v>
      </c>
      <c r="B33" s="30" t="s">
        <v>13</v>
      </c>
      <c r="C33" s="30" t="s">
        <v>248</v>
      </c>
      <c r="D33" s="30" t="s">
        <v>171</v>
      </c>
      <c r="E33" s="32" t="s">
        <v>543</v>
      </c>
      <c r="F33" s="15" t="s">
        <v>1291</v>
      </c>
      <c r="G33" s="32" t="s">
        <v>1105</v>
      </c>
      <c r="H33" s="32" t="s">
        <v>1106</v>
      </c>
      <c r="I33" s="83" t="s">
        <v>492</v>
      </c>
      <c r="J33" s="30" t="s">
        <v>1011</v>
      </c>
      <c r="K33" s="43" t="s">
        <v>1110</v>
      </c>
      <c r="L33" s="36" t="s">
        <v>1040</v>
      </c>
      <c r="M33" s="48"/>
      <c r="N33" s="48"/>
    </row>
    <row r="34" ht="60" spans="1:14">
      <c r="A34" s="30">
        <v>32</v>
      </c>
      <c r="B34" s="30" t="s">
        <v>13</v>
      </c>
      <c r="C34" s="30" t="s">
        <v>248</v>
      </c>
      <c r="D34" s="30" t="s">
        <v>171</v>
      </c>
      <c r="E34" s="32" t="s">
        <v>568</v>
      </c>
      <c r="F34" s="15" t="s">
        <v>1111</v>
      </c>
      <c r="G34" s="32" t="s">
        <v>1105</v>
      </c>
      <c r="H34" s="32" t="s">
        <v>1106</v>
      </c>
      <c r="I34" s="83" t="s">
        <v>1112</v>
      </c>
      <c r="J34" s="30" t="s">
        <v>1011</v>
      </c>
      <c r="K34" s="43" t="s">
        <v>1113</v>
      </c>
      <c r="L34" s="36" t="s">
        <v>1040</v>
      </c>
      <c r="M34" s="48"/>
      <c r="N34" s="48"/>
    </row>
    <row r="35" ht="60" spans="1:14">
      <c r="A35" s="30">
        <v>33</v>
      </c>
      <c r="B35" s="30" t="s">
        <v>13</v>
      </c>
      <c r="C35" s="30" t="s">
        <v>248</v>
      </c>
      <c r="D35" s="30" t="s">
        <v>171</v>
      </c>
      <c r="E35" s="32" t="s">
        <v>1114</v>
      </c>
      <c r="F35" s="15" t="s">
        <v>481</v>
      </c>
      <c r="G35" s="32" t="s">
        <v>1105</v>
      </c>
      <c r="H35" s="32" t="s">
        <v>1106</v>
      </c>
      <c r="I35" s="83" t="s">
        <v>1292</v>
      </c>
      <c r="J35" s="30" t="s">
        <v>1011</v>
      </c>
      <c r="K35" s="43" t="s">
        <v>1115</v>
      </c>
      <c r="L35" s="36" t="s">
        <v>1040</v>
      </c>
      <c r="M35" s="48"/>
      <c r="N35" s="48"/>
    </row>
    <row r="36" s="21" customFormat="1" ht="60" spans="1:14">
      <c r="A36" s="30">
        <v>34</v>
      </c>
      <c r="B36" s="30" t="s">
        <v>13</v>
      </c>
      <c r="C36" s="30" t="s">
        <v>248</v>
      </c>
      <c r="D36" s="30" t="s">
        <v>171</v>
      </c>
      <c r="E36" s="32" t="s">
        <v>561</v>
      </c>
      <c r="F36" s="15" t="s">
        <v>1293</v>
      </c>
      <c r="G36" s="32" t="s">
        <v>1105</v>
      </c>
      <c r="H36" s="32" t="s">
        <v>1106</v>
      </c>
      <c r="I36" s="83" t="s">
        <v>1117</v>
      </c>
      <c r="J36" s="30" t="s">
        <v>1011</v>
      </c>
      <c r="K36" s="43" t="s">
        <v>1294</v>
      </c>
      <c r="L36" s="36" t="s">
        <v>1040</v>
      </c>
      <c r="M36" s="48"/>
      <c r="N36" s="48"/>
    </row>
    <row r="37" ht="60" spans="1:14">
      <c r="A37" s="30">
        <v>35</v>
      </c>
      <c r="B37" s="30" t="s">
        <v>13</v>
      </c>
      <c r="C37" s="30" t="s">
        <v>248</v>
      </c>
      <c r="D37" s="30" t="s">
        <v>171</v>
      </c>
      <c r="E37" s="32" t="s">
        <v>577</v>
      </c>
      <c r="F37" s="15" t="s">
        <v>479</v>
      </c>
      <c r="G37" s="32" t="s">
        <v>1105</v>
      </c>
      <c r="H37" s="32" t="s">
        <v>1106</v>
      </c>
      <c r="I37" s="83" t="s">
        <v>1119</v>
      </c>
      <c r="J37" s="30" t="s">
        <v>1011</v>
      </c>
      <c r="K37" s="43" t="s">
        <v>1295</v>
      </c>
      <c r="L37" s="36" t="s">
        <v>1040</v>
      </c>
      <c r="M37" s="48"/>
      <c r="N37" s="48"/>
    </row>
    <row r="38" ht="94" customHeight="1" spans="1:14">
      <c r="A38" s="30">
        <v>36</v>
      </c>
      <c r="B38" s="30" t="s">
        <v>13</v>
      </c>
      <c r="C38" s="30" t="s">
        <v>248</v>
      </c>
      <c r="D38" s="30" t="s">
        <v>171</v>
      </c>
      <c r="E38" s="32"/>
      <c r="F38" s="15" t="s">
        <v>1121</v>
      </c>
      <c r="G38" s="32" t="s">
        <v>1122</v>
      </c>
      <c r="H38" s="32" t="s">
        <v>1123</v>
      </c>
      <c r="I38" s="85" t="s">
        <v>1296</v>
      </c>
      <c r="J38" s="30" t="s">
        <v>1124</v>
      </c>
      <c r="K38" s="43" t="s">
        <v>1125</v>
      </c>
      <c r="L38" s="36"/>
      <c r="M38" s="48"/>
      <c r="N38" s="48"/>
    </row>
    <row r="39" ht="312" customHeight="1" spans="1:14">
      <c r="A39" s="30">
        <v>37</v>
      </c>
      <c r="B39" s="30" t="s">
        <v>13</v>
      </c>
      <c r="C39" s="30" t="s">
        <v>248</v>
      </c>
      <c r="D39" s="30" t="s">
        <v>171</v>
      </c>
      <c r="E39" s="32"/>
      <c r="F39" s="15" t="s">
        <v>1126</v>
      </c>
      <c r="G39" s="32" t="s">
        <v>1025</v>
      </c>
      <c r="H39" s="32" t="s">
        <v>1026</v>
      </c>
      <c r="I39" s="83" t="s">
        <v>1127</v>
      </c>
      <c r="J39" s="30" t="s">
        <v>34</v>
      </c>
      <c r="K39" s="43" t="s">
        <v>1128</v>
      </c>
      <c r="L39" s="36"/>
      <c r="M39" s="48"/>
      <c r="N39" s="48"/>
    </row>
    <row r="40" ht="127" customHeight="1" spans="1:14">
      <c r="A40" s="30">
        <v>38</v>
      </c>
      <c r="B40" s="30" t="s">
        <v>13</v>
      </c>
      <c r="C40" s="30" t="s">
        <v>248</v>
      </c>
      <c r="D40" s="30" t="s">
        <v>171</v>
      </c>
      <c r="E40" s="32"/>
      <c r="F40" s="15" t="s">
        <v>1297</v>
      </c>
      <c r="G40" s="32" t="s">
        <v>1025</v>
      </c>
      <c r="H40" s="32" t="s">
        <v>1026</v>
      </c>
      <c r="I40" s="83" t="s">
        <v>1298</v>
      </c>
      <c r="J40" s="30" t="s">
        <v>1299</v>
      </c>
      <c r="K40" s="43" t="s">
        <v>1300</v>
      </c>
      <c r="L40" s="36"/>
      <c r="M40" s="48" t="s">
        <v>1230</v>
      </c>
      <c r="N40" s="48" t="s">
        <v>1231</v>
      </c>
    </row>
    <row r="41" ht="157" customHeight="1" spans="1:14">
      <c r="A41" s="30">
        <v>39</v>
      </c>
      <c r="B41" s="30" t="s">
        <v>13</v>
      </c>
      <c r="C41" s="30" t="s">
        <v>248</v>
      </c>
      <c r="D41" s="30" t="s">
        <v>171</v>
      </c>
      <c r="E41" s="32"/>
      <c r="F41" s="15" t="s">
        <v>1301</v>
      </c>
      <c r="G41" s="32" t="s">
        <v>1025</v>
      </c>
      <c r="H41" s="32" t="s">
        <v>1026</v>
      </c>
      <c r="I41" s="83" t="s">
        <v>1302</v>
      </c>
      <c r="J41" s="30" t="s">
        <v>1303</v>
      </c>
      <c r="K41" s="43" t="s">
        <v>1304</v>
      </c>
      <c r="L41" s="36"/>
      <c r="M41" s="48" t="s">
        <v>1230</v>
      </c>
      <c r="N41" s="48" t="s">
        <v>1231</v>
      </c>
    </row>
  </sheetData>
  <autoFilter xmlns:etc="http://www.wps.cn/officeDocument/2017/etCustomData" ref="A1:N41" etc:filterBottomFollowUsedRange="0">
    <sortState ref="A1:N41">
      <sortCondition ref="M12"/>
    </sortState>
    <extLst/>
  </autoFilter>
  <mergeCells count="1">
    <mergeCell ref="A1:L1"/>
  </mergeCells>
  <dataValidations count="1">
    <dataValidation type="list" allowBlank="1" showInputMessage="1" showErrorMessage="1" sqref="N$1:N$1048576">
      <formula1>Sheet1!$D$5:$D$6</formula1>
    </dataValidation>
  </dataValidation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6:F22"/>
  <sheetViews>
    <sheetView workbookViewId="0">
      <selection activeCell="J18" sqref="J18"/>
    </sheetView>
  </sheetViews>
  <sheetFormatPr defaultColWidth="8.72727272727273" defaultRowHeight="14" outlineLevelCol="5"/>
  <cols>
    <col min="2" max="2" width="24.1818181818182" customWidth="1"/>
    <col min="3" max="3" width="32" customWidth="1"/>
  </cols>
  <sheetData>
    <row r="6" ht="14.75"/>
    <row r="7" spans="2:6">
      <c r="B7" s="67" t="s">
        <v>4</v>
      </c>
      <c r="C7" s="68" t="s">
        <v>2</v>
      </c>
      <c r="D7" s="68" t="s">
        <v>1305</v>
      </c>
      <c r="E7" s="68" t="s">
        <v>1306</v>
      </c>
      <c r="F7" s="69" t="s">
        <v>1307</v>
      </c>
    </row>
    <row r="8" spans="2:6">
      <c r="B8" s="70" t="s">
        <v>1308</v>
      </c>
      <c r="C8" s="71" t="s">
        <v>13</v>
      </c>
      <c r="D8" s="71">
        <v>0</v>
      </c>
      <c r="E8" s="71">
        <v>36</v>
      </c>
      <c r="F8" s="72">
        <f t="shared" ref="F8:F13" si="0">SUM(D8:E8)</f>
        <v>36</v>
      </c>
    </row>
    <row r="9" spans="2:6">
      <c r="B9" s="70"/>
      <c r="C9" s="71" t="s">
        <v>248</v>
      </c>
      <c r="D9" s="71">
        <v>0</v>
      </c>
      <c r="E9" s="71">
        <v>0</v>
      </c>
      <c r="F9" s="72">
        <f t="shared" si="0"/>
        <v>0</v>
      </c>
    </row>
    <row r="10" spans="2:6">
      <c r="B10" s="70" t="s">
        <v>164</v>
      </c>
      <c r="C10" s="71" t="s">
        <v>13</v>
      </c>
      <c r="D10" s="71">
        <v>17</v>
      </c>
      <c r="E10" s="71">
        <v>7</v>
      </c>
      <c r="F10" s="72">
        <f t="shared" si="0"/>
        <v>24</v>
      </c>
    </row>
    <row r="11" spans="2:6">
      <c r="B11" s="70"/>
      <c r="C11" s="71" t="s">
        <v>248</v>
      </c>
      <c r="D11" s="71">
        <v>23</v>
      </c>
      <c r="E11" s="71">
        <v>1</v>
      </c>
      <c r="F11" s="72">
        <f t="shared" si="0"/>
        <v>24</v>
      </c>
    </row>
    <row r="12" spans="2:6">
      <c r="B12" s="70" t="s">
        <v>1309</v>
      </c>
      <c r="C12" s="71" t="s">
        <v>13</v>
      </c>
      <c r="D12" s="71">
        <v>26</v>
      </c>
      <c r="E12" s="71">
        <v>33</v>
      </c>
      <c r="F12" s="72">
        <f t="shared" si="0"/>
        <v>59</v>
      </c>
    </row>
    <row r="13" spans="2:6">
      <c r="B13" s="70"/>
      <c r="C13" s="71" t="s">
        <v>248</v>
      </c>
      <c r="D13" s="71">
        <v>8</v>
      </c>
      <c r="E13" s="71">
        <v>7</v>
      </c>
      <c r="F13" s="72">
        <f t="shared" si="0"/>
        <v>15</v>
      </c>
    </row>
    <row r="14" ht="16" customHeight="1" spans="2:6">
      <c r="B14" s="73" t="s">
        <v>1310</v>
      </c>
      <c r="C14" s="74"/>
      <c r="D14" s="75">
        <f>SUM(D8:D13)</f>
        <v>74</v>
      </c>
      <c r="E14" s="75">
        <f>SUM(E8:E13)</f>
        <v>84</v>
      </c>
      <c r="F14" s="76">
        <f>SUM(F8:F13)</f>
        <v>158</v>
      </c>
    </row>
    <row r="15" spans="6:6">
      <c r="F15">
        <v>2</v>
      </c>
    </row>
    <row r="22" ht="15" spans="2:2">
      <c r="B22" s="77"/>
    </row>
  </sheetData>
  <mergeCells count="4">
    <mergeCell ref="B14:C14"/>
    <mergeCell ref="B8:B9"/>
    <mergeCell ref="B10:B11"/>
    <mergeCell ref="B12:B1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长春+2</vt:lpstr>
      <vt:lpstr>成都1+5</vt:lpstr>
      <vt:lpstr>西安+25</vt:lpstr>
      <vt:lpstr>CQC-21</vt:lpstr>
      <vt:lpstr>2024-6-21</vt:lpstr>
      <vt:lpstr>CCAP</vt:lpstr>
      <vt:lpstr>河北36+北京84+1卧铺 3.26</vt:lpstr>
      <vt:lpstr>河北39</vt:lpstr>
      <vt:lpstr>汇总</vt:lpstr>
      <vt:lpstr>型式试验计划2023</vt:lpstr>
      <vt:lpstr>Sheet2</vt:lpstr>
      <vt:lpstr>Sheet1</vt:lpstr>
      <vt:lpstr>湖南6+24</vt:lpstr>
      <vt:lpstr>潍坊16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86176</cp:lastModifiedBy>
  <dcterms:created xsi:type="dcterms:W3CDTF">2006-09-16T00:00:00Z</dcterms:created>
  <dcterms:modified xsi:type="dcterms:W3CDTF">2025-04-10T12:55:59Z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83A0880620704DC6BD97A770A99BA710_12</vt:lpwstr>
  </property>
  <property fmtid="{D5CDD505-2E9C-101B-9397-08002B2CF9AE}" pid="4" name="KSOReadingLayout">
    <vt:bool>true</vt:bool>
  </property>
</Properties>
</file>