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A6新增车型配置升级项目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  <externalReference r:id="rId16"/>
  </externalReferences>
  <definedNames>
    <definedName name="_xlnm.Print_Area" localSheetId="4">'2026年'!$A$1:$S$48</definedName>
    <definedName name="_xlnm.Print_Area" localSheetId="5">'2027年'!$A$1:$S$48</definedName>
    <definedName name="_xlnm.Print_Area" localSheetId="6">'2028年'!$A$1:$S$48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53" l="1"/>
  <c r="G3" i="59" l="1"/>
  <c r="H3" i="59"/>
  <c r="I3" i="59"/>
  <c r="J3" i="59"/>
  <c r="K3" i="59"/>
  <c r="L3" i="59"/>
  <c r="M3" i="59"/>
  <c r="N3" i="59"/>
  <c r="O3" i="59"/>
  <c r="P3" i="59"/>
  <c r="Q3" i="59"/>
  <c r="R3" i="59"/>
  <c r="G4" i="59"/>
  <c r="H4" i="59"/>
  <c r="I4" i="59"/>
  <c r="J4" i="59"/>
  <c r="K4" i="59"/>
  <c r="L4" i="59"/>
  <c r="M4" i="59"/>
  <c r="N4" i="59"/>
  <c r="O4" i="59"/>
  <c r="P4" i="59"/>
  <c r="Q4" i="59"/>
  <c r="R4" i="59"/>
  <c r="G5" i="59"/>
  <c r="H5" i="59"/>
  <c r="I5" i="59"/>
  <c r="J5" i="59"/>
  <c r="K5" i="59"/>
  <c r="L5" i="59"/>
  <c r="M5" i="59"/>
  <c r="N5" i="59"/>
  <c r="O5" i="59"/>
  <c r="P5" i="59"/>
  <c r="Q5" i="59"/>
  <c r="R5" i="59"/>
  <c r="G6" i="59"/>
  <c r="H6" i="59"/>
  <c r="I6" i="59"/>
  <c r="J6" i="59"/>
  <c r="K6" i="59"/>
  <c r="L6" i="59"/>
  <c r="M6" i="59"/>
  <c r="N6" i="59"/>
  <c r="O6" i="59"/>
  <c r="P6" i="59"/>
  <c r="Q6" i="59"/>
  <c r="R6" i="59"/>
  <c r="G7" i="59"/>
  <c r="H7" i="59"/>
  <c r="I7" i="59"/>
  <c r="J7" i="59"/>
  <c r="K7" i="59"/>
  <c r="L7" i="59"/>
  <c r="M7" i="59"/>
  <c r="N7" i="59"/>
  <c r="O7" i="59"/>
  <c r="P7" i="59"/>
  <c r="Q7" i="59"/>
  <c r="R7" i="59"/>
  <c r="G8" i="59"/>
  <c r="H8" i="59"/>
  <c r="I8" i="59"/>
  <c r="J8" i="59"/>
  <c r="K8" i="59"/>
  <c r="L8" i="59"/>
  <c r="M8" i="59"/>
  <c r="N8" i="59"/>
  <c r="O8" i="59"/>
  <c r="P8" i="59"/>
  <c r="Q8" i="59"/>
  <c r="R8" i="59"/>
  <c r="G9" i="59"/>
  <c r="H9" i="59"/>
  <c r="I9" i="59"/>
  <c r="I32" i="59" s="1"/>
  <c r="J9" i="59"/>
  <c r="K9" i="59"/>
  <c r="L9" i="59"/>
  <c r="L32" i="59" s="1"/>
  <c r="M9" i="59"/>
  <c r="N9" i="59"/>
  <c r="O9" i="59"/>
  <c r="P9" i="59"/>
  <c r="Q9" i="59"/>
  <c r="R9" i="59"/>
  <c r="R13" i="59"/>
  <c r="R19" i="59"/>
  <c r="O20" i="59"/>
  <c r="G31" i="59"/>
  <c r="H31" i="59"/>
  <c r="I31" i="59"/>
  <c r="J31" i="59"/>
  <c r="K31" i="59"/>
  <c r="L31" i="59"/>
  <c r="M31" i="59"/>
  <c r="N31" i="59"/>
  <c r="O31" i="59"/>
  <c r="P31" i="59"/>
  <c r="Q31" i="59"/>
  <c r="R31" i="59"/>
  <c r="G32" i="59"/>
  <c r="H32" i="59"/>
  <c r="J32" i="59"/>
  <c r="K32" i="59"/>
  <c r="M32" i="59"/>
  <c r="N32" i="59"/>
  <c r="O32" i="59"/>
  <c r="P32" i="59"/>
  <c r="Q32" i="59"/>
  <c r="R32" i="59"/>
  <c r="G36" i="59"/>
  <c r="G11" i="59" s="1"/>
  <c r="H36" i="59"/>
  <c r="H11" i="59" s="1"/>
  <c r="M36" i="59"/>
  <c r="M11" i="59" s="1"/>
  <c r="N36" i="59"/>
  <c r="N11" i="59" s="1"/>
  <c r="O36" i="59"/>
  <c r="O11" i="59" s="1"/>
  <c r="P36" i="59"/>
  <c r="P11" i="59" s="1"/>
  <c r="Q36" i="59"/>
  <c r="Q11" i="59" s="1"/>
  <c r="R36" i="59"/>
  <c r="R11" i="59" s="1"/>
  <c r="G37" i="59"/>
  <c r="G12" i="59" s="1"/>
  <c r="H37" i="59"/>
  <c r="H12" i="59" s="1"/>
  <c r="M37" i="59"/>
  <c r="M12" i="59" s="1"/>
  <c r="N37" i="59"/>
  <c r="N12" i="59" s="1"/>
  <c r="O37" i="59"/>
  <c r="O12" i="59" s="1"/>
  <c r="P37" i="59"/>
  <c r="P12" i="59" s="1"/>
  <c r="Q37" i="59"/>
  <c r="Q12" i="59" s="1"/>
  <c r="R37" i="59"/>
  <c r="R12" i="59" s="1"/>
  <c r="G38" i="59"/>
  <c r="G13" i="59" s="1"/>
  <c r="H38" i="59"/>
  <c r="H13" i="59" s="1"/>
  <c r="M38" i="59"/>
  <c r="M13" i="59" s="1"/>
  <c r="N38" i="59"/>
  <c r="N13" i="59" s="1"/>
  <c r="O38" i="59"/>
  <c r="O13" i="59" s="1"/>
  <c r="P38" i="59"/>
  <c r="P13" i="59" s="1"/>
  <c r="Q38" i="59"/>
  <c r="Q13" i="59" s="1"/>
  <c r="R38" i="59"/>
  <c r="G43" i="59"/>
  <c r="H43" i="59"/>
  <c r="M43" i="59"/>
  <c r="N43" i="59"/>
  <c r="O43" i="59"/>
  <c r="P43" i="59"/>
  <c r="Q43" i="59"/>
  <c r="R43" i="59"/>
  <c r="G44" i="59"/>
  <c r="G19" i="59" s="1"/>
  <c r="H44" i="59"/>
  <c r="H19" i="59" s="1"/>
  <c r="M44" i="59"/>
  <c r="M19" i="59" s="1"/>
  <c r="N44" i="59"/>
  <c r="N19" i="59" s="1"/>
  <c r="O44" i="59"/>
  <c r="O19" i="59" s="1"/>
  <c r="P44" i="59"/>
  <c r="P19" i="59" s="1"/>
  <c r="Q44" i="59"/>
  <c r="Q19" i="59" s="1"/>
  <c r="R44" i="59"/>
  <c r="G45" i="59"/>
  <c r="G20" i="59" s="1"/>
  <c r="H45" i="59"/>
  <c r="H20" i="59" s="1"/>
  <c r="M45" i="59"/>
  <c r="M20" i="59" s="1"/>
  <c r="N45" i="59"/>
  <c r="N20" i="59" s="1"/>
  <c r="O45" i="59"/>
  <c r="P45" i="59"/>
  <c r="P20" i="59" s="1"/>
  <c r="Q45" i="59"/>
  <c r="Q20" i="59" s="1"/>
  <c r="R45" i="59"/>
  <c r="R20" i="59" s="1"/>
  <c r="G47" i="59"/>
  <c r="G22" i="59" s="1"/>
  <c r="H47" i="59"/>
  <c r="H22" i="59" s="1"/>
  <c r="M47" i="59"/>
  <c r="M22" i="59" s="1"/>
  <c r="N47" i="59"/>
  <c r="N22" i="59" s="1"/>
  <c r="O47" i="59"/>
  <c r="O22" i="59" s="1"/>
  <c r="P47" i="59"/>
  <c r="P22" i="59" s="1"/>
  <c r="Q47" i="59"/>
  <c r="Q22" i="59" s="1"/>
  <c r="R47" i="59"/>
  <c r="G3" i="58"/>
  <c r="H3" i="58"/>
  <c r="I3" i="58"/>
  <c r="J3" i="58"/>
  <c r="K3" i="58"/>
  <c r="L3" i="58"/>
  <c r="M3" i="58"/>
  <c r="N3" i="58"/>
  <c r="O3" i="58"/>
  <c r="P3" i="58"/>
  <c r="Q3" i="58"/>
  <c r="R3" i="58"/>
  <c r="G4" i="58"/>
  <c r="H4" i="58"/>
  <c r="I4" i="58"/>
  <c r="J4" i="58"/>
  <c r="K4" i="58"/>
  <c r="L4" i="58"/>
  <c r="M4" i="58"/>
  <c r="N4" i="58"/>
  <c r="O4" i="58"/>
  <c r="P4" i="58"/>
  <c r="Q4" i="58"/>
  <c r="R4" i="58"/>
  <c r="G5" i="58"/>
  <c r="H5" i="58"/>
  <c r="I5" i="58"/>
  <c r="J5" i="58"/>
  <c r="K5" i="58"/>
  <c r="L5" i="58"/>
  <c r="M5" i="58"/>
  <c r="N5" i="58"/>
  <c r="O5" i="58"/>
  <c r="P5" i="58"/>
  <c r="Q5" i="58"/>
  <c r="R5" i="58"/>
  <c r="G6" i="58"/>
  <c r="H6" i="58"/>
  <c r="I6" i="58"/>
  <c r="J6" i="58"/>
  <c r="K6" i="58"/>
  <c r="L6" i="58"/>
  <c r="M6" i="58"/>
  <c r="N6" i="58"/>
  <c r="O6" i="58"/>
  <c r="P6" i="58"/>
  <c r="Q6" i="58"/>
  <c r="R6" i="58"/>
  <c r="G7" i="58"/>
  <c r="H7" i="58"/>
  <c r="I7" i="58"/>
  <c r="J7" i="58"/>
  <c r="J8" i="58" s="1"/>
  <c r="K7" i="58"/>
  <c r="L7" i="58"/>
  <c r="M7" i="58"/>
  <c r="N7" i="58"/>
  <c r="O7" i="58"/>
  <c r="P7" i="58"/>
  <c r="Q7" i="58"/>
  <c r="R7" i="58"/>
  <c r="G8" i="58"/>
  <c r="H8" i="58"/>
  <c r="I8" i="58"/>
  <c r="K8" i="58"/>
  <c r="L8" i="58"/>
  <c r="M8" i="58"/>
  <c r="N8" i="58"/>
  <c r="O8" i="58"/>
  <c r="P8" i="58"/>
  <c r="Q8" i="58"/>
  <c r="R8" i="58"/>
  <c r="G9" i="58"/>
  <c r="H9" i="58"/>
  <c r="I9" i="58"/>
  <c r="K9" i="58"/>
  <c r="L9" i="58"/>
  <c r="M9" i="58"/>
  <c r="N9" i="58"/>
  <c r="O9" i="58"/>
  <c r="P9" i="58"/>
  <c r="Q9" i="58"/>
  <c r="R9" i="58"/>
  <c r="R11" i="58"/>
  <c r="O12" i="58"/>
  <c r="R20" i="58"/>
  <c r="G31" i="58"/>
  <c r="H31" i="58"/>
  <c r="I31" i="58"/>
  <c r="J31" i="58"/>
  <c r="K31" i="58"/>
  <c r="L31" i="58"/>
  <c r="M31" i="58"/>
  <c r="N31" i="58"/>
  <c r="O31" i="58"/>
  <c r="P31" i="58"/>
  <c r="Q31" i="58"/>
  <c r="R31" i="58"/>
  <c r="G32" i="58"/>
  <c r="H32" i="58"/>
  <c r="I32" i="58"/>
  <c r="K32" i="58"/>
  <c r="L32" i="58"/>
  <c r="M32" i="58"/>
  <c r="N32" i="58"/>
  <c r="O32" i="58"/>
  <c r="P32" i="58"/>
  <c r="Q32" i="58"/>
  <c r="R32" i="58"/>
  <c r="G36" i="58"/>
  <c r="G11" i="58" s="1"/>
  <c r="H36" i="58"/>
  <c r="H11" i="58" s="1"/>
  <c r="M36" i="58"/>
  <c r="M11" i="58" s="1"/>
  <c r="N36" i="58"/>
  <c r="N11" i="58" s="1"/>
  <c r="O36" i="58"/>
  <c r="O11" i="58" s="1"/>
  <c r="P36" i="58"/>
  <c r="P11" i="58" s="1"/>
  <c r="Q36" i="58"/>
  <c r="Q11" i="58" s="1"/>
  <c r="R36" i="58"/>
  <c r="G37" i="58"/>
  <c r="G12" i="58" s="1"/>
  <c r="H37" i="58"/>
  <c r="H12" i="58" s="1"/>
  <c r="M37" i="58"/>
  <c r="M12" i="58" s="1"/>
  <c r="N37" i="58"/>
  <c r="N12" i="58" s="1"/>
  <c r="O37" i="58"/>
  <c r="P37" i="58"/>
  <c r="P12" i="58" s="1"/>
  <c r="Q37" i="58"/>
  <c r="Q12" i="58" s="1"/>
  <c r="R37" i="58"/>
  <c r="R12" i="58" s="1"/>
  <c r="G38" i="58"/>
  <c r="G13" i="58" s="1"/>
  <c r="H38" i="58"/>
  <c r="H13" i="58" s="1"/>
  <c r="M38" i="58"/>
  <c r="M13" i="58" s="1"/>
  <c r="N38" i="58"/>
  <c r="N13" i="58" s="1"/>
  <c r="O38" i="58"/>
  <c r="O13" i="58" s="1"/>
  <c r="P38" i="58"/>
  <c r="P13" i="58" s="1"/>
  <c r="Q38" i="58"/>
  <c r="Q13" i="58" s="1"/>
  <c r="R38" i="58"/>
  <c r="R13" i="58" s="1"/>
  <c r="G43" i="58"/>
  <c r="H43" i="58"/>
  <c r="M43" i="58"/>
  <c r="N43" i="58"/>
  <c r="O43" i="58"/>
  <c r="P43" i="58"/>
  <c r="Q43" i="58"/>
  <c r="R43" i="58"/>
  <c r="G44" i="58"/>
  <c r="G19" i="58" s="1"/>
  <c r="H44" i="58"/>
  <c r="H19" i="58" s="1"/>
  <c r="M44" i="58"/>
  <c r="M19" i="58" s="1"/>
  <c r="N44" i="58"/>
  <c r="N19" i="58" s="1"/>
  <c r="O44" i="58"/>
  <c r="O19" i="58" s="1"/>
  <c r="P44" i="58"/>
  <c r="P19" i="58" s="1"/>
  <c r="Q44" i="58"/>
  <c r="Q19" i="58" s="1"/>
  <c r="R44" i="58"/>
  <c r="R19" i="58" s="1"/>
  <c r="G45" i="58"/>
  <c r="G20" i="58" s="1"/>
  <c r="H45" i="58"/>
  <c r="H20" i="58" s="1"/>
  <c r="M45" i="58"/>
  <c r="M20" i="58" s="1"/>
  <c r="N45" i="58"/>
  <c r="N20" i="58" s="1"/>
  <c r="O45" i="58"/>
  <c r="O20" i="58" s="1"/>
  <c r="P45" i="58"/>
  <c r="P20" i="58" s="1"/>
  <c r="Q45" i="58"/>
  <c r="Q20" i="58" s="1"/>
  <c r="R45" i="58"/>
  <c r="G47" i="58"/>
  <c r="G22" i="58" s="1"/>
  <c r="H47" i="58"/>
  <c r="H22" i="58" s="1"/>
  <c r="M47" i="58"/>
  <c r="M22" i="58" s="1"/>
  <c r="N47" i="58"/>
  <c r="N22" i="58" s="1"/>
  <c r="O47" i="58"/>
  <c r="O22" i="58" s="1"/>
  <c r="P47" i="58"/>
  <c r="P22" i="58" s="1"/>
  <c r="Q47" i="58"/>
  <c r="Q22" i="58" s="1"/>
  <c r="R47" i="58"/>
  <c r="G3" i="57"/>
  <c r="H3" i="57"/>
  <c r="I3" i="57"/>
  <c r="J3" i="57"/>
  <c r="K3" i="57"/>
  <c r="L3" i="57"/>
  <c r="M3" i="57"/>
  <c r="N3" i="57"/>
  <c r="O3" i="57"/>
  <c r="P3" i="57"/>
  <c r="Q3" i="57"/>
  <c r="R3" i="57"/>
  <c r="G4" i="57"/>
  <c r="H4" i="57"/>
  <c r="I4" i="57"/>
  <c r="J4" i="57"/>
  <c r="K4" i="57"/>
  <c r="L4" i="57"/>
  <c r="M4" i="57"/>
  <c r="N4" i="57"/>
  <c r="O4" i="57"/>
  <c r="P4" i="57"/>
  <c r="Q4" i="57"/>
  <c r="R4" i="57"/>
  <c r="G5" i="57"/>
  <c r="H5" i="57"/>
  <c r="I5" i="57"/>
  <c r="J5" i="57"/>
  <c r="K5" i="57"/>
  <c r="L5" i="57"/>
  <c r="M5" i="57"/>
  <c r="N5" i="57"/>
  <c r="O5" i="57"/>
  <c r="P5" i="57"/>
  <c r="Q5" i="57"/>
  <c r="R5" i="57"/>
  <c r="G6" i="57"/>
  <c r="H6" i="57"/>
  <c r="I6" i="57"/>
  <c r="J6" i="57"/>
  <c r="K6" i="57"/>
  <c r="L6" i="57"/>
  <c r="M6" i="57"/>
  <c r="N6" i="57"/>
  <c r="O6" i="57"/>
  <c r="P6" i="57"/>
  <c r="Q6" i="57"/>
  <c r="R6" i="57"/>
  <c r="G7" i="57"/>
  <c r="H7" i="57"/>
  <c r="I7" i="57"/>
  <c r="J7" i="57"/>
  <c r="K7" i="57"/>
  <c r="L7" i="57"/>
  <c r="M7" i="57"/>
  <c r="N7" i="57"/>
  <c r="O7" i="57"/>
  <c r="P7" i="57"/>
  <c r="Q7" i="57"/>
  <c r="R7" i="57"/>
  <c r="G8" i="57"/>
  <c r="H8" i="57"/>
  <c r="I8" i="57"/>
  <c r="J8" i="57"/>
  <c r="J9" i="57" s="1"/>
  <c r="J32" i="57" s="1"/>
  <c r="K8" i="57"/>
  <c r="L8" i="57"/>
  <c r="M8" i="57"/>
  <c r="N8" i="57"/>
  <c r="O8" i="57"/>
  <c r="P8" i="57"/>
  <c r="Q8" i="57"/>
  <c r="R8" i="57"/>
  <c r="G9" i="57"/>
  <c r="H9" i="57"/>
  <c r="I9" i="57"/>
  <c r="K9" i="57"/>
  <c r="L9" i="57"/>
  <c r="M9" i="57"/>
  <c r="N9" i="57"/>
  <c r="O9" i="57"/>
  <c r="P9" i="57"/>
  <c r="Q9" i="57"/>
  <c r="R9" i="57"/>
  <c r="R13" i="57"/>
  <c r="R19" i="57"/>
  <c r="O20" i="57"/>
  <c r="G31" i="57"/>
  <c r="H31" i="57"/>
  <c r="I31" i="57"/>
  <c r="J31" i="57"/>
  <c r="K31" i="57"/>
  <c r="L31" i="57"/>
  <c r="M31" i="57"/>
  <c r="N31" i="57"/>
  <c r="O31" i="57"/>
  <c r="P31" i="57"/>
  <c r="Q31" i="57"/>
  <c r="R31" i="57"/>
  <c r="G32" i="57"/>
  <c r="H32" i="57"/>
  <c r="I32" i="57"/>
  <c r="K32" i="57"/>
  <c r="L32" i="57"/>
  <c r="M32" i="57"/>
  <c r="N32" i="57"/>
  <c r="O32" i="57"/>
  <c r="P32" i="57"/>
  <c r="Q32" i="57"/>
  <c r="R32" i="57"/>
  <c r="G36" i="57"/>
  <c r="G11" i="57" s="1"/>
  <c r="H36" i="57"/>
  <c r="H11" i="57" s="1"/>
  <c r="M36" i="57"/>
  <c r="M11" i="57" s="1"/>
  <c r="N36" i="57"/>
  <c r="N11" i="57" s="1"/>
  <c r="O36" i="57"/>
  <c r="O11" i="57" s="1"/>
  <c r="P36" i="57"/>
  <c r="P11" i="57" s="1"/>
  <c r="Q36" i="57"/>
  <c r="Q11" i="57" s="1"/>
  <c r="R36" i="57"/>
  <c r="R11" i="57" s="1"/>
  <c r="G37" i="57"/>
  <c r="G12" i="57" s="1"/>
  <c r="H37" i="57"/>
  <c r="H12" i="57" s="1"/>
  <c r="M37" i="57"/>
  <c r="M12" i="57" s="1"/>
  <c r="N37" i="57"/>
  <c r="N12" i="57" s="1"/>
  <c r="O37" i="57"/>
  <c r="O12" i="57" s="1"/>
  <c r="P37" i="57"/>
  <c r="P12" i="57" s="1"/>
  <c r="Q37" i="57"/>
  <c r="Q12" i="57" s="1"/>
  <c r="R37" i="57"/>
  <c r="R12" i="57" s="1"/>
  <c r="G38" i="57"/>
  <c r="G13" i="57" s="1"/>
  <c r="H38" i="57"/>
  <c r="H13" i="57" s="1"/>
  <c r="M38" i="57"/>
  <c r="M13" i="57" s="1"/>
  <c r="N38" i="57"/>
  <c r="N13" i="57" s="1"/>
  <c r="O38" i="57"/>
  <c r="O13" i="57" s="1"/>
  <c r="P38" i="57"/>
  <c r="P13" i="57" s="1"/>
  <c r="Q38" i="57"/>
  <c r="Q13" i="57" s="1"/>
  <c r="R38" i="57"/>
  <c r="G43" i="57"/>
  <c r="H43" i="57"/>
  <c r="M43" i="57"/>
  <c r="N43" i="57"/>
  <c r="O43" i="57"/>
  <c r="P43" i="57"/>
  <c r="Q43" i="57"/>
  <c r="R43" i="57"/>
  <c r="G44" i="57"/>
  <c r="G19" i="57" s="1"/>
  <c r="H44" i="57"/>
  <c r="H19" i="57" s="1"/>
  <c r="M44" i="57"/>
  <c r="M19" i="57" s="1"/>
  <c r="N44" i="57"/>
  <c r="N19" i="57" s="1"/>
  <c r="O44" i="57"/>
  <c r="O19" i="57" s="1"/>
  <c r="P44" i="57"/>
  <c r="P19" i="57" s="1"/>
  <c r="Q44" i="57"/>
  <c r="Q19" i="57" s="1"/>
  <c r="R44" i="57"/>
  <c r="G45" i="57"/>
  <c r="G20" i="57" s="1"/>
  <c r="H45" i="57"/>
  <c r="H20" i="57" s="1"/>
  <c r="M45" i="57"/>
  <c r="M20" i="57" s="1"/>
  <c r="N45" i="57"/>
  <c r="N20" i="57" s="1"/>
  <c r="O45" i="57"/>
  <c r="P45" i="57"/>
  <c r="P20" i="57" s="1"/>
  <c r="Q45" i="57"/>
  <c r="Q20" i="57" s="1"/>
  <c r="R45" i="57"/>
  <c r="R20" i="57" s="1"/>
  <c r="G47" i="57"/>
  <c r="G22" i="57" s="1"/>
  <c r="H47" i="57"/>
  <c r="H22" i="57" s="1"/>
  <c r="M47" i="57"/>
  <c r="M22" i="57" s="1"/>
  <c r="N47" i="57"/>
  <c r="N22" i="57" s="1"/>
  <c r="O47" i="57"/>
  <c r="O22" i="57" s="1"/>
  <c r="P47" i="57"/>
  <c r="P22" i="57" s="1"/>
  <c r="Q47" i="57"/>
  <c r="Q22" i="57" s="1"/>
  <c r="R47" i="57"/>
  <c r="R22" i="57" s="1"/>
  <c r="G3" i="43"/>
  <c r="H3" i="43"/>
  <c r="I3" i="43"/>
  <c r="J3" i="43"/>
  <c r="K3" i="43"/>
  <c r="L3" i="43"/>
  <c r="M3" i="43"/>
  <c r="N3" i="43"/>
  <c r="O3" i="43"/>
  <c r="P3" i="43"/>
  <c r="Q3" i="43"/>
  <c r="R3" i="43"/>
  <c r="G4" i="43"/>
  <c r="H4" i="43"/>
  <c r="I4" i="43"/>
  <c r="J4" i="43"/>
  <c r="K4" i="43"/>
  <c r="L4" i="43"/>
  <c r="M4" i="43"/>
  <c r="N4" i="43"/>
  <c r="O4" i="43"/>
  <c r="P4" i="43"/>
  <c r="Q4" i="43"/>
  <c r="R4" i="43"/>
  <c r="G5" i="43"/>
  <c r="H5" i="43"/>
  <c r="I5" i="43"/>
  <c r="J5" i="43"/>
  <c r="K5" i="43"/>
  <c r="L5" i="43"/>
  <c r="M5" i="43"/>
  <c r="N5" i="43"/>
  <c r="O5" i="43"/>
  <c r="P5" i="43"/>
  <c r="Q5" i="43"/>
  <c r="R5" i="43"/>
  <c r="G6" i="43"/>
  <c r="H6" i="43"/>
  <c r="I6" i="43"/>
  <c r="J6" i="43"/>
  <c r="K6" i="43"/>
  <c r="L6" i="43"/>
  <c r="M6" i="43"/>
  <c r="N6" i="43"/>
  <c r="O6" i="43"/>
  <c r="P6" i="43"/>
  <c r="Q6" i="43"/>
  <c r="R6" i="43"/>
  <c r="G7" i="43"/>
  <c r="H7" i="43"/>
  <c r="I7" i="43"/>
  <c r="J7" i="43"/>
  <c r="K7" i="43"/>
  <c r="L7" i="43"/>
  <c r="M7" i="43"/>
  <c r="N7" i="43"/>
  <c r="O7" i="43"/>
  <c r="P7" i="43"/>
  <c r="Q7" i="43"/>
  <c r="R7" i="43"/>
  <c r="G8" i="43"/>
  <c r="H8" i="43"/>
  <c r="I8" i="43"/>
  <c r="J8" i="43"/>
  <c r="K8" i="43"/>
  <c r="K9" i="43" s="1"/>
  <c r="K32" i="43" s="1"/>
  <c r="L8" i="43"/>
  <c r="M8" i="43"/>
  <c r="N8" i="43"/>
  <c r="O8" i="43"/>
  <c r="P8" i="43"/>
  <c r="Q8" i="43"/>
  <c r="R8" i="43"/>
  <c r="G9" i="43"/>
  <c r="H9" i="43"/>
  <c r="I9" i="43"/>
  <c r="J9" i="43"/>
  <c r="L9" i="43"/>
  <c r="M9" i="43"/>
  <c r="N9" i="43"/>
  <c r="O9" i="43"/>
  <c r="P9" i="43"/>
  <c r="Q9" i="43"/>
  <c r="R9" i="43"/>
  <c r="R13" i="43"/>
  <c r="R19" i="43"/>
  <c r="O20" i="43"/>
  <c r="G31" i="43"/>
  <c r="H31" i="43"/>
  <c r="I31" i="43"/>
  <c r="J31" i="43"/>
  <c r="K31" i="43"/>
  <c r="L31" i="43"/>
  <c r="M31" i="43"/>
  <c r="N31" i="43"/>
  <c r="O31" i="43"/>
  <c r="P31" i="43"/>
  <c r="Q31" i="43"/>
  <c r="R31" i="43"/>
  <c r="G32" i="43"/>
  <c r="H32" i="43"/>
  <c r="I32" i="43"/>
  <c r="J32" i="43"/>
  <c r="L32" i="43"/>
  <c r="M32" i="43"/>
  <c r="N32" i="43"/>
  <c r="O32" i="43"/>
  <c r="P32" i="43"/>
  <c r="Q32" i="43"/>
  <c r="R32" i="43"/>
  <c r="G36" i="43"/>
  <c r="G11" i="43" s="1"/>
  <c r="H36" i="43"/>
  <c r="H11" i="43" s="1"/>
  <c r="M36" i="43"/>
  <c r="M11" i="43" s="1"/>
  <c r="N36" i="43"/>
  <c r="N11" i="43" s="1"/>
  <c r="O36" i="43"/>
  <c r="O11" i="43" s="1"/>
  <c r="P36" i="43"/>
  <c r="P11" i="43" s="1"/>
  <c r="Q36" i="43"/>
  <c r="Q11" i="43" s="1"/>
  <c r="R36" i="43"/>
  <c r="R11" i="43" s="1"/>
  <c r="G37" i="43"/>
  <c r="G12" i="43" s="1"/>
  <c r="H37" i="43"/>
  <c r="H12" i="43" s="1"/>
  <c r="M37" i="43"/>
  <c r="M12" i="43" s="1"/>
  <c r="N37" i="43"/>
  <c r="N12" i="43" s="1"/>
  <c r="O37" i="43"/>
  <c r="O12" i="43" s="1"/>
  <c r="P37" i="43"/>
  <c r="P12" i="43" s="1"/>
  <c r="Q37" i="43"/>
  <c r="Q12" i="43" s="1"/>
  <c r="R37" i="43"/>
  <c r="R12" i="43" s="1"/>
  <c r="G38" i="43"/>
  <c r="G13" i="43" s="1"/>
  <c r="H38" i="43"/>
  <c r="H13" i="43" s="1"/>
  <c r="M38" i="43"/>
  <c r="M13" i="43" s="1"/>
  <c r="N38" i="43"/>
  <c r="N13" i="43" s="1"/>
  <c r="O38" i="43"/>
  <c r="O13" i="43" s="1"/>
  <c r="P38" i="43"/>
  <c r="P13" i="43" s="1"/>
  <c r="Q38" i="43"/>
  <c r="Q13" i="43" s="1"/>
  <c r="R38" i="43"/>
  <c r="G43" i="43"/>
  <c r="H43" i="43"/>
  <c r="M43" i="43"/>
  <c r="N43" i="43"/>
  <c r="O43" i="43"/>
  <c r="P43" i="43"/>
  <c r="Q43" i="43"/>
  <c r="R43" i="43"/>
  <c r="G44" i="43"/>
  <c r="G19" i="43" s="1"/>
  <c r="H44" i="43"/>
  <c r="H19" i="43" s="1"/>
  <c r="M44" i="43"/>
  <c r="M19" i="43" s="1"/>
  <c r="N44" i="43"/>
  <c r="N19" i="43" s="1"/>
  <c r="O44" i="43"/>
  <c r="O19" i="43" s="1"/>
  <c r="P44" i="43"/>
  <c r="P19" i="43" s="1"/>
  <c r="Q44" i="43"/>
  <c r="Q19" i="43" s="1"/>
  <c r="R44" i="43"/>
  <c r="G45" i="43"/>
  <c r="G20" i="43" s="1"/>
  <c r="H45" i="43"/>
  <c r="H20" i="43" s="1"/>
  <c r="M45" i="43"/>
  <c r="M20" i="43" s="1"/>
  <c r="N45" i="43"/>
  <c r="N20" i="43" s="1"/>
  <c r="O45" i="43"/>
  <c r="P45" i="43"/>
  <c r="P20" i="43" s="1"/>
  <c r="Q45" i="43"/>
  <c r="Q20" i="43" s="1"/>
  <c r="R45" i="43"/>
  <c r="R20" i="43" s="1"/>
  <c r="G47" i="43"/>
  <c r="G22" i="43" s="1"/>
  <c r="H47" i="43"/>
  <c r="H22" i="43" s="1"/>
  <c r="M47" i="43"/>
  <c r="M22" i="43" s="1"/>
  <c r="N47" i="43"/>
  <c r="N22" i="43" s="1"/>
  <c r="O47" i="43"/>
  <c r="O22" i="43" s="1"/>
  <c r="P47" i="43"/>
  <c r="P22" i="43" s="1"/>
  <c r="Q47" i="43"/>
  <c r="Q22" i="43" s="1"/>
  <c r="R47" i="43"/>
  <c r="R22" i="43" s="1"/>
  <c r="R47" i="61"/>
  <c r="R45" i="61"/>
  <c r="R44" i="61"/>
  <c r="R43" i="61"/>
  <c r="R38" i="61"/>
  <c r="R37" i="61"/>
  <c r="R36" i="61"/>
  <c r="Q47" i="61"/>
  <c r="Q45" i="61"/>
  <c r="Q44" i="61"/>
  <c r="Q43" i="61"/>
  <c r="Q38" i="61"/>
  <c r="Q37" i="61"/>
  <c r="Q36" i="61"/>
  <c r="P47" i="61"/>
  <c r="P45" i="61"/>
  <c r="P44" i="61"/>
  <c r="P43" i="61"/>
  <c r="P38" i="61"/>
  <c r="P37" i="61"/>
  <c r="P36" i="61"/>
  <c r="O47" i="61"/>
  <c r="O45" i="61"/>
  <c r="O44" i="61"/>
  <c r="O43" i="61"/>
  <c r="O38" i="61"/>
  <c r="O37" i="61"/>
  <c r="O36" i="61"/>
  <c r="N47" i="61"/>
  <c r="N45" i="61"/>
  <c r="N44" i="61"/>
  <c r="N43" i="61"/>
  <c r="N38" i="61"/>
  <c r="N37" i="61"/>
  <c r="N36" i="61"/>
  <c r="M47" i="61"/>
  <c r="M45" i="61"/>
  <c r="M44" i="61"/>
  <c r="M43" i="61"/>
  <c r="M38" i="61"/>
  <c r="M37" i="61"/>
  <c r="M36" i="61"/>
  <c r="H47" i="61"/>
  <c r="H45" i="61"/>
  <c r="H44" i="61"/>
  <c r="H43" i="61"/>
  <c r="H38" i="61"/>
  <c r="H37" i="61"/>
  <c r="H36" i="61"/>
  <c r="G47" i="61"/>
  <c r="G45" i="61"/>
  <c r="G44" i="61"/>
  <c r="G43" i="61"/>
  <c r="G38" i="61"/>
  <c r="G37" i="61"/>
  <c r="G36" i="61"/>
  <c r="J9" i="58" l="1"/>
  <c r="J32" i="58" s="1"/>
  <c r="O14" i="59"/>
  <c r="R14" i="59"/>
  <c r="M14" i="59"/>
  <c r="G14" i="59"/>
  <c r="R22" i="59"/>
  <c r="P14" i="59"/>
  <c r="Q14" i="59"/>
  <c r="N14" i="59"/>
  <c r="H14" i="59"/>
  <c r="R14" i="58"/>
  <c r="O14" i="58"/>
  <c r="N14" i="58"/>
  <c r="P14" i="58"/>
  <c r="M14" i="58"/>
  <c r="G14" i="58"/>
  <c r="R22" i="58"/>
  <c r="Q14" i="58"/>
  <c r="H14" i="58"/>
  <c r="O14" i="57"/>
  <c r="R14" i="57"/>
  <c r="P14" i="57"/>
  <c r="G14" i="57"/>
  <c r="M14" i="57"/>
  <c r="Q14" i="57"/>
  <c r="N14" i="57"/>
  <c r="H14" i="57"/>
  <c r="O14" i="43"/>
  <c r="R14" i="43"/>
  <c r="M14" i="43"/>
  <c r="G14" i="43"/>
  <c r="P14" i="43"/>
  <c r="Q14" i="43"/>
  <c r="N14" i="43"/>
  <c r="H14" i="43"/>
  <c r="S23" i="53"/>
  <c r="R23" i="53"/>
  <c r="Q23" i="53"/>
  <c r="P23" i="53"/>
  <c r="O23" i="53"/>
  <c r="N23" i="53"/>
  <c r="I23" i="53"/>
  <c r="H23" i="53"/>
  <c r="G23" i="53"/>
  <c r="F23" i="53"/>
  <c r="D23" i="53"/>
  <c r="D31" i="61"/>
  <c r="E31" i="61"/>
  <c r="F31" i="61"/>
  <c r="G31" i="61"/>
  <c r="H31" i="61"/>
  <c r="I31" i="61"/>
  <c r="J31" i="61"/>
  <c r="K31" i="61"/>
  <c r="L31" i="61"/>
  <c r="M31" i="61"/>
  <c r="N31" i="61"/>
  <c r="O31" i="61"/>
  <c r="P31" i="61"/>
  <c r="Q31" i="61"/>
  <c r="R31" i="61"/>
  <c r="D32" i="61"/>
  <c r="E32" i="61"/>
  <c r="F32" i="61"/>
  <c r="G32" i="61"/>
  <c r="H32" i="61"/>
  <c r="M32" i="61"/>
  <c r="N32" i="61"/>
  <c r="O32" i="61"/>
  <c r="P32" i="61"/>
  <c r="Q32" i="61"/>
  <c r="R32" i="61"/>
  <c r="D3" i="61"/>
  <c r="E3" i="61"/>
  <c r="F3" i="61"/>
  <c r="G3" i="61"/>
  <c r="H3" i="61"/>
  <c r="I3" i="61"/>
  <c r="J3" i="61"/>
  <c r="K3" i="61"/>
  <c r="L3" i="61"/>
  <c r="M3" i="61"/>
  <c r="N3" i="61"/>
  <c r="O3" i="61"/>
  <c r="P3" i="61"/>
  <c r="Q3" i="61"/>
  <c r="R3" i="61"/>
  <c r="D4" i="61"/>
  <c r="E4" i="61"/>
  <c r="F4" i="61"/>
  <c r="G4" i="61"/>
  <c r="H4" i="61"/>
  <c r="I4" i="61"/>
  <c r="J4" i="61"/>
  <c r="K4" i="61"/>
  <c r="L4" i="61"/>
  <c r="M4" i="61"/>
  <c r="N4" i="61"/>
  <c r="O4" i="61"/>
  <c r="P4" i="61"/>
  <c r="Q4" i="61"/>
  <c r="R4" i="61"/>
  <c r="D5" i="61"/>
  <c r="E5" i="61"/>
  <c r="F5" i="61"/>
  <c r="G5" i="61"/>
  <c r="H5" i="61"/>
  <c r="I5" i="61"/>
  <c r="J5" i="61"/>
  <c r="K5" i="61"/>
  <c r="L5" i="61"/>
  <c r="M5" i="61"/>
  <c r="N5" i="61"/>
  <c r="O5" i="61"/>
  <c r="P5" i="61"/>
  <c r="Q5" i="61"/>
  <c r="R5" i="61"/>
  <c r="D6" i="61"/>
  <c r="E6" i="61"/>
  <c r="F6" i="61"/>
  <c r="G6" i="61"/>
  <c r="H6" i="61"/>
  <c r="I6" i="61"/>
  <c r="I19" i="61" s="1"/>
  <c r="J6" i="61"/>
  <c r="K6" i="61"/>
  <c r="L6" i="61"/>
  <c r="M6" i="61"/>
  <c r="N6" i="61"/>
  <c r="O6" i="61"/>
  <c r="P6" i="61"/>
  <c r="Q6" i="61"/>
  <c r="R6" i="61"/>
  <c r="D7" i="61"/>
  <c r="E7" i="61"/>
  <c r="F7" i="61"/>
  <c r="G7" i="61"/>
  <c r="H7" i="61"/>
  <c r="I7" i="61"/>
  <c r="J7" i="61"/>
  <c r="K7" i="61"/>
  <c r="L7" i="61"/>
  <c r="M7" i="61"/>
  <c r="N7" i="61"/>
  <c r="O7" i="61"/>
  <c r="P7" i="61"/>
  <c r="Q7" i="61"/>
  <c r="R7" i="61"/>
  <c r="D9" i="61"/>
  <c r="E9" i="61"/>
  <c r="F9" i="61"/>
  <c r="G9" i="61"/>
  <c r="H9" i="61"/>
  <c r="I9" i="61"/>
  <c r="I32" i="61" s="1"/>
  <c r="J9" i="61"/>
  <c r="J32" i="61" s="1"/>
  <c r="K9" i="61"/>
  <c r="K32" i="61" s="1"/>
  <c r="L9" i="61"/>
  <c r="L32" i="61" s="1"/>
  <c r="M9" i="61"/>
  <c r="N9" i="61"/>
  <c r="O9" i="61"/>
  <c r="P9" i="61"/>
  <c r="Q9" i="61"/>
  <c r="R9" i="61"/>
  <c r="D11" i="61"/>
  <c r="E11" i="61"/>
  <c r="F11" i="61"/>
  <c r="G11" i="61"/>
  <c r="H11" i="61"/>
  <c r="L11" i="61"/>
  <c r="M11" i="61"/>
  <c r="N11" i="61"/>
  <c r="O11" i="61"/>
  <c r="P11" i="61"/>
  <c r="Q11" i="61"/>
  <c r="R11" i="61"/>
  <c r="D12" i="61"/>
  <c r="E12" i="61"/>
  <c r="F12" i="61"/>
  <c r="G12" i="61"/>
  <c r="H12" i="61"/>
  <c r="M12" i="61"/>
  <c r="N12" i="61"/>
  <c r="O12" i="61"/>
  <c r="P12" i="61"/>
  <c r="Q12" i="61"/>
  <c r="R12" i="61"/>
  <c r="D13" i="61"/>
  <c r="E13" i="61"/>
  <c r="F13" i="61"/>
  <c r="G13" i="61"/>
  <c r="H13" i="61"/>
  <c r="L13" i="61"/>
  <c r="M13" i="61"/>
  <c r="N13" i="61"/>
  <c r="O13" i="61"/>
  <c r="P13" i="61"/>
  <c r="Q13" i="61"/>
  <c r="R13" i="61"/>
  <c r="D14" i="61"/>
  <c r="E14" i="61"/>
  <c r="F14" i="61"/>
  <c r="H14" i="61"/>
  <c r="M14" i="61"/>
  <c r="O14" i="61"/>
  <c r="P14" i="61"/>
  <c r="R14" i="61"/>
  <c r="D19" i="61"/>
  <c r="E19" i="61"/>
  <c r="F19" i="61"/>
  <c r="G19" i="61"/>
  <c r="H19" i="61"/>
  <c r="M19" i="61"/>
  <c r="N19" i="61"/>
  <c r="O19" i="61"/>
  <c r="P19" i="61"/>
  <c r="Q19" i="61"/>
  <c r="R19" i="61"/>
  <c r="D20" i="61"/>
  <c r="E20" i="61"/>
  <c r="F20" i="61"/>
  <c r="G20" i="61"/>
  <c r="H20" i="61"/>
  <c r="J20" i="61"/>
  <c r="M20" i="61"/>
  <c r="N20" i="61"/>
  <c r="O20" i="61"/>
  <c r="P20" i="61"/>
  <c r="Q20" i="61"/>
  <c r="R20" i="61"/>
  <c r="D22" i="61"/>
  <c r="E22" i="61"/>
  <c r="F22" i="61"/>
  <c r="G22" i="61"/>
  <c r="H22" i="61"/>
  <c r="J22" i="61"/>
  <c r="M22" i="61"/>
  <c r="N22" i="61"/>
  <c r="O22" i="61"/>
  <c r="P22" i="61"/>
  <c r="Q22" i="61"/>
  <c r="R22" i="61"/>
  <c r="C196" i="50"/>
  <c r="C183" i="50"/>
  <c r="C170" i="50"/>
  <c r="C157" i="50"/>
  <c r="C144" i="50"/>
  <c r="C131" i="50"/>
  <c r="C118" i="50"/>
  <c r="C105" i="50"/>
  <c r="C92" i="50"/>
  <c r="C79" i="50"/>
  <c r="C66" i="50"/>
  <c r="E199" i="50"/>
  <c r="E200" i="50"/>
  <c r="E201" i="50"/>
  <c r="E202" i="50"/>
  <c r="E203" i="50"/>
  <c r="E204" i="50"/>
  <c r="E205" i="50"/>
  <c r="E198" i="50"/>
  <c r="I197" i="50"/>
  <c r="I195" i="50"/>
  <c r="H205" i="50"/>
  <c r="H204" i="50"/>
  <c r="H203" i="50"/>
  <c r="H202" i="50"/>
  <c r="H201" i="50"/>
  <c r="H200" i="50"/>
  <c r="H199" i="50"/>
  <c r="H198" i="50"/>
  <c r="E186" i="50"/>
  <c r="E187" i="50"/>
  <c r="E188" i="50"/>
  <c r="E189" i="50"/>
  <c r="E190" i="50"/>
  <c r="E191" i="50"/>
  <c r="E192" i="50"/>
  <c r="E185" i="50"/>
  <c r="I184" i="50"/>
  <c r="I182" i="50"/>
  <c r="H192" i="50"/>
  <c r="H191" i="50"/>
  <c r="H190" i="50"/>
  <c r="H189" i="50"/>
  <c r="H188" i="50"/>
  <c r="H187" i="50"/>
  <c r="H186" i="50"/>
  <c r="H185" i="50"/>
  <c r="E173" i="50"/>
  <c r="E174" i="50"/>
  <c r="E175" i="50"/>
  <c r="E176" i="50"/>
  <c r="E177" i="50"/>
  <c r="E178" i="50"/>
  <c r="E179" i="50"/>
  <c r="E172" i="50"/>
  <c r="I171" i="50"/>
  <c r="I169" i="50"/>
  <c r="H179" i="50"/>
  <c r="H178" i="50"/>
  <c r="H177" i="50"/>
  <c r="H176" i="50"/>
  <c r="H175" i="50"/>
  <c r="H174" i="50"/>
  <c r="H173" i="50"/>
  <c r="H172" i="50"/>
  <c r="E160" i="50"/>
  <c r="E161" i="50"/>
  <c r="E162" i="50"/>
  <c r="E163" i="50"/>
  <c r="E164" i="50"/>
  <c r="E165" i="50"/>
  <c r="E166" i="50"/>
  <c r="E159" i="50"/>
  <c r="I158" i="50"/>
  <c r="I156" i="50"/>
  <c r="H166" i="50"/>
  <c r="H165" i="50"/>
  <c r="H164" i="50"/>
  <c r="H163" i="50"/>
  <c r="H162" i="50"/>
  <c r="H161" i="50"/>
  <c r="H160" i="50"/>
  <c r="H159" i="50"/>
  <c r="E146" i="50"/>
  <c r="E147" i="50"/>
  <c r="E148" i="50"/>
  <c r="E149" i="50"/>
  <c r="E150" i="50"/>
  <c r="E151" i="50"/>
  <c r="E152" i="50"/>
  <c r="E153" i="50"/>
  <c r="I145" i="50"/>
  <c r="I143" i="50"/>
  <c r="H153" i="50"/>
  <c r="H152" i="50"/>
  <c r="H151" i="50"/>
  <c r="H150" i="50"/>
  <c r="H149" i="50"/>
  <c r="H148" i="50"/>
  <c r="H147" i="50"/>
  <c r="H146" i="50"/>
  <c r="E134" i="50"/>
  <c r="E135" i="50"/>
  <c r="E136" i="50"/>
  <c r="E137" i="50"/>
  <c r="E138" i="50"/>
  <c r="E139" i="50"/>
  <c r="E140" i="50"/>
  <c r="E133" i="50"/>
  <c r="I132" i="50"/>
  <c r="I130" i="50"/>
  <c r="H140" i="50"/>
  <c r="H139" i="50"/>
  <c r="H138" i="50"/>
  <c r="H137" i="50"/>
  <c r="H136" i="50"/>
  <c r="H135" i="50"/>
  <c r="H134" i="50"/>
  <c r="H133" i="50"/>
  <c r="E120" i="50"/>
  <c r="L36" i="61" s="1"/>
  <c r="E121" i="50"/>
  <c r="L43" i="61" s="1"/>
  <c r="E123" i="50"/>
  <c r="E124" i="50"/>
  <c r="L45" i="61" s="1"/>
  <c r="E126" i="50"/>
  <c r="L38" i="61" s="1"/>
  <c r="E127" i="50"/>
  <c r="L47" i="61" s="1"/>
  <c r="I119" i="50"/>
  <c r="E122" i="50" s="1"/>
  <c r="L37" i="61" s="1"/>
  <c r="I117" i="50"/>
  <c r="H127" i="50"/>
  <c r="H126" i="50"/>
  <c r="H125" i="50"/>
  <c r="H124" i="50"/>
  <c r="H123" i="50"/>
  <c r="H122" i="50"/>
  <c r="H121" i="50"/>
  <c r="H120" i="50"/>
  <c r="E108" i="50"/>
  <c r="K43" i="61" s="1"/>
  <c r="E109" i="50"/>
  <c r="K37" i="61" s="1"/>
  <c r="K12" i="61" s="1"/>
  <c r="E111" i="50"/>
  <c r="K45" i="61" s="1"/>
  <c r="E112" i="50"/>
  <c r="K44" i="61" s="1"/>
  <c r="E114" i="50"/>
  <c r="K47" i="61" s="1"/>
  <c r="E107" i="50"/>
  <c r="K36" i="61" s="1"/>
  <c r="K11" i="61" s="1"/>
  <c r="I106" i="50"/>
  <c r="E110" i="50" s="1"/>
  <c r="I104" i="50"/>
  <c r="H114" i="50"/>
  <c r="H113" i="50"/>
  <c r="H112" i="50"/>
  <c r="H111" i="50"/>
  <c r="H110" i="50"/>
  <c r="H109" i="50"/>
  <c r="H108" i="50"/>
  <c r="H107" i="50"/>
  <c r="E95" i="50"/>
  <c r="J43" i="61" s="1"/>
  <c r="E96" i="50"/>
  <c r="J37" i="61" s="1"/>
  <c r="E98" i="50"/>
  <c r="J45" i="61" s="1"/>
  <c r="E99" i="50"/>
  <c r="J44" i="61" s="1"/>
  <c r="J19" i="61" s="1"/>
  <c r="E101" i="50"/>
  <c r="J47" i="61" s="1"/>
  <c r="E94" i="50"/>
  <c r="J36" i="61" s="1"/>
  <c r="I93" i="50"/>
  <c r="E97" i="50" s="1"/>
  <c r="I91" i="50"/>
  <c r="H101" i="50"/>
  <c r="H100" i="50"/>
  <c r="H99" i="50"/>
  <c r="H98" i="50"/>
  <c r="H97" i="50"/>
  <c r="H96" i="50"/>
  <c r="H95" i="50"/>
  <c r="H94" i="50"/>
  <c r="E82" i="50"/>
  <c r="I43" i="61" s="1"/>
  <c r="E83" i="50"/>
  <c r="I37" i="61" s="1"/>
  <c r="I12" i="61" s="1"/>
  <c r="E85" i="50"/>
  <c r="I45" i="61" s="1"/>
  <c r="E86" i="50"/>
  <c r="I44" i="61" s="1"/>
  <c r="E88" i="50"/>
  <c r="I47" i="61" s="1"/>
  <c r="E81" i="50"/>
  <c r="I36" i="61" s="1"/>
  <c r="I11" i="61" s="1"/>
  <c r="I80" i="50"/>
  <c r="E84" i="50" s="1"/>
  <c r="I78" i="50"/>
  <c r="I67" i="50"/>
  <c r="E70" i="50" s="1"/>
  <c r="I54" i="50"/>
  <c r="I28" i="50"/>
  <c r="I41" i="50"/>
  <c r="E42" i="50" s="1"/>
  <c r="E56" i="50"/>
  <c r="E57" i="50"/>
  <c r="E58" i="50"/>
  <c r="E59" i="50"/>
  <c r="E60" i="50"/>
  <c r="E61" i="50"/>
  <c r="E62" i="50"/>
  <c r="E55" i="50"/>
  <c r="E69" i="50"/>
  <c r="E72" i="50"/>
  <c r="E74" i="50"/>
  <c r="E75" i="50"/>
  <c r="H88" i="50"/>
  <c r="H87" i="50"/>
  <c r="H86" i="50"/>
  <c r="H85" i="50"/>
  <c r="H84" i="50"/>
  <c r="H83" i="50"/>
  <c r="H82" i="50"/>
  <c r="H81" i="50"/>
  <c r="I65" i="50"/>
  <c r="H68" i="50"/>
  <c r="H69" i="50"/>
  <c r="H70" i="50"/>
  <c r="H71" i="50"/>
  <c r="H72" i="50"/>
  <c r="H73" i="50"/>
  <c r="H74" i="50"/>
  <c r="H75" i="50"/>
  <c r="I52" i="50"/>
  <c r="E4" i="50"/>
  <c r="L37" i="57" l="1"/>
  <c r="L12" i="57" s="1"/>
  <c r="L37" i="43"/>
  <c r="L12" i="43" s="1"/>
  <c r="L37" i="59"/>
  <c r="L12" i="59" s="1"/>
  <c r="L37" i="58"/>
  <c r="L12" i="58" s="1"/>
  <c r="L12" i="61"/>
  <c r="L14" i="61"/>
  <c r="I44" i="57"/>
  <c r="I19" i="57" s="1"/>
  <c r="I44" i="59"/>
  <c r="I19" i="59" s="1"/>
  <c r="I44" i="58"/>
  <c r="I19" i="58" s="1"/>
  <c r="I44" i="43"/>
  <c r="I19" i="43" s="1"/>
  <c r="J36" i="43"/>
  <c r="J11" i="43" s="1"/>
  <c r="J36" i="57"/>
  <c r="J11" i="57" s="1"/>
  <c r="J36" i="59"/>
  <c r="J11" i="59" s="1"/>
  <c r="J36" i="58"/>
  <c r="J11" i="58" s="1"/>
  <c r="J37" i="43"/>
  <c r="J12" i="43" s="1"/>
  <c r="J37" i="58"/>
  <c r="J12" i="58" s="1"/>
  <c r="J37" i="57"/>
  <c r="J12" i="57" s="1"/>
  <c r="J37" i="59"/>
  <c r="J12" i="59" s="1"/>
  <c r="K44" i="59"/>
  <c r="K19" i="59" s="1"/>
  <c r="K44" i="58"/>
  <c r="K19" i="58" s="1"/>
  <c r="K44" i="57"/>
  <c r="K19" i="57" s="1"/>
  <c r="K44" i="43"/>
  <c r="K19" i="43" s="1"/>
  <c r="L47" i="57"/>
  <c r="L22" i="57" s="1"/>
  <c r="L47" i="43"/>
  <c r="L22" i="43" s="1"/>
  <c r="L47" i="59"/>
  <c r="L22" i="59" s="1"/>
  <c r="L47" i="58"/>
  <c r="L22" i="58" s="1"/>
  <c r="L43" i="57"/>
  <c r="L43" i="43"/>
  <c r="L43" i="59"/>
  <c r="L43" i="58"/>
  <c r="I45" i="57"/>
  <c r="I20" i="57" s="1"/>
  <c r="I45" i="59"/>
  <c r="I20" i="59" s="1"/>
  <c r="I45" i="58"/>
  <c r="I20" i="58" s="1"/>
  <c r="I45" i="43"/>
  <c r="I20" i="43" s="1"/>
  <c r="J47" i="43"/>
  <c r="J22" i="43" s="1"/>
  <c r="J47" i="57"/>
  <c r="J22" i="57" s="1"/>
  <c r="J47" i="59"/>
  <c r="J22" i="59" s="1"/>
  <c r="J47" i="58"/>
  <c r="J22" i="58" s="1"/>
  <c r="J43" i="43"/>
  <c r="J43" i="57"/>
  <c r="J43" i="59"/>
  <c r="J43" i="58"/>
  <c r="K45" i="59"/>
  <c r="K20" i="59" s="1"/>
  <c r="K45" i="58"/>
  <c r="K20" i="58" s="1"/>
  <c r="K45" i="43"/>
  <c r="K20" i="43" s="1"/>
  <c r="K45" i="57"/>
  <c r="K20" i="57" s="1"/>
  <c r="K43" i="59"/>
  <c r="K43" i="58"/>
  <c r="K43" i="43"/>
  <c r="K43" i="57"/>
  <c r="L38" i="57"/>
  <c r="L13" i="57" s="1"/>
  <c r="L38" i="59"/>
  <c r="L13" i="59" s="1"/>
  <c r="L38" i="58"/>
  <c r="L13" i="58" s="1"/>
  <c r="L38" i="43"/>
  <c r="L13" i="43" s="1"/>
  <c r="L36" i="57"/>
  <c r="L11" i="57" s="1"/>
  <c r="L14" i="57" s="1"/>
  <c r="L36" i="43"/>
  <c r="L11" i="43" s="1"/>
  <c r="L36" i="59"/>
  <c r="L11" i="59" s="1"/>
  <c r="L36" i="58"/>
  <c r="L11" i="58" s="1"/>
  <c r="L14" i="58" s="1"/>
  <c r="L22" i="61"/>
  <c r="I22" i="61"/>
  <c r="L20" i="61"/>
  <c r="I20" i="61"/>
  <c r="I36" i="57"/>
  <c r="I11" i="57" s="1"/>
  <c r="I36" i="43"/>
  <c r="I11" i="43" s="1"/>
  <c r="I36" i="59"/>
  <c r="I11" i="59" s="1"/>
  <c r="I36" i="58"/>
  <c r="I11" i="58" s="1"/>
  <c r="I37" i="57"/>
  <c r="I12" i="57" s="1"/>
  <c r="I37" i="43"/>
  <c r="I12" i="43" s="1"/>
  <c r="I37" i="59"/>
  <c r="I12" i="59" s="1"/>
  <c r="I37" i="58"/>
  <c r="I12" i="58" s="1"/>
  <c r="J44" i="43"/>
  <c r="J19" i="43" s="1"/>
  <c r="J44" i="57"/>
  <c r="J19" i="57" s="1"/>
  <c r="J44" i="59"/>
  <c r="J19" i="59" s="1"/>
  <c r="J44" i="58"/>
  <c r="J19" i="58" s="1"/>
  <c r="K36" i="59"/>
  <c r="K11" i="59" s="1"/>
  <c r="K36" i="58"/>
  <c r="K11" i="58" s="1"/>
  <c r="K36" i="57"/>
  <c r="K11" i="57" s="1"/>
  <c r="K36" i="43"/>
  <c r="K11" i="43" s="1"/>
  <c r="K37" i="59"/>
  <c r="K12" i="59" s="1"/>
  <c r="K37" i="58"/>
  <c r="K12" i="58" s="1"/>
  <c r="K37" i="57"/>
  <c r="K12" i="57" s="1"/>
  <c r="K37" i="43"/>
  <c r="K12" i="43" s="1"/>
  <c r="L45" i="57"/>
  <c r="L20" i="57" s="1"/>
  <c r="L45" i="43"/>
  <c r="L20" i="43" s="1"/>
  <c r="L45" i="59"/>
  <c r="L20" i="59" s="1"/>
  <c r="L45" i="58"/>
  <c r="L20" i="58" s="1"/>
  <c r="I47" i="57"/>
  <c r="I22" i="57" s="1"/>
  <c r="I47" i="59"/>
  <c r="I22" i="59" s="1"/>
  <c r="I47" i="58"/>
  <c r="I22" i="58" s="1"/>
  <c r="I47" i="43"/>
  <c r="I22" i="43" s="1"/>
  <c r="I43" i="57"/>
  <c r="I43" i="59"/>
  <c r="I43" i="58"/>
  <c r="I43" i="43"/>
  <c r="J45" i="43"/>
  <c r="J20" i="43" s="1"/>
  <c r="J45" i="57"/>
  <c r="J20" i="57" s="1"/>
  <c r="J45" i="59"/>
  <c r="J20" i="59" s="1"/>
  <c r="J45" i="58"/>
  <c r="J20" i="58" s="1"/>
  <c r="K47" i="59"/>
  <c r="K22" i="59" s="1"/>
  <c r="K47" i="58"/>
  <c r="K22" i="58" s="1"/>
  <c r="K47" i="57"/>
  <c r="K22" i="57" s="1"/>
  <c r="K47" i="43"/>
  <c r="K22" i="43" s="1"/>
  <c r="E87" i="50"/>
  <c r="I38" i="61" s="1"/>
  <c r="E100" i="50"/>
  <c r="J38" i="61" s="1"/>
  <c r="E113" i="50"/>
  <c r="K38" i="61" s="1"/>
  <c r="E125" i="50"/>
  <c r="L44" i="61" s="1"/>
  <c r="L19" i="61" s="1"/>
  <c r="K22" i="61"/>
  <c r="K20" i="61"/>
  <c r="K19" i="61"/>
  <c r="J12" i="61"/>
  <c r="J11" i="61"/>
  <c r="Q14" i="61"/>
  <c r="N14" i="61"/>
  <c r="G14" i="61"/>
  <c r="E71" i="50"/>
  <c r="E68" i="50"/>
  <c r="E73" i="50"/>
  <c r="I38" i="57" l="1"/>
  <c r="I13" i="57" s="1"/>
  <c r="I38" i="43"/>
  <c r="I13" i="43" s="1"/>
  <c r="I38" i="59"/>
  <c r="I13" i="59" s="1"/>
  <c r="I14" i="59" s="1"/>
  <c r="I38" i="58"/>
  <c r="I13" i="58" s="1"/>
  <c r="I13" i="61"/>
  <c r="I14" i="61" s="1"/>
  <c r="L44" i="57"/>
  <c r="L19" i="57" s="1"/>
  <c r="L44" i="43"/>
  <c r="L19" i="43" s="1"/>
  <c r="L44" i="59"/>
  <c r="L19" i="59" s="1"/>
  <c r="L44" i="58"/>
  <c r="L19" i="58" s="1"/>
  <c r="K14" i="58"/>
  <c r="I14" i="43"/>
  <c r="K38" i="59"/>
  <c r="K13" i="59" s="1"/>
  <c r="K38" i="58"/>
  <c r="K13" i="58" s="1"/>
  <c r="K38" i="57"/>
  <c r="K13" i="57" s="1"/>
  <c r="K38" i="43"/>
  <c r="K13" i="43" s="1"/>
  <c r="K14" i="43" s="1"/>
  <c r="K13" i="61"/>
  <c r="K14" i="61" s="1"/>
  <c r="K14" i="59"/>
  <c r="I14" i="58"/>
  <c r="I14" i="57"/>
  <c r="L14" i="59"/>
  <c r="J38" i="43"/>
  <c r="J13" i="43" s="1"/>
  <c r="J38" i="58"/>
  <c r="J13" i="58" s="1"/>
  <c r="J38" i="57"/>
  <c r="J13" i="57" s="1"/>
  <c r="J14" i="57" s="1"/>
  <c r="J38" i="59"/>
  <c r="J13" i="59" s="1"/>
  <c r="J14" i="59" s="1"/>
  <c r="J13" i="61"/>
  <c r="J14" i="61" s="1"/>
  <c r="K14" i="57"/>
  <c r="L14" i="43"/>
  <c r="J14" i="58"/>
  <c r="J14" i="43"/>
  <c r="E24" i="53"/>
  <c r="D33" i="61" s="1"/>
  <c r="F24" i="53"/>
  <c r="E33" i="61" s="1"/>
  <c r="G24" i="53"/>
  <c r="F33" i="61" s="1"/>
  <c r="H24" i="53"/>
  <c r="G33" i="61" s="1"/>
  <c r="I24" i="53"/>
  <c r="H33" i="61" s="1"/>
  <c r="J24" i="53"/>
  <c r="I33" i="61" s="1"/>
  <c r="K24" i="53"/>
  <c r="J33" i="61" s="1"/>
  <c r="L24" i="53"/>
  <c r="K33" i="61" s="1"/>
  <c r="M24" i="53"/>
  <c r="L33" i="61" s="1"/>
  <c r="N24" i="53"/>
  <c r="M33" i="61" s="1"/>
  <c r="O24" i="53"/>
  <c r="N33" i="61" s="1"/>
  <c r="P24" i="53"/>
  <c r="O33" i="61" s="1"/>
  <c r="Q24" i="53"/>
  <c r="P33" i="61" s="1"/>
  <c r="R24" i="53"/>
  <c r="Q33" i="61" s="1"/>
  <c r="S24" i="53"/>
  <c r="R33" i="61" s="1"/>
  <c r="E25" i="53"/>
  <c r="K25" i="53"/>
  <c r="J33" i="43" s="1"/>
  <c r="L25" i="53"/>
  <c r="K33" i="43" s="1"/>
  <c r="N25" i="53"/>
  <c r="E26" i="53"/>
  <c r="K26" i="53"/>
  <c r="J33" i="57" s="1"/>
  <c r="E27" i="53"/>
  <c r="E28" i="53"/>
  <c r="G16" i="55"/>
  <c r="H16" i="55"/>
  <c r="I16" i="55"/>
  <c r="J16" i="55"/>
  <c r="K16" i="55"/>
  <c r="L16" i="55"/>
  <c r="M16" i="55"/>
  <c r="N16" i="55"/>
  <c r="O16" i="55"/>
  <c r="P16" i="55"/>
  <c r="Q16" i="55"/>
  <c r="R16" i="55"/>
  <c r="J18" i="55"/>
  <c r="K18" i="55"/>
  <c r="K19" i="55" s="1"/>
  <c r="K20" i="55" s="1"/>
  <c r="J19" i="55"/>
  <c r="J20" i="55" s="1"/>
  <c r="H4" i="53"/>
  <c r="I4" i="53"/>
  <c r="J4" i="53"/>
  <c r="K4" i="53"/>
  <c r="L4" i="53"/>
  <c r="M4" i="53"/>
  <c r="N4" i="53"/>
  <c r="O4" i="53"/>
  <c r="P4" i="53"/>
  <c r="Q4" i="53"/>
  <c r="R4" i="53"/>
  <c r="S4" i="53"/>
  <c r="H5" i="53"/>
  <c r="I5" i="53"/>
  <c r="K5" i="53"/>
  <c r="L5" i="53"/>
  <c r="M5" i="53"/>
  <c r="N5" i="53"/>
  <c r="O5" i="53"/>
  <c r="P5" i="53"/>
  <c r="Q5" i="53"/>
  <c r="R5" i="53"/>
  <c r="S5" i="53"/>
  <c r="J7" i="50"/>
  <c r="K7" i="50"/>
  <c r="P18" i="55" l="1"/>
  <c r="P19" i="55" s="1"/>
  <c r="P20" i="55" s="1"/>
  <c r="R25" i="53"/>
  <c r="M18" i="55"/>
  <c r="M19" i="55" s="1"/>
  <c r="M20" i="55" s="1"/>
  <c r="N18" i="55"/>
  <c r="N19" i="55" s="1"/>
  <c r="N20" i="55" s="1"/>
  <c r="Q25" i="53"/>
  <c r="P33" i="43" s="1"/>
  <c r="Q18" i="55"/>
  <c r="Q19" i="55" s="1"/>
  <c r="Q20" i="55" s="1"/>
  <c r="R26" i="53"/>
  <c r="Q33" i="43"/>
  <c r="N26" i="53"/>
  <c r="M33" i="43"/>
  <c r="K10" i="43"/>
  <c r="K15" i="43" s="1"/>
  <c r="K16" i="43" s="1"/>
  <c r="K34" i="43"/>
  <c r="K40" i="43" s="1"/>
  <c r="J10" i="43"/>
  <c r="J15" i="43" s="1"/>
  <c r="J16" i="43" s="1"/>
  <c r="J34" i="43"/>
  <c r="J40" i="43" s="1"/>
  <c r="K34" i="61"/>
  <c r="K40" i="61" s="1"/>
  <c r="K10" i="61"/>
  <c r="K15" i="61" s="1"/>
  <c r="K16" i="61" s="1"/>
  <c r="J10" i="57"/>
  <c r="J15" i="57" s="1"/>
  <c r="J16" i="57" s="1"/>
  <c r="J34" i="57"/>
  <c r="J40" i="57" s="1"/>
  <c r="L34" i="61"/>
  <c r="L40" i="61" s="1"/>
  <c r="L10" i="61"/>
  <c r="L15" i="61" s="1"/>
  <c r="L16" i="61" s="1"/>
  <c r="L18" i="55"/>
  <c r="L19" i="55" s="1"/>
  <c r="L20" i="55" s="1"/>
  <c r="K27" i="53"/>
  <c r="L26" i="53"/>
  <c r="M25" i="53"/>
  <c r="J34" i="61"/>
  <c r="J40" i="61" s="1"/>
  <c r="J10" i="61"/>
  <c r="J15" i="61" s="1"/>
  <c r="J16" i="61" s="1"/>
  <c r="I18" i="55"/>
  <c r="I19" i="55" s="1"/>
  <c r="I20" i="55" s="1"/>
  <c r="J25" i="53"/>
  <c r="I34" i="61"/>
  <c r="I40" i="61" s="1"/>
  <c r="I10" i="61"/>
  <c r="I15" i="61" s="1"/>
  <c r="I16" i="61" s="1"/>
  <c r="R18" i="55"/>
  <c r="R19" i="55" s="1"/>
  <c r="R20" i="55" s="1"/>
  <c r="S25" i="53"/>
  <c r="R34" i="61"/>
  <c r="R40" i="61" s="1"/>
  <c r="R10" i="61"/>
  <c r="R15" i="61" s="1"/>
  <c r="R16" i="61" s="1"/>
  <c r="Q34" i="61"/>
  <c r="Q40" i="61" s="1"/>
  <c r="Q10" i="61"/>
  <c r="Q15" i="61" s="1"/>
  <c r="Q16" i="61" s="1"/>
  <c r="P34" i="61"/>
  <c r="P40" i="61" s="1"/>
  <c r="P10" i="61"/>
  <c r="P15" i="61" s="1"/>
  <c r="P16" i="61" s="1"/>
  <c r="O18" i="55"/>
  <c r="O19" i="55" s="1"/>
  <c r="O20" i="55" s="1"/>
  <c r="O34" i="61"/>
  <c r="O40" i="61" s="1"/>
  <c r="O10" i="61"/>
  <c r="O15" i="61" s="1"/>
  <c r="O16" i="61" s="1"/>
  <c r="P25" i="53"/>
  <c r="N34" i="61"/>
  <c r="N40" i="61" s="1"/>
  <c r="N10" i="61"/>
  <c r="N15" i="61" s="1"/>
  <c r="N16" i="61" s="1"/>
  <c r="O25" i="53"/>
  <c r="M34" i="61"/>
  <c r="M40" i="61" s="1"/>
  <c r="M10" i="61"/>
  <c r="M15" i="61" s="1"/>
  <c r="M16" i="61" s="1"/>
  <c r="I25" i="53"/>
  <c r="H10" i="61"/>
  <c r="H15" i="61" s="1"/>
  <c r="H16" i="61" s="1"/>
  <c r="H34" i="61"/>
  <c r="H40" i="61" s="1"/>
  <c r="H18" i="55"/>
  <c r="H19" i="55" s="1"/>
  <c r="H20" i="55" s="1"/>
  <c r="G18" i="55"/>
  <c r="G19" i="55" s="1"/>
  <c r="G20" i="55" s="1"/>
  <c r="H25" i="53"/>
  <c r="G34" i="61"/>
  <c r="G40" i="61" s="1"/>
  <c r="G10" i="61"/>
  <c r="G15" i="61" s="1"/>
  <c r="G16" i="61" s="1"/>
  <c r="F34" i="61"/>
  <c r="F10" i="61"/>
  <c r="F15" i="61" s="1"/>
  <c r="F16" i="61" s="1"/>
  <c r="G25" i="53"/>
  <c r="G26" i="53" s="1"/>
  <c r="G27" i="53" s="1"/>
  <c r="G28" i="53" s="1"/>
  <c r="E10" i="61"/>
  <c r="E15" i="61" s="1"/>
  <c r="E16" i="61" s="1"/>
  <c r="E34" i="61"/>
  <c r="F25" i="53"/>
  <c r="F26" i="53" s="1"/>
  <c r="F27" i="53" s="1"/>
  <c r="F28" i="53" s="1"/>
  <c r="D34" i="61"/>
  <c r="D10" i="61"/>
  <c r="D15" i="61" s="1"/>
  <c r="D16" i="61" s="1"/>
  <c r="H7" i="50"/>
  <c r="L7" i="50"/>
  <c r="Q26" i="53" l="1"/>
  <c r="M10" i="43"/>
  <c r="M15" i="43" s="1"/>
  <c r="M16" i="43" s="1"/>
  <c r="M34" i="43"/>
  <c r="M40" i="43" s="1"/>
  <c r="Q27" i="53"/>
  <c r="P33" i="57"/>
  <c r="I26" i="53"/>
  <c r="H33" i="43"/>
  <c r="O26" i="53"/>
  <c r="N33" i="43"/>
  <c r="P26" i="53"/>
  <c r="O33" i="43"/>
  <c r="N27" i="53"/>
  <c r="M33" i="57"/>
  <c r="Q10" i="43"/>
  <c r="Q15" i="43" s="1"/>
  <c r="Q16" i="43" s="1"/>
  <c r="Q34" i="43"/>
  <c r="Q40" i="43" s="1"/>
  <c r="H26" i="53"/>
  <c r="G33" i="43"/>
  <c r="S26" i="53"/>
  <c r="R33" i="43"/>
  <c r="P10" i="43"/>
  <c r="P15" i="43" s="1"/>
  <c r="P16" i="43" s="1"/>
  <c r="P34" i="43"/>
  <c r="P40" i="43" s="1"/>
  <c r="R27" i="53"/>
  <c r="Q33" i="57"/>
  <c r="J33" i="58"/>
  <c r="K28" i="53"/>
  <c r="J33" i="59" s="1"/>
  <c r="L33" i="43"/>
  <c r="M26" i="53"/>
  <c r="K33" i="57"/>
  <c r="L27" i="53"/>
  <c r="I33" i="43"/>
  <c r="J26" i="53"/>
  <c r="F33" i="59"/>
  <c r="F33" i="58"/>
  <c r="F33" i="57"/>
  <c r="R10" i="43" l="1"/>
  <c r="R15" i="43" s="1"/>
  <c r="R16" i="43" s="1"/>
  <c r="R34" i="43"/>
  <c r="R40" i="43" s="1"/>
  <c r="H27" i="53"/>
  <c r="G33" i="57"/>
  <c r="P27" i="53"/>
  <c r="O33" i="57"/>
  <c r="H10" i="43"/>
  <c r="H15" i="43" s="1"/>
  <c r="H16" i="43" s="1"/>
  <c r="H34" i="43"/>
  <c r="H40" i="43" s="1"/>
  <c r="Q28" i="53"/>
  <c r="P33" i="59" s="1"/>
  <c r="P33" i="58"/>
  <c r="S27" i="53"/>
  <c r="R33" i="57"/>
  <c r="N28" i="53"/>
  <c r="M33" i="59" s="1"/>
  <c r="M33" i="58"/>
  <c r="N10" i="43"/>
  <c r="N15" i="43" s="1"/>
  <c r="N16" i="43" s="1"/>
  <c r="N34" i="43"/>
  <c r="N40" i="43" s="1"/>
  <c r="I27" i="53"/>
  <c r="H33" i="57"/>
  <c r="R28" i="53"/>
  <c r="Q33" i="59" s="1"/>
  <c r="Q33" i="58"/>
  <c r="M10" i="57"/>
  <c r="M15" i="57" s="1"/>
  <c r="M16" i="57" s="1"/>
  <c r="M34" i="57"/>
  <c r="M40" i="57" s="1"/>
  <c r="Q10" i="57"/>
  <c r="Q15" i="57" s="1"/>
  <c r="Q16" i="57" s="1"/>
  <c r="Q34" i="57"/>
  <c r="Q40" i="57" s="1"/>
  <c r="G10" i="43"/>
  <c r="G15" i="43" s="1"/>
  <c r="G16" i="43" s="1"/>
  <c r="G34" i="43"/>
  <c r="G40" i="43" s="1"/>
  <c r="O10" i="43"/>
  <c r="O15" i="43" s="1"/>
  <c r="O16" i="43" s="1"/>
  <c r="O34" i="43"/>
  <c r="O40" i="43" s="1"/>
  <c r="O27" i="53"/>
  <c r="N33" i="57"/>
  <c r="P10" i="57"/>
  <c r="P15" i="57" s="1"/>
  <c r="P16" i="57" s="1"/>
  <c r="P34" i="57"/>
  <c r="P40" i="57" s="1"/>
  <c r="J10" i="59"/>
  <c r="J15" i="59" s="1"/>
  <c r="J16" i="59" s="1"/>
  <c r="J34" i="59"/>
  <c r="J40" i="59" s="1"/>
  <c r="K33" i="58"/>
  <c r="L28" i="53"/>
  <c r="K33" i="59" s="1"/>
  <c r="L10" i="43"/>
  <c r="L15" i="43" s="1"/>
  <c r="L16" i="43" s="1"/>
  <c r="L34" i="43"/>
  <c r="L40" i="43" s="1"/>
  <c r="K10" i="57"/>
  <c r="K15" i="57" s="1"/>
  <c r="K16" i="57" s="1"/>
  <c r="K34" i="57"/>
  <c r="K40" i="57" s="1"/>
  <c r="L33" i="57"/>
  <c r="M27" i="53"/>
  <c r="J10" i="58"/>
  <c r="J15" i="58" s="1"/>
  <c r="J16" i="58" s="1"/>
  <c r="J34" i="58"/>
  <c r="J40" i="58" s="1"/>
  <c r="I33" i="57"/>
  <c r="J27" i="53"/>
  <c r="I10" i="43"/>
  <c r="I15" i="43" s="1"/>
  <c r="I16" i="43" s="1"/>
  <c r="I34" i="43"/>
  <c r="I40" i="43" s="1"/>
  <c r="E31" i="59"/>
  <c r="F31" i="59"/>
  <c r="E31" i="58"/>
  <c r="F31" i="58"/>
  <c r="E31" i="57"/>
  <c r="F31" i="57"/>
  <c r="D31" i="43"/>
  <c r="E31" i="43"/>
  <c r="F31" i="43"/>
  <c r="S8" i="61"/>
  <c r="I39" i="50"/>
  <c r="I26" i="50"/>
  <c r="E6" i="59"/>
  <c r="E7" i="59" s="1"/>
  <c r="F6" i="59"/>
  <c r="F7" i="59" s="1"/>
  <c r="E6" i="58"/>
  <c r="E7" i="58" s="1"/>
  <c r="F6" i="58"/>
  <c r="F7" i="58" s="1"/>
  <c r="E6" i="57"/>
  <c r="E7" i="57" s="1"/>
  <c r="F6" i="57"/>
  <c r="F7" i="57" s="1"/>
  <c r="E6" i="43"/>
  <c r="E7" i="43" s="1"/>
  <c r="F6" i="43"/>
  <c r="F7" i="43" s="1"/>
  <c r="F4" i="53"/>
  <c r="G4" i="53"/>
  <c r="F5" i="53"/>
  <c r="G5" i="53"/>
  <c r="E3" i="59"/>
  <c r="F3" i="59"/>
  <c r="E4" i="59"/>
  <c r="F4" i="57"/>
  <c r="E5" i="59"/>
  <c r="F5" i="59"/>
  <c r="N10" i="57" l="1"/>
  <c r="N15" i="57" s="1"/>
  <c r="N16" i="57" s="1"/>
  <c r="N34" i="57"/>
  <c r="N40" i="57" s="1"/>
  <c r="H10" i="57"/>
  <c r="H15" i="57" s="1"/>
  <c r="H16" i="57" s="1"/>
  <c r="H34" i="57"/>
  <c r="H40" i="57" s="1"/>
  <c r="R10" i="57"/>
  <c r="R15" i="57" s="1"/>
  <c r="R16" i="57" s="1"/>
  <c r="R34" i="57"/>
  <c r="R40" i="57" s="1"/>
  <c r="P10" i="59"/>
  <c r="P15" i="59" s="1"/>
  <c r="P16" i="59" s="1"/>
  <c r="P34" i="59"/>
  <c r="P40" i="59" s="1"/>
  <c r="O10" i="57"/>
  <c r="O15" i="57" s="1"/>
  <c r="O16" i="57" s="1"/>
  <c r="O34" i="57"/>
  <c r="O40" i="57" s="1"/>
  <c r="H28" i="53"/>
  <c r="G33" i="59" s="1"/>
  <c r="G33" i="58"/>
  <c r="O28" i="53"/>
  <c r="N33" i="59" s="1"/>
  <c r="N33" i="58"/>
  <c r="Q10" i="58"/>
  <c r="Q15" i="58" s="1"/>
  <c r="Q16" i="58" s="1"/>
  <c r="Q34" i="58"/>
  <c r="Q40" i="58" s="1"/>
  <c r="I28" i="53"/>
  <c r="H33" i="59" s="1"/>
  <c r="H33" i="58"/>
  <c r="M10" i="58"/>
  <c r="M15" i="58" s="1"/>
  <c r="M16" i="58" s="1"/>
  <c r="M34" i="58"/>
  <c r="M40" i="58" s="1"/>
  <c r="S28" i="53"/>
  <c r="R33" i="59" s="1"/>
  <c r="R33" i="58"/>
  <c r="P28" i="53"/>
  <c r="O33" i="59" s="1"/>
  <c r="O33" i="58"/>
  <c r="Q10" i="59"/>
  <c r="Q15" i="59" s="1"/>
  <c r="Q16" i="59" s="1"/>
  <c r="Q34" i="59"/>
  <c r="Q40" i="59" s="1"/>
  <c r="M10" i="59"/>
  <c r="M15" i="59" s="1"/>
  <c r="M16" i="59" s="1"/>
  <c r="M34" i="59"/>
  <c r="M40" i="59" s="1"/>
  <c r="P10" i="58"/>
  <c r="P15" i="58" s="1"/>
  <c r="P16" i="58" s="1"/>
  <c r="P34" i="58"/>
  <c r="P40" i="58" s="1"/>
  <c r="G10" i="57"/>
  <c r="G15" i="57" s="1"/>
  <c r="G16" i="57" s="1"/>
  <c r="G34" i="57"/>
  <c r="G40" i="57" s="1"/>
  <c r="L10" i="57"/>
  <c r="L15" i="57" s="1"/>
  <c r="L16" i="57" s="1"/>
  <c r="L34" i="57"/>
  <c r="L40" i="57" s="1"/>
  <c r="K10" i="58"/>
  <c r="K15" i="58" s="1"/>
  <c r="K16" i="58" s="1"/>
  <c r="K34" i="58"/>
  <c r="K40" i="58" s="1"/>
  <c r="L33" i="58"/>
  <c r="M28" i="53"/>
  <c r="L33" i="59" s="1"/>
  <c r="K10" i="59"/>
  <c r="K15" i="59" s="1"/>
  <c r="K16" i="59" s="1"/>
  <c r="K34" i="59"/>
  <c r="K40" i="59" s="1"/>
  <c r="I33" i="58"/>
  <c r="J28" i="53"/>
  <c r="I33" i="59" s="1"/>
  <c r="I10" i="57"/>
  <c r="I15" i="57" s="1"/>
  <c r="I16" i="57" s="1"/>
  <c r="I34" i="57"/>
  <c r="I40" i="57" s="1"/>
  <c r="F4" i="43"/>
  <c r="F4" i="59"/>
  <c r="F4" i="58"/>
  <c r="F5" i="43"/>
  <c r="F5" i="57"/>
  <c r="F5" i="58"/>
  <c r="F3" i="43"/>
  <c r="F3" i="57"/>
  <c r="F3" i="58"/>
  <c r="E5" i="43"/>
  <c r="E4" i="43"/>
  <c r="E3" i="43"/>
  <c r="E5" i="57"/>
  <c r="E4" i="57"/>
  <c r="E3" i="57"/>
  <c r="E5" i="58"/>
  <c r="E4" i="58"/>
  <c r="E3" i="58"/>
  <c r="D28" i="56"/>
  <c r="E28" i="56"/>
  <c r="F28" i="56"/>
  <c r="G28" i="56"/>
  <c r="C28" i="56"/>
  <c r="D4" i="53"/>
  <c r="E4" i="53"/>
  <c r="D5" i="53"/>
  <c r="E5" i="53"/>
  <c r="C2" i="59"/>
  <c r="C2" i="58"/>
  <c r="C2" i="57"/>
  <c r="C2" i="43"/>
  <c r="C3" i="61"/>
  <c r="D3" i="59"/>
  <c r="C4" i="61"/>
  <c r="C5" i="61"/>
  <c r="D5" i="59"/>
  <c r="R10" i="58" l="1"/>
  <c r="R15" i="58" s="1"/>
  <c r="R16" i="58" s="1"/>
  <c r="R34" i="58"/>
  <c r="R40" i="58" s="1"/>
  <c r="O10" i="58"/>
  <c r="O15" i="58" s="1"/>
  <c r="O16" i="58" s="1"/>
  <c r="O34" i="58"/>
  <c r="O40" i="58" s="1"/>
  <c r="R10" i="59"/>
  <c r="R15" i="59" s="1"/>
  <c r="R16" i="59" s="1"/>
  <c r="R34" i="59"/>
  <c r="R40" i="59" s="1"/>
  <c r="H10" i="58"/>
  <c r="H15" i="58" s="1"/>
  <c r="H16" i="58" s="1"/>
  <c r="H34" i="58"/>
  <c r="H40" i="58" s="1"/>
  <c r="G10" i="58"/>
  <c r="G15" i="58" s="1"/>
  <c r="G16" i="58" s="1"/>
  <c r="G34" i="58"/>
  <c r="G40" i="58" s="1"/>
  <c r="O10" i="59"/>
  <c r="O15" i="59" s="1"/>
  <c r="O16" i="59" s="1"/>
  <c r="O34" i="59"/>
  <c r="O40" i="59" s="1"/>
  <c r="H10" i="59"/>
  <c r="H15" i="59" s="1"/>
  <c r="H16" i="59" s="1"/>
  <c r="H34" i="59"/>
  <c r="H40" i="59" s="1"/>
  <c r="N10" i="58"/>
  <c r="N15" i="58" s="1"/>
  <c r="N16" i="58" s="1"/>
  <c r="N34" i="58"/>
  <c r="N40" i="58" s="1"/>
  <c r="G10" i="59"/>
  <c r="G15" i="59" s="1"/>
  <c r="G16" i="59" s="1"/>
  <c r="G34" i="59"/>
  <c r="G40" i="59" s="1"/>
  <c r="N10" i="59"/>
  <c r="N15" i="59" s="1"/>
  <c r="N16" i="59" s="1"/>
  <c r="N34" i="59"/>
  <c r="N40" i="59" s="1"/>
  <c r="L10" i="58"/>
  <c r="L15" i="58" s="1"/>
  <c r="L16" i="58" s="1"/>
  <c r="L34" i="58"/>
  <c r="L40" i="58" s="1"/>
  <c r="L10" i="59"/>
  <c r="L15" i="59" s="1"/>
  <c r="L16" i="59" s="1"/>
  <c r="L34" i="59"/>
  <c r="L40" i="59" s="1"/>
  <c r="I10" i="59"/>
  <c r="I15" i="59" s="1"/>
  <c r="I16" i="59" s="1"/>
  <c r="I34" i="59"/>
  <c r="I40" i="59" s="1"/>
  <c r="I10" i="58"/>
  <c r="I15" i="58" s="1"/>
  <c r="I16" i="58" s="1"/>
  <c r="I34" i="58"/>
  <c r="I40" i="58" s="1"/>
  <c r="C3" i="57"/>
  <c r="C3" i="59"/>
  <c r="C3" i="43"/>
  <c r="C3" i="58"/>
  <c r="D3" i="58"/>
  <c r="D3" i="57"/>
  <c r="D3" i="43"/>
  <c r="D4" i="43"/>
  <c r="D4" i="57"/>
  <c r="D4" i="58"/>
  <c r="D4" i="59"/>
  <c r="D5" i="57"/>
  <c r="D5" i="58"/>
  <c r="D5" i="43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9" i="50"/>
  <c r="H60" i="50"/>
  <c r="H61" i="50"/>
  <c r="H62" i="50"/>
  <c r="H42" i="50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I15" i="50"/>
  <c r="I13" i="50"/>
  <c r="H58" i="50"/>
  <c r="I3" i="50"/>
  <c r="I1" i="50"/>
  <c r="D24" i="53"/>
  <c r="D25" i="53" s="1"/>
  <c r="D26" i="53" s="1"/>
  <c r="F18" i="55"/>
  <c r="F19" i="55" s="1"/>
  <c r="F20" i="55" s="1"/>
  <c r="F16" i="55"/>
  <c r="E16" i="55"/>
  <c r="D16" i="55"/>
  <c r="C16" i="55"/>
  <c r="S15" i="55"/>
  <c r="S14" i="55"/>
  <c r="S13" i="55"/>
  <c r="S12" i="55"/>
  <c r="S11" i="55"/>
  <c r="S10" i="55"/>
  <c r="S9" i="55"/>
  <c r="S8" i="55"/>
  <c r="U7" i="55"/>
  <c r="U8" i="55" s="1"/>
  <c r="G22" i="51"/>
  <c r="B9" i="51"/>
  <c r="B27" i="51" s="1"/>
  <c r="B8" i="51"/>
  <c r="B26" i="51" s="1"/>
  <c r="B7" i="51"/>
  <c r="B5" i="51"/>
  <c r="D31" i="59"/>
  <c r="C31" i="59"/>
  <c r="D6" i="59"/>
  <c r="C6" i="59"/>
  <c r="D31" i="58"/>
  <c r="C31" i="58"/>
  <c r="D6" i="58"/>
  <c r="C6" i="58"/>
  <c r="D31" i="57"/>
  <c r="C31" i="57"/>
  <c r="D6" i="57"/>
  <c r="C6" i="57"/>
  <c r="C31" i="43"/>
  <c r="D6" i="43"/>
  <c r="C6" i="43"/>
  <c r="C31" i="61"/>
  <c r="C6" i="61"/>
  <c r="H61" i="56"/>
  <c r="D61" i="56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D26" i="51" l="1"/>
  <c r="S18" i="61" s="1"/>
  <c r="S21" i="61"/>
  <c r="D27" i="51"/>
  <c r="S6" i="43"/>
  <c r="S6" i="57"/>
  <c r="E33" i="57"/>
  <c r="C18" i="55"/>
  <c r="C19" i="55" s="1"/>
  <c r="D27" i="53"/>
  <c r="C33" i="57"/>
  <c r="D33" i="57"/>
  <c r="D10" i="57" s="1"/>
  <c r="J10" i="36"/>
  <c r="M15" i="36"/>
  <c r="D10" i="36"/>
  <c r="D17" i="36" s="1"/>
  <c r="D19" i="36" s="1"/>
  <c r="G10" i="36"/>
  <c r="M12" i="36"/>
  <c r="S6" i="59"/>
  <c r="V7" i="55"/>
  <c r="S6" i="61"/>
  <c r="S6" i="58"/>
  <c r="D33" i="43"/>
  <c r="D10" i="43" s="1"/>
  <c r="C33" i="43"/>
  <c r="E30" i="50"/>
  <c r="E43" i="61" s="1"/>
  <c r="E31" i="50"/>
  <c r="E37" i="61" s="1"/>
  <c r="E34" i="50"/>
  <c r="E44" i="61" s="1"/>
  <c r="E29" i="50"/>
  <c r="E36" i="61" s="1"/>
  <c r="E35" i="50"/>
  <c r="E38" i="61" s="1"/>
  <c r="E33" i="50"/>
  <c r="E45" i="61" s="1"/>
  <c r="E36" i="50"/>
  <c r="E47" i="61" s="1"/>
  <c r="E48" i="50"/>
  <c r="F38" i="61" s="1"/>
  <c r="E43" i="50"/>
  <c r="F43" i="61" s="1"/>
  <c r="E47" i="50"/>
  <c r="F44" i="61" s="1"/>
  <c r="E44" i="50"/>
  <c r="F37" i="61" s="1"/>
  <c r="E49" i="50"/>
  <c r="F47" i="61" s="1"/>
  <c r="F36" i="61"/>
  <c r="E46" i="50"/>
  <c r="F45" i="61" s="1"/>
  <c r="U9" i="55"/>
  <c r="V8" i="55"/>
  <c r="E6" i="50"/>
  <c r="C37" i="61" s="1"/>
  <c r="E5" i="50"/>
  <c r="J17" i="36"/>
  <c r="J19" i="36" s="1"/>
  <c r="E10" i="36"/>
  <c r="E17" i="36" s="1"/>
  <c r="E19" i="36" s="1"/>
  <c r="H10" i="36"/>
  <c r="H17" i="36" s="1"/>
  <c r="H19" i="36" s="1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E20" i="50"/>
  <c r="D45" i="61" s="1"/>
  <c r="H45" i="50"/>
  <c r="E45" i="50" s="1"/>
  <c r="H32" i="50"/>
  <c r="E32" i="50" s="1"/>
  <c r="H19" i="50"/>
  <c r="E19" i="50" s="1"/>
  <c r="E22" i="50"/>
  <c r="D38" i="61" s="1"/>
  <c r="D18" i="55"/>
  <c r="D19" i="55" s="1"/>
  <c r="D20" i="55" s="1"/>
  <c r="S16" i="55"/>
  <c r="C33" i="61"/>
  <c r="C10" i="61" s="1"/>
  <c r="M14" i="36"/>
  <c r="G17" i="36"/>
  <c r="G19" i="36" s="1"/>
  <c r="M7" i="36"/>
  <c r="K10" i="36"/>
  <c r="K17" i="36" s="1"/>
  <c r="K19" i="36" s="1"/>
  <c r="M5" i="36"/>
  <c r="C10" i="36"/>
  <c r="E18" i="55"/>
  <c r="E19" i="55" s="1"/>
  <c r="E20" i="55" s="1"/>
  <c r="E11" i="50"/>
  <c r="E8" i="50"/>
  <c r="C45" i="61" s="1"/>
  <c r="C20" i="55"/>
  <c r="E10" i="50"/>
  <c r="C38" i="61" s="1"/>
  <c r="E7" i="50"/>
  <c r="E16" i="50"/>
  <c r="E21" i="50"/>
  <c r="E17" i="50"/>
  <c r="E18" i="50"/>
  <c r="D37" i="61" s="1"/>
  <c r="E9" i="50"/>
  <c r="E23" i="50"/>
  <c r="C58" i="56"/>
  <c r="L26" i="51"/>
  <c r="C57" i="56"/>
  <c r="B10" i="51"/>
  <c r="C7" i="61"/>
  <c r="D7" i="59"/>
  <c r="C7" i="59"/>
  <c r="C7" i="58"/>
  <c r="D7" i="58"/>
  <c r="C7" i="57"/>
  <c r="D7" i="57"/>
  <c r="D7" i="43"/>
  <c r="C7" i="43"/>
  <c r="S7" i="43" s="1"/>
  <c r="G4" i="56" l="1"/>
  <c r="G18" i="59"/>
  <c r="G17" i="59" s="1"/>
  <c r="J18" i="59"/>
  <c r="J17" i="59" s="1"/>
  <c r="M18" i="59"/>
  <c r="M17" i="59" s="1"/>
  <c r="P18" i="59"/>
  <c r="P17" i="59" s="1"/>
  <c r="G21" i="59"/>
  <c r="J21" i="59"/>
  <c r="M21" i="59"/>
  <c r="P21" i="59"/>
  <c r="H18" i="59"/>
  <c r="H17" i="59" s="1"/>
  <c r="K18" i="59"/>
  <c r="K17" i="59" s="1"/>
  <c r="N18" i="59"/>
  <c r="N17" i="59" s="1"/>
  <c r="Q18" i="59"/>
  <c r="Q17" i="59" s="1"/>
  <c r="H21" i="59"/>
  <c r="K21" i="59"/>
  <c r="N21" i="59"/>
  <c r="Q21" i="59"/>
  <c r="O18" i="59"/>
  <c r="O17" i="59" s="1"/>
  <c r="O21" i="59"/>
  <c r="L21" i="59"/>
  <c r="I18" i="59"/>
  <c r="I17" i="59" s="1"/>
  <c r="R18" i="59"/>
  <c r="R17" i="59" s="1"/>
  <c r="I21" i="59"/>
  <c r="R21" i="59"/>
  <c r="L18" i="59"/>
  <c r="L17" i="59" s="1"/>
  <c r="F4" i="56"/>
  <c r="G18" i="58"/>
  <c r="G17" i="58" s="1"/>
  <c r="J18" i="58"/>
  <c r="J17" i="58" s="1"/>
  <c r="M18" i="58"/>
  <c r="M17" i="58" s="1"/>
  <c r="P18" i="58"/>
  <c r="P17" i="58" s="1"/>
  <c r="G21" i="58"/>
  <c r="J21" i="58"/>
  <c r="M21" i="58"/>
  <c r="P21" i="58"/>
  <c r="H18" i="58"/>
  <c r="H17" i="58" s="1"/>
  <c r="K18" i="58"/>
  <c r="K17" i="58" s="1"/>
  <c r="N18" i="58"/>
  <c r="N17" i="58" s="1"/>
  <c r="Q18" i="58"/>
  <c r="Q17" i="58" s="1"/>
  <c r="H21" i="58"/>
  <c r="K21" i="58"/>
  <c r="N21" i="58"/>
  <c r="Q21" i="58"/>
  <c r="I18" i="58"/>
  <c r="I17" i="58" s="1"/>
  <c r="R18" i="58"/>
  <c r="R17" i="58" s="1"/>
  <c r="I21" i="58"/>
  <c r="R21" i="58"/>
  <c r="O18" i="58"/>
  <c r="O17" i="58" s="1"/>
  <c r="O21" i="58"/>
  <c r="L18" i="58"/>
  <c r="L17" i="58" s="1"/>
  <c r="L21" i="58"/>
  <c r="E4" i="56"/>
  <c r="D4" i="56"/>
  <c r="C4" i="56"/>
  <c r="D18" i="61"/>
  <c r="D17" i="61" s="1"/>
  <c r="G18" i="61"/>
  <c r="G17" i="61" s="1"/>
  <c r="J18" i="61"/>
  <c r="J17" i="61" s="1"/>
  <c r="M18" i="61"/>
  <c r="M17" i="61" s="1"/>
  <c r="P18" i="61"/>
  <c r="P17" i="61" s="1"/>
  <c r="D21" i="61"/>
  <c r="G21" i="61"/>
  <c r="G46" i="61" s="1"/>
  <c r="G48" i="61" s="1"/>
  <c r="J21" i="61"/>
  <c r="J46" i="61" s="1"/>
  <c r="J48" i="61" s="1"/>
  <c r="M21" i="61"/>
  <c r="M46" i="61" s="1"/>
  <c r="M48" i="61" s="1"/>
  <c r="P21" i="61"/>
  <c r="P46" i="61" s="1"/>
  <c r="P48" i="61" s="1"/>
  <c r="F18" i="61"/>
  <c r="F17" i="61" s="1"/>
  <c r="I18" i="61"/>
  <c r="I17" i="61" s="1"/>
  <c r="L18" i="61"/>
  <c r="L17" i="61" s="1"/>
  <c r="O18" i="61"/>
  <c r="O17" i="61" s="1"/>
  <c r="R18" i="61"/>
  <c r="R17" i="61" s="1"/>
  <c r="E18" i="61"/>
  <c r="E17" i="61" s="1"/>
  <c r="H18" i="61"/>
  <c r="H17" i="61" s="1"/>
  <c r="K18" i="61"/>
  <c r="K17" i="61" s="1"/>
  <c r="N18" i="61"/>
  <c r="N17" i="61" s="1"/>
  <c r="Q18" i="61"/>
  <c r="Q17" i="61" s="1"/>
  <c r="E21" i="61"/>
  <c r="H21" i="61"/>
  <c r="H46" i="61" s="1"/>
  <c r="H48" i="61" s="1"/>
  <c r="K21" i="61"/>
  <c r="N21" i="61"/>
  <c r="N46" i="61" s="1"/>
  <c r="N48" i="61" s="1"/>
  <c r="Q21" i="61"/>
  <c r="Q46" i="61" s="1"/>
  <c r="Q48" i="61" s="1"/>
  <c r="F21" i="61"/>
  <c r="F23" i="61" s="1"/>
  <c r="F24" i="61" s="1"/>
  <c r="I21" i="61"/>
  <c r="L21" i="61"/>
  <c r="O21" i="61"/>
  <c r="R21" i="61"/>
  <c r="E33" i="59"/>
  <c r="E33" i="58"/>
  <c r="D28" i="53"/>
  <c r="C33" i="59" s="1"/>
  <c r="C10" i="59" s="1"/>
  <c r="C33" i="58"/>
  <c r="C10" i="58" s="1"/>
  <c r="D33" i="59"/>
  <c r="D33" i="58"/>
  <c r="S7" i="59"/>
  <c r="G5" i="56" s="1"/>
  <c r="E8" i="43"/>
  <c r="E9" i="43" s="1"/>
  <c r="E32" i="43" s="1"/>
  <c r="F8" i="43"/>
  <c r="F9" i="43" s="1"/>
  <c r="F32" i="43" s="1"/>
  <c r="E8" i="57"/>
  <c r="E9" i="57" s="1"/>
  <c r="E32" i="57" s="1"/>
  <c r="F8" i="57"/>
  <c r="F9" i="57" s="1"/>
  <c r="F32" i="57" s="1"/>
  <c r="S7" i="57"/>
  <c r="E5" i="56" s="1"/>
  <c r="S7" i="58"/>
  <c r="S7" i="61"/>
  <c r="C5" i="56" s="1"/>
  <c r="C10" i="43"/>
  <c r="E40" i="61"/>
  <c r="F33" i="43"/>
  <c r="E33" i="43"/>
  <c r="F45" i="57"/>
  <c r="F20" i="57" s="1"/>
  <c r="F45" i="59"/>
  <c r="F20" i="59" s="1"/>
  <c r="F45" i="43"/>
  <c r="F20" i="43" s="1"/>
  <c r="F45" i="58"/>
  <c r="F20" i="58" s="1"/>
  <c r="F37" i="59"/>
  <c r="F12" i="59" s="1"/>
  <c r="F37" i="58"/>
  <c r="F12" i="58" s="1"/>
  <c r="F37" i="57"/>
  <c r="F12" i="57" s="1"/>
  <c r="F37" i="43"/>
  <c r="F12" i="43" s="1"/>
  <c r="F38" i="59"/>
  <c r="F13" i="59" s="1"/>
  <c r="F38" i="58"/>
  <c r="F13" i="58" s="1"/>
  <c r="F38" i="57"/>
  <c r="F13" i="57" s="1"/>
  <c r="F38" i="43"/>
  <c r="F13" i="43" s="1"/>
  <c r="E45" i="59"/>
  <c r="E20" i="59" s="1"/>
  <c r="E45" i="43"/>
  <c r="E20" i="43" s="1"/>
  <c r="E45" i="58"/>
  <c r="E20" i="58" s="1"/>
  <c r="E45" i="57"/>
  <c r="E20" i="57" s="1"/>
  <c r="E36" i="57"/>
  <c r="E36" i="59"/>
  <c r="E36" i="58"/>
  <c r="E36" i="43"/>
  <c r="E43" i="59"/>
  <c r="E43" i="43"/>
  <c r="E43" i="58"/>
  <c r="E43" i="57"/>
  <c r="S19" i="55"/>
  <c r="S20" i="55" s="1"/>
  <c r="F36" i="57"/>
  <c r="F36" i="43"/>
  <c r="F36" i="59"/>
  <c r="F36" i="58"/>
  <c r="F40" i="61"/>
  <c r="F44" i="57"/>
  <c r="F19" i="57" s="1"/>
  <c r="F44" i="58"/>
  <c r="F19" i="58" s="1"/>
  <c r="F44" i="59"/>
  <c r="F19" i="59" s="1"/>
  <c r="F44" i="43"/>
  <c r="F19" i="43" s="1"/>
  <c r="E38" i="57"/>
  <c r="E13" i="57" s="1"/>
  <c r="E38" i="43"/>
  <c r="E13" i="43" s="1"/>
  <c r="E38" i="59"/>
  <c r="E13" i="59" s="1"/>
  <c r="E38" i="58"/>
  <c r="E13" i="58" s="1"/>
  <c r="E44" i="59"/>
  <c r="E19" i="59" s="1"/>
  <c r="E44" i="43"/>
  <c r="E19" i="43" s="1"/>
  <c r="E44" i="57"/>
  <c r="E19" i="57" s="1"/>
  <c r="E44" i="58"/>
  <c r="E19" i="58" s="1"/>
  <c r="F47" i="59"/>
  <c r="F22" i="59" s="1"/>
  <c r="F47" i="43"/>
  <c r="F22" i="43" s="1"/>
  <c r="F47" i="58"/>
  <c r="F22" i="58" s="1"/>
  <c r="F47" i="57"/>
  <c r="F22" i="57" s="1"/>
  <c r="F43" i="57"/>
  <c r="F43" i="59"/>
  <c r="F43" i="43"/>
  <c r="F43" i="58"/>
  <c r="E47" i="59"/>
  <c r="E22" i="59" s="1"/>
  <c r="E47" i="57"/>
  <c r="E22" i="57" s="1"/>
  <c r="E47" i="43"/>
  <c r="E22" i="43" s="1"/>
  <c r="E47" i="58"/>
  <c r="E22" i="58" s="1"/>
  <c r="E37" i="57"/>
  <c r="E12" i="57" s="1"/>
  <c r="E37" i="59"/>
  <c r="E12" i="59" s="1"/>
  <c r="E37" i="58"/>
  <c r="E12" i="58" s="1"/>
  <c r="E37" i="43"/>
  <c r="E12" i="43" s="1"/>
  <c r="U10" i="55"/>
  <c r="V9" i="55"/>
  <c r="C13" i="61"/>
  <c r="C38" i="59"/>
  <c r="C13" i="59" s="1"/>
  <c r="C38" i="58"/>
  <c r="C13" i="58" s="1"/>
  <c r="C38" i="57"/>
  <c r="C13" i="57" s="1"/>
  <c r="C38" i="43"/>
  <c r="C13" i="43" s="1"/>
  <c r="C12" i="61"/>
  <c r="C37" i="59"/>
  <c r="C12" i="59" s="1"/>
  <c r="C37" i="58"/>
  <c r="C12" i="58" s="1"/>
  <c r="C37" i="57"/>
  <c r="C12" i="57" s="1"/>
  <c r="C37" i="43"/>
  <c r="C12" i="43" s="1"/>
  <c r="D38" i="59"/>
  <c r="D13" i="59" s="1"/>
  <c r="D38" i="58"/>
  <c r="D13" i="58" s="1"/>
  <c r="D38" i="57"/>
  <c r="D13" i="57" s="1"/>
  <c r="D38" i="43"/>
  <c r="D13" i="43" s="1"/>
  <c r="D37" i="59"/>
  <c r="D12" i="59" s="1"/>
  <c r="D37" i="58"/>
  <c r="D12" i="58" s="1"/>
  <c r="D37" i="57"/>
  <c r="D12" i="57" s="1"/>
  <c r="D37" i="43"/>
  <c r="D12" i="43" s="1"/>
  <c r="C20" i="61"/>
  <c r="C45" i="59"/>
  <c r="C20" i="59" s="1"/>
  <c r="C45" i="58"/>
  <c r="C20" i="58" s="1"/>
  <c r="C45" i="57"/>
  <c r="C20" i="57" s="1"/>
  <c r="C45" i="43"/>
  <c r="C20" i="43" s="1"/>
  <c r="D45" i="59"/>
  <c r="D20" i="59" s="1"/>
  <c r="D45" i="58"/>
  <c r="D20" i="58" s="1"/>
  <c r="D45" i="57"/>
  <c r="D20" i="57" s="1"/>
  <c r="D45" i="43"/>
  <c r="D20" i="43" s="1"/>
  <c r="S18" i="55"/>
  <c r="C10" i="57"/>
  <c r="C17" i="36"/>
  <c r="M10" i="36"/>
  <c r="C47" i="61"/>
  <c r="D47" i="61"/>
  <c r="D43" i="61"/>
  <c r="C44" i="61"/>
  <c r="D44" i="61"/>
  <c r="C43" i="61"/>
  <c r="D36" i="61"/>
  <c r="C56" i="56"/>
  <c r="E26" i="51"/>
  <c r="S18" i="43" s="1"/>
  <c r="M18" i="43" s="1"/>
  <c r="M17" i="43" s="1"/>
  <c r="D28" i="51"/>
  <c r="E27" i="51"/>
  <c r="S21" i="43" s="1"/>
  <c r="J21" i="43" s="1"/>
  <c r="C9" i="61"/>
  <c r="C8" i="57"/>
  <c r="D8" i="57"/>
  <c r="D9" i="57" s="1"/>
  <c r="D32" i="57" s="1"/>
  <c r="D34" i="57" s="1"/>
  <c r="C8" i="43"/>
  <c r="D5" i="56"/>
  <c r="D8" i="43"/>
  <c r="D9" i="43" s="1"/>
  <c r="D32" i="43" s="1"/>
  <c r="D34" i="43" s="1"/>
  <c r="R21" i="43" l="1"/>
  <c r="I18" i="43"/>
  <c r="I17" i="43" s="1"/>
  <c r="O18" i="43"/>
  <c r="O17" i="43" s="1"/>
  <c r="O23" i="43" s="1"/>
  <c r="O24" i="43" s="1"/>
  <c r="K21" i="43"/>
  <c r="N18" i="43"/>
  <c r="N17" i="43" s="1"/>
  <c r="P21" i="43"/>
  <c r="P46" i="43" s="1"/>
  <c r="P48" i="43" s="1"/>
  <c r="G21" i="43"/>
  <c r="J18" i="43"/>
  <c r="J17" i="43" s="1"/>
  <c r="I21" i="43"/>
  <c r="I46" i="43" s="1"/>
  <c r="I48" i="43" s="1"/>
  <c r="L18" i="43"/>
  <c r="L17" i="43" s="1"/>
  <c r="Q21" i="43"/>
  <c r="H21" i="43"/>
  <c r="H46" i="43" s="1"/>
  <c r="H48" i="43" s="1"/>
  <c r="K18" i="43"/>
  <c r="K17" i="43" s="1"/>
  <c r="M21" i="43"/>
  <c r="P18" i="43"/>
  <c r="P17" i="43" s="1"/>
  <c r="G18" i="43"/>
  <c r="G17" i="43" s="1"/>
  <c r="L21" i="43"/>
  <c r="R18" i="43"/>
  <c r="R17" i="43" s="1"/>
  <c r="R23" i="43" s="1"/>
  <c r="R24" i="43" s="1"/>
  <c r="O21" i="43"/>
  <c r="N21" i="43"/>
  <c r="Q18" i="43"/>
  <c r="Q17" i="43" s="1"/>
  <c r="Q23" i="43" s="1"/>
  <c r="Q24" i="43" s="1"/>
  <c r="H18" i="43"/>
  <c r="H17" i="43" s="1"/>
  <c r="R23" i="61"/>
  <c r="R24" i="61" s="1"/>
  <c r="R46" i="61"/>
  <c r="R48" i="61" s="1"/>
  <c r="I23" i="61"/>
  <c r="I24" i="61" s="1"/>
  <c r="I46" i="61"/>
  <c r="I48" i="61" s="1"/>
  <c r="E23" i="61"/>
  <c r="E24" i="61" s="1"/>
  <c r="E25" i="61" s="1"/>
  <c r="E26" i="61" s="1"/>
  <c r="E27" i="61" s="1"/>
  <c r="D23" i="61"/>
  <c r="D24" i="61" s="1"/>
  <c r="D25" i="61" s="1"/>
  <c r="D26" i="61" s="1"/>
  <c r="D27" i="61" s="1"/>
  <c r="L23" i="61"/>
  <c r="L24" i="61" s="1"/>
  <c r="L46" i="61"/>
  <c r="L48" i="61" s="1"/>
  <c r="O23" i="61"/>
  <c r="O24" i="61" s="1"/>
  <c r="O25" i="61" s="1"/>
  <c r="O26" i="61" s="1"/>
  <c r="O27" i="61" s="1"/>
  <c r="O46" i="61"/>
  <c r="O48" i="61" s="1"/>
  <c r="K23" i="61"/>
  <c r="K24" i="61" s="1"/>
  <c r="K46" i="61"/>
  <c r="K48" i="61" s="1"/>
  <c r="H4" i="56"/>
  <c r="O46" i="59"/>
  <c r="O48" i="59" s="1"/>
  <c r="O23" i="59"/>
  <c r="O24" i="59" s="1"/>
  <c r="N46" i="59"/>
  <c r="N48" i="59" s="1"/>
  <c r="N23" i="59"/>
  <c r="N24" i="59" s="1"/>
  <c r="J46" i="59"/>
  <c r="J48" i="59" s="1"/>
  <c r="J23" i="59"/>
  <c r="J24" i="59" s="1"/>
  <c r="R46" i="59"/>
  <c r="R48" i="59" s="1"/>
  <c r="R23" i="59"/>
  <c r="R24" i="59" s="1"/>
  <c r="K46" i="59"/>
  <c r="K48" i="59" s="1"/>
  <c r="K23" i="59"/>
  <c r="K24" i="59" s="1"/>
  <c r="P46" i="59"/>
  <c r="P48" i="59" s="1"/>
  <c r="P23" i="59"/>
  <c r="P24" i="59" s="1"/>
  <c r="G46" i="59"/>
  <c r="G48" i="59" s="1"/>
  <c r="G23" i="59"/>
  <c r="G24" i="59" s="1"/>
  <c r="I46" i="59"/>
  <c r="I48" i="59" s="1"/>
  <c r="I23" i="59"/>
  <c r="I24" i="59" s="1"/>
  <c r="L46" i="59"/>
  <c r="L48" i="59" s="1"/>
  <c r="L23" i="59"/>
  <c r="L24" i="59" s="1"/>
  <c r="Q46" i="59"/>
  <c r="Q48" i="59" s="1"/>
  <c r="Q23" i="59"/>
  <c r="Q24" i="59" s="1"/>
  <c r="H46" i="59"/>
  <c r="H48" i="59" s="1"/>
  <c r="H23" i="59"/>
  <c r="H24" i="59" s="1"/>
  <c r="M46" i="59"/>
  <c r="M48" i="59" s="1"/>
  <c r="M23" i="59"/>
  <c r="M24" i="59" s="1"/>
  <c r="G46" i="58"/>
  <c r="G48" i="58" s="1"/>
  <c r="G23" i="58"/>
  <c r="G24" i="58" s="1"/>
  <c r="O46" i="58"/>
  <c r="O48" i="58" s="1"/>
  <c r="O23" i="58"/>
  <c r="O24" i="58" s="1"/>
  <c r="I46" i="58"/>
  <c r="I48" i="58" s="1"/>
  <c r="I23" i="58"/>
  <c r="I24" i="58" s="1"/>
  <c r="Q46" i="58"/>
  <c r="Q48" i="58" s="1"/>
  <c r="Q23" i="58"/>
  <c r="Q24" i="58" s="1"/>
  <c r="H46" i="58"/>
  <c r="H48" i="58" s="1"/>
  <c r="H23" i="58"/>
  <c r="H24" i="58" s="1"/>
  <c r="M46" i="58"/>
  <c r="M48" i="58" s="1"/>
  <c r="M23" i="58"/>
  <c r="M24" i="58" s="1"/>
  <c r="R46" i="58"/>
  <c r="R48" i="58" s="1"/>
  <c r="R23" i="58"/>
  <c r="R24" i="58" s="1"/>
  <c r="K46" i="58"/>
  <c r="K48" i="58" s="1"/>
  <c r="K23" i="58"/>
  <c r="K24" i="58" s="1"/>
  <c r="P46" i="58"/>
  <c r="P48" i="58" s="1"/>
  <c r="P23" i="58"/>
  <c r="P24" i="58" s="1"/>
  <c r="L46" i="58"/>
  <c r="L48" i="58" s="1"/>
  <c r="L23" i="58"/>
  <c r="L24" i="58" s="1"/>
  <c r="N46" i="58"/>
  <c r="N48" i="58" s="1"/>
  <c r="N23" i="58"/>
  <c r="N24" i="58" s="1"/>
  <c r="J46" i="58"/>
  <c r="J48" i="58" s="1"/>
  <c r="J23" i="58"/>
  <c r="J24" i="58" s="1"/>
  <c r="K46" i="43"/>
  <c r="K48" i="43" s="1"/>
  <c r="K23" i="43"/>
  <c r="K24" i="43" s="1"/>
  <c r="P23" i="43"/>
  <c r="P24" i="43" s="1"/>
  <c r="Q46" i="43"/>
  <c r="Q48" i="43" s="1"/>
  <c r="H23" i="43"/>
  <c r="H24" i="43" s="1"/>
  <c r="M46" i="43"/>
  <c r="M48" i="43" s="1"/>
  <c r="M23" i="43"/>
  <c r="M24" i="43" s="1"/>
  <c r="R46" i="43"/>
  <c r="R48" i="43" s="1"/>
  <c r="G46" i="43"/>
  <c r="G48" i="43" s="1"/>
  <c r="G23" i="43"/>
  <c r="G24" i="43" s="1"/>
  <c r="L46" i="43"/>
  <c r="L48" i="43" s="1"/>
  <c r="L23" i="43"/>
  <c r="L24" i="43" s="1"/>
  <c r="O46" i="43"/>
  <c r="O48" i="43" s="1"/>
  <c r="N46" i="43"/>
  <c r="N48" i="43" s="1"/>
  <c r="N23" i="43"/>
  <c r="N24" i="43" s="1"/>
  <c r="J46" i="43"/>
  <c r="J48" i="43" s="1"/>
  <c r="J23" i="43"/>
  <c r="J24" i="43" s="1"/>
  <c r="N23" i="61"/>
  <c r="N24" i="61" s="1"/>
  <c r="N25" i="61" s="1"/>
  <c r="N26" i="61" s="1"/>
  <c r="N27" i="61" s="1"/>
  <c r="M23" i="61"/>
  <c r="M24" i="61" s="1"/>
  <c r="M25" i="61" s="1"/>
  <c r="M26" i="61" s="1"/>
  <c r="M27" i="61" s="1"/>
  <c r="J23" i="61"/>
  <c r="J24" i="61" s="1"/>
  <c r="K25" i="61"/>
  <c r="K26" i="61" s="1"/>
  <c r="K27" i="61" s="1"/>
  <c r="J25" i="61"/>
  <c r="J26" i="61" s="1"/>
  <c r="J27" i="61" s="1"/>
  <c r="L25" i="61"/>
  <c r="L26" i="61" s="1"/>
  <c r="L27" i="61" s="1"/>
  <c r="Q23" i="61"/>
  <c r="Q24" i="61" s="1"/>
  <c r="H23" i="61"/>
  <c r="H24" i="61" s="1"/>
  <c r="P23" i="61"/>
  <c r="P24" i="61" s="1"/>
  <c r="G23" i="61"/>
  <c r="G24" i="61" s="1"/>
  <c r="F25" i="61"/>
  <c r="F26" i="61" s="1"/>
  <c r="F27" i="61" s="1"/>
  <c r="R25" i="61"/>
  <c r="R26" i="61" s="1"/>
  <c r="R27" i="61" s="1"/>
  <c r="I25" i="61"/>
  <c r="I26" i="61" s="1"/>
  <c r="I27" i="61" s="1"/>
  <c r="S8" i="43"/>
  <c r="D6" i="56" s="1"/>
  <c r="D7" i="56" s="1"/>
  <c r="E8" i="58"/>
  <c r="E9" i="58" s="1"/>
  <c r="E32" i="58" s="1"/>
  <c r="F8" i="58"/>
  <c r="F9" i="58" s="1"/>
  <c r="F32" i="58" s="1"/>
  <c r="D8" i="58"/>
  <c r="D9" i="58" s="1"/>
  <c r="D32" i="58" s="1"/>
  <c r="C8" i="58"/>
  <c r="C9" i="57"/>
  <c r="S8" i="57"/>
  <c r="E6" i="56" s="1"/>
  <c r="F5" i="56"/>
  <c r="H5" i="56" s="1"/>
  <c r="C32" i="61"/>
  <c r="C34" i="61" s="1"/>
  <c r="S9" i="61"/>
  <c r="C7" i="56" s="1"/>
  <c r="E18" i="43"/>
  <c r="E17" i="43" s="1"/>
  <c r="F18" i="43"/>
  <c r="F17" i="43" s="1"/>
  <c r="E21" i="43"/>
  <c r="E46" i="43" s="1"/>
  <c r="F21" i="43"/>
  <c r="F46" i="43" s="1"/>
  <c r="S20" i="59"/>
  <c r="G18" i="56" s="1"/>
  <c r="G44" i="56" s="1"/>
  <c r="S10" i="61"/>
  <c r="C8" i="56" s="1"/>
  <c r="C31" i="56" s="1"/>
  <c r="F10" i="57"/>
  <c r="F34" i="57"/>
  <c r="F40" i="57" s="1"/>
  <c r="S13" i="61"/>
  <c r="C11" i="56" s="1"/>
  <c r="C37" i="56" s="1"/>
  <c r="E34" i="57"/>
  <c r="E40" i="57" s="1"/>
  <c r="E10" i="57"/>
  <c r="S12" i="57"/>
  <c r="E10" i="56" s="1"/>
  <c r="E36" i="56" s="1"/>
  <c r="S12" i="59"/>
  <c r="G10" i="56" s="1"/>
  <c r="G36" i="56" s="1"/>
  <c r="S13" i="43"/>
  <c r="D11" i="56" s="1"/>
  <c r="D37" i="56" s="1"/>
  <c r="E10" i="43"/>
  <c r="E34" i="43"/>
  <c r="E40" i="43" s="1"/>
  <c r="F10" i="43"/>
  <c r="F34" i="43"/>
  <c r="F40" i="43" s="1"/>
  <c r="S12" i="58"/>
  <c r="F11" i="43"/>
  <c r="F14" i="43" s="1"/>
  <c r="E11" i="58"/>
  <c r="S12" i="61"/>
  <c r="C10" i="56" s="1"/>
  <c r="C36" i="56" s="1"/>
  <c r="S13" i="58"/>
  <c r="F11" i="56" s="1"/>
  <c r="F37" i="56" s="1"/>
  <c r="F11" i="58"/>
  <c r="F14" i="58" s="1"/>
  <c r="F11" i="57"/>
  <c r="S13" i="57"/>
  <c r="E11" i="56" s="1"/>
  <c r="E37" i="56" s="1"/>
  <c r="E11" i="43"/>
  <c r="E11" i="59"/>
  <c r="S20" i="61"/>
  <c r="C18" i="56" s="1"/>
  <c r="C44" i="56" s="1"/>
  <c r="S20" i="58"/>
  <c r="F18" i="56" s="1"/>
  <c r="F44" i="56" s="1"/>
  <c r="S20" i="57"/>
  <c r="E18" i="56" s="1"/>
  <c r="E44" i="56" s="1"/>
  <c r="S12" i="43"/>
  <c r="D10" i="56" s="1"/>
  <c r="D36" i="56" s="1"/>
  <c r="S13" i="59"/>
  <c r="G11" i="56" s="1"/>
  <c r="G37" i="56" s="1"/>
  <c r="F11" i="59"/>
  <c r="F14" i="59" s="1"/>
  <c r="E11" i="57"/>
  <c r="E14" i="57" s="1"/>
  <c r="S20" i="43"/>
  <c r="D18" i="56" s="1"/>
  <c r="D44" i="56" s="1"/>
  <c r="U11" i="55"/>
  <c r="V10" i="55"/>
  <c r="D36" i="59"/>
  <c r="D36" i="58"/>
  <c r="D11" i="58" s="1"/>
  <c r="D14" i="58" s="1"/>
  <c r="D36" i="57"/>
  <c r="D11" i="57" s="1"/>
  <c r="D14" i="57" s="1"/>
  <c r="D15" i="57" s="1"/>
  <c r="D16" i="57" s="1"/>
  <c r="D36" i="43"/>
  <c r="D11" i="43" s="1"/>
  <c r="D14" i="43" s="1"/>
  <c r="D15" i="43" s="1"/>
  <c r="D16" i="43" s="1"/>
  <c r="C43" i="58"/>
  <c r="C43" i="57"/>
  <c r="C43" i="59"/>
  <c r="C43" i="43"/>
  <c r="D43" i="59"/>
  <c r="D43" i="43"/>
  <c r="D43" i="58"/>
  <c r="D43" i="57"/>
  <c r="D44" i="58"/>
  <c r="D19" i="58" s="1"/>
  <c r="D44" i="57"/>
  <c r="D19" i="57" s="1"/>
  <c r="D44" i="59"/>
  <c r="D19" i="59" s="1"/>
  <c r="D44" i="43"/>
  <c r="D19" i="43" s="1"/>
  <c r="C19" i="61"/>
  <c r="C44" i="57"/>
  <c r="C19" i="57" s="1"/>
  <c r="C44" i="59"/>
  <c r="C19" i="59" s="1"/>
  <c r="C44" i="43"/>
  <c r="C19" i="43" s="1"/>
  <c r="C44" i="58"/>
  <c r="C19" i="58" s="1"/>
  <c r="C22" i="61"/>
  <c r="C47" i="59"/>
  <c r="C22" i="59" s="1"/>
  <c r="C47" i="57"/>
  <c r="C22" i="57" s="1"/>
  <c r="C47" i="58"/>
  <c r="C22" i="58" s="1"/>
  <c r="C47" i="43"/>
  <c r="C22" i="43" s="1"/>
  <c r="D47" i="59"/>
  <c r="D22" i="59" s="1"/>
  <c r="D47" i="43"/>
  <c r="D22" i="43" s="1"/>
  <c r="D47" i="57"/>
  <c r="D22" i="57" s="1"/>
  <c r="D47" i="58"/>
  <c r="D22" i="58" s="1"/>
  <c r="E23" i="36"/>
  <c r="C18" i="36"/>
  <c r="D18" i="36" s="1"/>
  <c r="E18" i="36" s="1"/>
  <c r="F18" i="36" s="1"/>
  <c r="G18" i="36" s="1"/>
  <c r="H18" i="36" s="1"/>
  <c r="M17" i="36"/>
  <c r="E22" i="36"/>
  <c r="C19" i="36"/>
  <c r="D34" i="58"/>
  <c r="D40" i="58" s="1"/>
  <c r="D10" i="58"/>
  <c r="D10" i="59"/>
  <c r="D40" i="61"/>
  <c r="D18" i="43"/>
  <c r="C18" i="43"/>
  <c r="F26" i="51"/>
  <c r="S18" i="57" s="1"/>
  <c r="F27" i="51"/>
  <c r="S21" i="57" s="1"/>
  <c r="E28" i="51"/>
  <c r="C21" i="43"/>
  <c r="D21" i="43"/>
  <c r="D19" i="56"/>
  <c r="D45" i="56" s="1"/>
  <c r="C9" i="58"/>
  <c r="C32" i="58" s="1"/>
  <c r="C34" i="58" s="1"/>
  <c r="C9" i="43"/>
  <c r="G18" i="57" l="1"/>
  <c r="G17" i="57" s="1"/>
  <c r="P18" i="57"/>
  <c r="P17" i="57" s="1"/>
  <c r="K18" i="57"/>
  <c r="K17" i="57" s="1"/>
  <c r="L18" i="57"/>
  <c r="L17" i="57" s="1"/>
  <c r="R18" i="57"/>
  <c r="R17" i="57" s="1"/>
  <c r="J18" i="57"/>
  <c r="J17" i="57" s="1"/>
  <c r="N18" i="57"/>
  <c r="N17" i="57" s="1"/>
  <c r="O18" i="57"/>
  <c r="O17" i="57" s="1"/>
  <c r="M18" i="57"/>
  <c r="M17" i="57" s="1"/>
  <c r="H18" i="57"/>
  <c r="H17" i="57" s="1"/>
  <c r="Q18" i="57"/>
  <c r="Q17" i="57" s="1"/>
  <c r="I18" i="57"/>
  <c r="I17" i="57" s="1"/>
  <c r="I23" i="43"/>
  <c r="I24" i="43" s="1"/>
  <c r="M21" i="57"/>
  <c r="H21" i="57"/>
  <c r="Q21" i="57"/>
  <c r="G21" i="57"/>
  <c r="P21" i="57"/>
  <c r="K21" i="57"/>
  <c r="L21" i="57"/>
  <c r="I21" i="57"/>
  <c r="J21" i="57"/>
  <c r="N21" i="57"/>
  <c r="O21" i="57"/>
  <c r="R21" i="57"/>
  <c r="M25" i="59"/>
  <c r="M26" i="59" s="1"/>
  <c r="M27" i="59" s="1"/>
  <c r="Q25" i="59"/>
  <c r="Q26" i="59" s="1"/>
  <c r="Q27" i="59" s="1"/>
  <c r="G25" i="59"/>
  <c r="G26" i="59" s="1"/>
  <c r="G27" i="59" s="1"/>
  <c r="R25" i="59"/>
  <c r="R26" i="59" s="1"/>
  <c r="R27" i="59" s="1"/>
  <c r="O25" i="59"/>
  <c r="O26" i="59" s="1"/>
  <c r="O27" i="59" s="1"/>
  <c r="L25" i="59"/>
  <c r="L26" i="59" s="1"/>
  <c r="L27" i="59" s="1"/>
  <c r="P25" i="59"/>
  <c r="P26" i="59" s="1"/>
  <c r="P27" i="59" s="1"/>
  <c r="J25" i="59"/>
  <c r="J26" i="59" s="1"/>
  <c r="J27" i="59" s="1"/>
  <c r="H25" i="59"/>
  <c r="H26" i="59" s="1"/>
  <c r="H27" i="59" s="1"/>
  <c r="I25" i="59"/>
  <c r="I26" i="59" s="1"/>
  <c r="I27" i="59" s="1"/>
  <c r="K25" i="59"/>
  <c r="K26" i="59" s="1"/>
  <c r="K27" i="59" s="1"/>
  <c r="N25" i="59"/>
  <c r="N26" i="59" s="1"/>
  <c r="N27" i="59" s="1"/>
  <c r="P25" i="58"/>
  <c r="P26" i="58" s="1"/>
  <c r="P27" i="58" s="1"/>
  <c r="M25" i="58"/>
  <c r="M26" i="58" s="1"/>
  <c r="M27" i="58" s="1"/>
  <c r="I25" i="58"/>
  <c r="I26" i="58" s="1"/>
  <c r="I27" i="58" s="1"/>
  <c r="L25" i="58"/>
  <c r="L26" i="58" s="1"/>
  <c r="L27" i="58" s="1"/>
  <c r="R25" i="58"/>
  <c r="R26" i="58" s="1"/>
  <c r="R27" i="58" s="1"/>
  <c r="Q25" i="58"/>
  <c r="Q26" i="58" s="1"/>
  <c r="Q27" i="58" s="1"/>
  <c r="G25" i="58"/>
  <c r="G26" i="58" s="1"/>
  <c r="G27" i="58" s="1"/>
  <c r="J25" i="58"/>
  <c r="J26" i="58" s="1"/>
  <c r="J27" i="58" s="1"/>
  <c r="N25" i="58"/>
  <c r="N26" i="58" s="1"/>
  <c r="N27" i="58" s="1"/>
  <c r="K25" i="58"/>
  <c r="K26" i="58" s="1"/>
  <c r="K27" i="58" s="1"/>
  <c r="H25" i="58"/>
  <c r="H26" i="58" s="1"/>
  <c r="H27" i="58" s="1"/>
  <c r="O25" i="58"/>
  <c r="O26" i="58" s="1"/>
  <c r="O27" i="58" s="1"/>
  <c r="J25" i="43"/>
  <c r="J26" i="43" s="1"/>
  <c r="J27" i="43" s="1"/>
  <c r="L25" i="43"/>
  <c r="L26" i="43" s="1"/>
  <c r="L27" i="43" s="1"/>
  <c r="M25" i="43"/>
  <c r="M26" i="43" s="1"/>
  <c r="M27" i="43" s="1"/>
  <c r="I25" i="43"/>
  <c r="I26" i="43" s="1"/>
  <c r="I27" i="43" s="1"/>
  <c r="O25" i="43"/>
  <c r="O26" i="43" s="1"/>
  <c r="O27" i="43" s="1"/>
  <c r="R25" i="43"/>
  <c r="R26" i="43" s="1"/>
  <c r="R27" i="43" s="1"/>
  <c r="Q25" i="43"/>
  <c r="Q26" i="43" s="1"/>
  <c r="Q27" i="43" s="1"/>
  <c r="K25" i="43"/>
  <c r="K26" i="43" s="1"/>
  <c r="K27" i="43" s="1"/>
  <c r="N25" i="43"/>
  <c r="N26" i="43" s="1"/>
  <c r="N27" i="43" s="1"/>
  <c r="G25" i="43"/>
  <c r="G26" i="43" s="1"/>
  <c r="G27" i="43" s="1"/>
  <c r="H25" i="43"/>
  <c r="H26" i="43" s="1"/>
  <c r="H27" i="43" s="1"/>
  <c r="P25" i="43"/>
  <c r="P26" i="43" s="1"/>
  <c r="P27" i="43" s="1"/>
  <c r="G25" i="61"/>
  <c r="G26" i="61" s="1"/>
  <c r="G27" i="61" s="1"/>
  <c r="Q25" i="61"/>
  <c r="Q26" i="61" s="1"/>
  <c r="Q27" i="61" s="1"/>
  <c r="P25" i="61"/>
  <c r="P26" i="61" s="1"/>
  <c r="P27" i="61" s="1"/>
  <c r="H25" i="61"/>
  <c r="H26" i="61" s="1"/>
  <c r="H27" i="61" s="1"/>
  <c r="S22" i="61"/>
  <c r="C20" i="56" s="1"/>
  <c r="C46" i="56" s="1"/>
  <c r="S19" i="59"/>
  <c r="G17" i="56" s="1"/>
  <c r="G43" i="56" s="1"/>
  <c r="S22" i="59"/>
  <c r="G20" i="56" s="1"/>
  <c r="G46" i="56" s="1"/>
  <c r="S19" i="43"/>
  <c r="D17" i="56" s="1"/>
  <c r="D43" i="56" s="1"/>
  <c r="S19" i="61"/>
  <c r="C17" i="56" s="1"/>
  <c r="C43" i="56" s="1"/>
  <c r="E15" i="57"/>
  <c r="E16" i="57" s="1"/>
  <c r="F15" i="43"/>
  <c r="F16" i="43" s="1"/>
  <c r="S10" i="57"/>
  <c r="E8" i="56" s="1"/>
  <c r="E31" i="56" s="1"/>
  <c r="E8" i="59"/>
  <c r="E9" i="59" s="1"/>
  <c r="E32" i="59" s="1"/>
  <c r="E34" i="59" s="1"/>
  <c r="E40" i="59" s="1"/>
  <c r="F8" i="59"/>
  <c r="F9" i="59" s="1"/>
  <c r="F32" i="59" s="1"/>
  <c r="S8" i="58"/>
  <c r="S10" i="43"/>
  <c r="S9" i="57"/>
  <c r="E7" i="56" s="1"/>
  <c r="E50" i="56" s="1"/>
  <c r="C32" i="57"/>
  <c r="C34" i="57" s="1"/>
  <c r="S9" i="43"/>
  <c r="C32" i="43"/>
  <c r="C34" i="43" s="1"/>
  <c r="S22" i="43"/>
  <c r="D20" i="56" s="1"/>
  <c r="D46" i="56" s="1"/>
  <c r="S22" i="58"/>
  <c r="F20" i="56" s="1"/>
  <c r="F46" i="56" s="1"/>
  <c r="S22" i="57"/>
  <c r="E20" i="56" s="1"/>
  <c r="F23" i="43"/>
  <c r="F48" i="43"/>
  <c r="E18" i="57"/>
  <c r="E17" i="57" s="1"/>
  <c r="F18" i="57"/>
  <c r="F17" i="57" s="1"/>
  <c r="E23" i="43"/>
  <c r="E48" i="43"/>
  <c r="F21" i="57"/>
  <c r="E21" i="57"/>
  <c r="S19" i="57"/>
  <c r="E17" i="56" s="1"/>
  <c r="E43" i="56" s="1"/>
  <c r="D17" i="43"/>
  <c r="D23" i="43" s="1"/>
  <c r="D24" i="43" s="1"/>
  <c r="S19" i="58"/>
  <c r="F17" i="56" s="1"/>
  <c r="F43" i="56" s="1"/>
  <c r="D40" i="43"/>
  <c r="E34" i="58"/>
  <c r="E40" i="58" s="1"/>
  <c r="E10" i="58"/>
  <c r="F34" i="58"/>
  <c r="F40" i="58" s="1"/>
  <c r="F10" i="58"/>
  <c r="F15" i="58" s="1"/>
  <c r="F16" i="58" s="1"/>
  <c r="E10" i="59"/>
  <c r="F10" i="59"/>
  <c r="F15" i="59" s="1"/>
  <c r="F34" i="59"/>
  <c r="F40" i="59" s="1"/>
  <c r="E14" i="59"/>
  <c r="E14" i="58"/>
  <c r="F10" i="56"/>
  <c r="F36" i="56" s="1"/>
  <c r="E14" i="43"/>
  <c r="E15" i="43" s="1"/>
  <c r="F14" i="57"/>
  <c r="F15" i="57" s="1"/>
  <c r="F16" i="57" s="1"/>
  <c r="H18" i="56"/>
  <c r="H44" i="56" s="1"/>
  <c r="D8" i="59"/>
  <c r="D9" i="59" s="1"/>
  <c r="D32" i="59" s="1"/>
  <c r="D34" i="59" s="1"/>
  <c r="D40" i="59" s="1"/>
  <c r="C8" i="59"/>
  <c r="U12" i="55"/>
  <c r="V12" i="55" s="1"/>
  <c r="V11" i="55"/>
  <c r="D40" i="57"/>
  <c r="C17" i="43"/>
  <c r="D11" i="59"/>
  <c r="D14" i="59" s="1"/>
  <c r="H11" i="56"/>
  <c r="H37" i="56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C18" i="57"/>
  <c r="C17" i="57" s="1"/>
  <c r="D18" i="57"/>
  <c r="D17" i="57" s="1"/>
  <c r="D46" i="43"/>
  <c r="C46" i="43"/>
  <c r="E19" i="56"/>
  <c r="E45" i="56" s="1"/>
  <c r="D21" i="57"/>
  <c r="C21" i="57"/>
  <c r="S21" i="58"/>
  <c r="F28" i="51"/>
  <c r="C30" i="56"/>
  <c r="C32" i="56" s="1"/>
  <c r="C33" i="56" s="1"/>
  <c r="C50" i="56"/>
  <c r="D30" i="56"/>
  <c r="D51" i="56"/>
  <c r="D50" i="56"/>
  <c r="N46" i="57" l="1"/>
  <c r="N48" i="57" s="1"/>
  <c r="N23" i="57"/>
  <c r="N24" i="57" s="1"/>
  <c r="N25" i="57" s="1"/>
  <c r="N26" i="57" s="1"/>
  <c r="N27" i="57" s="1"/>
  <c r="L23" i="57"/>
  <c r="L24" i="57" s="1"/>
  <c r="L25" i="57" s="1"/>
  <c r="L26" i="57" s="1"/>
  <c r="L27" i="57" s="1"/>
  <c r="L46" i="57"/>
  <c r="L48" i="57" s="1"/>
  <c r="G23" i="57"/>
  <c r="G24" i="57" s="1"/>
  <c r="G25" i="57" s="1"/>
  <c r="G26" i="57" s="1"/>
  <c r="G27" i="57" s="1"/>
  <c r="G46" i="57"/>
  <c r="G48" i="57" s="1"/>
  <c r="M46" i="57"/>
  <c r="M48" i="57" s="1"/>
  <c r="M23" i="57"/>
  <c r="M24" i="57" s="1"/>
  <c r="M25" i="57" s="1"/>
  <c r="M26" i="57" s="1"/>
  <c r="M27" i="57" s="1"/>
  <c r="O23" i="57"/>
  <c r="O24" i="57" s="1"/>
  <c r="O25" i="57" s="1"/>
  <c r="O26" i="57" s="1"/>
  <c r="O27" i="57" s="1"/>
  <c r="O46" i="57"/>
  <c r="O48" i="57" s="1"/>
  <c r="I23" i="57"/>
  <c r="I24" i="57" s="1"/>
  <c r="I25" i="57" s="1"/>
  <c r="I26" i="57" s="1"/>
  <c r="I27" i="57" s="1"/>
  <c r="I46" i="57"/>
  <c r="I48" i="57" s="1"/>
  <c r="P23" i="57"/>
  <c r="P24" i="57" s="1"/>
  <c r="P25" i="57" s="1"/>
  <c r="P26" i="57" s="1"/>
  <c r="P27" i="57" s="1"/>
  <c r="P46" i="57"/>
  <c r="P48" i="57" s="1"/>
  <c r="H23" i="57"/>
  <c r="H24" i="57" s="1"/>
  <c r="H25" i="57" s="1"/>
  <c r="H26" i="57" s="1"/>
  <c r="H27" i="57" s="1"/>
  <c r="H46" i="57"/>
  <c r="H48" i="57" s="1"/>
  <c r="R46" i="57"/>
  <c r="R48" i="57" s="1"/>
  <c r="R23" i="57"/>
  <c r="R24" i="57" s="1"/>
  <c r="R25" i="57" s="1"/>
  <c r="R26" i="57" s="1"/>
  <c r="R27" i="57" s="1"/>
  <c r="J46" i="57"/>
  <c r="J48" i="57" s="1"/>
  <c r="J23" i="57"/>
  <c r="J24" i="57" s="1"/>
  <c r="J25" i="57" s="1"/>
  <c r="J26" i="57" s="1"/>
  <c r="J27" i="57" s="1"/>
  <c r="K46" i="57"/>
  <c r="K48" i="57" s="1"/>
  <c r="K23" i="57"/>
  <c r="K24" i="57" s="1"/>
  <c r="Q46" i="57"/>
  <c r="Q48" i="57" s="1"/>
  <c r="Q23" i="57"/>
  <c r="Q24" i="57" s="1"/>
  <c r="Q25" i="57" s="1"/>
  <c r="Q26" i="57" s="1"/>
  <c r="Q27" i="57" s="1"/>
  <c r="E30" i="56"/>
  <c r="F24" i="43"/>
  <c r="F25" i="43" s="1"/>
  <c r="F26" i="43" s="1"/>
  <c r="F27" i="43" s="1"/>
  <c r="D8" i="56"/>
  <c r="D31" i="56" s="1"/>
  <c r="D32" i="56" s="1"/>
  <c r="D33" i="56" s="1"/>
  <c r="E32" i="56"/>
  <c r="E33" i="56" s="1"/>
  <c r="D15" i="59"/>
  <c r="D16" i="59" s="1"/>
  <c r="S9" i="58"/>
  <c r="F7" i="56" s="1"/>
  <c r="F48" i="56" s="1"/>
  <c r="F6" i="56"/>
  <c r="E52" i="56"/>
  <c r="E15" i="59"/>
  <c r="E16" i="59" s="1"/>
  <c r="C52" i="56"/>
  <c r="S10" i="58"/>
  <c r="F8" i="56" s="1"/>
  <c r="D48" i="56"/>
  <c r="S8" i="59"/>
  <c r="S9" i="59" s="1"/>
  <c r="S17" i="43"/>
  <c r="S23" i="43" s="1"/>
  <c r="E21" i="58"/>
  <c r="F21" i="58"/>
  <c r="S18" i="59"/>
  <c r="D18" i="59" s="1"/>
  <c r="D17" i="59" s="1"/>
  <c r="S18" i="58"/>
  <c r="D18" i="58" s="1"/>
  <c r="D17" i="58" s="1"/>
  <c r="F46" i="57"/>
  <c r="F48" i="57" s="1"/>
  <c r="F23" i="57"/>
  <c r="E46" i="57"/>
  <c r="E48" i="57" s="1"/>
  <c r="E23" i="57"/>
  <c r="E24" i="57" s="1"/>
  <c r="E25" i="57" s="1"/>
  <c r="E26" i="57" s="1"/>
  <c r="E27" i="57" s="1"/>
  <c r="C48" i="56"/>
  <c r="D48" i="43"/>
  <c r="S17" i="57"/>
  <c r="D52" i="56"/>
  <c r="F16" i="59"/>
  <c r="S10" i="59"/>
  <c r="G8" i="56" s="1"/>
  <c r="G31" i="56" s="1"/>
  <c r="E15" i="58"/>
  <c r="E16" i="58" s="1"/>
  <c r="F24" i="57"/>
  <c r="F25" i="57" s="1"/>
  <c r="F26" i="57" s="1"/>
  <c r="F27" i="57" s="1"/>
  <c r="H10" i="56"/>
  <c r="H36" i="56" s="1"/>
  <c r="E16" i="43"/>
  <c r="E24" i="43"/>
  <c r="E25" i="43" s="1"/>
  <c r="E26" i="43" s="1"/>
  <c r="E27" i="43" s="1"/>
  <c r="C23" i="43"/>
  <c r="C9" i="59"/>
  <c r="E48" i="56"/>
  <c r="H17" i="56"/>
  <c r="H43" i="56" s="1"/>
  <c r="E46" i="56"/>
  <c r="H20" i="56"/>
  <c r="H46" i="56" s="1"/>
  <c r="D25" i="43"/>
  <c r="D26" i="43" s="1"/>
  <c r="D27" i="43" s="1"/>
  <c r="I20" i="36"/>
  <c r="J20" i="36" s="1"/>
  <c r="K20" i="36" s="1"/>
  <c r="L20" i="36" s="1"/>
  <c r="I24" i="36"/>
  <c r="K26" i="51"/>
  <c r="E51" i="56"/>
  <c r="C18" i="59"/>
  <c r="C17" i="59" s="1"/>
  <c r="C18" i="58"/>
  <c r="C17" i="58" s="1"/>
  <c r="F19" i="56"/>
  <c r="D21" i="58"/>
  <c r="C21" i="58"/>
  <c r="C46" i="57"/>
  <c r="C23" i="57"/>
  <c r="G28" i="51"/>
  <c r="S21" i="59"/>
  <c r="D21" i="59" s="1"/>
  <c r="D46" i="57"/>
  <c r="D48" i="57" s="1"/>
  <c r="D23" i="57"/>
  <c r="D24" i="57" s="1"/>
  <c r="D25" i="57" s="1"/>
  <c r="F50" i="56"/>
  <c r="K25" i="57" l="1"/>
  <c r="K26" i="57" s="1"/>
  <c r="K27" i="57" s="1"/>
  <c r="F52" i="56"/>
  <c r="F30" i="56"/>
  <c r="D15" i="56"/>
  <c r="D42" i="56" s="1"/>
  <c r="G6" i="56"/>
  <c r="H6" i="56" s="1"/>
  <c r="G7" i="56"/>
  <c r="G52" i="56" s="1"/>
  <c r="C32" i="59"/>
  <c r="C34" i="59" s="1"/>
  <c r="C21" i="59"/>
  <c r="C46" i="59" s="1"/>
  <c r="F46" i="58"/>
  <c r="F48" i="58" s="1"/>
  <c r="E18" i="58"/>
  <c r="E17" i="58" s="1"/>
  <c r="E23" i="58" s="1"/>
  <c r="E24" i="58" s="1"/>
  <c r="E25" i="58" s="1"/>
  <c r="E26" i="58" s="1"/>
  <c r="E27" i="58" s="1"/>
  <c r="F18" i="58"/>
  <c r="F17" i="58" s="1"/>
  <c r="F23" i="58" s="1"/>
  <c r="F24" i="58" s="1"/>
  <c r="F25" i="58" s="1"/>
  <c r="F26" i="58" s="1"/>
  <c r="F27" i="58" s="1"/>
  <c r="E46" i="58"/>
  <c r="E48" i="58" s="1"/>
  <c r="E21" i="59"/>
  <c r="F21" i="59"/>
  <c r="G19" i="56"/>
  <c r="G51" i="56" s="1"/>
  <c r="E18" i="59"/>
  <c r="E17" i="59" s="1"/>
  <c r="F18" i="59"/>
  <c r="F17" i="59" s="1"/>
  <c r="F31" i="56"/>
  <c r="F32" i="56" s="1"/>
  <c r="F33" i="56" s="1"/>
  <c r="H8" i="56"/>
  <c r="H31" i="56" s="1"/>
  <c r="S23" i="57"/>
  <c r="G50" i="56"/>
  <c r="F51" i="56"/>
  <c r="E15" i="56"/>
  <c r="H28" i="51"/>
  <c r="D46" i="58"/>
  <c r="D48" i="58" s="1"/>
  <c r="D23" i="58"/>
  <c r="D24" i="58" s="1"/>
  <c r="F45" i="56"/>
  <c r="D46" i="59"/>
  <c r="D48" i="59" s="1"/>
  <c r="D23" i="59"/>
  <c r="D24" i="59" s="1"/>
  <c r="D25" i="59" s="1"/>
  <c r="D26" i="57"/>
  <c r="D27" i="57" s="1"/>
  <c r="C46" i="58"/>
  <c r="C23" i="58"/>
  <c r="D21" i="56" l="1"/>
  <c r="G45" i="56"/>
  <c r="G48" i="56"/>
  <c r="H7" i="56"/>
  <c r="H52" i="56" s="1"/>
  <c r="G30" i="56"/>
  <c r="G32" i="56" s="1"/>
  <c r="G33" i="56" s="1"/>
  <c r="S17" i="59"/>
  <c r="S17" i="58"/>
  <c r="C23" i="59"/>
  <c r="F46" i="59"/>
  <c r="F48" i="59" s="1"/>
  <c r="F23" i="59"/>
  <c r="F24" i="59" s="1"/>
  <c r="F25" i="59" s="1"/>
  <c r="F26" i="59" s="1"/>
  <c r="F27" i="59" s="1"/>
  <c r="E46" i="59"/>
  <c r="E48" i="59" s="1"/>
  <c r="E23" i="59"/>
  <c r="E24" i="59" s="1"/>
  <c r="E25" i="59" s="1"/>
  <c r="E26" i="59" s="1"/>
  <c r="E27" i="59" s="1"/>
  <c r="D25" i="58"/>
  <c r="D26" i="58" s="1"/>
  <c r="D27" i="58" s="1"/>
  <c r="E42" i="56"/>
  <c r="E21" i="56"/>
  <c r="D26" i="59"/>
  <c r="D27" i="59" s="1"/>
  <c r="I28" i="51"/>
  <c r="S23" i="58" l="1"/>
  <c r="H30" i="56"/>
  <c r="H32" i="56" s="1"/>
  <c r="H33" i="56" s="1"/>
  <c r="H48" i="56"/>
  <c r="H50" i="56"/>
  <c r="S23" i="59"/>
  <c r="F42" i="56"/>
  <c r="F21" i="56"/>
  <c r="G42" i="56"/>
  <c r="G21" i="56"/>
  <c r="J28" i="51"/>
  <c r="K27" i="51"/>
  <c r="K28" i="51" s="1"/>
  <c r="C36" i="61" l="1"/>
  <c r="C40" i="61" l="1"/>
  <c r="C36" i="59"/>
  <c r="C11" i="59" s="1"/>
  <c r="C36" i="58"/>
  <c r="C11" i="58" s="1"/>
  <c r="S11" i="58" s="1"/>
  <c r="S14" i="58" s="1"/>
  <c r="S15" i="58" s="1"/>
  <c r="C36" i="57"/>
  <c r="C40" i="57" s="1"/>
  <c r="C48" i="57" s="1"/>
  <c r="C36" i="43"/>
  <c r="C11" i="43" s="1"/>
  <c r="C11" i="61"/>
  <c r="C11" i="57"/>
  <c r="S11" i="57" s="1"/>
  <c r="S14" i="57" s="1"/>
  <c r="S15" i="57" s="1"/>
  <c r="C40" i="59" l="1"/>
  <c r="C48" i="59" s="1"/>
  <c r="S11" i="43"/>
  <c r="S14" i="43" s="1"/>
  <c r="S15" i="43" s="1"/>
  <c r="C40" i="43"/>
  <c r="C48" i="43" s="1"/>
  <c r="C14" i="59"/>
  <c r="C15" i="59" s="1"/>
  <c r="C16" i="59" s="1"/>
  <c r="S11" i="59"/>
  <c r="S14" i="59" s="1"/>
  <c r="S15" i="59" s="1"/>
  <c r="C14" i="61"/>
  <c r="C15" i="61" s="1"/>
  <c r="S11" i="61"/>
  <c r="S14" i="61" s="1"/>
  <c r="S15" i="61" s="1"/>
  <c r="C40" i="58"/>
  <c r="C48" i="58" s="1"/>
  <c r="C14" i="43"/>
  <c r="C15" i="43" s="1"/>
  <c r="C16" i="43" s="1"/>
  <c r="F9" i="56"/>
  <c r="C14" i="58"/>
  <c r="C14" i="57"/>
  <c r="E9" i="56"/>
  <c r="C9" i="56" l="1"/>
  <c r="C12" i="56" s="1"/>
  <c r="G9" i="56"/>
  <c r="G12" i="56" s="1"/>
  <c r="D9" i="56"/>
  <c r="C24" i="59"/>
  <c r="C25" i="59" s="1"/>
  <c r="G35" i="56"/>
  <c r="S24" i="43"/>
  <c r="C24" i="43"/>
  <c r="C25" i="43" s="1"/>
  <c r="C15" i="57"/>
  <c r="C15" i="58"/>
  <c r="C16" i="61"/>
  <c r="F35" i="56"/>
  <c r="F49" i="56"/>
  <c r="F12" i="56"/>
  <c r="G13" i="56"/>
  <c r="G14" i="56" s="1"/>
  <c r="S16" i="59"/>
  <c r="S24" i="59"/>
  <c r="D13" i="56"/>
  <c r="D14" i="56" s="1"/>
  <c r="E35" i="56"/>
  <c r="E49" i="56"/>
  <c r="E12" i="56"/>
  <c r="C35" i="56" l="1"/>
  <c r="G49" i="56"/>
  <c r="H9" i="56"/>
  <c r="H35" i="56" s="1"/>
  <c r="C26" i="59"/>
  <c r="C27" i="59" s="1"/>
  <c r="D49" i="56"/>
  <c r="D12" i="56"/>
  <c r="D35" i="56"/>
  <c r="S25" i="59"/>
  <c r="S26" i="59" s="1"/>
  <c r="S27" i="59" s="1"/>
  <c r="S25" i="43"/>
  <c r="S26" i="43" s="1"/>
  <c r="S27" i="43" s="1"/>
  <c r="C26" i="43"/>
  <c r="C27" i="43" s="1"/>
  <c r="S16" i="43"/>
  <c r="G54" i="56"/>
  <c r="D22" i="56"/>
  <c r="D54" i="56" s="1"/>
  <c r="C24" i="57"/>
  <c r="C25" i="57" s="1"/>
  <c r="C16" i="57"/>
  <c r="S16" i="61"/>
  <c r="C13" i="56"/>
  <c r="C14" i="56" s="1"/>
  <c r="D39" i="56"/>
  <c r="D40" i="56" s="1"/>
  <c r="G39" i="56"/>
  <c r="G40" i="56" s="1"/>
  <c r="C24" i="58"/>
  <c r="C25" i="58" s="1"/>
  <c r="C16" i="58"/>
  <c r="H12" i="56" l="1"/>
  <c r="G23" i="56"/>
  <c r="D23" i="56"/>
  <c r="C26" i="57"/>
  <c r="C27" i="57" s="1"/>
  <c r="G24" i="56"/>
  <c r="G25" i="56" s="1"/>
  <c r="D24" i="56"/>
  <c r="D25" i="56" s="1"/>
  <c r="S24" i="58"/>
  <c r="F13" i="56"/>
  <c r="S16" i="58"/>
  <c r="C26" i="58"/>
  <c r="C27" i="58" s="1"/>
  <c r="C39" i="56"/>
  <c r="S16" i="57"/>
  <c r="S24" i="57"/>
  <c r="E13" i="56"/>
  <c r="S25" i="58" l="1"/>
  <c r="S26" i="58" s="1"/>
  <c r="S27" i="58" s="1"/>
  <c r="S25" i="57"/>
  <c r="S26" i="57" s="1"/>
  <c r="S27" i="57" s="1"/>
  <c r="E14" i="56"/>
  <c r="E39" i="56"/>
  <c r="E40" i="56" s="1"/>
  <c r="H13" i="56"/>
  <c r="F14" i="56"/>
  <c r="F39" i="56"/>
  <c r="F40" i="56" s="1"/>
  <c r="E22" i="56"/>
  <c r="E54" i="56" s="1"/>
  <c r="F54" i="56"/>
  <c r="G53" i="56"/>
  <c r="G60" i="56"/>
  <c r="G59" i="56" s="1"/>
  <c r="D60" i="56"/>
  <c r="D59" i="56" s="1"/>
  <c r="D53" i="56"/>
  <c r="F23" i="56" l="1"/>
  <c r="E23" i="56"/>
  <c r="H14" i="56"/>
  <c r="H39" i="56"/>
  <c r="F24" i="56"/>
  <c r="F25" i="56" s="1"/>
  <c r="E24" i="56"/>
  <c r="E25" i="56" s="1"/>
  <c r="E53" i="56" l="1"/>
  <c r="E60" i="56"/>
  <c r="E59" i="56" s="1"/>
  <c r="F53" i="56"/>
  <c r="F60" i="56"/>
  <c r="F59" i="56" s="1"/>
  <c r="F46" i="61" l="1"/>
  <c r="F48" i="61" s="1"/>
  <c r="E46" i="61"/>
  <c r="E48" i="61" s="1"/>
  <c r="D46" i="61"/>
  <c r="D48" i="61" s="1"/>
  <c r="C21" i="61"/>
  <c r="C46" i="61" s="1"/>
  <c r="C48" i="61" s="1"/>
  <c r="C19" i="56"/>
  <c r="C45" i="56" s="1"/>
  <c r="H19" i="56" l="1"/>
  <c r="H51" i="56" s="1"/>
  <c r="C51" i="56"/>
  <c r="C18" i="61"/>
  <c r="C17" i="61" s="1"/>
  <c r="H45" i="56" l="1"/>
  <c r="S17" i="61"/>
  <c r="C23" i="61"/>
  <c r="C24" i="61" s="1"/>
  <c r="C15" i="56" l="1"/>
  <c r="S23" i="61"/>
  <c r="S24" i="61" s="1"/>
  <c r="C25" i="61"/>
  <c r="C26" i="61" s="1"/>
  <c r="S26" i="61" l="1"/>
  <c r="S27" i="61" s="1"/>
  <c r="C27" i="61"/>
  <c r="C22" i="56"/>
  <c r="S25" i="61"/>
  <c r="C23" i="56" s="1"/>
  <c r="C42" i="56"/>
  <c r="C49" i="56"/>
  <c r="C21" i="56"/>
  <c r="C40" i="56" s="1"/>
  <c r="H15" i="56"/>
  <c r="H22" i="56" l="1"/>
  <c r="C54" i="56"/>
  <c r="H42" i="56"/>
  <c r="H21" i="56"/>
  <c r="H40" i="56" s="1"/>
  <c r="H49" i="56"/>
  <c r="C24" i="56"/>
  <c r="C25" i="56" s="1"/>
  <c r="C53" i="56" l="1"/>
  <c r="C60" i="56"/>
  <c r="C59" i="56" s="1"/>
  <c r="H54" i="56"/>
  <c r="H23" i="56"/>
  <c r="H24" i="56" s="1"/>
  <c r="H25" i="56" s="1"/>
  <c r="H53" i="56" l="1"/>
  <c r="H60" i="56"/>
  <c r="H59" i="56" s="1"/>
</calcChain>
</file>

<file path=xl/comments1.xml><?xml version="1.0" encoding="utf-8"?>
<comments xmlns="http://schemas.openxmlformats.org/spreadsheetml/2006/main">
  <authors>
    <author>作者</author>
  </authors>
  <commentList>
    <comment ref="T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N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集团</t>
        </r>
      </text>
    </comment>
    <comment ref="O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含集团</t>
        </r>
      </text>
    </comment>
    <comment ref="J11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按河北</t>
        </r>
      </text>
    </comment>
  </commentList>
</comments>
</file>

<file path=xl/sharedStrings.xml><?xml version="1.0" encoding="utf-8"?>
<sst xmlns="http://schemas.openxmlformats.org/spreadsheetml/2006/main" count="1489" uniqueCount="324">
  <si>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</si>
  <si>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</si>
  <si>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</si>
  <si>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</si>
  <si>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</si>
  <si>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</si>
  <si>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</si>
  <si>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</si>
  <si>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</si>
  <si>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</si>
  <si>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</si>
  <si>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</si>
  <si>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</si>
  <si>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</si>
  <si>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</si>
  <si>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</si>
  <si>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</si>
  <si>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</si>
  <si>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</si>
  <si>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</si>
  <si>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</si>
  <si>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</si>
  <si>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</si>
  <si>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</si>
  <si>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</si>
  <si>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</si>
  <si>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</si>
  <si>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</si>
  <si>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</si>
  <si>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</si>
  <si>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</si>
  <si>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</si>
  <si>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</si>
  <si>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</si>
  <si>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</si>
  <si>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</si>
  <si>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</si>
  <si>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</si>
  <si>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</si>
  <si>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</si>
  <si>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</si>
  <si>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</si>
  <si>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</si>
  <si>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</si>
  <si>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</si>
  <si>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</si>
  <si>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</si>
  <si>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</si>
  <si>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</si>
  <si>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</si>
  <si>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</si>
  <si>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</si>
  <si>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</si>
  <si>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</si>
  <si>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</si>
  <si>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</si>
  <si>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</si>
  <si>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</si>
  <si>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</si>
  <si>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</si>
  <si>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</si>
  <si>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</si>
  <si>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</si>
  <si>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</si>
  <si>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</si>
  <si>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</si>
  <si>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</si>
  <si>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</si>
  <si>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</si>
  <si>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</si>
  <si>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</si>
  <si>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</si>
  <si>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</si>
  <si>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</si>
  <si>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</si>
  <si>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</si>
  <si>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</si>
  <si>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</si>
  <si>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</si>
  <si>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</si>
  <si>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</si>
  <si>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</si>
  <si>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</si>
  <si>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</si>
  <si>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</si>
  <si>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</si>
  <si>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</si>
  <si>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</si>
  <si>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</si>
  <si>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</si>
  <si>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</si>
  <si>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</si>
  <si>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</si>
  <si>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</si>
  <si>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</si>
  <si>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</si>
  <si>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</si>
  <si>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</si>
  <si>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</si>
  <si>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</si>
  <si>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</si>
  <si>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</si>
  <si>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</si>
  <si>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</si>
  <si>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</si>
  <si>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</si>
  <si>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</si>
  <si>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</si>
  <si>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</si>
  <si>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</si>
  <si>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</si>
  <si>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</si>
  <si>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</si>
  <si>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</si>
  <si>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</si>
  <si>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</si>
  <si>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</si>
  <si>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</si>
  <si>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</si>
  <si>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</si>
  <si>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</si>
  <si>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</si>
  <si>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</si>
  <si>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</si>
  <si>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</si>
  <si>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</si>
  <si>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</si>
  <si>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</si>
  <si>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</si>
  <si>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</si>
  <si>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</si>
  <si>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</si>
  <si>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</si>
  <si>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</si>
  <si>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</si>
  <si>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</si>
  <si>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</si>
  <si>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</si>
  <si>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</si>
  <si>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</si>
  <si>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</si>
  <si>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</si>
  <si>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</si>
  <si>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</si>
  <si>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</si>
  <si>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</si>
  <si>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</si>
  <si>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</si>
  <si>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</si>
  <si>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</si>
  <si>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</si>
  <si>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</si>
  <si>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</si>
  <si>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</si>
  <si>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</si>
  <si>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</si>
  <si>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</si>
  <si>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</si>
  <si>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</si>
  <si>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</si>
  <si>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</si>
  <si>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</si>
  <si>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</si>
  <si>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</si>
  <si>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</si>
  <si>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</si>
  <si>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</si>
  <si>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</si>
  <si>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</si>
  <si>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</si>
  <si>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</si>
  <si>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</si>
  <si>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</si>
  <si>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</si>
  <si>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</si>
  <si>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</si>
  <si>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</si>
  <si>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</si>
  <si>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</si>
  <si>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</si>
  <si>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</si>
  <si>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</si>
  <si>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</si>
  <si>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</si>
  <si>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</si>
  <si>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</si>
  <si>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</si>
  <si>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</si>
  <si>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</si>
  <si>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</si>
  <si>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</si>
  <si>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</si>
  <si>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</si>
  <si>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</si>
  <si>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</si>
  <si>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</si>
  <si>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</si>
  <si>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</si>
  <si>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</si>
  <si>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</si>
  <si>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</si>
  <si>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</si>
  <si>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</si>
  <si>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</si>
  <si>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</si>
  <si>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</si>
  <si>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</si>
  <si>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</si>
  <si>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</si>
  <si>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</si>
  <si>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</si>
  <si>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</si>
  <si>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</si>
  <si>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</si>
  <si>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</si>
  <si>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</si>
  <si>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</si>
  <si>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</si>
  <si>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</si>
  <si>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</si>
  <si>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</si>
  <si>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</si>
  <si>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</si>
  <si>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</si>
  <si>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</si>
  <si>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</si>
  <si>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</si>
  <si>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</si>
  <si>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</si>
  <si>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</si>
  <si>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</si>
  <si>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</si>
  <si>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</si>
  <si>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</si>
  <si>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</si>
  <si>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</si>
  <si>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</si>
  <si>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</si>
  <si>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</si>
  <si>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</si>
  <si>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</si>
  <si>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</si>
  <si>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</si>
  <si>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</si>
  <si>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涂红色处为必填项</t>
  </si>
  <si>
    <t>单位：元、%、未税</t>
  </si>
  <si>
    <t>科目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</si>
  <si>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</si>
  <si>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</si>
  <si>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</si>
  <si>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</si>
  <si>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</si>
  <si>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</si>
  <si>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</si>
  <si>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</si>
  <si>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</si>
  <si>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</si>
  <si>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</si>
  <si>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</si>
  <si>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</si>
  <si>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5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</si>
  <si>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5" type="noConversion"/>
  </si>
  <si>
    <t>2031年</t>
  </si>
  <si>
    <t xml:space="preserve">2029年  </t>
    <phoneticPr fontId="45" type="noConversion"/>
  </si>
  <si>
    <t xml:space="preserve">2028年  </t>
    <phoneticPr fontId="45" type="noConversion"/>
  </si>
  <si>
    <t xml:space="preserve">2027年  </t>
    <phoneticPr fontId="45" type="noConversion"/>
  </si>
  <si>
    <t xml:space="preserve">2026年  </t>
    <phoneticPr fontId="45" type="noConversion"/>
  </si>
  <si>
    <t xml:space="preserve">2025年  </t>
    <phoneticPr fontId="45" type="noConversion"/>
  </si>
  <si>
    <r>
      <t>2025</t>
    </r>
    <r>
      <rPr>
        <b/>
        <sz val="10"/>
        <rFont val="宋体"/>
        <family val="3"/>
        <charset val="134"/>
      </rPr>
      <t>年</t>
    </r>
    <phoneticPr fontId="45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</si>
  <si>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</si>
  <si>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</si>
  <si>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</si>
  <si>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</si>
  <si>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t>单位：未税、元</t>
    <phoneticPr fontId="45" type="noConversion"/>
  </si>
  <si>
    <t>直接材料</t>
    <phoneticPr fontId="45" type="noConversion"/>
  </si>
  <si>
    <t>2025年</t>
    <phoneticPr fontId="45" type="noConversion"/>
  </si>
  <si>
    <t>单件边际贡献</t>
    <phoneticPr fontId="45" type="noConversion"/>
  </si>
  <si>
    <t>所得税(税率15%）</t>
    <phoneticPr fontId="45" type="noConversion"/>
  </si>
  <si>
    <t>西安数据</t>
    <phoneticPr fontId="45" type="noConversion"/>
  </si>
  <si>
    <t>变动费用参考长春工厂2024年实际暂估。</t>
    <phoneticPr fontId="45" type="noConversion"/>
  </si>
  <si>
    <t>财务费用按综合数据。</t>
    <phoneticPr fontId="45" type="noConversion"/>
  </si>
  <si>
    <t>现汇或承兑的比例</t>
  </si>
  <si>
    <t>河北</t>
  </si>
  <si>
    <t>否</t>
  </si>
  <si>
    <t>无</t>
  </si>
  <si>
    <t>24个月</t>
  </si>
  <si>
    <t>供应商年降：       年5 %</t>
    <phoneticPr fontId="45" type="noConversion"/>
  </si>
  <si>
    <t>A6新增车型配置升级项目</t>
    <phoneticPr fontId="45" type="noConversion"/>
  </si>
  <si>
    <t>ZY2529</t>
    <phoneticPr fontId="45" type="noConversion"/>
  </si>
  <si>
    <t>河北工厂平均值</t>
    <phoneticPr fontId="45" type="noConversion"/>
  </si>
  <si>
    <t>经营数据</t>
    <phoneticPr fontId="45" type="noConversion"/>
  </si>
  <si>
    <t>含研发</t>
    <phoneticPr fontId="45" type="noConversion"/>
  </si>
  <si>
    <t>2024年河北座椅</t>
    <phoneticPr fontId="45" type="noConversion"/>
  </si>
  <si>
    <t>长春数据</t>
    <phoneticPr fontId="45" type="noConversion"/>
  </si>
  <si>
    <t>驾驶员座椅总成</t>
  </si>
  <si>
    <t>副驾驶座椅总成</t>
  </si>
  <si>
    <t>副驾驶座椅安装支架</t>
  </si>
  <si>
    <t>副驾驶员座椅总成</t>
  </si>
  <si>
    <t>A668100000148</t>
  </si>
  <si>
    <t>A668100000149</t>
  </si>
  <si>
    <t>A668100000150</t>
  </si>
  <si>
    <t>A668100000147</t>
  </si>
  <si>
    <t>A668100000130</t>
  </si>
  <si>
    <t>A668100000131</t>
  </si>
  <si>
    <t>A668100000155</t>
  </si>
  <si>
    <t>A668100000154</t>
  </si>
  <si>
    <t>A668100000156</t>
  </si>
  <si>
    <t>A668100000158</t>
  </si>
  <si>
    <t>A668100000139</t>
  </si>
  <si>
    <t>A668100000138</t>
  </si>
  <si>
    <t>A668100000142</t>
  </si>
  <si>
    <t>A668100000143</t>
  </si>
  <si>
    <t>A668100000140</t>
  </si>
  <si>
    <t>A668100000141</t>
  </si>
  <si>
    <t>匹配新能源车身</t>
  </si>
  <si>
    <t>增加振动提醒</t>
  </si>
  <si>
    <t>旋转副驾</t>
  </si>
  <si>
    <t>更换斜切扶手</t>
  </si>
  <si>
    <t>北汽福田戴姆勒</t>
    <phoneticPr fontId="45" type="noConversion"/>
  </si>
  <si>
    <t>A6新增车型配置升级项目投资收益分析</t>
    <phoneticPr fontId="45" type="noConversion"/>
  </si>
  <si>
    <t>河北工厂</t>
    <phoneticPr fontId="45" type="noConversion"/>
  </si>
  <si>
    <t>怀柔</t>
    <phoneticPr fontId="45" type="noConversion"/>
  </si>
  <si>
    <t>公路车、自卸车</t>
  </si>
  <si>
    <t>单台材料成本为未税价格，骨架、底支架、面套自制。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</si>
</sst>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4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  <xf numFmtId="0" fontId="38" fillId="0" borderId="0"/>
  </cellStyleXfs>
  <cellXfs count="27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0" applyNumberFormat="1" applyFont="1" applyAlignment="1">
      <alignment horizontal="center" vertical="center" wrapText="1"/>
    </xf>
    <xf numFmtId="43" fontId="2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3" fillId="3" borderId="2" xfId="1" applyFont="1" applyFill="1" applyBorder="1" applyAlignment="1" applyProtection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6" fillId="0" borderId="3" xfId="7" applyNumberFormat="1" applyFont="1" applyFill="1" applyBorder="1" applyAlignment="1">
      <alignment horizontal="center" vertical="center"/>
    </xf>
    <xf numFmtId="179" fontId="16" fillId="0" borderId="3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43" fontId="16" fillId="3" borderId="2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43" fontId="20" fillId="0" borderId="0" xfId="0" applyNumberFormat="1" applyFont="1" applyFill="1">
      <alignment vertical="center"/>
    </xf>
    <xf numFmtId="0" fontId="26" fillId="0" borderId="2" xfId="0" applyFont="1" applyFill="1" applyBorder="1">
      <alignment vertical="center"/>
    </xf>
    <xf numFmtId="10" fontId="20" fillId="0" borderId="2" xfId="2" applyNumberFormat="1" applyFont="1" applyFill="1" applyBorder="1" applyAlignment="1">
      <alignment horizontal="center" vertical="center"/>
    </xf>
    <xf numFmtId="10" fontId="20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0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0" fontId="20" fillId="0" borderId="0" xfId="0" applyNumberFormat="1" applyFont="1" applyFill="1">
      <alignment vertical="center"/>
    </xf>
    <xf numFmtId="10" fontId="20" fillId="0" borderId="2" xfId="2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2" fillId="4" borderId="2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43" fontId="20" fillId="0" borderId="0" xfId="1" applyFont="1">
      <alignment vertical="center"/>
    </xf>
    <xf numFmtId="43" fontId="29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26" fillId="9" borderId="2" xfId="0" applyFont="1" applyFill="1" applyBorder="1">
      <alignment vertical="center"/>
    </xf>
    <xf numFmtId="177" fontId="22" fillId="9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0" fontId="30" fillId="9" borderId="2" xfId="0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2" applyNumberFormat="1" applyFont="1" applyBorder="1">
      <alignment vertical="center"/>
    </xf>
    <xf numFmtId="10" fontId="20" fillId="0" borderId="0" xfId="2" applyNumberFormat="1" applyFont="1" applyBorder="1">
      <alignment vertical="center"/>
    </xf>
    <xf numFmtId="43" fontId="20" fillId="0" borderId="0" xfId="1" applyFont="1" applyBorder="1">
      <alignment vertical="center"/>
    </xf>
    <xf numFmtId="0" fontId="26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43" fontId="24" fillId="0" borderId="2" xfId="1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31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4" xfId="3" applyFont="1" applyFill="1" applyBorder="1" applyAlignment="1" applyProtection="1">
      <alignment horizontal="center"/>
    </xf>
    <xf numFmtId="1" fontId="18" fillId="6" borderId="4" xfId="8" applyFont="1" applyFill="1" applyBorder="1"/>
    <xf numFmtId="1" fontId="16" fillId="6" borderId="4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7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7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11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1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3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5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9" xfId="3" applyFont="1" applyFill="1" applyBorder="1" applyProtection="1"/>
    <xf numFmtId="0" fontId="16" fillId="6" borderId="14" xfId="3" applyFont="1" applyFill="1" applyBorder="1" applyProtection="1"/>
    <xf numFmtId="0" fontId="16" fillId="6" borderId="15" xfId="3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left" vertical="center" wrapText="1" readingOrder="1"/>
    </xf>
    <xf numFmtId="0" fontId="34" fillId="0" borderId="2" xfId="0" applyFont="1" applyFill="1" applyBorder="1" applyAlignment="1">
      <alignment horizontal="left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35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7" fontId="2" fillId="0" borderId="0" xfId="1" applyNumberFormat="1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177" fontId="12" fillId="0" borderId="2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43" fontId="2" fillId="0" borderId="2" xfId="0" applyNumberFormat="1" applyFont="1" applyFill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178" fontId="2" fillId="0" borderId="2" xfId="2" applyNumberFormat="1" applyFont="1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10" fontId="35" fillId="0" borderId="0" xfId="2" applyNumberFormat="1" applyFont="1" applyFill="1">
      <alignment vertical="center"/>
    </xf>
    <xf numFmtId="10" fontId="0" fillId="0" borderId="0" xfId="2" applyNumberFormat="1" applyFont="1" applyFill="1">
      <alignment vertical="center"/>
    </xf>
    <xf numFmtId="10" fontId="54" fillId="0" borderId="2" xfId="2" applyNumberFormat="1" applyFont="1" applyFill="1" applyBorder="1" applyAlignment="1">
      <alignment horizontal="center" vertical="center"/>
    </xf>
    <xf numFmtId="10" fontId="0" fillId="5" borderId="0" xfId="2" applyNumberFormat="1" applyFont="1" applyFill="1">
      <alignment vertical="center"/>
    </xf>
    <xf numFmtId="10" fontId="0" fillId="5" borderId="0" xfId="0" applyNumberFormat="1" applyFill="1">
      <alignment vertical="center"/>
    </xf>
    <xf numFmtId="0" fontId="0" fillId="5" borderId="0" xfId="0" applyFill="1">
      <alignment vertical="center"/>
    </xf>
    <xf numFmtId="180" fontId="9" fillId="0" borderId="2" xfId="0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43" fontId="5" fillId="2" borderId="2" xfId="1" applyFont="1" applyFill="1" applyBorder="1" applyAlignment="1">
      <alignment horizontal="center" vertical="center" wrapText="1"/>
    </xf>
    <xf numFmtId="10" fontId="3" fillId="4" borderId="2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8" fillId="6" borderId="2" xfId="3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4" fillId="0" borderId="6" xfId="1" applyFont="1" applyFill="1" applyBorder="1" applyAlignment="1">
      <alignment horizontal="center" vertical="center" wrapText="1"/>
    </xf>
    <xf numFmtId="43" fontId="24" fillId="0" borderId="10" xfId="1" applyFont="1" applyFill="1" applyBorder="1" applyAlignment="1">
      <alignment horizontal="center" vertical="center" wrapText="1"/>
    </xf>
    <xf numFmtId="43" fontId="24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4" fillId="6" borderId="1" xfId="3" applyNumberFormat="1" applyFont="1" applyFill="1" applyBorder="1" applyAlignment="1" applyProtection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6&#24231;&#26885;&#24635;&#25104;EBOM-20250407&#38477;&#26412;+&#38754;&#22871;&#33258;&#2104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驾驶员座椅EBOM首页"/>
      <sheetName val="驾驶员座椅EBOM"/>
      <sheetName val="3.0平台A6骨架 EBOM"/>
      <sheetName val="副驾驶员座椅总成首页"/>
      <sheetName val="副驾驶员座椅BOM-翻折，滑动"/>
      <sheetName val="Sheet1"/>
    </sheetNames>
    <sheetDataSet>
      <sheetData sheetId="0"/>
      <sheetData sheetId="1"/>
      <sheetData sheetId="2">
        <row r="9">
          <cell r="BL9">
            <v>1837.194359059414</v>
          </cell>
          <cell r="BM9">
            <v>1474.4823892600864</v>
          </cell>
          <cell r="BN9">
            <v>1215.4823892600864</v>
          </cell>
          <cell r="BO9">
            <v>1578.1943590594142</v>
          </cell>
          <cell r="BP9">
            <v>1216.214309373958</v>
          </cell>
          <cell r="BQ9">
            <v>1216.214309373958</v>
          </cell>
          <cell r="BR9">
            <v>1578.9262791732858</v>
          </cell>
          <cell r="BS9">
            <v>1578.9262791732858</v>
          </cell>
          <cell r="BT9">
            <v>1355.4635179773486</v>
          </cell>
        </row>
      </sheetData>
      <sheetData sheetId="3"/>
      <sheetData sheetId="4"/>
      <sheetData sheetId="5">
        <row r="10">
          <cell r="AX10">
            <v>432.05331546757441</v>
          </cell>
        </row>
        <row r="316">
          <cell r="AX316">
            <v>31.156465714285716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6" sqref="C6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63" customFormat="1" ht="35.25" customHeight="1">
      <c r="A2" s="164" t="s">
        <v>0</v>
      </c>
      <c r="B2" s="164" t="s">
        <v>1</v>
      </c>
      <c r="C2" s="164" t="s">
        <v>2</v>
      </c>
      <c r="D2" s="165"/>
    </row>
    <row r="3" spans="1:4" s="163" customFormat="1" ht="33.75" customHeight="1">
      <c r="A3" s="166">
        <v>1</v>
      </c>
      <c r="B3" s="166" t="s">
        <v>3</v>
      </c>
      <c r="C3" s="167" t="s">
        <v>4</v>
      </c>
      <c r="D3" s="165"/>
    </row>
    <row r="4" spans="1:4" s="163" customFormat="1" ht="33.75" customHeight="1">
      <c r="A4" s="166">
        <v>2</v>
      </c>
      <c r="B4" s="166" t="s">
        <v>5</v>
      </c>
      <c r="C4" s="167" t="s">
        <v>6</v>
      </c>
    </row>
    <row r="5" spans="1:4" s="163" customFormat="1" ht="33.75" customHeight="1">
      <c r="A5" s="166">
        <v>3</v>
      </c>
      <c r="B5" s="209" t="s">
        <v>7</v>
      </c>
      <c r="C5" s="168" t="s">
        <v>8</v>
      </c>
    </row>
    <row r="6" spans="1:4" s="163" customFormat="1" ht="33.75" customHeight="1">
      <c r="A6" s="166">
        <v>4</v>
      </c>
      <c r="B6" s="210"/>
      <c r="C6" s="167" t="s">
        <v>323</v>
      </c>
    </row>
    <row r="7" spans="1:4" s="163" customFormat="1" ht="33.75" customHeight="1">
      <c r="A7" s="166">
        <v>5</v>
      </c>
      <c r="B7" s="169" t="s">
        <v>9</v>
      </c>
      <c r="C7" s="167" t="s">
        <v>279</v>
      </c>
    </row>
    <row r="8" spans="1:4" s="163" customFormat="1" ht="33.75" customHeight="1">
      <c r="A8" s="166">
        <v>6</v>
      </c>
      <c r="B8" s="209" t="s">
        <v>10</v>
      </c>
      <c r="C8" s="167" t="s">
        <v>11</v>
      </c>
    </row>
    <row r="9" spans="1:4" s="163" customFormat="1" ht="33.75" customHeight="1">
      <c r="A9" s="166">
        <v>7</v>
      </c>
      <c r="B9" s="210"/>
      <c r="C9" s="167" t="s">
        <v>12</v>
      </c>
    </row>
    <row r="10" spans="1:4" s="163" customFormat="1" ht="33.75" customHeight="1">
      <c r="A10" s="166">
        <v>8</v>
      </c>
      <c r="B10" s="210"/>
      <c r="C10" s="168" t="s">
        <v>280</v>
      </c>
    </row>
    <row r="11" spans="1:4" s="163" customFormat="1" ht="33.75" customHeight="1">
      <c r="A11" s="166">
        <v>9</v>
      </c>
      <c r="B11" s="210"/>
      <c r="C11" s="167" t="s">
        <v>13</v>
      </c>
    </row>
    <row r="12" spans="1:4" s="163" customFormat="1" ht="33.75" customHeight="1">
      <c r="A12" s="166">
        <v>10</v>
      </c>
      <c r="B12" s="169" t="s">
        <v>14</v>
      </c>
      <c r="C12" s="167" t="s">
        <v>15</v>
      </c>
    </row>
    <row r="13" spans="1:4" ht="33.75" customHeight="1"/>
    <row r="14" spans="1:4" ht="33.75" customHeight="1"/>
    <row r="15" spans="1:4" ht="33.75" customHeight="1">
      <c r="C15" s="170"/>
    </row>
  </sheetData>
  <mergeCells count="2">
    <mergeCell ref="B5:B6"/>
    <mergeCell ref="B8:B11"/>
  </mergeCells>
  <phoneticPr fontId="45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zoomScale="85" zoomScaleNormal="85" workbookViewId="0">
      <selection activeCell="H23" sqref="H23"/>
    </sheetView>
  </sheetViews>
  <sheetFormatPr defaultColWidth="9" defaultRowHeight="16.5"/>
  <cols>
    <col min="1" max="1" width="14" style="181" customWidth="1"/>
    <col min="2" max="2" width="14.125" style="181" customWidth="1"/>
    <col min="3" max="18" width="14.25" style="181" customWidth="1"/>
    <col min="19" max="19" width="13.875" style="181" customWidth="1"/>
    <col min="20" max="20" width="9.25" style="181" customWidth="1"/>
    <col min="21" max="21" width="9.125" style="182" customWidth="1"/>
    <col min="22" max="22" width="9.625" style="182" customWidth="1"/>
    <col min="23" max="16384" width="9" style="181"/>
  </cols>
  <sheetData>
    <row r="1" spans="1:22" ht="29.25" customHeight="1">
      <c r="A1" s="245" t="s">
        <v>190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</row>
    <row r="2" spans="1:22" ht="24" customHeight="1">
      <c r="A2" s="42" t="s">
        <v>191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22">
      <c r="C3" s="181" t="s">
        <v>192</v>
      </c>
      <c r="D3" s="180" t="s">
        <v>193</v>
      </c>
      <c r="E3" s="184">
        <v>0.05</v>
      </c>
    </row>
    <row r="5" spans="1:22" s="205" customFormat="1" ht="45" customHeight="1">
      <c r="A5" s="238" t="s">
        <v>194</v>
      </c>
      <c r="B5" s="43" t="s">
        <v>143</v>
      </c>
      <c r="C5" s="171" t="s">
        <v>294</v>
      </c>
      <c r="D5" s="171" t="s">
        <v>294</v>
      </c>
      <c r="E5" s="171" t="s">
        <v>295</v>
      </c>
      <c r="F5" s="171" t="s">
        <v>296</v>
      </c>
      <c r="G5" s="171" t="s">
        <v>294</v>
      </c>
      <c r="H5" s="171" t="s">
        <v>294</v>
      </c>
      <c r="I5" s="171" t="s">
        <v>297</v>
      </c>
      <c r="J5" s="171" t="s">
        <v>297</v>
      </c>
      <c r="K5" s="171" t="s">
        <v>297</v>
      </c>
      <c r="L5" s="171" t="s">
        <v>297</v>
      </c>
      <c r="M5" s="171" t="s">
        <v>294</v>
      </c>
      <c r="N5" s="171" t="s">
        <v>294</v>
      </c>
      <c r="O5" s="171" t="s">
        <v>294</v>
      </c>
      <c r="P5" s="171" t="s">
        <v>294</v>
      </c>
      <c r="Q5" s="171" t="s">
        <v>294</v>
      </c>
      <c r="R5" s="171" t="s">
        <v>294</v>
      </c>
      <c r="S5" s="242" t="s">
        <v>51</v>
      </c>
      <c r="U5" s="206"/>
      <c r="V5" s="206"/>
    </row>
    <row r="6" spans="1:22" ht="31.5" customHeight="1">
      <c r="A6" s="238"/>
      <c r="B6" s="43" t="s">
        <v>144</v>
      </c>
      <c r="C6" s="196" t="s">
        <v>298</v>
      </c>
      <c r="D6" s="196" t="s">
        <v>299</v>
      </c>
      <c r="E6" s="196" t="s">
        <v>300</v>
      </c>
      <c r="F6" s="196" t="s">
        <v>301</v>
      </c>
      <c r="G6" s="196" t="s">
        <v>302</v>
      </c>
      <c r="H6" s="196" t="s">
        <v>303</v>
      </c>
      <c r="I6" s="196" t="s">
        <v>304</v>
      </c>
      <c r="J6" s="196" t="s">
        <v>305</v>
      </c>
      <c r="K6" s="196" t="s">
        <v>306</v>
      </c>
      <c r="L6" s="196" t="s">
        <v>307</v>
      </c>
      <c r="M6" s="196" t="s">
        <v>308</v>
      </c>
      <c r="N6" s="196" t="s">
        <v>309</v>
      </c>
      <c r="O6" s="196" t="s">
        <v>310</v>
      </c>
      <c r="P6" s="196" t="s">
        <v>311</v>
      </c>
      <c r="Q6" s="196" t="s">
        <v>312</v>
      </c>
      <c r="R6" s="196" t="s">
        <v>313</v>
      </c>
      <c r="S6" s="243"/>
      <c r="U6" s="182">
        <v>100</v>
      </c>
    </row>
    <row r="7" spans="1:22" ht="32.25" customHeight="1">
      <c r="A7" s="238"/>
      <c r="B7" s="15" t="s">
        <v>195</v>
      </c>
      <c r="C7" s="196" t="s">
        <v>314</v>
      </c>
      <c r="D7" s="196" t="s">
        <v>314</v>
      </c>
      <c r="E7" s="196" t="s">
        <v>314</v>
      </c>
      <c r="F7" s="196" t="s">
        <v>314</v>
      </c>
      <c r="G7" s="196" t="s">
        <v>315</v>
      </c>
      <c r="H7" s="196" t="s">
        <v>315</v>
      </c>
      <c r="I7" s="196" t="s">
        <v>316</v>
      </c>
      <c r="J7" s="196" t="s">
        <v>316</v>
      </c>
      <c r="K7" s="196" t="s">
        <v>316</v>
      </c>
      <c r="L7" s="196" t="s">
        <v>316</v>
      </c>
      <c r="M7" s="196" t="s">
        <v>317</v>
      </c>
      <c r="N7" s="196" t="s">
        <v>317</v>
      </c>
      <c r="O7" s="196" t="s">
        <v>317</v>
      </c>
      <c r="P7" s="196" t="s">
        <v>317</v>
      </c>
      <c r="Q7" s="196" t="s">
        <v>317</v>
      </c>
      <c r="R7" s="196" t="s">
        <v>317</v>
      </c>
      <c r="S7" s="244"/>
      <c r="T7" s="181">
        <v>2026</v>
      </c>
      <c r="U7" s="182">
        <f>U6*(1-$E$3)</f>
        <v>95</v>
      </c>
      <c r="V7" s="182">
        <f>U7/$U$6</f>
        <v>0.95</v>
      </c>
    </row>
    <row r="8" spans="1:22" ht="33">
      <c r="A8" s="238"/>
      <c r="B8" s="15" t="s">
        <v>196</v>
      </c>
      <c r="C8" s="203">
        <v>1831.8584070796501</v>
      </c>
      <c r="D8" s="203">
        <v>2296.4601769911501</v>
      </c>
      <c r="E8" s="203">
        <v>579.64601769911496</v>
      </c>
      <c r="F8" s="203">
        <v>58.504424778761098</v>
      </c>
      <c r="G8" s="203">
        <v>2699.1150442477901</v>
      </c>
      <c r="H8" s="203">
        <v>2234.5132743362801</v>
      </c>
      <c r="I8" s="203"/>
      <c r="J8" s="203"/>
      <c r="K8" s="203"/>
      <c r="L8" s="203"/>
      <c r="M8" s="203">
        <v>2286.7256637168098</v>
      </c>
      <c r="N8" s="203">
        <v>1822.12389380531</v>
      </c>
      <c r="O8" s="203">
        <v>2286.7256637168098</v>
      </c>
      <c r="P8" s="203">
        <v>2286.7256637168098</v>
      </c>
      <c r="Q8" s="203">
        <v>1822.12389380531</v>
      </c>
      <c r="R8" s="203">
        <v>1822.12389380531</v>
      </c>
      <c r="S8" s="185">
        <f>SUM(C8:R8)</f>
        <v>22026.646017699106</v>
      </c>
      <c r="T8" s="181">
        <v>2027</v>
      </c>
      <c r="U8" s="182">
        <f>U7*(1-$E$3)</f>
        <v>90.25</v>
      </c>
      <c r="V8" s="182">
        <f>U8/$U$6</f>
        <v>0.90249999999999997</v>
      </c>
    </row>
    <row r="9" spans="1:22" ht="17.25">
      <c r="A9" s="239" t="s">
        <v>197</v>
      </c>
      <c r="B9" s="186" t="s">
        <v>48</v>
      </c>
      <c r="C9" s="204">
        <v>2000</v>
      </c>
      <c r="D9" s="204">
        <v>2000</v>
      </c>
      <c r="E9" s="204">
        <v>4000</v>
      </c>
      <c r="F9" s="204">
        <v>4000</v>
      </c>
      <c r="G9" s="204">
        <v>100</v>
      </c>
      <c r="H9" s="204">
        <v>100</v>
      </c>
      <c r="I9" s="204"/>
      <c r="J9" s="204"/>
      <c r="K9" s="204"/>
      <c r="L9" s="204"/>
      <c r="M9" s="204">
        <v>3000</v>
      </c>
      <c r="N9" s="204">
        <v>5000</v>
      </c>
      <c r="O9" s="204">
        <v>3000</v>
      </c>
      <c r="P9" s="204">
        <v>500</v>
      </c>
      <c r="Q9" s="204">
        <v>5000</v>
      </c>
      <c r="R9" s="204">
        <v>500</v>
      </c>
      <c r="S9" s="185">
        <f>SUM(C9:R9)</f>
        <v>29200</v>
      </c>
      <c r="T9" s="181">
        <v>2028</v>
      </c>
      <c r="U9" s="182">
        <f>U8*(1-E3)</f>
        <v>85.737499999999997</v>
      </c>
      <c r="V9" s="182">
        <f>U9/$U$6</f>
        <v>0.857375</v>
      </c>
    </row>
    <row r="10" spans="1:22" ht="17.25">
      <c r="A10" s="240"/>
      <c r="B10" s="186" t="s">
        <v>49</v>
      </c>
      <c r="C10" s="204">
        <v>5000</v>
      </c>
      <c r="D10" s="204">
        <v>5000</v>
      </c>
      <c r="E10" s="204">
        <v>10000</v>
      </c>
      <c r="F10" s="204">
        <v>10000</v>
      </c>
      <c r="G10" s="204">
        <v>200</v>
      </c>
      <c r="H10" s="204">
        <v>300</v>
      </c>
      <c r="I10" s="204"/>
      <c r="J10" s="204"/>
      <c r="K10" s="204"/>
      <c r="L10" s="204"/>
      <c r="M10" s="204">
        <v>5000</v>
      </c>
      <c r="N10" s="204">
        <v>8000</v>
      </c>
      <c r="O10" s="204">
        <v>5000</v>
      </c>
      <c r="P10" s="204">
        <v>1000</v>
      </c>
      <c r="Q10" s="204">
        <v>10000</v>
      </c>
      <c r="R10" s="204">
        <v>1000</v>
      </c>
      <c r="S10" s="185">
        <f t="shared" ref="S10:S15" si="0">SUM(C10:R10)</f>
        <v>60500</v>
      </c>
      <c r="T10" s="181">
        <v>2029</v>
      </c>
      <c r="U10" s="182">
        <f>U9*(1-$E$3)</f>
        <v>81.450624999999988</v>
      </c>
      <c r="V10" s="182">
        <f>U10/$U$6</f>
        <v>0.81450624999999988</v>
      </c>
    </row>
    <row r="11" spans="1:22" ht="17.25">
      <c r="A11" s="240"/>
      <c r="B11" s="186" t="s">
        <v>50</v>
      </c>
      <c r="C11" s="204">
        <v>5000</v>
      </c>
      <c r="D11" s="204">
        <v>5000</v>
      </c>
      <c r="E11" s="204">
        <v>10000</v>
      </c>
      <c r="F11" s="204">
        <v>10000</v>
      </c>
      <c r="G11" s="204">
        <v>200</v>
      </c>
      <c r="H11" s="204">
        <v>300</v>
      </c>
      <c r="I11" s="204"/>
      <c r="J11" s="204"/>
      <c r="K11" s="204"/>
      <c r="L11" s="204"/>
      <c r="M11" s="204">
        <v>5000</v>
      </c>
      <c r="N11" s="204">
        <v>10000</v>
      </c>
      <c r="O11" s="204">
        <v>5000</v>
      </c>
      <c r="P11" s="204">
        <v>1000</v>
      </c>
      <c r="Q11" s="204">
        <v>10000</v>
      </c>
      <c r="R11" s="204">
        <v>1000</v>
      </c>
      <c r="S11" s="185">
        <f t="shared" si="0"/>
        <v>62500</v>
      </c>
      <c r="T11" s="181">
        <v>2030</v>
      </c>
      <c r="U11" s="182">
        <f>U10*(1-$E$3)</f>
        <v>77.378093749999991</v>
      </c>
      <c r="V11" s="182">
        <f t="shared" ref="V11:V12" si="1">U11/$U$6</f>
        <v>0.77378093749999988</v>
      </c>
    </row>
    <row r="12" spans="1:22" ht="17.25">
      <c r="A12" s="240"/>
      <c r="B12" s="186" t="s">
        <v>185</v>
      </c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5">
        <f t="shared" si="0"/>
        <v>0</v>
      </c>
      <c r="T12" s="181">
        <v>2031</v>
      </c>
      <c r="U12" s="182">
        <f>U11*(1-$E$3)</f>
        <v>73.509189062499985</v>
      </c>
      <c r="V12" s="182">
        <f t="shared" si="1"/>
        <v>0.7350918906249998</v>
      </c>
    </row>
    <row r="13" spans="1:22" ht="17.25">
      <c r="A13" s="240"/>
      <c r="B13" s="186" t="s">
        <v>186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5">
        <f t="shared" si="0"/>
        <v>0</v>
      </c>
    </row>
    <row r="14" spans="1:22" ht="17.25">
      <c r="A14" s="240"/>
      <c r="B14" s="186" t="s">
        <v>187</v>
      </c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5">
        <f t="shared" si="0"/>
        <v>0</v>
      </c>
    </row>
    <row r="15" spans="1:22" ht="17.25">
      <c r="A15" s="241"/>
      <c r="B15" s="186" t="s">
        <v>262</v>
      </c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5">
        <f t="shared" si="0"/>
        <v>0</v>
      </c>
    </row>
    <row r="16" spans="1:22" ht="24" customHeight="1">
      <c r="A16" s="237" t="s">
        <v>51</v>
      </c>
      <c r="B16" s="237"/>
      <c r="C16" s="189">
        <f t="shared" ref="C16:S16" si="2">SUM(C9:C15)</f>
        <v>12000</v>
      </c>
      <c r="D16" s="189">
        <f t="shared" si="2"/>
        <v>12000</v>
      </c>
      <c r="E16" s="189">
        <f t="shared" si="2"/>
        <v>24000</v>
      </c>
      <c r="F16" s="189">
        <f t="shared" si="2"/>
        <v>24000</v>
      </c>
      <c r="G16" s="189">
        <f t="shared" ref="G16:R16" si="3">SUM(G9:G15)</f>
        <v>500</v>
      </c>
      <c r="H16" s="189">
        <f t="shared" si="3"/>
        <v>700</v>
      </c>
      <c r="I16" s="189">
        <f t="shared" si="3"/>
        <v>0</v>
      </c>
      <c r="J16" s="189">
        <f t="shared" si="3"/>
        <v>0</v>
      </c>
      <c r="K16" s="189">
        <f t="shared" si="3"/>
        <v>0</v>
      </c>
      <c r="L16" s="189">
        <f t="shared" si="3"/>
        <v>0</v>
      </c>
      <c r="M16" s="189">
        <f t="shared" si="3"/>
        <v>13000</v>
      </c>
      <c r="N16" s="189">
        <f t="shared" si="3"/>
        <v>23000</v>
      </c>
      <c r="O16" s="189">
        <f t="shared" si="3"/>
        <v>13000</v>
      </c>
      <c r="P16" s="189">
        <f t="shared" si="3"/>
        <v>2500</v>
      </c>
      <c r="Q16" s="189">
        <f t="shared" si="3"/>
        <v>25000</v>
      </c>
      <c r="R16" s="189">
        <f t="shared" si="3"/>
        <v>2500</v>
      </c>
      <c r="S16" s="189">
        <f t="shared" si="2"/>
        <v>152200</v>
      </c>
    </row>
    <row r="17" spans="1:19" ht="18">
      <c r="A17" s="190"/>
      <c r="B17" s="190"/>
      <c r="C17" s="44"/>
    </row>
    <row r="18" spans="1:19" ht="24.75" customHeight="1">
      <c r="B18" s="191" t="s">
        <v>198</v>
      </c>
      <c r="C18" s="192">
        <f>材料成本!D24</f>
        <v>1355.4635179773486</v>
      </c>
      <c r="D18" s="192">
        <f>材料成本!E24</f>
        <v>1867.5076590874635</v>
      </c>
      <c r="E18" s="192">
        <f>材料成本!F24</f>
        <v>432.05331546757441</v>
      </c>
      <c r="F18" s="192">
        <f>材料成本!G24</f>
        <v>31.156465714285716</v>
      </c>
      <c r="G18" s="192">
        <f>材料成本!H24</f>
        <v>1837.194359059414</v>
      </c>
      <c r="H18" s="192">
        <f>材料成本!I24</f>
        <v>1474.4823892600864</v>
      </c>
      <c r="I18" s="192">
        <f>材料成本!J24</f>
        <v>0</v>
      </c>
      <c r="J18" s="192">
        <f>材料成本!K24</f>
        <v>0</v>
      </c>
      <c r="K18" s="192">
        <f>材料成本!L24</f>
        <v>0</v>
      </c>
      <c r="L18" s="192">
        <f>材料成本!M24</f>
        <v>0</v>
      </c>
      <c r="M18" s="192">
        <f>材料成本!N24</f>
        <v>1578.1943590594142</v>
      </c>
      <c r="N18" s="192">
        <f>材料成本!O24</f>
        <v>1215.4823892600864</v>
      </c>
      <c r="O18" s="192">
        <f>材料成本!P24</f>
        <v>1578.9262791732858</v>
      </c>
      <c r="P18" s="192">
        <f>材料成本!Q24</f>
        <v>1578.9262791732858</v>
      </c>
      <c r="Q18" s="192">
        <f>材料成本!R24</f>
        <v>1216.214309373958</v>
      </c>
      <c r="R18" s="192">
        <f>材料成本!S24</f>
        <v>1216.214309373958</v>
      </c>
      <c r="S18" s="193">
        <f>SUM(C18:R18)</f>
        <v>15381.81563198016</v>
      </c>
    </row>
    <row r="19" spans="1:19" ht="24.75" customHeight="1">
      <c r="B19" s="191" t="s">
        <v>98</v>
      </c>
      <c r="C19" s="192">
        <f>C8-C18</f>
        <v>476.39488910230148</v>
      </c>
      <c r="D19" s="192">
        <f>D8-D18</f>
        <v>428.95251790368661</v>
      </c>
      <c r="E19" s="192">
        <f>E8-E18</f>
        <v>147.59270223154056</v>
      </c>
      <c r="F19" s="192">
        <f>F8-F18</f>
        <v>27.347959064475383</v>
      </c>
      <c r="G19" s="192">
        <f t="shared" ref="G19:R19" si="4">G8-G18</f>
        <v>861.92068518837618</v>
      </c>
      <c r="H19" s="192">
        <f t="shared" si="4"/>
        <v>760.03088507619373</v>
      </c>
      <c r="I19" s="192">
        <f t="shared" si="4"/>
        <v>0</v>
      </c>
      <c r="J19" s="192">
        <f t="shared" si="4"/>
        <v>0</v>
      </c>
      <c r="K19" s="192">
        <f t="shared" si="4"/>
        <v>0</v>
      </c>
      <c r="L19" s="192">
        <f t="shared" si="4"/>
        <v>0</v>
      </c>
      <c r="M19" s="192">
        <f t="shared" si="4"/>
        <v>708.53130465739559</v>
      </c>
      <c r="N19" s="192">
        <f t="shared" si="4"/>
        <v>606.6415045452236</v>
      </c>
      <c r="O19" s="192">
        <f t="shared" si="4"/>
        <v>707.79938454352396</v>
      </c>
      <c r="P19" s="192">
        <f t="shared" si="4"/>
        <v>707.79938454352396</v>
      </c>
      <c r="Q19" s="192">
        <f t="shared" si="4"/>
        <v>605.90958443135196</v>
      </c>
      <c r="R19" s="192">
        <f t="shared" si="4"/>
        <v>605.90958443135196</v>
      </c>
      <c r="S19" s="193">
        <f>SUM(C19:R19)</f>
        <v>6644.8303857189458</v>
      </c>
    </row>
    <row r="20" spans="1:19" ht="24.75" customHeight="1">
      <c r="B20" s="191" t="s">
        <v>199</v>
      </c>
      <c r="C20" s="194">
        <f t="shared" ref="C20:S20" si="5">C19/C8</f>
        <v>0.26006097810898526</v>
      </c>
      <c r="D20" s="194">
        <f t="shared" si="5"/>
        <v>0.18678857234341656</v>
      </c>
      <c r="E20" s="194">
        <f t="shared" si="5"/>
        <v>0.25462557789563489</v>
      </c>
      <c r="F20" s="194">
        <f t="shared" si="5"/>
        <v>0.46745112302007508</v>
      </c>
      <c r="G20" s="194">
        <f t="shared" ref="G20:R20" si="6">G19/G8</f>
        <v>0.31933454893864399</v>
      </c>
      <c r="H20" s="194">
        <f t="shared" si="6"/>
        <v>0.34013263371726737</v>
      </c>
      <c r="I20" s="194" t="e">
        <f t="shared" si="6"/>
        <v>#DIV/0!</v>
      </c>
      <c r="J20" s="194" t="e">
        <f t="shared" si="6"/>
        <v>#DIV/0!</v>
      </c>
      <c r="K20" s="194" t="e">
        <f t="shared" si="6"/>
        <v>#DIV/0!</v>
      </c>
      <c r="L20" s="194" t="e">
        <f t="shared" si="6"/>
        <v>#DIV/0!</v>
      </c>
      <c r="M20" s="194">
        <f t="shared" si="6"/>
        <v>0.30984534607695763</v>
      </c>
      <c r="N20" s="194">
        <f t="shared" si="6"/>
        <v>0.33293098598159426</v>
      </c>
      <c r="O20" s="194">
        <f t="shared" si="6"/>
        <v>0.30952527265254781</v>
      </c>
      <c r="P20" s="194">
        <f t="shared" si="6"/>
        <v>0.30952527265254781</v>
      </c>
      <c r="Q20" s="194">
        <f t="shared" si="6"/>
        <v>0.33252930082925092</v>
      </c>
      <c r="R20" s="194">
        <f t="shared" si="6"/>
        <v>0.33252930082925092</v>
      </c>
      <c r="S20" s="194">
        <f t="shared" si="5"/>
        <v>0.30167236447980389</v>
      </c>
    </row>
  </sheetData>
  <mergeCells count="5">
    <mergeCell ref="A16:B16"/>
    <mergeCell ref="A5:A8"/>
    <mergeCell ref="A9:A15"/>
    <mergeCell ref="S5:S7"/>
    <mergeCell ref="A1:S1"/>
  </mergeCells>
  <phoneticPr fontId="4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U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9"/>
  <sheetViews>
    <sheetView workbookViewId="0">
      <pane xSplit="3" ySplit="5" topLeftCell="D6" activePane="bottomRight" state="frozen"/>
      <selection pane="topRight"/>
      <selection pane="bottomLeft"/>
      <selection pane="bottomRight" activeCell="K19" sqref="K19"/>
    </sheetView>
  </sheetViews>
  <sheetFormatPr defaultColWidth="9" defaultRowHeight="16.5"/>
  <cols>
    <col min="1" max="2" width="4.375" style="24" customWidth="1"/>
    <col min="3" max="3" width="10" style="24" customWidth="1"/>
    <col min="4" max="20" width="12" style="25" customWidth="1"/>
    <col min="21" max="21" width="12.25" style="24" customWidth="1"/>
    <col min="22" max="22" width="13.25" style="24" customWidth="1"/>
    <col min="23" max="23" width="16" style="24" customWidth="1"/>
    <col min="24" max="16384" width="9" style="24"/>
  </cols>
  <sheetData>
    <row r="1" spans="1:23" s="23" customFormat="1" ht="28.5" customHeight="1">
      <c r="A1" s="246" t="s">
        <v>7</v>
      </c>
      <c r="B1" s="246"/>
      <c r="C1" s="26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W1" s="39"/>
    </row>
    <row r="2" spans="1:23" ht="29.25" customHeight="1">
      <c r="A2" s="257" t="s">
        <v>200</v>
      </c>
      <c r="B2" s="257"/>
      <c r="C2" s="257"/>
      <c r="D2" s="257"/>
      <c r="E2" s="257"/>
      <c r="F2" s="254" t="s">
        <v>286</v>
      </c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6"/>
    </row>
    <row r="3" spans="1:23">
      <c r="A3" s="263" t="s">
        <v>18</v>
      </c>
      <c r="B3" s="263" t="s">
        <v>201</v>
      </c>
      <c r="C3" s="30" t="s">
        <v>202</v>
      </c>
      <c r="D3" s="247" t="s">
        <v>287</v>
      </c>
      <c r="E3" s="247"/>
      <c r="F3" s="29" t="s">
        <v>203</v>
      </c>
      <c r="G3" s="248" t="s">
        <v>288</v>
      </c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50"/>
      <c r="T3" s="251" t="s">
        <v>153</v>
      </c>
    </row>
    <row r="4" spans="1:23" ht="28.5">
      <c r="A4" s="263"/>
      <c r="B4" s="263"/>
      <c r="C4" s="30" t="s">
        <v>143</v>
      </c>
      <c r="D4" s="31" t="str">
        <f>销量!C5</f>
        <v>驾驶员座椅总成</v>
      </c>
      <c r="E4" s="31" t="str">
        <f>销量!D5</f>
        <v>驾驶员座椅总成</v>
      </c>
      <c r="F4" s="31" t="str">
        <f>销量!E5</f>
        <v>副驾驶座椅总成</v>
      </c>
      <c r="G4" s="31" t="str">
        <f>销量!F5</f>
        <v>副驾驶座椅安装支架</v>
      </c>
      <c r="H4" s="31" t="str">
        <f>销量!G5</f>
        <v>驾驶员座椅总成</v>
      </c>
      <c r="I4" s="31" t="str">
        <f>销量!H5</f>
        <v>驾驶员座椅总成</v>
      </c>
      <c r="J4" s="31" t="str">
        <f>销量!I5</f>
        <v>副驾驶员座椅总成</v>
      </c>
      <c r="K4" s="31" t="str">
        <f>销量!J5</f>
        <v>副驾驶员座椅总成</v>
      </c>
      <c r="L4" s="31" t="str">
        <f>销量!K5</f>
        <v>副驾驶员座椅总成</v>
      </c>
      <c r="M4" s="31" t="str">
        <f>销量!L5</f>
        <v>副驾驶员座椅总成</v>
      </c>
      <c r="N4" s="31" t="str">
        <f>销量!M5</f>
        <v>驾驶员座椅总成</v>
      </c>
      <c r="O4" s="31" t="str">
        <f>销量!N5</f>
        <v>驾驶员座椅总成</v>
      </c>
      <c r="P4" s="31" t="str">
        <f>销量!O5</f>
        <v>驾驶员座椅总成</v>
      </c>
      <c r="Q4" s="31" t="str">
        <f>销量!P5</f>
        <v>驾驶员座椅总成</v>
      </c>
      <c r="R4" s="31" t="str">
        <f>销量!Q5</f>
        <v>驾驶员座椅总成</v>
      </c>
      <c r="S4" s="31" t="str">
        <f>销量!R5</f>
        <v>驾驶员座椅总成</v>
      </c>
      <c r="T4" s="252"/>
    </row>
    <row r="5" spans="1:23" ht="28.5">
      <c r="A5" s="263"/>
      <c r="B5" s="263"/>
      <c r="C5" s="30" t="s">
        <v>144</v>
      </c>
      <c r="D5" s="31" t="str">
        <f>销量!C6</f>
        <v>A668100000148</v>
      </c>
      <c r="E5" s="31" t="str">
        <f>销量!D6</f>
        <v>A668100000149</v>
      </c>
      <c r="F5" s="31" t="str">
        <f>销量!E6</f>
        <v>A668100000150</v>
      </c>
      <c r="G5" s="31" t="str">
        <f>销量!F6</f>
        <v>A668100000147</v>
      </c>
      <c r="H5" s="31" t="str">
        <f>销量!G6</f>
        <v>A668100000130</v>
      </c>
      <c r="I5" s="31" t="str">
        <f>销量!H6</f>
        <v>A668100000131</v>
      </c>
      <c r="J5" s="31" t="str">
        <f>销量!I6</f>
        <v>A668100000155</v>
      </c>
      <c r="K5" s="31" t="str">
        <f>销量!J6</f>
        <v>A668100000154</v>
      </c>
      <c r="L5" s="31" t="str">
        <f>销量!K6</f>
        <v>A668100000156</v>
      </c>
      <c r="M5" s="31" t="str">
        <f>销量!L6</f>
        <v>A668100000158</v>
      </c>
      <c r="N5" s="31" t="str">
        <f>销量!M6</f>
        <v>A668100000139</v>
      </c>
      <c r="O5" s="31" t="str">
        <f>销量!N6</f>
        <v>A668100000138</v>
      </c>
      <c r="P5" s="31" t="str">
        <f>销量!O6</f>
        <v>A668100000142</v>
      </c>
      <c r="Q5" s="31" t="str">
        <f>销量!P6</f>
        <v>A668100000143</v>
      </c>
      <c r="R5" s="31" t="str">
        <f>销量!Q6</f>
        <v>A668100000140</v>
      </c>
      <c r="S5" s="31" t="str">
        <f>销量!R6</f>
        <v>A668100000141</v>
      </c>
      <c r="T5" s="253"/>
    </row>
    <row r="6" spans="1:23">
      <c r="A6" s="33">
        <v>1</v>
      </c>
      <c r="B6" s="258" t="s">
        <v>204</v>
      </c>
      <c r="C6" s="259"/>
      <c r="D6" s="34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40"/>
    </row>
    <row r="7" spans="1:23">
      <c r="A7" s="33">
        <v>2</v>
      </c>
      <c r="B7" s="258" t="s">
        <v>205</v>
      </c>
      <c r="C7" s="259"/>
      <c r="D7" s="34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40"/>
    </row>
    <row r="8" spans="1:23">
      <c r="A8" s="33">
        <v>3</v>
      </c>
      <c r="B8" s="258" t="s">
        <v>206</v>
      </c>
      <c r="C8" s="259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40"/>
    </row>
    <row r="9" spans="1:23">
      <c r="A9" s="33">
        <v>4</v>
      </c>
      <c r="B9" s="258" t="s">
        <v>207</v>
      </c>
      <c r="C9" s="259"/>
      <c r="D9" s="34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40"/>
    </row>
    <row r="10" spans="1:23">
      <c r="A10" s="33">
        <v>5</v>
      </c>
      <c r="B10" s="258" t="s">
        <v>208</v>
      </c>
      <c r="C10" s="259"/>
      <c r="D10" s="34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40"/>
    </row>
    <row r="11" spans="1:23">
      <c r="A11" s="33">
        <v>6</v>
      </c>
      <c r="B11" s="258" t="s">
        <v>209</v>
      </c>
      <c r="C11" s="259"/>
      <c r="D11" s="34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40"/>
    </row>
    <row r="12" spans="1:23">
      <c r="A12" s="33">
        <v>7</v>
      </c>
      <c r="B12" s="258" t="s">
        <v>210</v>
      </c>
      <c r="C12" s="259"/>
      <c r="D12" s="34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40"/>
    </row>
    <row r="13" spans="1:23">
      <c r="A13" s="33">
        <v>8</v>
      </c>
      <c r="B13" s="258" t="s">
        <v>211</v>
      </c>
      <c r="C13" s="259"/>
      <c r="D13" s="34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40"/>
    </row>
    <row r="14" spans="1:23">
      <c r="A14" s="33">
        <v>9</v>
      </c>
      <c r="B14" s="258" t="s">
        <v>212</v>
      </c>
      <c r="C14" s="259"/>
      <c r="D14" s="34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40"/>
    </row>
    <row r="15" spans="1:23">
      <c r="A15" s="33">
        <v>10</v>
      </c>
      <c r="B15" s="258" t="s">
        <v>213</v>
      </c>
      <c r="C15" s="259"/>
      <c r="D15" s="34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40"/>
    </row>
    <row r="16" spans="1:23">
      <c r="A16" s="33">
        <v>11</v>
      </c>
      <c r="B16" s="258" t="s">
        <v>214</v>
      </c>
      <c r="C16" s="259"/>
      <c r="D16" s="34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40"/>
    </row>
    <row r="17" spans="1:20">
      <c r="A17" s="33">
        <v>12</v>
      </c>
      <c r="B17" s="258" t="s">
        <v>215</v>
      </c>
      <c r="C17" s="259"/>
      <c r="D17" s="34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40"/>
    </row>
    <row r="18" spans="1:20">
      <c r="A18" s="33">
        <v>13</v>
      </c>
      <c r="B18" s="258" t="s">
        <v>216</v>
      </c>
      <c r="C18" s="259"/>
      <c r="D18" s="34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40"/>
    </row>
    <row r="19" spans="1:20">
      <c r="A19" s="33">
        <v>14</v>
      </c>
      <c r="B19" s="258" t="s">
        <v>217</v>
      </c>
      <c r="C19" s="259"/>
      <c r="D19" s="34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40"/>
    </row>
    <row r="20" spans="1:20">
      <c r="A20" s="33">
        <v>15</v>
      </c>
      <c r="B20" s="258" t="s">
        <v>218</v>
      </c>
      <c r="C20" s="259"/>
      <c r="D20" s="34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40"/>
    </row>
    <row r="21" spans="1:20">
      <c r="A21" s="33">
        <v>16</v>
      </c>
      <c r="B21" s="258" t="s">
        <v>219</v>
      </c>
      <c r="C21" s="259"/>
      <c r="D21" s="34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40"/>
    </row>
    <row r="22" spans="1:20">
      <c r="A22" s="33">
        <v>17</v>
      </c>
      <c r="B22" s="258" t="s">
        <v>36</v>
      </c>
      <c r="C22" s="259"/>
      <c r="D22" s="34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40"/>
    </row>
    <row r="23" spans="1:20">
      <c r="A23" s="33">
        <v>18</v>
      </c>
      <c r="B23" s="258" t="s">
        <v>220</v>
      </c>
      <c r="C23" s="259"/>
      <c r="D23" s="35">
        <f>[3]驾驶员座椅EBOM!$BT$9</f>
        <v>1355.4635179773486</v>
      </c>
      <c r="E23" s="35">
        <v>1867.5076590874635</v>
      </c>
      <c r="F23" s="35">
        <f>'[3]副驾驶员座椅BOM-翻折，滑动'!$AX$10</f>
        <v>432.05331546757441</v>
      </c>
      <c r="G23" s="35">
        <f>'[3]副驾驶员座椅BOM-翻折，滑动'!$AX$316</f>
        <v>31.156465714285716</v>
      </c>
      <c r="H23" s="35">
        <f>[3]驾驶员座椅EBOM!$BL$9</f>
        <v>1837.194359059414</v>
      </c>
      <c r="I23" s="35">
        <f>[3]驾驶员座椅EBOM!$BM$9</f>
        <v>1474.4823892600864</v>
      </c>
      <c r="J23" s="207"/>
      <c r="K23" s="207"/>
      <c r="L23" s="207"/>
      <c r="M23" s="207"/>
      <c r="N23" s="35">
        <f>[3]驾驶员座椅EBOM!$BO$9</f>
        <v>1578.1943590594142</v>
      </c>
      <c r="O23" s="35">
        <f>[3]驾驶员座椅EBOM!$BN$9</f>
        <v>1215.4823892600864</v>
      </c>
      <c r="P23" s="35">
        <f>[3]驾驶员座椅EBOM!$BR$9</f>
        <v>1578.9262791732858</v>
      </c>
      <c r="Q23" s="35">
        <f>[3]驾驶员座椅EBOM!$BS$9</f>
        <v>1578.9262791732858</v>
      </c>
      <c r="R23" s="35">
        <f>[3]驾驶员座椅EBOM!$BP$9</f>
        <v>1216.214309373958</v>
      </c>
      <c r="S23" s="36">
        <f>[3]驾驶员座椅EBOM!$BQ$9</f>
        <v>1216.214309373958</v>
      </c>
      <c r="T23" s="41"/>
    </row>
    <row r="24" spans="1:20" ht="31.5" customHeight="1">
      <c r="A24" s="260" t="s">
        <v>221</v>
      </c>
      <c r="B24" s="261"/>
      <c r="C24" s="262"/>
      <c r="D24" s="37">
        <f>SUM(D6:D23)</f>
        <v>1355.4635179773486</v>
      </c>
      <c r="E24" s="37">
        <f t="shared" ref="E24:S24" si="0">SUM(E6:E23)</f>
        <v>1867.5076590874635</v>
      </c>
      <c r="F24" s="37">
        <f t="shared" si="0"/>
        <v>432.05331546757441</v>
      </c>
      <c r="G24" s="37">
        <f t="shared" si="0"/>
        <v>31.156465714285716</v>
      </c>
      <c r="H24" s="37">
        <f t="shared" si="0"/>
        <v>1837.194359059414</v>
      </c>
      <c r="I24" s="37">
        <f t="shared" si="0"/>
        <v>1474.4823892600864</v>
      </c>
      <c r="J24" s="37">
        <f t="shared" si="0"/>
        <v>0</v>
      </c>
      <c r="K24" s="37">
        <f t="shared" si="0"/>
        <v>0</v>
      </c>
      <c r="L24" s="37">
        <f t="shared" si="0"/>
        <v>0</v>
      </c>
      <c r="M24" s="37">
        <f t="shared" si="0"/>
        <v>0</v>
      </c>
      <c r="N24" s="37">
        <f t="shared" si="0"/>
        <v>1578.1943590594142</v>
      </c>
      <c r="O24" s="37">
        <f t="shared" si="0"/>
        <v>1215.4823892600864</v>
      </c>
      <c r="P24" s="37">
        <f t="shared" si="0"/>
        <v>1578.9262791732858</v>
      </c>
      <c r="Q24" s="37">
        <f t="shared" si="0"/>
        <v>1578.9262791732858</v>
      </c>
      <c r="R24" s="37">
        <f t="shared" si="0"/>
        <v>1216.214309373958</v>
      </c>
      <c r="S24" s="37">
        <f t="shared" si="0"/>
        <v>1216.214309373958</v>
      </c>
      <c r="T24" s="41"/>
    </row>
    <row r="25" spans="1:20" ht="20.25" customHeight="1">
      <c r="C25" s="24" t="s">
        <v>49</v>
      </c>
      <c r="D25" s="38">
        <f>D24*0.95</f>
        <v>1287.6903420784811</v>
      </c>
      <c r="E25" s="38">
        <f t="shared" ref="E25:S25" si="1">E24*0.95</f>
        <v>1774.1322761330903</v>
      </c>
      <c r="F25" s="38">
        <f t="shared" si="1"/>
        <v>410.45064969419565</v>
      </c>
      <c r="G25" s="38">
        <f t="shared" si="1"/>
        <v>29.598642428571427</v>
      </c>
      <c r="H25" s="38">
        <f t="shared" si="1"/>
        <v>1745.3346411064431</v>
      </c>
      <c r="I25" s="38">
        <f t="shared" si="1"/>
        <v>1400.758269797082</v>
      </c>
      <c r="J25" s="38">
        <f t="shared" si="1"/>
        <v>0</v>
      </c>
      <c r="K25" s="38">
        <f t="shared" si="1"/>
        <v>0</v>
      </c>
      <c r="L25" s="38">
        <f t="shared" si="1"/>
        <v>0</v>
      </c>
      <c r="M25" s="38">
        <f t="shared" si="1"/>
        <v>0</v>
      </c>
      <c r="N25" s="38">
        <f t="shared" si="1"/>
        <v>1499.2846411064434</v>
      </c>
      <c r="O25" s="38">
        <f t="shared" si="1"/>
        <v>1154.708269797082</v>
      </c>
      <c r="P25" s="38">
        <f t="shared" si="1"/>
        <v>1499.9799652146214</v>
      </c>
      <c r="Q25" s="38">
        <f t="shared" si="1"/>
        <v>1499.9799652146214</v>
      </c>
      <c r="R25" s="38">
        <f t="shared" si="1"/>
        <v>1155.4035939052601</v>
      </c>
      <c r="S25" s="38">
        <f t="shared" si="1"/>
        <v>1155.4035939052601</v>
      </c>
    </row>
    <row r="26" spans="1:20" ht="20.25" customHeight="1">
      <c r="C26" s="24" t="s">
        <v>50</v>
      </c>
      <c r="D26" s="38">
        <f t="shared" ref="D26:S28" si="2">D25*0.95</f>
        <v>1223.305824974557</v>
      </c>
      <c r="E26" s="38">
        <f t="shared" si="2"/>
        <v>1685.4256623264357</v>
      </c>
      <c r="F26" s="38">
        <f t="shared" si="2"/>
        <v>389.92811720948583</v>
      </c>
      <c r="G26" s="38">
        <f t="shared" si="2"/>
        <v>28.118710307142855</v>
      </c>
      <c r="H26" s="38">
        <f t="shared" si="2"/>
        <v>1658.0679090511208</v>
      </c>
      <c r="I26" s="38">
        <f t="shared" si="2"/>
        <v>1330.7203563072278</v>
      </c>
      <c r="J26" s="38">
        <f t="shared" si="2"/>
        <v>0</v>
      </c>
      <c r="K26" s="38">
        <f t="shared" si="2"/>
        <v>0</v>
      </c>
      <c r="L26" s="38">
        <f t="shared" si="2"/>
        <v>0</v>
      </c>
      <c r="M26" s="38">
        <f t="shared" si="2"/>
        <v>0</v>
      </c>
      <c r="N26" s="38">
        <f t="shared" si="2"/>
        <v>1424.320409051121</v>
      </c>
      <c r="O26" s="38">
        <f t="shared" si="2"/>
        <v>1096.9728563072279</v>
      </c>
      <c r="P26" s="38">
        <f t="shared" si="2"/>
        <v>1424.9809669538902</v>
      </c>
      <c r="Q26" s="38">
        <f t="shared" si="2"/>
        <v>1424.9809669538902</v>
      </c>
      <c r="R26" s="38">
        <f t="shared" si="2"/>
        <v>1097.633414209997</v>
      </c>
      <c r="S26" s="38">
        <f t="shared" si="2"/>
        <v>1097.633414209997</v>
      </c>
    </row>
    <row r="27" spans="1:20" ht="20.25" customHeight="1">
      <c r="C27" s="24" t="s">
        <v>185</v>
      </c>
      <c r="D27" s="38">
        <f t="shared" si="2"/>
        <v>1162.1405337258291</v>
      </c>
      <c r="E27" s="38">
        <f t="shared" si="2"/>
        <v>1601.1543792101138</v>
      </c>
      <c r="F27" s="38">
        <f t="shared" si="2"/>
        <v>370.43171134901155</v>
      </c>
      <c r="G27" s="38">
        <f t="shared" si="2"/>
        <v>26.712774791785712</v>
      </c>
      <c r="H27" s="38">
        <f t="shared" si="2"/>
        <v>1575.1645135985646</v>
      </c>
      <c r="I27" s="38">
        <f t="shared" si="2"/>
        <v>1264.1843384918664</v>
      </c>
      <c r="J27" s="38">
        <f t="shared" si="2"/>
        <v>0</v>
      </c>
      <c r="K27" s="38">
        <f t="shared" si="2"/>
        <v>0</v>
      </c>
      <c r="L27" s="38">
        <f t="shared" si="2"/>
        <v>0</v>
      </c>
      <c r="M27" s="38">
        <f t="shared" si="2"/>
        <v>0</v>
      </c>
      <c r="N27" s="38">
        <f t="shared" si="2"/>
        <v>1353.1043885985648</v>
      </c>
      <c r="O27" s="38">
        <f t="shared" si="2"/>
        <v>1042.1242134918664</v>
      </c>
      <c r="P27" s="38">
        <f t="shared" si="2"/>
        <v>1353.7319186061957</v>
      </c>
      <c r="Q27" s="38">
        <f t="shared" si="2"/>
        <v>1353.7319186061957</v>
      </c>
      <c r="R27" s="38">
        <f t="shared" si="2"/>
        <v>1042.751743499497</v>
      </c>
      <c r="S27" s="38">
        <f t="shared" si="2"/>
        <v>1042.751743499497</v>
      </c>
    </row>
    <row r="28" spans="1:20" ht="20.25" customHeight="1">
      <c r="C28" s="24" t="s">
        <v>186</v>
      </c>
      <c r="D28" s="38">
        <f t="shared" si="2"/>
        <v>1104.0335070395377</v>
      </c>
      <c r="E28" s="38">
        <f t="shared" si="2"/>
        <v>1521.096660249608</v>
      </c>
      <c r="F28" s="38">
        <f t="shared" si="2"/>
        <v>351.91012578156096</v>
      </c>
      <c r="G28" s="38">
        <f t="shared" si="2"/>
        <v>25.377136052196427</v>
      </c>
      <c r="H28" s="38">
        <f t="shared" si="2"/>
        <v>1496.4062879186363</v>
      </c>
      <c r="I28" s="38">
        <f t="shared" si="2"/>
        <v>1200.9751215672729</v>
      </c>
      <c r="J28" s="38">
        <f t="shared" si="2"/>
        <v>0</v>
      </c>
      <c r="K28" s="38">
        <f t="shared" si="2"/>
        <v>0</v>
      </c>
      <c r="L28" s="38">
        <f t="shared" si="2"/>
        <v>0</v>
      </c>
      <c r="M28" s="38">
        <f t="shared" si="2"/>
        <v>0</v>
      </c>
      <c r="N28" s="38">
        <f t="shared" si="2"/>
        <v>1285.4491691686364</v>
      </c>
      <c r="O28" s="38">
        <f t="shared" si="2"/>
        <v>990.01800281727299</v>
      </c>
      <c r="P28" s="38">
        <f t="shared" si="2"/>
        <v>1286.0453226758859</v>
      </c>
      <c r="Q28" s="38">
        <f t="shared" si="2"/>
        <v>1286.0453226758859</v>
      </c>
      <c r="R28" s="38">
        <f t="shared" si="2"/>
        <v>990.61415632452213</v>
      </c>
      <c r="S28" s="38">
        <f t="shared" si="2"/>
        <v>990.61415632452213</v>
      </c>
    </row>
    <row r="29" spans="1:20" ht="20.25" customHeight="1">
      <c r="C29" s="24" t="s">
        <v>187</v>
      </c>
    </row>
  </sheetData>
  <mergeCells count="27"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D3:E3"/>
    <mergeCell ref="G3:S3"/>
    <mergeCell ref="T3:T5"/>
    <mergeCell ref="F2:T2"/>
    <mergeCell ref="A2:E2"/>
  </mergeCells>
  <phoneticPr fontId="45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10" sqref="D10"/>
    </sheetView>
  </sheetViews>
  <sheetFormatPr defaultColWidth="9" defaultRowHeight="13.5"/>
  <cols>
    <col min="1" max="1" width="5.75" style="16" customWidth="1"/>
    <col min="2" max="2" width="29.625" style="16" customWidth="1"/>
    <col min="3" max="3" width="25.5" style="16" customWidth="1"/>
    <col min="4" max="4" width="22" style="16" customWidth="1"/>
    <col min="5" max="16384" width="9" style="16"/>
  </cols>
  <sheetData>
    <row r="1" spans="1:4" ht="39.75" customHeight="1">
      <c r="A1" s="17" t="s">
        <v>18</v>
      </c>
      <c r="B1" s="17" t="s">
        <v>222</v>
      </c>
      <c r="C1" s="17" t="s">
        <v>223</v>
      </c>
      <c r="D1" s="17" t="s">
        <v>224</v>
      </c>
    </row>
    <row r="2" spans="1:4" ht="25.5" customHeight="1">
      <c r="A2" s="17">
        <v>1</v>
      </c>
      <c r="B2" s="18" t="s">
        <v>225</v>
      </c>
      <c r="C2" s="19" t="s">
        <v>320</v>
      </c>
      <c r="D2" s="174"/>
    </row>
    <row r="3" spans="1:4" ht="24" customHeight="1">
      <c r="A3" s="17">
        <v>2</v>
      </c>
      <c r="B3" s="18" t="s">
        <v>226</v>
      </c>
      <c r="C3" s="20" t="s">
        <v>321</v>
      </c>
      <c r="D3" s="174" t="s">
        <v>227</v>
      </c>
    </row>
    <row r="4" spans="1:4" ht="19.5" customHeight="1">
      <c r="A4" s="17">
        <v>3</v>
      </c>
      <c r="B4" s="18" t="s">
        <v>228</v>
      </c>
      <c r="C4" s="19" t="s">
        <v>229</v>
      </c>
      <c r="D4" s="174" t="s">
        <v>281</v>
      </c>
    </row>
    <row r="5" spans="1:4" ht="21" customHeight="1">
      <c r="A5" s="17">
        <v>4</v>
      </c>
      <c r="B5" s="18" t="s">
        <v>230</v>
      </c>
      <c r="C5" s="19" t="s">
        <v>282</v>
      </c>
      <c r="D5" s="174"/>
    </row>
    <row r="6" spans="1:4" ht="21" customHeight="1">
      <c r="A6" s="17">
        <v>5</v>
      </c>
      <c r="B6" s="18" t="s">
        <v>231</v>
      </c>
      <c r="C6" s="19" t="s">
        <v>283</v>
      </c>
      <c r="D6" s="174"/>
    </row>
    <row r="7" spans="1:4" ht="27.75" customHeight="1">
      <c r="A7" s="17">
        <v>6</v>
      </c>
      <c r="B7" s="17" t="s">
        <v>232</v>
      </c>
      <c r="C7" s="20" t="s">
        <v>173</v>
      </c>
      <c r="D7" s="174"/>
    </row>
    <row r="8" spans="1:4" ht="25.5" customHeight="1">
      <c r="A8" s="17">
        <v>7</v>
      </c>
      <c r="B8" s="18" t="s">
        <v>233</v>
      </c>
      <c r="C8" s="21" t="s">
        <v>234</v>
      </c>
      <c r="D8" s="174"/>
    </row>
    <row r="9" spans="1:4" ht="25.5" customHeight="1">
      <c r="A9" s="17">
        <v>8</v>
      </c>
      <c r="B9" s="17" t="s">
        <v>235</v>
      </c>
      <c r="C9" s="208">
        <v>3.0000000000000001E-3</v>
      </c>
      <c r="D9" s="174"/>
    </row>
    <row r="10" spans="1:4" ht="25.5" customHeight="1">
      <c r="A10" s="17">
        <v>9</v>
      </c>
      <c r="B10" s="17" t="s">
        <v>236</v>
      </c>
      <c r="C10" s="21"/>
      <c r="D10" s="174"/>
    </row>
    <row r="11" spans="1:4" ht="25.5" customHeight="1">
      <c r="A11" s="17">
        <v>10</v>
      </c>
      <c r="B11" s="17" t="s">
        <v>237</v>
      </c>
      <c r="C11" s="21" t="s">
        <v>284</v>
      </c>
      <c r="D11" s="174" t="s">
        <v>238</v>
      </c>
    </row>
    <row r="12" spans="1:4" ht="25.5" customHeight="1">
      <c r="A12" s="17">
        <v>11</v>
      </c>
      <c r="B12" s="17" t="s">
        <v>239</v>
      </c>
      <c r="C12" s="21" t="s">
        <v>284</v>
      </c>
      <c r="D12" s="174"/>
    </row>
    <row r="13" spans="1:4" ht="24" customHeight="1">
      <c r="A13" s="17">
        <v>12</v>
      </c>
      <c r="B13" s="18" t="s">
        <v>240</v>
      </c>
      <c r="C13" s="21" t="s">
        <v>241</v>
      </c>
      <c r="D13" s="174"/>
    </row>
    <row r="14" spans="1:4" ht="24" customHeight="1">
      <c r="A14" s="17">
        <v>13</v>
      </c>
      <c r="B14" s="18" t="s">
        <v>242</v>
      </c>
      <c r="C14" s="21" t="s">
        <v>322</v>
      </c>
      <c r="D14" s="174"/>
    </row>
    <row r="15" spans="1:4" ht="24" customHeight="1">
      <c r="A15" s="17">
        <v>14</v>
      </c>
      <c r="B15" s="18" t="s">
        <v>243</v>
      </c>
      <c r="C15" s="21" t="s">
        <v>285</v>
      </c>
      <c r="D15" s="174"/>
    </row>
    <row r="16" spans="1:4" ht="24" customHeight="1">
      <c r="A16" s="17">
        <v>15</v>
      </c>
      <c r="B16" s="17" t="s">
        <v>36</v>
      </c>
      <c r="C16" s="17"/>
      <c r="D16" s="17"/>
    </row>
    <row r="17" spans="2:2" ht="16.5">
      <c r="B17" s="22" t="s">
        <v>244</v>
      </c>
    </row>
  </sheetData>
  <phoneticPr fontId="4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05"/>
  <sheetViews>
    <sheetView zoomScale="85" zoomScaleNormal="85" workbookViewId="0">
      <selection activeCell="C6" sqref="C6"/>
    </sheetView>
  </sheetViews>
  <sheetFormatPr defaultColWidth="9" defaultRowHeight="13.5"/>
  <cols>
    <col min="1" max="2" width="9" style="2"/>
    <col min="3" max="4" width="12.625" style="2" customWidth="1"/>
    <col min="5" max="5" width="11.5" style="2" customWidth="1"/>
    <col min="6" max="7" width="11.125" style="2" customWidth="1"/>
    <col min="8" max="8" width="14.5" style="2" customWidth="1"/>
    <col min="9" max="9" width="16.125" style="3" customWidth="1"/>
    <col min="10" max="16384" width="9" style="2"/>
  </cols>
  <sheetData>
    <row r="1" spans="1:15" s="1" customFormat="1" ht="18.75" customHeight="1">
      <c r="G1" s="269" t="s">
        <v>245</v>
      </c>
      <c r="H1" s="269"/>
      <c r="I1" s="15" t="str">
        <f>销量!C6</f>
        <v>A668100000148</v>
      </c>
    </row>
    <row r="2" spans="1:15" ht="39" customHeight="1">
      <c r="A2" s="270" t="s">
        <v>246</v>
      </c>
      <c r="B2" s="270"/>
      <c r="C2" s="265" t="s">
        <v>289</v>
      </c>
      <c r="D2" s="271"/>
      <c r="E2" s="271"/>
      <c r="F2" s="271"/>
      <c r="G2" s="271"/>
      <c r="H2" s="266"/>
      <c r="I2" s="3" t="s">
        <v>247</v>
      </c>
    </row>
    <row r="3" spans="1:15" ht="34.5" customHeight="1">
      <c r="A3" s="270"/>
      <c r="B3" s="270"/>
      <c r="C3" s="4" t="s">
        <v>248</v>
      </c>
      <c r="D3" s="4" t="s">
        <v>249</v>
      </c>
      <c r="E3" s="4" t="s">
        <v>250</v>
      </c>
      <c r="F3" s="5" t="s">
        <v>251</v>
      </c>
      <c r="G3" s="5" t="s">
        <v>252</v>
      </c>
      <c r="H3" s="171" t="s">
        <v>261</v>
      </c>
      <c r="I3" s="14">
        <f>销量!C8</f>
        <v>1831.8584070796501</v>
      </c>
      <c r="J3" s="171" t="s">
        <v>293</v>
      </c>
      <c r="K3" s="171" t="s">
        <v>278</v>
      </c>
      <c r="L3" s="171" t="s">
        <v>292</v>
      </c>
      <c r="M3" s="197" t="s">
        <v>290</v>
      </c>
    </row>
    <row r="4" spans="1:15" ht="24" customHeight="1">
      <c r="A4" s="264" t="s">
        <v>254</v>
      </c>
      <c r="B4" s="264"/>
      <c r="C4" s="7"/>
      <c r="D4" s="8"/>
      <c r="E4" s="9">
        <f>$I$3*H4</f>
        <v>127.13097345132772</v>
      </c>
      <c r="F4" s="9"/>
      <c r="G4" s="9"/>
      <c r="H4" s="13">
        <v>6.9400000000000003E-2</v>
      </c>
      <c r="J4" s="10">
        <v>1.23E-2</v>
      </c>
      <c r="K4" s="13">
        <v>2.93E-2</v>
      </c>
      <c r="L4" s="13">
        <v>6.9400000000000003E-2</v>
      </c>
      <c r="M4" s="198">
        <v>6.9400000000000003E-2</v>
      </c>
    </row>
    <row r="5" spans="1:15" ht="24" customHeight="1">
      <c r="A5" s="264" t="s">
        <v>255</v>
      </c>
      <c r="B5" s="6" t="s">
        <v>256</v>
      </c>
      <c r="C5" s="7"/>
      <c r="D5" s="8"/>
      <c r="E5" s="9">
        <f>$I$3*H5</f>
        <v>151.12831858407114</v>
      </c>
      <c r="F5" s="9"/>
      <c r="G5" s="9"/>
      <c r="H5" s="10">
        <v>8.2500000000000004E-2</v>
      </c>
      <c r="J5" s="10">
        <v>3.6600000000000001E-2</v>
      </c>
      <c r="K5" s="13">
        <v>6.4699999999999994E-2</v>
      </c>
      <c r="L5" s="10">
        <v>8.2500000000000004E-2</v>
      </c>
      <c r="M5" s="198">
        <v>8.2500000000000004E-2</v>
      </c>
    </row>
    <row r="6" spans="1:15" ht="24" customHeight="1">
      <c r="A6" s="264"/>
      <c r="B6" s="6" t="s">
        <v>257</v>
      </c>
      <c r="C6" s="7"/>
      <c r="D6" s="8"/>
      <c r="E6" s="9">
        <f t="shared" ref="E6:E11" si="0">$I$3*H6</f>
        <v>79.502654867256808</v>
      </c>
      <c r="F6" s="9"/>
      <c r="G6" s="9"/>
      <c r="H6" s="13">
        <v>4.3400000000000001E-2</v>
      </c>
      <c r="J6" s="10">
        <v>1.11E-2</v>
      </c>
      <c r="K6" s="13">
        <v>8.6999999999999994E-3</v>
      </c>
      <c r="L6" s="13">
        <v>4.3400000000000001E-2</v>
      </c>
      <c r="M6" s="198">
        <v>4.3400000000000001E-2</v>
      </c>
    </row>
    <row r="7" spans="1:15" ht="24" customHeight="1">
      <c r="A7" s="265" t="s">
        <v>258</v>
      </c>
      <c r="B7" s="266"/>
      <c r="C7" s="11"/>
      <c r="D7" s="12"/>
      <c r="E7" s="9">
        <f t="shared" si="0"/>
        <v>357.76194690265567</v>
      </c>
      <c r="F7" s="9"/>
      <c r="G7" s="9"/>
      <c r="H7" s="199">
        <f>SUM(H4:H6)</f>
        <v>0.1953</v>
      </c>
      <c r="J7" s="199">
        <f t="shared" ref="J7:K7" si="1">SUM(J4:J6)</f>
        <v>0.06</v>
      </c>
      <c r="K7" s="199">
        <f t="shared" si="1"/>
        <v>0.1027</v>
      </c>
      <c r="L7" s="199">
        <f>SUM(L4:L6)</f>
        <v>0.1953</v>
      </c>
      <c r="M7" s="198"/>
    </row>
    <row r="8" spans="1:15" ht="24" customHeight="1">
      <c r="A8" s="264" t="s">
        <v>81</v>
      </c>
      <c r="B8" s="264"/>
      <c r="C8" s="7"/>
      <c r="D8" s="8"/>
      <c r="E8" s="9">
        <f t="shared" si="0"/>
        <v>48.361061946902758</v>
      </c>
      <c r="F8" s="9"/>
      <c r="G8" s="9"/>
      <c r="H8" s="10">
        <v>2.64E-2</v>
      </c>
      <c r="J8" s="10">
        <v>3.2300000000000002E-2</v>
      </c>
      <c r="K8" s="13">
        <v>2.0500000000000001E-2</v>
      </c>
      <c r="L8" s="10">
        <v>2.64E-2</v>
      </c>
      <c r="M8" s="198">
        <v>2.64E-2</v>
      </c>
      <c r="N8" s="179" t="s">
        <v>291</v>
      </c>
    </row>
    <row r="9" spans="1:15" ht="24" customHeight="1">
      <c r="A9" s="267" t="s">
        <v>259</v>
      </c>
      <c r="B9" s="6" t="s">
        <v>256</v>
      </c>
      <c r="C9" s="7"/>
      <c r="D9" s="8"/>
      <c r="E9" s="9">
        <f t="shared" si="0"/>
        <v>31.507964601769981</v>
      </c>
      <c r="F9" s="9"/>
      <c r="G9" s="9"/>
      <c r="H9" s="10">
        <v>1.72E-2</v>
      </c>
      <c r="J9" s="10">
        <v>8.3999999999999995E-3</v>
      </c>
      <c r="K9" s="13">
        <v>1.37E-2</v>
      </c>
      <c r="L9" s="10">
        <v>1.72E-2</v>
      </c>
      <c r="M9" s="200">
        <v>1.72E-2</v>
      </c>
      <c r="N9" s="201">
        <v>2.1100000000000001E-2</v>
      </c>
      <c r="O9" s="201">
        <v>0.10340000000000001</v>
      </c>
    </row>
    <row r="10" spans="1:15" ht="24" customHeight="1">
      <c r="A10" s="268"/>
      <c r="B10" s="6" t="s">
        <v>257</v>
      </c>
      <c r="C10" s="7"/>
      <c r="D10" s="8"/>
      <c r="E10" s="9">
        <f t="shared" si="0"/>
        <v>119.25398230088523</v>
      </c>
      <c r="F10" s="9"/>
      <c r="G10" s="9"/>
      <c r="H10" s="13">
        <v>6.5100000000000005E-2</v>
      </c>
      <c r="J10" s="10">
        <v>1.6E-2</v>
      </c>
      <c r="K10" s="13">
        <v>4.1200000000000001E-2</v>
      </c>
      <c r="L10" s="13">
        <v>6.5100000000000005E-2</v>
      </c>
      <c r="M10" s="200">
        <v>6.5100000000000005E-2</v>
      </c>
      <c r="N10" s="202"/>
      <c r="O10" s="202"/>
    </row>
    <row r="11" spans="1:15" ht="24" customHeight="1">
      <c r="A11" s="264" t="s">
        <v>84</v>
      </c>
      <c r="B11" s="264"/>
      <c r="C11" s="7"/>
      <c r="D11" s="8"/>
      <c r="E11" s="9">
        <f t="shared" si="0"/>
        <v>65.030973451327569</v>
      </c>
      <c r="F11" s="9"/>
      <c r="G11" s="9"/>
      <c r="H11" s="10">
        <v>3.5499999999999997E-2</v>
      </c>
      <c r="J11" s="10">
        <v>3.5499999999999997E-2</v>
      </c>
      <c r="K11" s="13">
        <v>4.36E-2</v>
      </c>
      <c r="L11" s="10">
        <v>3.5499999999999997E-2</v>
      </c>
      <c r="M11" s="198">
        <v>3.0099999999999998E-2</v>
      </c>
    </row>
    <row r="13" spans="1:15" s="1" customFormat="1" ht="18.75" customHeight="1">
      <c r="G13" s="269" t="s">
        <v>245</v>
      </c>
      <c r="H13" s="269"/>
      <c r="I13" s="15" t="str">
        <f>销量!D6</f>
        <v>A668100000149</v>
      </c>
    </row>
    <row r="14" spans="1:15" ht="39" customHeight="1">
      <c r="A14" s="270" t="s">
        <v>246</v>
      </c>
      <c r="B14" s="270"/>
      <c r="C14" s="265" t="str">
        <f>C2</f>
        <v>河北工厂平均值</v>
      </c>
      <c r="D14" s="271"/>
      <c r="E14" s="271"/>
      <c r="F14" s="271"/>
      <c r="G14" s="271"/>
      <c r="H14" s="266"/>
      <c r="I14" s="3" t="s">
        <v>247</v>
      </c>
    </row>
    <row r="15" spans="1:15" ht="34.5" customHeight="1">
      <c r="A15" s="270"/>
      <c r="B15" s="270"/>
      <c r="C15" s="4" t="s">
        <v>248</v>
      </c>
      <c r="D15" s="4" t="s">
        <v>249</v>
      </c>
      <c r="E15" s="4" t="s">
        <v>250</v>
      </c>
      <c r="F15" s="5" t="s">
        <v>251</v>
      </c>
      <c r="G15" s="5" t="s">
        <v>252</v>
      </c>
      <c r="H15" s="5" t="s">
        <v>253</v>
      </c>
      <c r="I15" s="14">
        <f>销量!D8</f>
        <v>2296.4601769911501</v>
      </c>
    </row>
    <row r="16" spans="1:15" ht="24" customHeight="1">
      <c r="A16" s="264" t="s">
        <v>254</v>
      </c>
      <c r="B16" s="264"/>
      <c r="C16" s="7"/>
      <c r="D16" s="8"/>
      <c r="E16" s="9">
        <f>$I$15*H16</f>
        <v>159.37433628318581</v>
      </c>
      <c r="F16" s="9"/>
      <c r="G16" s="9"/>
      <c r="H16" s="10">
        <f t="shared" ref="H16:H23" si="2">H4</f>
        <v>6.9400000000000003E-2</v>
      </c>
    </row>
    <row r="17" spans="1:9" ht="24" customHeight="1">
      <c r="A17" s="264" t="s">
        <v>255</v>
      </c>
      <c r="B17" s="6" t="s">
        <v>256</v>
      </c>
      <c r="C17" s="7"/>
      <c r="D17" s="8"/>
      <c r="E17" s="9">
        <f t="shared" ref="E17:E23" si="3">$I$15*H17</f>
        <v>189.4579646017699</v>
      </c>
      <c r="F17" s="9"/>
      <c r="G17" s="9"/>
      <c r="H17" s="10">
        <f t="shared" si="2"/>
        <v>8.2500000000000004E-2</v>
      </c>
    </row>
    <row r="18" spans="1:9" ht="24" customHeight="1">
      <c r="A18" s="264"/>
      <c r="B18" s="6" t="s">
        <v>257</v>
      </c>
      <c r="C18" s="7"/>
      <c r="D18" s="8"/>
      <c r="E18" s="9">
        <f t="shared" si="3"/>
        <v>99.66637168141591</v>
      </c>
      <c r="F18" s="9"/>
      <c r="G18" s="9"/>
      <c r="H18" s="10">
        <f t="shared" si="2"/>
        <v>4.3400000000000001E-2</v>
      </c>
    </row>
    <row r="19" spans="1:9" ht="24" customHeight="1">
      <c r="A19" s="265" t="s">
        <v>258</v>
      </c>
      <c r="B19" s="266"/>
      <c r="C19" s="11"/>
      <c r="D19" s="12"/>
      <c r="E19" s="9">
        <f t="shared" si="3"/>
        <v>448.49867256637162</v>
      </c>
      <c r="F19" s="9"/>
      <c r="G19" s="9"/>
      <c r="H19" s="13">
        <f t="shared" si="2"/>
        <v>0.1953</v>
      </c>
    </row>
    <row r="20" spans="1:9" ht="24" customHeight="1">
      <c r="A20" s="264" t="s">
        <v>81</v>
      </c>
      <c r="B20" s="264"/>
      <c r="C20" s="7"/>
      <c r="D20" s="8"/>
      <c r="E20" s="9">
        <f t="shared" si="3"/>
        <v>60.626548672566365</v>
      </c>
      <c r="F20" s="9"/>
      <c r="G20" s="9"/>
      <c r="H20" s="10">
        <f t="shared" si="2"/>
        <v>2.64E-2</v>
      </c>
    </row>
    <row r="21" spans="1:9" ht="24" customHeight="1">
      <c r="A21" s="267" t="s">
        <v>259</v>
      </c>
      <c r="B21" s="6" t="s">
        <v>256</v>
      </c>
      <c r="C21" s="7"/>
      <c r="D21" s="8"/>
      <c r="E21" s="9">
        <f t="shared" si="3"/>
        <v>39.49911504424778</v>
      </c>
      <c r="F21" s="9"/>
      <c r="G21" s="9"/>
      <c r="H21" s="10">
        <f t="shared" si="2"/>
        <v>1.72E-2</v>
      </c>
    </row>
    <row r="22" spans="1:9" ht="24" customHeight="1">
      <c r="A22" s="268"/>
      <c r="B22" s="6" t="s">
        <v>257</v>
      </c>
      <c r="C22" s="7"/>
      <c r="D22" s="8"/>
      <c r="E22" s="9">
        <f t="shared" si="3"/>
        <v>149.49955752212389</v>
      </c>
      <c r="F22" s="9"/>
      <c r="G22" s="9"/>
      <c r="H22" s="10">
        <f t="shared" si="2"/>
        <v>6.5100000000000005E-2</v>
      </c>
    </row>
    <row r="23" spans="1:9" ht="24" customHeight="1">
      <c r="A23" s="264" t="s">
        <v>84</v>
      </c>
      <c r="B23" s="264"/>
      <c r="C23" s="7"/>
      <c r="D23" s="8"/>
      <c r="E23" s="9">
        <f t="shared" si="3"/>
        <v>81.524336283185818</v>
      </c>
      <c r="F23" s="9"/>
      <c r="G23" s="9"/>
      <c r="H23" s="10">
        <f t="shared" si="2"/>
        <v>3.5499999999999997E-2</v>
      </c>
    </row>
    <row r="26" spans="1:9" s="1" customFormat="1" ht="18.75" customHeight="1">
      <c r="G26" s="269" t="s">
        <v>245</v>
      </c>
      <c r="H26" s="269"/>
      <c r="I26" s="15" t="str">
        <f>销量!E6</f>
        <v>A668100000150</v>
      </c>
    </row>
    <row r="27" spans="1:9" ht="39" customHeight="1">
      <c r="A27" s="270" t="s">
        <v>246</v>
      </c>
      <c r="B27" s="270"/>
      <c r="C27" s="265" t="str">
        <f>C2</f>
        <v>河北工厂平均值</v>
      </c>
      <c r="D27" s="271"/>
      <c r="E27" s="271"/>
      <c r="F27" s="271"/>
      <c r="G27" s="271"/>
      <c r="H27" s="266"/>
      <c r="I27" s="3" t="s">
        <v>247</v>
      </c>
    </row>
    <row r="28" spans="1:9" ht="34.5" customHeight="1">
      <c r="A28" s="270"/>
      <c r="B28" s="270"/>
      <c r="C28" s="4" t="s">
        <v>248</v>
      </c>
      <c r="D28" s="4" t="s">
        <v>249</v>
      </c>
      <c r="E28" s="4" t="s">
        <v>250</v>
      </c>
      <c r="F28" s="5" t="s">
        <v>251</v>
      </c>
      <c r="G28" s="5" t="s">
        <v>252</v>
      </c>
      <c r="H28" s="5" t="s">
        <v>253</v>
      </c>
      <c r="I28" s="14">
        <f>销量!E8</f>
        <v>579.64601769911496</v>
      </c>
    </row>
    <row r="29" spans="1:9" ht="24" customHeight="1">
      <c r="A29" s="264" t="s">
        <v>254</v>
      </c>
      <c r="B29" s="264"/>
      <c r="C29" s="7"/>
      <c r="D29" s="8"/>
      <c r="E29" s="9">
        <f>$I$28*H29</f>
        <v>40.227433628318579</v>
      </c>
      <c r="F29" s="9"/>
      <c r="G29" s="9"/>
      <c r="H29" s="10">
        <f t="shared" ref="H29:H36" si="4">H4</f>
        <v>6.9400000000000003E-2</v>
      </c>
    </row>
    <row r="30" spans="1:9" ht="24" customHeight="1">
      <c r="A30" s="264" t="s">
        <v>255</v>
      </c>
      <c r="B30" s="6" t="s">
        <v>256</v>
      </c>
      <c r="C30" s="7"/>
      <c r="D30" s="8"/>
      <c r="E30" s="9">
        <f t="shared" ref="E30:E36" si="5">$I$28*H30</f>
        <v>47.820796460176986</v>
      </c>
      <c r="F30" s="9"/>
      <c r="G30" s="9"/>
      <c r="H30" s="10">
        <f t="shared" si="4"/>
        <v>8.2500000000000004E-2</v>
      </c>
    </row>
    <row r="31" spans="1:9" ht="24" customHeight="1">
      <c r="A31" s="264"/>
      <c r="B31" s="6" t="s">
        <v>257</v>
      </c>
      <c r="C31" s="7"/>
      <c r="D31" s="8"/>
      <c r="E31" s="9">
        <f t="shared" si="5"/>
        <v>25.156637168141589</v>
      </c>
      <c r="F31" s="9"/>
      <c r="G31" s="9"/>
      <c r="H31" s="10">
        <f t="shared" si="4"/>
        <v>4.3400000000000001E-2</v>
      </c>
    </row>
    <row r="32" spans="1:9" ht="24" customHeight="1">
      <c r="A32" s="265" t="s">
        <v>258</v>
      </c>
      <c r="B32" s="266"/>
      <c r="C32" s="11"/>
      <c r="D32" s="12"/>
      <c r="E32" s="9">
        <f t="shared" si="5"/>
        <v>113.20486725663716</v>
      </c>
      <c r="F32" s="9"/>
      <c r="G32" s="9"/>
      <c r="H32" s="13">
        <f t="shared" si="4"/>
        <v>0.1953</v>
      </c>
    </row>
    <row r="33" spans="1:9" ht="24" customHeight="1">
      <c r="A33" s="264" t="s">
        <v>81</v>
      </c>
      <c r="B33" s="264"/>
      <c r="C33" s="7"/>
      <c r="D33" s="8"/>
      <c r="E33" s="9">
        <f t="shared" si="5"/>
        <v>15.302654867256635</v>
      </c>
      <c r="F33" s="9"/>
      <c r="G33" s="9"/>
      <c r="H33" s="10">
        <f t="shared" si="4"/>
        <v>2.64E-2</v>
      </c>
    </row>
    <row r="34" spans="1:9" ht="24" customHeight="1">
      <c r="A34" s="267" t="s">
        <v>259</v>
      </c>
      <c r="B34" s="6" t="s">
        <v>256</v>
      </c>
      <c r="C34" s="7"/>
      <c r="D34" s="8"/>
      <c r="E34" s="9">
        <f t="shared" si="5"/>
        <v>9.9699115044247772</v>
      </c>
      <c r="F34" s="9"/>
      <c r="G34" s="9"/>
      <c r="H34" s="10">
        <f t="shared" si="4"/>
        <v>1.72E-2</v>
      </c>
    </row>
    <row r="35" spans="1:9" ht="24" customHeight="1">
      <c r="A35" s="268"/>
      <c r="B35" s="6" t="s">
        <v>257</v>
      </c>
      <c r="C35" s="7"/>
      <c r="D35" s="8"/>
      <c r="E35" s="9">
        <f t="shared" si="5"/>
        <v>37.734955752212386</v>
      </c>
      <c r="F35" s="9"/>
      <c r="G35" s="9"/>
      <c r="H35" s="10">
        <f t="shared" si="4"/>
        <v>6.5100000000000005E-2</v>
      </c>
    </row>
    <row r="36" spans="1:9" ht="24" customHeight="1">
      <c r="A36" s="264" t="s">
        <v>84</v>
      </c>
      <c r="B36" s="264"/>
      <c r="C36" s="7"/>
      <c r="D36" s="8"/>
      <c r="E36" s="9">
        <f t="shared" si="5"/>
        <v>20.57743362831858</v>
      </c>
      <c r="F36" s="9"/>
      <c r="G36" s="9"/>
      <c r="H36" s="10">
        <f t="shared" si="4"/>
        <v>3.5499999999999997E-2</v>
      </c>
    </row>
    <row r="39" spans="1:9" s="1" customFormat="1" ht="18.75" customHeight="1">
      <c r="G39" s="269" t="s">
        <v>245</v>
      </c>
      <c r="H39" s="269"/>
      <c r="I39" s="15" t="str">
        <f>销量!F6</f>
        <v>A668100000147</v>
      </c>
    </row>
    <row r="40" spans="1:9" ht="39" customHeight="1">
      <c r="A40" s="270" t="s">
        <v>246</v>
      </c>
      <c r="B40" s="270"/>
      <c r="C40" s="265" t="str">
        <f>C2</f>
        <v>河北工厂平均值</v>
      </c>
      <c r="D40" s="271"/>
      <c r="E40" s="271"/>
      <c r="F40" s="271"/>
      <c r="G40" s="271"/>
      <c r="H40" s="266"/>
      <c r="I40" s="3" t="s">
        <v>247</v>
      </c>
    </row>
    <row r="41" spans="1:9" ht="34.5" customHeight="1">
      <c r="A41" s="270"/>
      <c r="B41" s="270"/>
      <c r="C41" s="4" t="s">
        <v>248</v>
      </c>
      <c r="D41" s="4" t="s">
        <v>249</v>
      </c>
      <c r="E41" s="4" t="s">
        <v>250</v>
      </c>
      <c r="F41" s="5" t="s">
        <v>251</v>
      </c>
      <c r="G41" s="5" t="s">
        <v>252</v>
      </c>
      <c r="H41" s="5" t="s">
        <v>253</v>
      </c>
      <c r="I41" s="14">
        <f>销量!F8</f>
        <v>58.504424778761098</v>
      </c>
    </row>
    <row r="42" spans="1:9" ht="24" customHeight="1">
      <c r="A42" s="264" t="s">
        <v>254</v>
      </c>
      <c r="B42" s="264"/>
      <c r="C42" s="7"/>
      <c r="D42" s="8"/>
      <c r="E42" s="9">
        <f>$I$41*H42</f>
        <v>4.0602070796460206</v>
      </c>
      <c r="F42" s="9"/>
      <c r="G42" s="9"/>
      <c r="H42" s="10">
        <f t="shared" ref="H42:H49" si="6">H4</f>
        <v>6.9400000000000003E-2</v>
      </c>
    </row>
    <row r="43" spans="1:9" ht="24" customHeight="1">
      <c r="A43" s="264" t="s">
        <v>255</v>
      </c>
      <c r="B43" s="6" t="s">
        <v>256</v>
      </c>
      <c r="C43" s="7"/>
      <c r="D43" s="8"/>
      <c r="E43" s="9">
        <f t="shared" ref="E43:E49" si="7">$I$41*H43</f>
        <v>4.8266150442477906</v>
      </c>
      <c r="F43" s="9"/>
      <c r="G43" s="9"/>
      <c r="H43" s="10">
        <f t="shared" si="6"/>
        <v>8.2500000000000004E-2</v>
      </c>
    </row>
    <row r="44" spans="1:9" ht="24" customHeight="1">
      <c r="A44" s="264"/>
      <c r="B44" s="6" t="s">
        <v>257</v>
      </c>
      <c r="C44" s="7"/>
      <c r="D44" s="8"/>
      <c r="E44" s="9">
        <f t="shared" si="7"/>
        <v>2.5390920353982316</v>
      </c>
      <c r="F44" s="9"/>
      <c r="G44" s="9"/>
      <c r="H44" s="10">
        <f t="shared" si="6"/>
        <v>4.3400000000000001E-2</v>
      </c>
    </row>
    <row r="45" spans="1:9" ht="24" customHeight="1">
      <c r="A45" s="265" t="s">
        <v>258</v>
      </c>
      <c r="B45" s="266"/>
      <c r="C45" s="11"/>
      <c r="D45" s="12"/>
      <c r="E45" s="9">
        <f t="shared" si="7"/>
        <v>11.425914159292043</v>
      </c>
      <c r="F45" s="9"/>
      <c r="G45" s="9"/>
      <c r="H45" s="13">
        <f t="shared" si="6"/>
        <v>0.1953</v>
      </c>
    </row>
    <row r="46" spans="1:9" ht="24" customHeight="1">
      <c r="A46" s="264" t="s">
        <v>81</v>
      </c>
      <c r="B46" s="264"/>
      <c r="C46" s="7"/>
      <c r="D46" s="8"/>
      <c r="E46" s="9">
        <f t="shared" si="7"/>
        <v>1.5445168141592931</v>
      </c>
      <c r="F46" s="9"/>
      <c r="G46" s="9"/>
      <c r="H46" s="10">
        <f t="shared" si="6"/>
        <v>2.64E-2</v>
      </c>
    </row>
    <row r="47" spans="1:9" ht="24" customHeight="1">
      <c r="A47" s="267" t="s">
        <v>259</v>
      </c>
      <c r="B47" s="6" t="s">
        <v>256</v>
      </c>
      <c r="C47" s="7"/>
      <c r="D47" s="8"/>
      <c r="E47" s="9">
        <f t="shared" si="7"/>
        <v>1.006276106194691</v>
      </c>
      <c r="F47" s="9"/>
      <c r="G47" s="9"/>
      <c r="H47" s="10">
        <f t="shared" si="6"/>
        <v>1.72E-2</v>
      </c>
    </row>
    <row r="48" spans="1:9" ht="24" customHeight="1">
      <c r="A48" s="268"/>
      <c r="B48" s="6" t="s">
        <v>257</v>
      </c>
      <c r="C48" s="7"/>
      <c r="D48" s="8"/>
      <c r="E48" s="9">
        <f t="shared" si="7"/>
        <v>3.8086380530973476</v>
      </c>
      <c r="F48" s="9"/>
      <c r="G48" s="9"/>
      <c r="H48" s="10">
        <f t="shared" si="6"/>
        <v>6.5100000000000005E-2</v>
      </c>
    </row>
    <row r="49" spans="1:9" ht="24" customHeight="1">
      <c r="A49" s="264" t="s">
        <v>84</v>
      </c>
      <c r="B49" s="264"/>
      <c r="C49" s="7"/>
      <c r="D49" s="8"/>
      <c r="E49" s="9">
        <f t="shared" si="7"/>
        <v>2.0769070796460189</v>
      </c>
      <c r="F49" s="9"/>
      <c r="G49" s="9"/>
      <c r="H49" s="10">
        <f t="shared" si="6"/>
        <v>3.5499999999999997E-2</v>
      </c>
    </row>
    <row r="52" spans="1:9" s="1" customFormat="1" ht="18.75" customHeight="1">
      <c r="G52" s="269" t="s">
        <v>245</v>
      </c>
      <c r="H52" s="269"/>
      <c r="I52" s="15" t="str">
        <f>销量!G6</f>
        <v>A668100000130</v>
      </c>
    </row>
    <row r="53" spans="1:9" ht="39" customHeight="1">
      <c r="A53" s="270" t="s">
        <v>246</v>
      </c>
      <c r="B53" s="270"/>
      <c r="C53" s="265" t="str">
        <f>C2</f>
        <v>河北工厂平均值</v>
      </c>
      <c r="D53" s="271"/>
      <c r="E53" s="271"/>
      <c r="F53" s="271"/>
      <c r="G53" s="271"/>
      <c r="H53" s="266"/>
      <c r="I53" s="3" t="s">
        <v>247</v>
      </c>
    </row>
    <row r="54" spans="1:9" ht="34.5" customHeight="1">
      <c r="A54" s="270"/>
      <c r="B54" s="270"/>
      <c r="C54" s="4" t="s">
        <v>248</v>
      </c>
      <c r="D54" s="4" t="s">
        <v>249</v>
      </c>
      <c r="E54" s="4" t="s">
        <v>250</v>
      </c>
      <c r="F54" s="5" t="s">
        <v>251</v>
      </c>
      <c r="G54" s="5" t="s">
        <v>252</v>
      </c>
      <c r="H54" s="5" t="s">
        <v>253</v>
      </c>
      <c r="I54" s="14">
        <f>销量!G8</f>
        <v>2699.1150442477901</v>
      </c>
    </row>
    <row r="55" spans="1:9" ht="24" customHeight="1">
      <c r="A55" s="264" t="s">
        <v>254</v>
      </c>
      <c r="B55" s="264"/>
      <c r="C55" s="7"/>
      <c r="D55" s="8"/>
      <c r="E55" s="9">
        <f>$I$54*H55</f>
        <v>187.31858407079665</v>
      </c>
      <c r="F55" s="9"/>
      <c r="G55" s="9"/>
      <c r="H55" s="10">
        <f t="shared" ref="H55:H62" si="8">H4</f>
        <v>6.9400000000000003E-2</v>
      </c>
    </row>
    <row r="56" spans="1:9" ht="24" customHeight="1">
      <c r="A56" s="264" t="s">
        <v>255</v>
      </c>
      <c r="B56" s="6" t="s">
        <v>256</v>
      </c>
      <c r="C56" s="7"/>
      <c r="D56" s="8"/>
      <c r="E56" s="9">
        <f t="shared" ref="E56:E62" si="9">$I$54*H56</f>
        <v>222.67699115044269</v>
      </c>
      <c r="F56" s="9"/>
      <c r="G56" s="9"/>
      <c r="H56" s="10">
        <f t="shared" si="8"/>
        <v>8.2500000000000004E-2</v>
      </c>
    </row>
    <row r="57" spans="1:9" ht="24" customHeight="1">
      <c r="A57" s="264"/>
      <c r="B57" s="6" t="s">
        <v>257</v>
      </c>
      <c r="C57" s="7"/>
      <c r="D57" s="8"/>
      <c r="E57" s="9">
        <f t="shared" si="9"/>
        <v>117.1415929203541</v>
      </c>
      <c r="F57" s="9"/>
      <c r="G57" s="9"/>
      <c r="H57" s="10">
        <f t="shared" si="8"/>
        <v>4.3400000000000001E-2</v>
      </c>
    </row>
    <row r="58" spans="1:9" ht="24" customHeight="1">
      <c r="A58" s="265" t="s">
        <v>258</v>
      </c>
      <c r="B58" s="266"/>
      <c r="C58" s="11"/>
      <c r="D58" s="12"/>
      <c r="E58" s="9">
        <f t="shared" si="9"/>
        <v>527.13716814159341</v>
      </c>
      <c r="F58" s="9"/>
      <c r="G58" s="9"/>
      <c r="H58" s="13">
        <f t="shared" si="8"/>
        <v>0.1953</v>
      </c>
    </row>
    <row r="59" spans="1:9" ht="24" customHeight="1">
      <c r="A59" s="264" t="s">
        <v>81</v>
      </c>
      <c r="B59" s="264"/>
      <c r="C59" s="7"/>
      <c r="D59" s="8"/>
      <c r="E59" s="9">
        <f t="shared" si="9"/>
        <v>71.256637168141665</v>
      </c>
      <c r="F59" s="9"/>
      <c r="G59" s="9"/>
      <c r="H59" s="10">
        <f t="shared" si="8"/>
        <v>2.64E-2</v>
      </c>
    </row>
    <row r="60" spans="1:9" ht="24" customHeight="1">
      <c r="A60" s="267" t="s">
        <v>259</v>
      </c>
      <c r="B60" s="6" t="s">
        <v>256</v>
      </c>
      <c r="C60" s="7"/>
      <c r="D60" s="8"/>
      <c r="E60" s="9">
        <f t="shared" si="9"/>
        <v>46.424778761061994</v>
      </c>
      <c r="F60" s="9"/>
      <c r="G60" s="9"/>
      <c r="H60" s="10">
        <f t="shared" si="8"/>
        <v>1.72E-2</v>
      </c>
    </row>
    <row r="61" spans="1:9" ht="24" customHeight="1">
      <c r="A61" s="268"/>
      <c r="B61" s="6" t="s">
        <v>257</v>
      </c>
      <c r="C61" s="7"/>
      <c r="D61" s="8"/>
      <c r="E61" s="9">
        <f t="shared" si="9"/>
        <v>175.71238938053116</v>
      </c>
      <c r="F61" s="9"/>
      <c r="G61" s="9"/>
      <c r="H61" s="10">
        <f t="shared" si="8"/>
        <v>6.5100000000000005E-2</v>
      </c>
    </row>
    <row r="62" spans="1:9" ht="24" customHeight="1">
      <c r="A62" s="264" t="s">
        <v>84</v>
      </c>
      <c r="B62" s="264"/>
      <c r="C62" s="7"/>
      <c r="D62" s="8"/>
      <c r="E62" s="9">
        <f t="shared" si="9"/>
        <v>95.818584070796547</v>
      </c>
      <c r="F62" s="9"/>
      <c r="G62" s="9"/>
      <c r="H62" s="10">
        <f t="shared" si="8"/>
        <v>3.5499999999999997E-2</v>
      </c>
    </row>
    <row r="65" spans="1:9" ht="16.5">
      <c r="A65" s="1"/>
      <c r="B65" s="1"/>
      <c r="C65" s="1"/>
      <c r="D65" s="1"/>
      <c r="E65" s="1"/>
      <c r="F65" s="1"/>
      <c r="G65" s="269" t="s">
        <v>245</v>
      </c>
      <c r="H65" s="269"/>
      <c r="I65" s="15" t="str">
        <f>销量!H6</f>
        <v>A668100000131</v>
      </c>
    </row>
    <row r="66" spans="1:9">
      <c r="A66" s="270" t="s">
        <v>246</v>
      </c>
      <c r="B66" s="270"/>
      <c r="C66" s="265" t="str">
        <f t="shared" ref="C66" si="10">$C$2</f>
        <v>河北工厂平均值</v>
      </c>
      <c r="D66" s="271"/>
      <c r="E66" s="271"/>
      <c r="F66" s="271"/>
      <c r="G66" s="271"/>
      <c r="H66" s="266"/>
      <c r="I66" s="3" t="s">
        <v>247</v>
      </c>
    </row>
    <row r="67" spans="1:9" ht="27">
      <c r="A67" s="270"/>
      <c r="B67" s="270"/>
      <c r="C67" s="4" t="s">
        <v>248</v>
      </c>
      <c r="D67" s="4" t="s">
        <v>249</v>
      </c>
      <c r="E67" s="4" t="s">
        <v>250</v>
      </c>
      <c r="F67" s="5" t="s">
        <v>251</v>
      </c>
      <c r="G67" s="5" t="s">
        <v>252</v>
      </c>
      <c r="H67" s="5" t="s">
        <v>253</v>
      </c>
      <c r="I67" s="14">
        <f>销量!H8</f>
        <v>2234.5132743362801</v>
      </c>
    </row>
    <row r="68" spans="1:9">
      <c r="A68" s="264" t="s">
        <v>254</v>
      </c>
      <c r="B68" s="264"/>
      <c r="C68" s="7"/>
      <c r="D68" s="8"/>
      <c r="E68" s="9">
        <f>$I$67*H68</f>
        <v>155.07522123893784</v>
      </c>
      <c r="F68" s="9"/>
      <c r="G68" s="9"/>
      <c r="H68" s="10">
        <f t="shared" ref="H68:H75" si="11">H55</f>
        <v>6.9400000000000003E-2</v>
      </c>
    </row>
    <row r="69" spans="1:9">
      <c r="A69" s="264" t="s">
        <v>255</v>
      </c>
      <c r="B69" s="195" t="s">
        <v>256</v>
      </c>
      <c r="C69" s="7"/>
      <c r="D69" s="8"/>
      <c r="E69" s="9">
        <f t="shared" ref="E69:E75" si="12">$I$67*H69</f>
        <v>184.34734513274313</v>
      </c>
      <c r="F69" s="9"/>
      <c r="G69" s="9"/>
      <c r="H69" s="10">
        <f t="shared" si="11"/>
        <v>8.2500000000000004E-2</v>
      </c>
    </row>
    <row r="70" spans="1:9">
      <c r="A70" s="264"/>
      <c r="B70" s="195" t="s">
        <v>257</v>
      </c>
      <c r="C70" s="7"/>
      <c r="D70" s="8"/>
      <c r="E70" s="9">
        <f t="shared" si="12"/>
        <v>96.977876106194557</v>
      </c>
      <c r="F70" s="9"/>
      <c r="G70" s="9"/>
      <c r="H70" s="10">
        <f t="shared" si="11"/>
        <v>4.3400000000000001E-2</v>
      </c>
    </row>
    <row r="71" spans="1:9">
      <c r="A71" s="265" t="s">
        <v>258</v>
      </c>
      <c r="B71" s="266"/>
      <c r="C71" s="11"/>
      <c r="D71" s="12"/>
      <c r="E71" s="9">
        <f t="shared" si="12"/>
        <v>436.40044247787552</v>
      </c>
      <c r="F71" s="9"/>
      <c r="G71" s="9"/>
      <c r="H71" s="13">
        <f t="shared" si="11"/>
        <v>0.1953</v>
      </c>
    </row>
    <row r="72" spans="1:9">
      <c r="A72" s="264" t="s">
        <v>81</v>
      </c>
      <c r="B72" s="264"/>
      <c r="C72" s="7"/>
      <c r="D72" s="8"/>
      <c r="E72" s="9">
        <f t="shared" si="12"/>
        <v>58.991150442477796</v>
      </c>
      <c r="F72" s="9"/>
      <c r="G72" s="9"/>
      <c r="H72" s="10">
        <f t="shared" si="11"/>
        <v>2.64E-2</v>
      </c>
    </row>
    <row r="73" spans="1:9">
      <c r="A73" s="267" t="s">
        <v>259</v>
      </c>
      <c r="B73" s="195" t="s">
        <v>256</v>
      </c>
      <c r="C73" s="7"/>
      <c r="D73" s="8"/>
      <c r="E73" s="9">
        <f t="shared" si="12"/>
        <v>38.43362831858402</v>
      </c>
      <c r="F73" s="9"/>
      <c r="G73" s="9"/>
      <c r="H73" s="10">
        <f t="shared" si="11"/>
        <v>1.72E-2</v>
      </c>
    </row>
    <row r="74" spans="1:9">
      <c r="A74" s="268"/>
      <c r="B74" s="195" t="s">
        <v>257</v>
      </c>
      <c r="C74" s="7"/>
      <c r="D74" s="8"/>
      <c r="E74" s="9">
        <f t="shared" si="12"/>
        <v>145.46681415929186</v>
      </c>
      <c r="F74" s="9"/>
      <c r="G74" s="9"/>
      <c r="H74" s="10">
        <f t="shared" si="11"/>
        <v>6.5100000000000005E-2</v>
      </c>
    </row>
    <row r="75" spans="1:9">
      <c r="A75" s="264" t="s">
        <v>84</v>
      </c>
      <c r="B75" s="264"/>
      <c r="C75" s="7"/>
      <c r="D75" s="8"/>
      <c r="E75" s="9">
        <f t="shared" si="12"/>
        <v>79.325221238937942</v>
      </c>
      <c r="F75" s="9"/>
      <c r="G75" s="9"/>
      <c r="H75" s="10">
        <f t="shared" si="11"/>
        <v>3.5499999999999997E-2</v>
      </c>
    </row>
    <row r="78" spans="1:9" ht="16.5">
      <c r="A78" s="1"/>
      <c r="B78" s="1"/>
      <c r="C78" s="1"/>
      <c r="D78" s="1"/>
      <c r="E78" s="1"/>
      <c r="F78" s="1"/>
      <c r="G78" s="269" t="s">
        <v>245</v>
      </c>
      <c r="H78" s="269"/>
      <c r="I78" s="15" t="str">
        <f>销量!I6</f>
        <v>A668100000155</v>
      </c>
    </row>
    <row r="79" spans="1:9">
      <c r="A79" s="270" t="s">
        <v>246</v>
      </c>
      <c r="B79" s="270"/>
      <c r="C79" s="265" t="str">
        <f t="shared" ref="C79" si="13">$C$2</f>
        <v>河北工厂平均值</v>
      </c>
      <c r="D79" s="271"/>
      <c r="E79" s="271"/>
      <c r="F79" s="271"/>
      <c r="G79" s="271"/>
      <c r="H79" s="266"/>
      <c r="I79" s="3" t="s">
        <v>247</v>
      </c>
    </row>
    <row r="80" spans="1:9" ht="27">
      <c r="A80" s="270"/>
      <c r="B80" s="270"/>
      <c r="C80" s="4" t="s">
        <v>248</v>
      </c>
      <c r="D80" s="4" t="s">
        <v>249</v>
      </c>
      <c r="E80" s="4" t="s">
        <v>250</v>
      </c>
      <c r="F80" s="5" t="s">
        <v>251</v>
      </c>
      <c r="G80" s="5" t="s">
        <v>252</v>
      </c>
      <c r="H80" s="5" t="s">
        <v>253</v>
      </c>
      <c r="I80" s="14">
        <f>销量!I8</f>
        <v>0</v>
      </c>
    </row>
    <row r="81" spans="1:9">
      <c r="A81" s="264" t="s">
        <v>254</v>
      </c>
      <c r="B81" s="264"/>
      <c r="C81" s="7"/>
      <c r="D81" s="8"/>
      <c r="E81" s="9">
        <f>$I$80*H81</f>
        <v>0</v>
      </c>
      <c r="F81" s="9"/>
      <c r="G81" s="9"/>
      <c r="H81" s="10">
        <f t="shared" ref="H81:H88" si="14">H68</f>
        <v>6.9400000000000003E-2</v>
      </c>
    </row>
    <row r="82" spans="1:9">
      <c r="A82" s="264" t="s">
        <v>255</v>
      </c>
      <c r="B82" s="195" t="s">
        <v>256</v>
      </c>
      <c r="C82" s="7"/>
      <c r="D82" s="8"/>
      <c r="E82" s="9">
        <f t="shared" ref="E82:E88" si="15">$I$80*H82</f>
        <v>0</v>
      </c>
      <c r="F82" s="9"/>
      <c r="G82" s="9"/>
      <c r="H82" s="10">
        <f t="shared" si="14"/>
        <v>8.2500000000000004E-2</v>
      </c>
    </row>
    <row r="83" spans="1:9">
      <c r="A83" s="264"/>
      <c r="B83" s="195" t="s">
        <v>257</v>
      </c>
      <c r="C83" s="7"/>
      <c r="D83" s="8"/>
      <c r="E83" s="9">
        <f t="shared" si="15"/>
        <v>0</v>
      </c>
      <c r="F83" s="9"/>
      <c r="G83" s="9"/>
      <c r="H83" s="10">
        <f t="shared" si="14"/>
        <v>4.3400000000000001E-2</v>
      </c>
    </row>
    <row r="84" spans="1:9">
      <c r="A84" s="265" t="s">
        <v>258</v>
      </c>
      <c r="B84" s="266"/>
      <c r="C84" s="11"/>
      <c r="D84" s="12"/>
      <c r="E84" s="9">
        <f t="shared" si="15"/>
        <v>0</v>
      </c>
      <c r="F84" s="9"/>
      <c r="G84" s="9"/>
      <c r="H84" s="13">
        <f t="shared" si="14"/>
        <v>0.1953</v>
      </c>
    </row>
    <row r="85" spans="1:9">
      <c r="A85" s="264" t="s">
        <v>81</v>
      </c>
      <c r="B85" s="264"/>
      <c r="C85" s="7"/>
      <c r="D85" s="8"/>
      <c r="E85" s="9">
        <f t="shared" si="15"/>
        <v>0</v>
      </c>
      <c r="F85" s="9"/>
      <c r="G85" s="9"/>
      <c r="H85" s="10">
        <f t="shared" si="14"/>
        <v>2.64E-2</v>
      </c>
    </row>
    <row r="86" spans="1:9">
      <c r="A86" s="267" t="s">
        <v>259</v>
      </c>
      <c r="B86" s="195" t="s">
        <v>256</v>
      </c>
      <c r="C86" s="7"/>
      <c r="D86" s="8"/>
      <c r="E86" s="9">
        <f t="shared" si="15"/>
        <v>0</v>
      </c>
      <c r="F86" s="9"/>
      <c r="G86" s="9"/>
      <c r="H86" s="10">
        <f t="shared" si="14"/>
        <v>1.72E-2</v>
      </c>
    </row>
    <row r="87" spans="1:9">
      <c r="A87" s="268"/>
      <c r="B87" s="195" t="s">
        <v>257</v>
      </c>
      <c r="C87" s="7"/>
      <c r="D87" s="8"/>
      <c r="E87" s="9">
        <f t="shared" si="15"/>
        <v>0</v>
      </c>
      <c r="F87" s="9"/>
      <c r="G87" s="9"/>
      <c r="H87" s="10">
        <f t="shared" si="14"/>
        <v>6.5100000000000005E-2</v>
      </c>
    </row>
    <row r="88" spans="1:9">
      <c r="A88" s="264" t="s">
        <v>84</v>
      </c>
      <c r="B88" s="264"/>
      <c r="C88" s="7"/>
      <c r="D88" s="8"/>
      <c r="E88" s="9">
        <f t="shared" si="15"/>
        <v>0</v>
      </c>
      <c r="F88" s="9"/>
      <c r="G88" s="9"/>
      <c r="H88" s="10">
        <f t="shared" si="14"/>
        <v>3.5499999999999997E-2</v>
      </c>
    </row>
    <row r="91" spans="1:9" ht="16.5">
      <c r="A91" s="1"/>
      <c r="B91" s="1"/>
      <c r="C91" s="1"/>
      <c r="D91" s="1"/>
      <c r="E91" s="1"/>
      <c r="F91" s="1"/>
      <c r="G91" s="269" t="s">
        <v>245</v>
      </c>
      <c r="H91" s="269"/>
      <c r="I91" s="15" t="str">
        <f>销量!J6</f>
        <v>A668100000154</v>
      </c>
    </row>
    <row r="92" spans="1:9">
      <c r="A92" s="270" t="s">
        <v>246</v>
      </c>
      <c r="B92" s="270"/>
      <c r="C92" s="265" t="str">
        <f t="shared" ref="C92" si="16">$C$2</f>
        <v>河北工厂平均值</v>
      </c>
      <c r="D92" s="271"/>
      <c r="E92" s="271"/>
      <c r="F92" s="271"/>
      <c r="G92" s="271"/>
      <c r="H92" s="266"/>
      <c r="I92" s="3" t="s">
        <v>247</v>
      </c>
    </row>
    <row r="93" spans="1:9" ht="27">
      <c r="A93" s="270"/>
      <c r="B93" s="270"/>
      <c r="C93" s="4" t="s">
        <v>248</v>
      </c>
      <c r="D93" s="4" t="s">
        <v>249</v>
      </c>
      <c r="E93" s="4" t="s">
        <v>250</v>
      </c>
      <c r="F93" s="5" t="s">
        <v>251</v>
      </c>
      <c r="G93" s="5" t="s">
        <v>252</v>
      </c>
      <c r="H93" s="5" t="s">
        <v>253</v>
      </c>
      <c r="I93" s="14">
        <f>销量!J8</f>
        <v>0</v>
      </c>
    </row>
    <row r="94" spans="1:9">
      <c r="A94" s="264" t="s">
        <v>254</v>
      </c>
      <c r="B94" s="264"/>
      <c r="C94" s="7"/>
      <c r="D94" s="8"/>
      <c r="E94" s="9">
        <f>$I$93*H94</f>
        <v>0</v>
      </c>
      <c r="F94" s="9"/>
      <c r="G94" s="9"/>
      <c r="H94" s="10">
        <f t="shared" ref="H94:H101" si="17">H81</f>
        <v>6.9400000000000003E-2</v>
      </c>
    </row>
    <row r="95" spans="1:9">
      <c r="A95" s="264" t="s">
        <v>255</v>
      </c>
      <c r="B95" s="195" t="s">
        <v>256</v>
      </c>
      <c r="C95" s="7"/>
      <c r="D95" s="8"/>
      <c r="E95" s="9">
        <f t="shared" ref="E95:E101" si="18">$I$93*H95</f>
        <v>0</v>
      </c>
      <c r="F95" s="9"/>
      <c r="G95" s="9"/>
      <c r="H95" s="10">
        <f t="shared" si="17"/>
        <v>8.2500000000000004E-2</v>
      </c>
    </row>
    <row r="96" spans="1:9">
      <c r="A96" s="264"/>
      <c r="B96" s="195" t="s">
        <v>257</v>
      </c>
      <c r="C96" s="7"/>
      <c r="D96" s="8"/>
      <c r="E96" s="9">
        <f t="shared" si="18"/>
        <v>0</v>
      </c>
      <c r="F96" s="9"/>
      <c r="G96" s="9"/>
      <c r="H96" s="10">
        <f t="shared" si="17"/>
        <v>4.3400000000000001E-2</v>
      </c>
    </row>
    <row r="97" spans="1:9">
      <c r="A97" s="265" t="s">
        <v>258</v>
      </c>
      <c r="B97" s="266"/>
      <c r="C97" s="11"/>
      <c r="D97" s="12"/>
      <c r="E97" s="9">
        <f t="shared" si="18"/>
        <v>0</v>
      </c>
      <c r="F97" s="9"/>
      <c r="G97" s="9"/>
      <c r="H97" s="13">
        <f t="shared" si="17"/>
        <v>0.1953</v>
      </c>
    </row>
    <row r="98" spans="1:9">
      <c r="A98" s="264" t="s">
        <v>81</v>
      </c>
      <c r="B98" s="264"/>
      <c r="C98" s="7"/>
      <c r="D98" s="8"/>
      <c r="E98" s="9">
        <f t="shared" si="18"/>
        <v>0</v>
      </c>
      <c r="F98" s="9"/>
      <c r="G98" s="9"/>
      <c r="H98" s="10">
        <f t="shared" si="17"/>
        <v>2.64E-2</v>
      </c>
    </row>
    <row r="99" spans="1:9">
      <c r="A99" s="267" t="s">
        <v>259</v>
      </c>
      <c r="B99" s="195" t="s">
        <v>256</v>
      </c>
      <c r="C99" s="7"/>
      <c r="D99" s="8"/>
      <c r="E99" s="9">
        <f t="shared" si="18"/>
        <v>0</v>
      </c>
      <c r="F99" s="9"/>
      <c r="G99" s="9"/>
      <c r="H99" s="10">
        <f t="shared" si="17"/>
        <v>1.72E-2</v>
      </c>
    </row>
    <row r="100" spans="1:9">
      <c r="A100" s="268"/>
      <c r="B100" s="195" t="s">
        <v>257</v>
      </c>
      <c r="C100" s="7"/>
      <c r="D100" s="8"/>
      <c r="E100" s="9">
        <f t="shared" si="18"/>
        <v>0</v>
      </c>
      <c r="F100" s="9"/>
      <c r="G100" s="9"/>
      <c r="H100" s="10">
        <f t="shared" si="17"/>
        <v>6.5100000000000005E-2</v>
      </c>
    </row>
    <row r="101" spans="1:9">
      <c r="A101" s="264" t="s">
        <v>84</v>
      </c>
      <c r="B101" s="264"/>
      <c r="C101" s="7"/>
      <c r="D101" s="8"/>
      <c r="E101" s="9">
        <f t="shared" si="18"/>
        <v>0</v>
      </c>
      <c r="F101" s="9"/>
      <c r="G101" s="9"/>
      <c r="H101" s="10">
        <f t="shared" si="17"/>
        <v>3.5499999999999997E-2</v>
      </c>
    </row>
    <row r="104" spans="1:9" ht="16.5">
      <c r="A104" s="1"/>
      <c r="B104" s="1"/>
      <c r="C104" s="1"/>
      <c r="D104" s="1"/>
      <c r="E104" s="1"/>
      <c r="F104" s="1"/>
      <c r="G104" s="269" t="s">
        <v>245</v>
      </c>
      <c r="H104" s="269"/>
      <c r="I104" s="15" t="str">
        <f>销量!K6</f>
        <v>A668100000156</v>
      </c>
    </row>
    <row r="105" spans="1:9">
      <c r="A105" s="270" t="s">
        <v>246</v>
      </c>
      <c r="B105" s="270"/>
      <c r="C105" s="265" t="str">
        <f t="shared" ref="C105" si="19">$C$2</f>
        <v>河北工厂平均值</v>
      </c>
      <c r="D105" s="271"/>
      <c r="E105" s="271"/>
      <c r="F105" s="271"/>
      <c r="G105" s="271"/>
      <c r="H105" s="266"/>
      <c r="I105" s="3" t="s">
        <v>247</v>
      </c>
    </row>
    <row r="106" spans="1:9" ht="27">
      <c r="A106" s="270"/>
      <c r="B106" s="270"/>
      <c r="C106" s="4" t="s">
        <v>248</v>
      </c>
      <c r="D106" s="4" t="s">
        <v>249</v>
      </c>
      <c r="E106" s="4" t="s">
        <v>250</v>
      </c>
      <c r="F106" s="5" t="s">
        <v>251</v>
      </c>
      <c r="G106" s="5" t="s">
        <v>252</v>
      </c>
      <c r="H106" s="5" t="s">
        <v>253</v>
      </c>
      <c r="I106" s="14">
        <f>销量!K8</f>
        <v>0</v>
      </c>
    </row>
    <row r="107" spans="1:9">
      <c r="A107" s="264" t="s">
        <v>254</v>
      </c>
      <c r="B107" s="264"/>
      <c r="C107" s="7"/>
      <c r="D107" s="8"/>
      <c r="E107" s="9">
        <f>$I$106*H107</f>
        <v>0</v>
      </c>
      <c r="F107" s="9"/>
      <c r="G107" s="9"/>
      <c r="H107" s="10">
        <f t="shared" ref="H107:H114" si="20">H94</f>
        <v>6.9400000000000003E-2</v>
      </c>
    </row>
    <row r="108" spans="1:9">
      <c r="A108" s="264" t="s">
        <v>255</v>
      </c>
      <c r="B108" s="195" t="s">
        <v>256</v>
      </c>
      <c r="C108" s="7"/>
      <c r="D108" s="8"/>
      <c r="E108" s="9">
        <f t="shared" ref="E108:E114" si="21">$I$106*H108</f>
        <v>0</v>
      </c>
      <c r="F108" s="9"/>
      <c r="G108" s="9"/>
      <c r="H108" s="10">
        <f t="shared" si="20"/>
        <v>8.2500000000000004E-2</v>
      </c>
    </row>
    <row r="109" spans="1:9">
      <c r="A109" s="264"/>
      <c r="B109" s="195" t="s">
        <v>257</v>
      </c>
      <c r="C109" s="7"/>
      <c r="D109" s="8"/>
      <c r="E109" s="9">
        <f t="shared" si="21"/>
        <v>0</v>
      </c>
      <c r="F109" s="9"/>
      <c r="G109" s="9"/>
      <c r="H109" s="10">
        <f t="shared" si="20"/>
        <v>4.3400000000000001E-2</v>
      </c>
    </row>
    <row r="110" spans="1:9">
      <c r="A110" s="265" t="s">
        <v>258</v>
      </c>
      <c r="B110" s="266"/>
      <c r="C110" s="11"/>
      <c r="D110" s="12"/>
      <c r="E110" s="9">
        <f t="shared" si="21"/>
        <v>0</v>
      </c>
      <c r="F110" s="9"/>
      <c r="G110" s="9"/>
      <c r="H110" s="13">
        <f t="shared" si="20"/>
        <v>0.1953</v>
      </c>
    </row>
    <row r="111" spans="1:9">
      <c r="A111" s="264" t="s">
        <v>81</v>
      </c>
      <c r="B111" s="264"/>
      <c r="C111" s="7"/>
      <c r="D111" s="8"/>
      <c r="E111" s="9">
        <f t="shared" si="21"/>
        <v>0</v>
      </c>
      <c r="F111" s="9"/>
      <c r="G111" s="9"/>
      <c r="H111" s="10">
        <f t="shared" si="20"/>
        <v>2.64E-2</v>
      </c>
    </row>
    <row r="112" spans="1:9">
      <c r="A112" s="267" t="s">
        <v>259</v>
      </c>
      <c r="B112" s="195" t="s">
        <v>256</v>
      </c>
      <c r="C112" s="7"/>
      <c r="D112" s="8"/>
      <c r="E112" s="9">
        <f t="shared" si="21"/>
        <v>0</v>
      </c>
      <c r="F112" s="9"/>
      <c r="G112" s="9"/>
      <c r="H112" s="10">
        <f t="shared" si="20"/>
        <v>1.72E-2</v>
      </c>
    </row>
    <row r="113" spans="1:9">
      <c r="A113" s="268"/>
      <c r="B113" s="195" t="s">
        <v>257</v>
      </c>
      <c r="C113" s="7"/>
      <c r="D113" s="8"/>
      <c r="E113" s="9">
        <f t="shared" si="21"/>
        <v>0</v>
      </c>
      <c r="F113" s="9"/>
      <c r="G113" s="9"/>
      <c r="H113" s="10">
        <f t="shared" si="20"/>
        <v>6.5100000000000005E-2</v>
      </c>
    </row>
    <row r="114" spans="1:9">
      <c r="A114" s="264" t="s">
        <v>84</v>
      </c>
      <c r="B114" s="264"/>
      <c r="C114" s="7"/>
      <c r="D114" s="8"/>
      <c r="E114" s="9">
        <f t="shared" si="21"/>
        <v>0</v>
      </c>
      <c r="F114" s="9"/>
      <c r="G114" s="9"/>
      <c r="H114" s="10">
        <f t="shared" si="20"/>
        <v>3.5499999999999997E-2</v>
      </c>
    </row>
    <row r="117" spans="1:9" ht="16.5">
      <c r="A117" s="1"/>
      <c r="B117" s="1"/>
      <c r="C117" s="1"/>
      <c r="D117" s="1"/>
      <c r="E117" s="1"/>
      <c r="F117" s="1"/>
      <c r="G117" s="269" t="s">
        <v>245</v>
      </c>
      <c r="H117" s="269"/>
      <c r="I117" s="15" t="str">
        <f>销量!L6</f>
        <v>A668100000158</v>
      </c>
    </row>
    <row r="118" spans="1:9">
      <c r="A118" s="270" t="s">
        <v>246</v>
      </c>
      <c r="B118" s="270"/>
      <c r="C118" s="265" t="str">
        <f t="shared" ref="C118" si="22">$C$2</f>
        <v>河北工厂平均值</v>
      </c>
      <c r="D118" s="271"/>
      <c r="E118" s="271"/>
      <c r="F118" s="271"/>
      <c r="G118" s="271"/>
      <c r="H118" s="266"/>
      <c r="I118" s="3" t="s">
        <v>247</v>
      </c>
    </row>
    <row r="119" spans="1:9" ht="27">
      <c r="A119" s="270"/>
      <c r="B119" s="270"/>
      <c r="C119" s="4" t="s">
        <v>248</v>
      </c>
      <c r="D119" s="4" t="s">
        <v>249</v>
      </c>
      <c r="E119" s="4" t="s">
        <v>250</v>
      </c>
      <c r="F119" s="5" t="s">
        <v>251</v>
      </c>
      <c r="G119" s="5" t="s">
        <v>252</v>
      </c>
      <c r="H119" s="5" t="s">
        <v>253</v>
      </c>
      <c r="I119" s="14">
        <f>销量!L8</f>
        <v>0</v>
      </c>
    </row>
    <row r="120" spans="1:9">
      <c r="A120" s="264" t="s">
        <v>254</v>
      </c>
      <c r="B120" s="264"/>
      <c r="C120" s="7"/>
      <c r="D120" s="8"/>
      <c r="E120" s="9">
        <f>$I$119*H120</f>
        <v>0</v>
      </c>
      <c r="F120" s="9"/>
      <c r="G120" s="9"/>
      <c r="H120" s="10">
        <f t="shared" ref="H120:H127" si="23">H107</f>
        <v>6.9400000000000003E-2</v>
      </c>
    </row>
    <row r="121" spans="1:9">
      <c r="A121" s="264" t="s">
        <v>255</v>
      </c>
      <c r="B121" s="195" t="s">
        <v>256</v>
      </c>
      <c r="C121" s="7"/>
      <c r="D121" s="8"/>
      <c r="E121" s="9">
        <f t="shared" ref="E121:E127" si="24">$I$119*H121</f>
        <v>0</v>
      </c>
      <c r="F121" s="9"/>
      <c r="G121" s="9"/>
      <c r="H121" s="10">
        <f t="shared" si="23"/>
        <v>8.2500000000000004E-2</v>
      </c>
    </row>
    <row r="122" spans="1:9">
      <c r="A122" s="264"/>
      <c r="B122" s="195" t="s">
        <v>257</v>
      </c>
      <c r="C122" s="7"/>
      <c r="D122" s="8"/>
      <c r="E122" s="9">
        <f t="shared" si="24"/>
        <v>0</v>
      </c>
      <c r="F122" s="9"/>
      <c r="G122" s="9"/>
      <c r="H122" s="10">
        <f t="shared" si="23"/>
        <v>4.3400000000000001E-2</v>
      </c>
    </row>
    <row r="123" spans="1:9">
      <c r="A123" s="265" t="s">
        <v>258</v>
      </c>
      <c r="B123" s="266"/>
      <c r="C123" s="11"/>
      <c r="D123" s="12"/>
      <c r="E123" s="9">
        <f t="shared" si="24"/>
        <v>0</v>
      </c>
      <c r="F123" s="9"/>
      <c r="G123" s="9"/>
      <c r="H123" s="13">
        <f t="shared" si="23"/>
        <v>0.1953</v>
      </c>
    </row>
    <row r="124" spans="1:9">
      <c r="A124" s="264" t="s">
        <v>81</v>
      </c>
      <c r="B124" s="264"/>
      <c r="C124" s="7"/>
      <c r="D124" s="8"/>
      <c r="E124" s="9">
        <f t="shared" si="24"/>
        <v>0</v>
      </c>
      <c r="F124" s="9"/>
      <c r="G124" s="9"/>
      <c r="H124" s="10">
        <f t="shared" si="23"/>
        <v>2.64E-2</v>
      </c>
    </row>
    <row r="125" spans="1:9">
      <c r="A125" s="267" t="s">
        <v>259</v>
      </c>
      <c r="B125" s="195" t="s">
        <v>256</v>
      </c>
      <c r="C125" s="7"/>
      <c r="D125" s="8"/>
      <c r="E125" s="9">
        <f t="shared" si="24"/>
        <v>0</v>
      </c>
      <c r="F125" s="9"/>
      <c r="G125" s="9"/>
      <c r="H125" s="10">
        <f t="shared" si="23"/>
        <v>1.72E-2</v>
      </c>
    </row>
    <row r="126" spans="1:9">
      <c r="A126" s="268"/>
      <c r="B126" s="195" t="s">
        <v>257</v>
      </c>
      <c r="C126" s="7"/>
      <c r="D126" s="8"/>
      <c r="E126" s="9">
        <f t="shared" si="24"/>
        <v>0</v>
      </c>
      <c r="F126" s="9"/>
      <c r="G126" s="9"/>
      <c r="H126" s="10">
        <f t="shared" si="23"/>
        <v>6.5100000000000005E-2</v>
      </c>
    </row>
    <row r="127" spans="1:9">
      <c r="A127" s="264" t="s">
        <v>84</v>
      </c>
      <c r="B127" s="264"/>
      <c r="C127" s="7"/>
      <c r="D127" s="8"/>
      <c r="E127" s="9">
        <f t="shared" si="24"/>
        <v>0</v>
      </c>
      <c r="F127" s="9"/>
      <c r="G127" s="9"/>
      <c r="H127" s="10">
        <f t="shared" si="23"/>
        <v>3.5499999999999997E-2</v>
      </c>
    </row>
    <row r="130" spans="1:9" ht="16.5">
      <c r="A130" s="1"/>
      <c r="B130" s="1"/>
      <c r="C130" s="1"/>
      <c r="D130" s="1"/>
      <c r="E130" s="1"/>
      <c r="F130" s="1"/>
      <c r="G130" s="269" t="s">
        <v>245</v>
      </c>
      <c r="H130" s="269"/>
      <c r="I130" s="15" t="str">
        <f>销量!M6</f>
        <v>A668100000139</v>
      </c>
    </row>
    <row r="131" spans="1:9">
      <c r="A131" s="270" t="s">
        <v>246</v>
      </c>
      <c r="B131" s="270"/>
      <c r="C131" s="265" t="str">
        <f t="shared" ref="C131" si="25">$C$2</f>
        <v>河北工厂平均值</v>
      </c>
      <c r="D131" s="271"/>
      <c r="E131" s="271"/>
      <c r="F131" s="271"/>
      <c r="G131" s="271"/>
      <c r="H131" s="266"/>
      <c r="I131" s="3" t="s">
        <v>247</v>
      </c>
    </row>
    <row r="132" spans="1:9" ht="27">
      <c r="A132" s="270"/>
      <c r="B132" s="270"/>
      <c r="C132" s="4" t="s">
        <v>248</v>
      </c>
      <c r="D132" s="4" t="s">
        <v>249</v>
      </c>
      <c r="E132" s="4" t="s">
        <v>250</v>
      </c>
      <c r="F132" s="5" t="s">
        <v>251</v>
      </c>
      <c r="G132" s="5" t="s">
        <v>252</v>
      </c>
      <c r="H132" s="5" t="s">
        <v>253</v>
      </c>
      <c r="I132" s="14">
        <f>销量!M8</f>
        <v>2286.7256637168098</v>
      </c>
    </row>
    <row r="133" spans="1:9">
      <c r="A133" s="264" t="s">
        <v>254</v>
      </c>
      <c r="B133" s="264"/>
      <c r="C133" s="7"/>
      <c r="D133" s="8"/>
      <c r="E133" s="9">
        <f>$I$132*H133</f>
        <v>158.69876106194661</v>
      </c>
      <c r="F133" s="9"/>
      <c r="G133" s="9"/>
      <c r="H133" s="10">
        <f t="shared" ref="H133:H140" si="26">H120</f>
        <v>6.9400000000000003E-2</v>
      </c>
    </row>
    <row r="134" spans="1:9">
      <c r="A134" s="264" t="s">
        <v>255</v>
      </c>
      <c r="B134" s="195" t="s">
        <v>256</v>
      </c>
      <c r="C134" s="7"/>
      <c r="D134" s="8"/>
      <c r="E134" s="9">
        <f t="shared" ref="E134:E140" si="27">$I$132*H134</f>
        <v>188.65486725663681</v>
      </c>
      <c r="F134" s="9"/>
      <c r="G134" s="9"/>
      <c r="H134" s="10">
        <f t="shared" si="26"/>
        <v>8.2500000000000004E-2</v>
      </c>
    </row>
    <row r="135" spans="1:9">
      <c r="A135" s="264"/>
      <c r="B135" s="195" t="s">
        <v>257</v>
      </c>
      <c r="C135" s="7"/>
      <c r="D135" s="8"/>
      <c r="E135" s="9">
        <f t="shared" si="27"/>
        <v>99.24389380530954</v>
      </c>
      <c r="F135" s="9"/>
      <c r="G135" s="9"/>
      <c r="H135" s="10">
        <f t="shared" si="26"/>
        <v>4.3400000000000001E-2</v>
      </c>
    </row>
    <row r="136" spans="1:9">
      <c r="A136" s="265" t="s">
        <v>258</v>
      </c>
      <c r="B136" s="266"/>
      <c r="C136" s="11"/>
      <c r="D136" s="12"/>
      <c r="E136" s="9">
        <f t="shared" si="27"/>
        <v>446.59752212389293</v>
      </c>
      <c r="F136" s="9"/>
      <c r="G136" s="9"/>
      <c r="H136" s="13">
        <f t="shared" si="26"/>
        <v>0.1953</v>
      </c>
    </row>
    <row r="137" spans="1:9">
      <c r="A137" s="264" t="s">
        <v>81</v>
      </c>
      <c r="B137" s="264"/>
      <c r="C137" s="7"/>
      <c r="D137" s="8"/>
      <c r="E137" s="9">
        <f t="shared" si="27"/>
        <v>60.369557522123777</v>
      </c>
      <c r="F137" s="9"/>
      <c r="G137" s="9"/>
      <c r="H137" s="10">
        <f t="shared" si="26"/>
        <v>2.64E-2</v>
      </c>
    </row>
    <row r="138" spans="1:9">
      <c r="A138" s="267" t="s">
        <v>259</v>
      </c>
      <c r="B138" s="195" t="s">
        <v>256</v>
      </c>
      <c r="C138" s="7"/>
      <c r="D138" s="8"/>
      <c r="E138" s="9">
        <f t="shared" si="27"/>
        <v>39.331681415929125</v>
      </c>
      <c r="F138" s="9"/>
      <c r="G138" s="9"/>
      <c r="H138" s="10">
        <f t="shared" si="26"/>
        <v>1.72E-2</v>
      </c>
    </row>
    <row r="139" spans="1:9">
      <c r="A139" s="268"/>
      <c r="B139" s="195" t="s">
        <v>257</v>
      </c>
      <c r="C139" s="7"/>
      <c r="D139" s="8"/>
      <c r="E139" s="9">
        <f t="shared" si="27"/>
        <v>148.86584070796434</v>
      </c>
      <c r="F139" s="9"/>
      <c r="G139" s="9"/>
      <c r="H139" s="10">
        <f t="shared" si="26"/>
        <v>6.5100000000000005E-2</v>
      </c>
    </row>
    <row r="140" spans="1:9">
      <c r="A140" s="264" t="s">
        <v>84</v>
      </c>
      <c r="B140" s="264"/>
      <c r="C140" s="7"/>
      <c r="D140" s="8"/>
      <c r="E140" s="9">
        <f t="shared" si="27"/>
        <v>81.178761061946744</v>
      </c>
      <c r="F140" s="9"/>
      <c r="G140" s="9"/>
      <c r="H140" s="10">
        <f t="shared" si="26"/>
        <v>3.5499999999999997E-2</v>
      </c>
    </row>
    <row r="143" spans="1:9" ht="16.5">
      <c r="A143" s="1"/>
      <c r="B143" s="1"/>
      <c r="C143" s="1"/>
      <c r="D143" s="1"/>
      <c r="E143" s="1"/>
      <c r="F143" s="1"/>
      <c r="G143" s="269" t="s">
        <v>245</v>
      </c>
      <c r="H143" s="269"/>
      <c r="I143" s="15" t="str">
        <f>销量!N6</f>
        <v>A668100000138</v>
      </c>
    </row>
    <row r="144" spans="1:9">
      <c r="A144" s="270" t="s">
        <v>246</v>
      </c>
      <c r="B144" s="270"/>
      <c r="C144" s="265" t="str">
        <f t="shared" ref="C144" si="28">$C$2</f>
        <v>河北工厂平均值</v>
      </c>
      <c r="D144" s="271"/>
      <c r="E144" s="271"/>
      <c r="F144" s="271"/>
      <c r="G144" s="271"/>
      <c r="H144" s="266"/>
      <c r="I144" s="3" t="s">
        <v>247</v>
      </c>
    </row>
    <row r="145" spans="1:9" ht="27">
      <c r="A145" s="270"/>
      <c r="B145" s="270"/>
      <c r="C145" s="4" t="s">
        <v>248</v>
      </c>
      <c r="D145" s="4" t="s">
        <v>249</v>
      </c>
      <c r="E145" s="4" t="s">
        <v>250</v>
      </c>
      <c r="F145" s="5" t="s">
        <v>251</v>
      </c>
      <c r="G145" s="5" t="s">
        <v>252</v>
      </c>
      <c r="H145" s="5" t="s">
        <v>253</v>
      </c>
      <c r="I145" s="14">
        <f>销量!N8</f>
        <v>1822.12389380531</v>
      </c>
    </row>
    <row r="146" spans="1:9">
      <c r="A146" s="264" t="s">
        <v>254</v>
      </c>
      <c r="B146" s="264"/>
      <c r="C146" s="7"/>
      <c r="D146" s="8"/>
      <c r="E146" s="9">
        <f>$I$145*H146</f>
        <v>126.45539823008852</v>
      </c>
      <c r="F146" s="9"/>
      <c r="G146" s="9"/>
      <c r="H146" s="10">
        <f t="shared" ref="H146:H153" si="29">H133</f>
        <v>6.9400000000000003E-2</v>
      </c>
    </row>
    <row r="147" spans="1:9">
      <c r="A147" s="264" t="s">
        <v>255</v>
      </c>
      <c r="B147" s="195" t="s">
        <v>256</v>
      </c>
      <c r="C147" s="7"/>
      <c r="D147" s="8"/>
      <c r="E147" s="9">
        <f t="shared" ref="E147:E153" si="30">$I$145*H147</f>
        <v>150.32522123893807</v>
      </c>
      <c r="F147" s="9"/>
      <c r="G147" s="9"/>
      <c r="H147" s="10">
        <f t="shared" si="29"/>
        <v>8.2500000000000004E-2</v>
      </c>
    </row>
    <row r="148" spans="1:9">
      <c r="A148" s="264"/>
      <c r="B148" s="195" t="s">
        <v>257</v>
      </c>
      <c r="C148" s="7"/>
      <c r="D148" s="8"/>
      <c r="E148" s="9">
        <f t="shared" si="30"/>
        <v>79.080176991150452</v>
      </c>
      <c r="F148" s="9"/>
      <c r="G148" s="9"/>
      <c r="H148" s="10">
        <f t="shared" si="29"/>
        <v>4.3400000000000001E-2</v>
      </c>
    </row>
    <row r="149" spans="1:9">
      <c r="A149" s="265" t="s">
        <v>258</v>
      </c>
      <c r="B149" s="266"/>
      <c r="C149" s="11"/>
      <c r="D149" s="12"/>
      <c r="E149" s="9">
        <f t="shared" si="30"/>
        <v>355.86079646017703</v>
      </c>
      <c r="F149" s="9"/>
      <c r="G149" s="9"/>
      <c r="H149" s="13">
        <f t="shared" si="29"/>
        <v>0.1953</v>
      </c>
    </row>
    <row r="150" spans="1:9">
      <c r="A150" s="264" t="s">
        <v>81</v>
      </c>
      <c r="B150" s="264"/>
      <c r="C150" s="7"/>
      <c r="D150" s="8"/>
      <c r="E150" s="9">
        <f t="shared" si="30"/>
        <v>48.104070796460185</v>
      </c>
      <c r="F150" s="9"/>
      <c r="G150" s="9"/>
      <c r="H150" s="10">
        <f t="shared" si="29"/>
        <v>2.64E-2</v>
      </c>
    </row>
    <row r="151" spans="1:9">
      <c r="A151" s="267" t="s">
        <v>259</v>
      </c>
      <c r="B151" s="195" t="s">
        <v>256</v>
      </c>
      <c r="C151" s="7"/>
      <c r="D151" s="8"/>
      <c r="E151" s="9">
        <f t="shared" si="30"/>
        <v>31.340530973451333</v>
      </c>
      <c r="F151" s="9"/>
      <c r="G151" s="9"/>
      <c r="H151" s="10">
        <f t="shared" si="29"/>
        <v>1.72E-2</v>
      </c>
    </row>
    <row r="152" spans="1:9">
      <c r="A152" s="268"/>
      <c r="B152" s="195" t="s">
        <v>257</v>
      </c>
      <c r="C152" s="7"/>
      <c r="D152" s="8"/>
      <c r="E152" s="9">
        <f t="shared" si="30"/>
        <v>118.62026548672569</v>
      </c>
      <c r="F152" s="9"/>
      <c r="G152" s="9"/>
      <c r="H152" s="10">
        <f t="shared" si="29"/>
        <v>6.5100000000000005E-2</v>
      </c>
    </row>
    <row r="153" spans="1:9">
      <c r="A153" s="264" t="s">
        <v>84</v>
      </c>
      <c r="B153" s="264"/>
      <c r="C153" s="7"/>
      <c r="D153" s="8"/>
      <c r="E153" s="9">
        <f t="shared" si="30"/>
        <v>64.685398230088495</v>
      </c>
      <c r="F153" s="9"/>
      <c r="G153" s="9"/>
      <c r="H153" s="10">
        <f t="shared" si="29"/>
        <v>3.5499999999999997E-2</v>
      </c>
    </row>
    <row r="156" spans="1:9" ht="16.5">
      <c r="A156" s="1"/>
      <c r="B156" s="1"/>
      <c r="C156" s="1"/>
      <c r="D156" s="1"/>
      <c r="E156" s="1"/>
      <c r="F156" s="1"/>
      <c r="G156" s="269" t="s">
        <v>245</v>
      </c>
      <c r="H156" s="269"/>
      <c r="I156" s="15" t="str">
        <f>销量!O6</f>
        <v>A668100000142</v>
      </c>
    </row>
    <row r="157" spans="1:9">
      <c r="A157" s="270" t="s">
        <v>246</v>
      </c>
      <c r="B157" s="270"/>
      <c r="C157" s="265" t="str">
        <f t="shared" ref="C157" si="31">$C$2</f>
        <v>河北工厂平均值</v>
      </c>
      <c r="D157" s="271"/>
      <c r="E157" s="271"/>
      <c r="F157" s="271"/>
      <c r="G157" s="271"/>
      <c r="H157" s="266"/>
      <c r="I157" s="3" t="s">
        <v>247</v>
      </c>
    </row>
    <row r="158" spans="1:9" ht="27">
      <c r="A158" s="270"/>
      <c r="B158" s="270"/>
      <c r="C158" s="4" t="s">
        <v>248</v>
      </c>
      <c r="D158" s="4" t="s">
        <v>249</v>
      </c>
      <c r="E158" s="4" t="s">
        <v>250</v>
      </c>
      <c r="F158" s="5" t="s">
        <v>251</v>
      </c>
      <c r="G158" s="5" t="s">
        <v>252</v>
      </c>
      <c r="H158" s="5" t="s">
        <v>253</v>
      </c>
      <c r="I158" s="14">
        <f>销量!O8</f>
        <v>2286.7256637168098</v>
      </c>
    </row>
    <row r="159" spans="1:9">
      <c r="A159" s="264" t="s">
        <v>254</v>
      </c>
      <c r="B159" s="264"/>
      <c r="C159" s="7"/>
      <c r="D159" s="8"/>
      <c r="E159" s="9">
        <f>$I$158*H159</f>
        <v>158.69876106194661</v>
      </c>
      <c r="F159" s="9"/>
      <c r="G159" s="9"/>
      <c r="H159" s="10">
        <f t="shared" ref="H159:H166" si="32">H146</f>
        <v>6.9400000000000003E-2</v>
      </c>
    </row>
    <row r="160" spans="1:9">
      <c r="A160" s="264" t="s">
        <v>255</v>
      </c>
      <c r="B160" s="195" t="s">
        <v>256</v>
      </c>
      <c r="C160" s="7"/>
      <c r="D160" s="8"/>
      <c r="E160" s="9">
        <f t="shared" ref="E160:E166" si="33">$I$158*H160</f>
        <v>188.65486725663681</v>
      </c>
      <c r="F160" s="9"/>
      <c r="G160" s="9"/>
      <c r="H160" s="10">
        <f t="shared" si="32"/>
        <v>8.2500000000000004E-2</v>
      </c>
    </row>
    <row r="161" spans="1:9">
      <c r="A161" s="264"/>
      <c r="B161" s="195" t="s">
        <v>257</v>
      </c>
      <c r="C161" s="7"/>
      <c r="D161" s="8"/>
      <c r="E161" s="9">
        <f t="shared" si="33"/>
        <v>99.24389380530954</v>
      </c>
      <c r="F161" s="9"/>
      <c r="G161" s="9"/>
      <c r="H161" s="10">
        <f t="shared" si="32"/>
        <v>4.3400000000000001E-2</v>
      </c>
    </row>
    <row r="162" spans="1:9">
      <c r="A162" s="265" t="s">
        <v>258</v>
      </c>
      <c r="B162" s="266"/>
      <c r="C162" s="11"/>
      <c r="D162" s="12"/>
      <c r="E162" s="9">
        <f t="shared" si="33"/>
        <v>446.59752212389293</v>
      </c>
      <c r="F162" s="9"/>
      <c r="G162" s="9"/>
      <c r="H162" s="13">
        <f t="shared" si="32"/>
        <v>0.1953</v>
      </c>
    </row>
    <row r="163" spans="1:9">
      <c r="A163" s="264" t="s">
        <v>81</v>
      </c>
      <c r="B163" s="264"/>
      <c r="C163" s="7"/>
      <c r="D163" s="8"/>
      <c r="E163" s="9">
        <f t="shared" si="33"/>
        <v>60.369557522123777</v>
      </c>
      <c r="F163" s="9"/>
      <c r="G163" s="9"/>
      <c r="H163" s="10">
        <f t="shared" si="32"/>
        <v>2.64E-2</v>
      </c>
    </row>
    <row r="164" spans="1:9">
      <c r="A164" s="267" t="s">
        <v>259</v>
      </c>
      <c r="B164" s="195" t="s">
        <v>256</v>
      </c>
      <c r="C164" s="7"/>
      <c r="D164" s="8"/>
      <c r="E164" s="9">
        <f t="shared" si="33"/>
        <v>39.331681415929125</v>
      </c>
      <c r="F164" s="9"/>
      <c r="G164" s="9"/>
      <c r="H164" s="10">
        <f t="shared" si="32"/>
        <v>1.72E-2</v>
      </c>
    </row>
    <row r="165" spans="1:9">
      <c r="A165" s="268"/>
      <c r="B165" s="195" t="s">
        <v>257</v>
      </c>
      <c r="C165" s="7"/>
      <c r="D165" s="8"/>
      <c r="E165" s="9">
        <f t="shared" si="33"/>
        <v>148.86584070796434</v>
      </c>
      <c r="F165" s="9"/>
      <c r="G165" s="9"/>
      <c r="H165" s="10">
        <f t="shared" si="32"/>
        <v>6.5100000000000005E-2</v>
      </c>
    </row>
    <row r="166" spans="1:9">
      <c r="A166" s="264" t="s">
        <v>84</v>
      </c>
      <c r="B166" s="264"/>
      <c r="C166" s="7"/>
      <c r="D166" s="8"/>
      <c r="E166" s="9">
        <f t="shared" si="33"/>
        <v>81.178761061946744</v>
      </c>
      <c r="F166" s="9"/>
      <c r="G166" s="9"/>
      <c r="H166" s="10">
        <f t="shared" si="32"/>
        <v>3.5499999999999997E-2</v>
      </c>
    </row>
    <row r="169" spans="1:9" ht="16.5">
      <c r="A169" s="1"/>
      <c r="B169" s="1"/>
      <c r="C169" s="1"/>
      <c r="D169" s="1"/>
      <c r="E169" s="1"/>
      <c r="F169" s="1"/>
      <c r="G169" s="269" t="s">
        <v>245</v>
      </c>
      <c r="H169" s="269"/>
      <c r="I169" s="15" t="str">
        <f>销量!P6</f>
        <v>A668100000143</v>
      </c>
    </row>
    <row r="170" spans="1:9">
      <c r="A170" s="270" t="s">
        <v>246</v>
      </c>
      <c r="B170" s="270"/>
      <c r="C170" s="265" t="str">
        <f t="shared" ref="C170" si="34">$C$2</f>
        <v>河北工厂平均值</v>
      </c>
      <c r="D170" s="271"/>
      <c r="E170" s="271"/>
      <c r="F170" s="271"/>
      <c r="G170" s="271"/>
      <c r="H170" s="266"/>
      <c r="I170" s="3" t="s">
        <v>247</v>
      </c>
    </row>
    <row r="171" spans="1:9" ht="27">
      <c r="A171" s="270"/>
      <c r="B171" s="270"/>
      <c r="C171" s="4" t="s">
        <v>248</v>
      </c>
      <c r="D171" s="4" t="s">
        <v>249</v>
      </c>
      <c r="E171" s="4" t="s">
        <v>250</v>
      </c>
      <c r="F171" s="5" t="s">
        <v>251</v>
      </c>
      <c r="G171" s="5" t="s">
        <v>252</v>
      </c>
      <c r="H171" s="5" t="s">
        <v>253</v>
      </c>
      <c r="I171" s="14">
        <f>销量!P8</f>
        <v>2286.7256637168098</v>
      </c>
    </row>
    <row r="172" spans="1:9">
      <c r="A172" s="264" t="s">
        <v>254</v>
      </c>
      <c r="B172" s="264"/>
      <c r="C172" s="7"/>
      <c r="D172" s="8"/>
      <c r="E172" s="9">
        <f>$I$171*H172</f>
        <v>158.69876106194661</v>
      </c>
      <c r="F172" s="9"/>
      <c r="G172" s="9"/>
      <c r="H172" s="10">
        <f t="shared" ref="H172:H179" si="35">H159</f>
        <v>6.9400000000000003E-2</v>
      </c>
    </row>
    <row r="173" spans="1:9">
      <c r="A173" s="264" t="s">
        <v>255</v>
      </c>
      <c r="B173" s="195" t="s">
        <v>256</v>
      </c>
      <c r="C173" s="7"/>
      <c r="D173" s="8"/>
      <c r="E173" s="9">
        <f t="shared" ref="E173:E179" si="36">$I$171*H173</f>
        <v>188.65486725663681</v>
      </c>
      <c r="F173" s="9"/>
      <c r="G173" s="9"/>
      <c r="H173" s="10">
        <f t="shared" si="35"/>
        <v>8.2500000000000004E-2</v>
      </c>
    </row>
    <row r="174" spans="1:9">
      <c r="A174" s="264"/>
      <c r="B174" s="195" t="s">
        <v>257</v>
      </c>
      <c r="C174" s="7"/>
      <c r="D174" s="8"/>
      <c r="E174" s="9">
        <f t="shared" si="36"/>
        <v>99.24389380530954</v>
      </c>
      <c r="F174" s="9"/>
      <c r="G174" s="9"/>
      <c r="H174" s="10">
        <f t="shared" si="35"/>
        <v>4.3400000000000001E-2</v>
      </c>
    </row>
    <row r="175" spans="1:9">
      <c r="A175" s="265" t="s">
        <v>258</v>
      </c>
      <c r="B175" s="266"/>
      <c r="C175" s="11"/>
      <c r="D175" s="12"/>
      <c r="E175" s="9">
        <f t="shared" si="36"/>
        <v>446.59752212389293</v>
      </c>
      <c r="F175" s="9"/>
      <c r="G175" s="9"/>
      <c r="H175" s="13">
        <f t="shared" si="35"/>
        <v>0.1953</v>
      </c>
    </row>
    <row r="176" spans="1:9">
      <c r="A176" s="264" t="s">
        <v>81</v>
      </c>
      <c r="B176" s="264"/>
      <c r="C176" s="7"/>
      <c r="D176" s="8"/>
      <c r="E176" s="9">
        <f t="shared" si="36"/>
        <v>60.369557522123777</v>
      </c>
      <c r="F176" s="9"/>
      <c r="G176" s="9"/>
      <c r="H176" s="10">
        <f t="shared" si="35"/>
        <v>2.64E-2</v>
      </c>
    </row>
    <row r="177" spans="1:9">
      <c r="A177" s="267" t="s">
        <v>259</v>
      </c>
      <c r="B177" s="195" t="s">
        <v>256</v>
      </c>
      <c r="C177" s="7"/>
      <c r="D177" s="8"/>
      <c r="E177" s="9">
        <f t="shared" si="36"/>
        <v>39.331681415929125</v>
      </c>
      <c r="F177" s="9"/>
      <c r="G177" s="9"/>
      <c r="H177" s="10">
        <f t="shared" si="35"/>
        <v>1.72E-2</v>
      </c>
    </row>
    <row r="178" spans="1:9">
      <c r="A178" s="268"/>
      <c r="B178" s="195" t="s">
        <v>257</v>
      </c>
      <c r="C178" s="7"/>
      <c r="D178" s="8"/>
      <c r="E178" s="9">
        <f t="shared" si="36"/>
        <v>148.86584070796434</v>
      </c>
      <c r="F178" s="9"/>
      <c r="G178" s="9"/>
      <c r="H178" s="10">
        <f t="shared" si="35"/>
        <v>6.5100000000000005E-2</v>
      </c>
    </row>
    <row r="179" spans="1:9">
      <c r="A179" s="264" t="s">
        <v>84</v>
      </c>
      <c r="B179" s="264"/>
      <c r="C179" s="7"/>
      <c r="D179" s="8"/>
      <c r="E179" s="9">
        <f t="shared" si="36"/>
        <v>81.178761061946744</v>
      </c>
      <c r="F179" s="9"/>
      <c r="G179" s="9"/>
      <c r="H179" s="10">
        <f t="shared" si="35"/>
        <v>3.5499999999999997E-2</v>
      </c>
    </row>
    <row r="182" spans="1:9" ht="16.5">
      <c r="A182" s="1"/>
      <c r="B182" s="1"/>
      <c r="C182" s="1"/>
      <c r="D182" s="1"/>
      <c r="E182" s="1"/>
      <c r="F182" s="1"/>
      <c r="G182" s="269" t="s">
        <v>245</v>
      </c>
      <c r="H182" s="269"/>
      <c r="I182" s="15" t="str">
        <f>销量!Q6</f>
        <v>A668100000140</v>
      </c>
    </row>
    <row r="183" spans="1:9">
      <c r="A183" s="270" t="s">
        <v>246</v>
      </c>
      <c r="B183" s="270"/>
      <c r="C183" s="265" t="str">
        <f t="shared" ref="C183" si="37">$C$2</f>
        <v>河北工厂平均值</v>
      </c>
      <c r="D183" s="271"/>
      <c r="E183" s="271"/>
      <c r="F183" s="271"/>
      <c r="G183" s="271"/>
      <c r="H183" s="266"/>
      <c r="I183" s="3" t="s">
        <v>247</v>
      </c>
    </row>
    <row r="184" spans="1:9" ht="27">
      <c r="A184" s="270"/>
      <c r="B184" s="270"/>
      <c r="C184" s="4" t="s">
        <v>248</v>
      </c>
      <c r="D184" s="4" t="s">
        <v>249</v>
      </c>
      <c r="E184" s="4" t="s">
        <v>250</v>
      </c>
      <c r="F184" s="5" t="s">
        <v>251</v>
      </c>
      <c r="G184" s="5" t="s">
        <v>252</v>
      </c>
      <c r="H184" s="5" t="s">
        <v>253</v>
      </c>
      <c r="I184" s="14">
        <f>销量!Q8</f>
        <v>1822.12389380531</v>
      </c>
    </row>
    <row r="185" spans="1:9">
      <c r="A185" s="264" t="s">
        <v>254</v>
      </c>
      <c r="B185" s="264"/>
      <c r="C185" s="7"/>
      <c r="D185" s="8"/>
      <c r="E185" s="9">
        <f>$I$184*H185</f>
        <v>126.45539823008852</v>
      </c>
      <c r="F185" s="9"/>
      <c r="G185" s="9"/>
      <c r="H185" s="10">
        <f t="shared" ref="H185:H192" si="38">H172</f>
        <v>6.9400000000000003E-2</v>
      </c>
    </row>
    <row r="186" spans="1:9">
      <c r="A186" s="264" t="s">
        <v>255</v>
      </c>
      <c r="B186" s="195" t="s">
        <v>256</v>
      </c>
      <c r="C186" s="7"/>
      <c r="D186" s="8"/>
      <c r="E186" s="9">
        <f t="shared" ref="E186:E192" si="39">$I$184*H186</f>
        <v>150.32522123893807</v>
      </c>
      <c r="F186" s="9"/>
      <c r="G186" s="9"/>
      <c r="H186" s="10">
        <f t="shared" si="38"/>
        <v>8.2500000000000004E-2</v>
      </c>
    </row>
    <row r="187" spans="1:9">
      <c r="A187" s="264"/>
      <c r="B187" s="195" t="s">
        <v>257</v>
      </c>
      <c r="C187" s="7"/>
      <c r="D187" s="8"/>
      <c r="E187" s="9">
        <f t="shared" si="39"/>
        <v>79.080176991150452</v>
      </c>
      <c r="F187" s="9"/>
      <c r="G187" s="9"/>
      <c r="H187" s="10">
        <f t="shared" si="38"/>
        <v>4.3400000000000001E-2</v>
      </c>
    </row>
    <row r="188" spans="1:9">
      <c r="A188" s="265" t="s">
        <v>258</v>
      </c>
      <c r="B188" s="266"/>
      <c r="C188" s="11"/>
      <c r="D188" s="12"/>
      <c r="E188" s="9">
        <f t="shared" si="39"/>
        <v>355.86079646017703</v>
      </c>
      <c r="F188" s="9"/>
      <c r="G188" s="9"/>
      <c r="H188" s="13">
        <f t="shared" si="38"/>
        <v>0.1953</v>
      </c>
    </row>
    <row r="189" spans="1:9">
      <c r="A189" s="264" t="s">
        <v>81</v>
      </c>
      <c r="B189" s="264"/>
      <c r="C189" s="7"/>
      <c r="D189" s="8"/>
      <c r="E189" s="9">
        <f t="shared" si="39"/>
        <v>48.104070796460185</v>
      </c>
      <c r="F189" s="9"/>
      <c r="G189" s="9"/>
      <c r="H189" s="10">
        <f t="shared" si="38"/>
        <v>2.64E-2</v>
      </c>
    </row>
    <row r="190" spans="1:9">
      <c r="A190" s="267" t="s">
        <v>259</v>
      </c>
      <c r="B190" s="195" t="s">
        <v>256</v>
      </c>
      <c r="C190" s="7"/>
      <c r="D190" s="8"/>
      <c r="E190" s="9">
        <f t="shared" si="39"/>
        <v>31.340530973451333</v>
      </c>
      <c r="F190" s="9"/>
      <c r="G190" s="9"/>
      <c r="H190" s="10">
        <f t="shared" si="38"/>
        <v>1.72E-2</v>
      </c>
    </row>
    <row r="191" spans="1:9">
      <c r="A191" s="268"/>
      <c r="B191" s="195" t="s">
        <v>257</v>
      </c>
      <c r="C191" s="7"/>
      <c r="D191" s="8"/>
      <c r="E191" s="9">
        <f t="shared" si="39"/>
        <v>118.62026548672569</v>
      </c>
      <c r="F191" s="9"/>
      <c r="G191" s="9"/>
      <c r="H191" s="10">
        <f t="shared" si="38"/>
        <v>6.5100000000000005E-2</v>
      </c>
    </row>
    <row r="192" spans="1:9">
      <c r="A192" s="264" t="s">
        <v>84</v>
      </c>
      <c r="B192" s="264"/>
      <c r="C192" s="7"/>
      <c r="D192" s="8"/>
      <c r="E192" s="9">
        <f t="shared" si="39"/>
        <v>64.685398230088495</v>
      </c>
      <c r="F192" s="9"/>
      <c r="G192" s="9"/>
      <c r="H192" s="10">
        <f t="shared" si="38"/>
        <v>3.5499999999999997E-2</v>
      </c>
    </row>
    <row r="195" spans="1:9" ht="16.5">
      <c r="A195" s="1"/>
      <c r="B195" s="1"/>
      <c r="C195" s="1"/>
      <c r="D195" s="1"/>
      <c r="E195" s="1"/>
      <c r="F195" s="1"/>
      <c r="G195" s="269" t="s">
        <v>245</v>
      </c>
      <c r="H195" s="269"/>
      <c r="I195" s="15" t="str">
        <f>销量!R6</f>
        <v>A668100000141</v>
      </c>
    </row>
    <row r="196" spans="1:9">
      <c r="A196" s="270" t="s">
        <v>246</v>
      </c>
      <c r="B196" s="270"/>
      <c r="C196" s="265" t="str">
        <f t="shared" ref="C196" si="40">$C$2</f>
        <v>河北工厂平均值</v>
      </c>
      <c r="D196" s="271"/>
      <c r="E196" s="271"/>
      <c r="F196" s="271"/>
      <c r="G196" s="271"/>
      <c r="H196" s="266"/>
      <c r="I196" s="3" t="s">
        <v>247</v>
      </c>
    </row>
    <row r="197" spans="1:9" ht="27">
      <c r="A197" s="270"/>
      <c r="B197" s="270"/>
      <c r="C197" s="4" t="s">
        <v>248</v>
      </c>
      <c r="D197" s="4" t="s">
        <v>249</v>
      </c>
      <c r="E197" s="4" t="s">
        <v>250</v>
      </c>
      <c r="F197" s="5" t="s">
        <v>251</v>
      </c>
      <c r="G197" s="5" t="s">
        <v>252</v>
      </c>
      <c r="H197" s="5" t="s">
        <v>253</v>
      </c>
      <c r="I197" s="14">
        <f>销量!R8</f>
        <v>1822.12389380531</v>
      </c>
    </row>
    <row r="198" spans="1:9">
      <c r="A198" s="264" t="s">
        <v>254</v>
      </c>
      <c r="B198" s="264"/>
      <c r="C198" s="7"/>
      <c r="D198" s="8"/>
      <c r="E198" s="9">
        <f>$I$197*H198</f>
        <v>126.45539823008852</v>
      </c>
      <c r="F198" s="9"/>
      <c r="G198" s="9"/>
      <c r="H198" s="10">
        <f t="shared" ref="H198:H205" si="41">H185</f>
        <v>6.9400000000000003E-2</v>
      </c>
    </row>
    <row r="199" spans="1:9">
      <c r="A199" s="264" t="s">
        <v>255</v>
      </c>
      <c r="B199" s="195" t="s">
        <v>256</v>
      </c>
      <c r="C199" s="7"/>
      <c r="D199" s="8"/>
      <c r="E199" s="9">
        <f t="shared" ref="E199:E205" si="42">$I$197*H199</f>
        <v>150.32522123893807</v>
      </c>
      <c r="F199" s="9"/>
      <c r="G199" s="9"/>
      <c r="H199" s="10">
        <f t="shared" si="41"/>
        <v>8.2500000000000004E-2</v>
      </c>
    </row>
    <row r="200" spans="1:9">
      <c r="A200" s="264"/>
      <c r="B200" s="195" t="s">
        <v>257</v>
      </c>
      <c r="C200" s="7"/>
      <c r="D200" s="8"/>
      <c r="E200" s="9">
        <f t="shared" si="42"/>
        <v>79.080176991150452</v>
      </c>
      <c r="F200" s="9"/>
      <c r="G200" s="9"/>
      <c r="H200" s="10">
        <f t="shared" si="41"/>
        <v>4.3400000000000001E-2</v>
      </c>
    </row>
    <row r="201" spans="1:9">
      <c r="A201" s="265" t="s">
        <v>258</v>
      </c>
      <c r="B201" s="266"/>
      <c r="C201" s="11"/>
      <c r="D201" s="12"/>
      <c r="E201" s="9">
        <f t="shared" si="42"/>
        <v>355.86079646017703</v>
      </c>
      <c r="F201" s="9"/>
      <c r="G201" s="9"/>
      <c r="H201" s="13">
        <f t="shared" si="41"/>
        <v>0.1953</v>
      </c>
    </row>
    <row r="202" spans="1:9">
      <c r="A202" s="264" t="s">
        <v>81</v>
      </c>
      <c r="B202" s="264"/>
      <c r="C202" s="7"/>
      <c r="D202" s="8"/>
      <c r="E202" s="9">
        <f t="shared" si="42"/>
        <v>48.104070796460185</v>
      </c>
      <c r="F202" s="9"/>
      <c r="G202" s="9"/>
      <c r="H202" s="10">
        <f t="shared" si="41"/>
        <v>2.64E-2</v>
      </c>
    </row>
    <row r="203" spans="1:9">
      <c r="A203" s="267" t="s">
        <v>259</v>
      </c>
      <c r="B203" s="195" t="s">
        <v>256</v>
      </c>
      <c r="C203" s="7"/>
      <c r="D203" s="8"/>
      <c r="E203" s="9">
        <f t="shared" si="42"/>
        <v>31.340530973451333</v>
      </c>
      <c r="F203" s="9"/>
      <c r="G203" s="9"/>
      <c r="H203" s="10">
        <f t="shared" si="41"/>
        <v>1.72E-2</v>
      </c>
    </row>
    <row r="204" spans="1:9">
      <c r="A204" s="268"/>
      <c r="B204" s="195" t="s">
        <v>257</v>
      </c>
      <c r="C204" s="7"/>
      <c r="D204" s="8"/>
      <c r="E204" s="9">
        <f t="shared" si="42"/>
        <v>118.62026548672569</v>
      </c>
      <c r="F204" s="9"/>
      <c r="G204" s="9"/>
      <c r="H204" s="10">
        <f t="shared" si="41"/>
        <v>6.5100000000000005E-2</v>
      </c>
    </row>
    <row r="205" spans="1:9">
      <c r="A205" s="264" t="s">
        <v>84</v>
      </c>
      <c r="B205" s="264"/>
      <c r="C205" s="7"/>
      <c r="D205" s="8"/>
      <c r="E205" s="9">
        <f t="shared" si="42"/>
        <v>64.685398230088495</v>
      </c>
      <c r="F205" s="9"/>
      <c r="G205" s="9"/>
      <c r="H205" s="10">
        <f t="shared" si="41"/>
        <v>3.5499999999999997E-2</v>
      </c>
    </row>
  </sheetData>
  <mergeCells count="144">
    <mergeCell ref="A58:B58"/>
    <mergeCell ref="A59:B59"/>
    <mergeCell ref="A62:B62"/>
    <mergeCell ref="A56:A57"/>
    <mergeCell ref="A60:A61"/>
    <mergeCell ref="A53:B54"/>
    <mergeCell ref="A42:B42"/>
    <mergeCell ref="A45:B45"/>
    <mergeCell ref="A46:B46"/>
    <mergeCell ref="A49:B49"/>
    <mergeCell ref="G52:H52"/>
    <mergeCell ref="A43:A44"/>
    <mergeCell ref="A47:A48"/>
    <mergeCell ref="C53:H53"/>
    <mergeCell ref="A55:B55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  <mergeCell ref="G65:H65"/>
    <mergeCell ref="A66:B67"/>
    <mergeCell ref="C66:H66"/>
    <mergeCell ref="A68:B68"/>
    <mergeCell ref="A69:A70"/>
    <mergeCell ref="G13:H13"/>
    <mergeCell ref="C14:H14"/>
    <mergeCell ref="A16:B16"/>
    <mergeCell ref="A19:B19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A79:B80"/>
    <mergeCell ref="C79:H79"/>
    <mergeCell ref="A81:B81"/>
    <mergeCell ref="A82:A83"/>
    <mergeCell ref="A84:B84"/>
    <mergeCell ref="A71:B71"/>
    <mergeCell ref="A72:B72"/>
    <mergeCell ref="A73:A74"/>
    <mergeCell ref="A75:B75"/>
    <mergeCell ref="G78:H78"/>
    <mergeCell ref="A94:B94"/>
    <mergeCell ref="A95:A96"/>
    <mergeCell ref="A97:B97"/>
    <mergeCell ref="A98:B98"/>
    <mergeCell ref="A99:A100"/>
    <mergeCell ref="A85:B85"/>
    <mergeCell ref="A86:A87"/>
    <mergeCell ref="A88:B88"/>
    <mergeCell ref="G91:H91"/>
    <mergeCell ref="A92:B93"/>
    <mergeCell ref="C92:H92"/>
    <mergeCell ref="A108:A109"/>
    <mergeCell ref="A110:B110"/>
    <mergeCell ref="A111:B111"/>
    <mergeCell ref="A112:A113"/>
    <mergeCell ref="A114:B114"/>
    <mergeCell ref="A101:B101"/>
    <mergeCell ref="G104:H104"/>
    <mergeCell ref="A105:B106"/>
    <mergeCell ref="C105:H105"/>
    <mergeCell ref="A107:B107"/>
    <mergeCell ref="A123:B123"/>
    <mergeCell ref="A124:B124"/>
    <mergeCell ref="A125:A126"/>
    <mergeCell ref="A127:B127"/>
    <mergeCell ref="G130:H130"/>
    <mergeCell ref="G117:H117"/>
    <mergeCell ref="A118:B119"/>
    <mergeCell ref="C118:H118"/>
    <mergeCell ref="A120:B120"/>
    <mergeCell ref="A121:A122"/>
    <mergeCell ref="A137:B137"/>
    <mergeCell ref="A138:A139"/>
    <mergeCell ref="A140:B140"/>
    <mergeCell ref="G143:H143"/>
    <mergeCell ref="A144:B145"/>
    <mergeCell ref="C144:H144"/>
    <mergeCell ref="A131:B132"/>
    <mergeCell ref="C131:H131"/>
    <mergeCell ref="A133:B133"/>
    <mergeCell ref="A134:A135"/>
    <mergeCell ref="A136:B136"/>
    <mergeCell ref="A153:B153"/>
    <mergeCell ref="G156:H156"/>
    <mergeCell ref="A157:B158"/>
    <mergeCell ref="C157:H157"/>
    <mergeCell ref="A159:B159"/>
    <mergeCell ref="A146:B146"/>
    <mergeCell ref="A147:A148"/>
    <mergeCell ref="A149:B149"/>
    <mergeCell ref="A150:B150"/>
    <mergeCell ref="A151:A152"/>
    <mergeCell ref="G169:H169"/>
    <mergeCell ref="A170:B171"/>
    <mergeCell ref="C170:H170"/>
    <mergeCell ref="A172:B172"/>
    <mergeCell ref="A173:A174"/>
    <mergeCell ref="A160:A161"/>
    <mergeCell ref="A162:B162"/>
    <mergeCell ref="A163:B163"/>
    <mergeCell ref="A164:A165"/>
    <mergeCell ref="A166:B166"/>
    <mergeCell ref="G195:H195"/>
    <mergeCell ref="A196:B197"/>
    <mergeCell ref="C196:H196"/>
    <mergeCell ref="A183:B184"/>
    <mergeCell ref="C183:H183"/>
    <mergeCell ref="A185:B185"/>
    <mergeCell ref="A186:A187"/>
    <mergeCell ref="A188:B188"/>
    <mergeCell ref="A175:B175"/>
    <mergeCell ref="A176:B176"/>
    <mergeCell ref="A177:A178"/>
    <mergeCell ref="A179:B179"/>
    <mergeCell ref="G182:H182"/>
    <mergeCell ref="A205:B205"/>
    <mergeCell ref="A198:B198"/>
    <mergeCell ref="A199:A200"/>
    <mergeCell ref="A201:B201"/>
    <mergeCell ref="A202:B202"/>
    <mergeCell ref="A203:A204"/>
    <mergeCell ref="A189:B189"/>
    <mergeCell ref="A190:A191"/>
    <mergeCell ref="A192:B192"/>
  </mergeCells>
  <phoneticPr fontId="45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28" customWidth="1"/>
    <col min="2" max="2" width="28.5" style="128" customWidth="1"/>
    <col min="3" max="4" width="9.125" style="128"/>
    <col min="5" max="5" width="13.875" style="128" customWidth="1"/>
    <col min="6" max="12" width="16.125" style="128" customWidth="1"/>
    <col min="13" max="13" width="10.625" style="128" customWidth="1"/>
    <col min="14" max="254" width="9.125" style="128"/>
    <col min="255" max="255" width="8" style="128" customWidth="1"/>
    <col min="256" max="256" width="28.5" style="128" customWidth="1"/>
    <col min="257" max="268" width="9.125" style="128"/>
    <col min="269" max="269" width="10.625" style="128" customWidth="1"/>
    <col min="270" max="510" width="9.125" style="128"/>
    <col min="511" max="511" width="8" style="128" customWidth="1"/>
    <col min="512" max="512" width="28.5" style="128" customWidth="1"/>
    <col min="513" max="524" width="9.125" style="128"/>
    <col min="525" max="525" width="10.625" style="128" customWidth="1"/>
    <col min="526" max="766" width="9.125" style="128"/>
    <col min="767" max="767" width="8" style="128" customWidth="1"/>
    <col min="768" max="768" width="28.5" style="128" customWidth="1"/>
    <col min="769" max="780" width="9.125" style="128"/>
    <col min="781" max="781" width="10.625" style="128" customWidth="1"/>
    <col min="782" max="1022" width="9.125" style="128"/>
    <col min="1023" max="1023" width="8" style="128" customWidth="1"/>
    <col min="1024" max="1024" width="28.5" style="128" customWidth="1"/>
    <col min="1025" max="1036" width="9.125" style="128"/>
    <col min="1037" max="1037" width="10.625" style="128" customWidth="1"/>
    <col min="1038" max="1278" width="9.125" style="128"/>
    <col min="1279" max="1279" width="8" style="128" customWidth="1"/>
    <col min="1280" max="1280" width="28.5" style="128" customWidth="1"/>
    <col min="1281" max="1292" width="9.125" style="128"/>
    <col min="1293" max="1293" width="10.625" style="128" customWidth="1"/>
    <col min="1294" max="1534" width="9.125" style="128"/>
    <col min="1535" max="1535" width="8" style="128" customWidth="1"/>
    <col min="1536" max="1536" width="28.5" style="128" customWidth="1"/>
    <col min="1537" max="1548" width="9.125" style="128"/>
    <col min="1549" max="1549" width="10.625" style="128" customWidth="1"/>
    <col min="1550" max="1790" width="9.125" style="128"/>
    <col min="1791" max="1791" width="8" style="128" customWidth="1"/>
    <col min="1792" max="1792" width="28.5" style="128" customWidth="1"/>
    <col min="1793" max="1804" width="9.125" style="128"/>
    <col min="1805" max="1805" width="10.625" style="128" customWidth="1"/>
    <col min="1806" max="2046" width="9.125" style="128"/>
    <col min="2047" max="2047" width="8" style="128" customWidth="1"/>
    <col min="2048" max="2048" width="28.5" style="128" customWidth="1"/>
    <col min="2049" max="2060" width="9.125" style="128"/>
    <col min="2061" max="2061" width="10.625" style="128" customWidth="1"/>
    <col min="2062" max="2302" width="9.125" style="128"/>
    <col min="2303" max="2303" width="8" style="128" customWidth="1"/>
    <col min="2304" max="2304" width="28.5" style="128" customWidth="1"/>
    <col min="2305" max="2316" width="9.125" style="128"/>
    <col min="2317" max="2317" width="10.625" style="128" customWidth="1"/>
    <col min="2318" max="2558" width="9.125" style="128"/>
    <col min="2559" max="2559" width="8" style="128" customWidth="1"/>
    <col min="2560" max="2560" width="28.5" style="128" customWidth="1"/>
    <col min="2561" max="2572" width="9.125" style="128"/>
    <col min="2573" max="2573" width="10.625" style="128" customWidth="1"/>
    <col min="2574" max="2814" width="9.125" style="128"/>
    <col min="2815" max="2815" width="8" style="128" customWidth="1"/>
    <col min="2816" max="2816" width="28.5" style="128" customWidth="1"/>
    <col min="2817" max="2828" width="9.125" style="128"/>
    <col min="2829" max="2829" width="10.625" style="128" customWidth="1"/>
    <col min="2830" max="3070" width="9.125" style="128"/>
    <col min="3071" max="3071" width="8" style="128" customWidth="1"/>
    <col min="3072" max="3072" width="28.5" style="128" customWidth="1"/>
    <col min="3073" max="3084" width="9.125" style="128"/>
    <col min="3085" max="3085" width="10.625" style="128" customWidth="1"/>
    <col min="3086" max="3326" width="9.125" style="128"/>
    <col min="3327" max="3327" width="8" style="128" customWidth="1"/>
    <col min="3328" max="3328" width="28.5" style="128" customWidth="1"/>
    <col min="3329" max="3340" width="9.125" style="128"/>
    <col min="3341" max="3341" width="10.625" style="128" customWidth="1"/>
    <col min="3342" max="3582" width="9.125" style="128"/>
    <col min="3583" max="3583" width="8" style="128" customWidth="1"/>
    <col min="3584" max="3584" width="28.5" style="128" customWidth="1"/>
    <col min="3585" max="3596" width="9.125" style="128"/>
    <col min="3597" max="3597" width="10.625" style="128" customWidth="1"/>
    <col min="3598" max="3838" width="9.125" style="128"/>
    <col min="3839" max="3839" width="8" style="128" customWidth="1"/>
    <col min="3840" max="3840" width="28.5" style="128" customWidth="1"/>
    <col min="3841" max="3852" width="9.125" style="128"/>
    <col min="3853" max="3853" width="10.625" style="128" customWidth="1"/>
    <col min="3854" max="4094" width="9.125" style="128"/>
    <col min="4095" max="4095" width="8" style="128" customWidth="1"/>
    <col min="4096" max="4096" width="28.5" style="128" customWidth="1"/>
    <col min="4097" max="4108" width="9.125" style="128"/>
    <col min="4109" max="4109" width="10.625" style="128" customWidth="1"/>
    <col min="4110" max="4350" width="9.125" style="128"/>
    <col min="4351" max="4351" width="8" style="128" customWidth="1"/>
    <col min="4352" max="4352" width="28.5" style="128" customWidth="1"/>
    <col min="4353" max="4364" width="9.125" style="128"/>
    <col min="4365" max="4365" width="10.625" style="128" customWidth="1"/>
    <col min="4366" max="4606" width="9.125" style="128"/>
    <col min="4607" max="4607" width="8" style="128" customWidth="1"/>
    <col min="4608" max="4608" width="28.5" style="128" customWidth="1"/>
    <col min="4609" max="4620" width="9.125" style="128"/>
    <col min="4621" max="4621" width="10.625" style="128" customWidth="1"/>
    <col min="4622" max="4862" width="9.125" style="128"/>
    <col min="4863" max="4863" width="8" style="128" customWidth="1"/>
    <col min="4864" max="4864" width="28.5" style="128" customWidth="1"/>
    <col min="4865" max="4876" width="9.125" style="128"/>
    <col min="4877" max="4877" width="10.625" style="128" customWidth="1"/>
    <col min="4878" max="5118" width="9.125" style="128"/>
    <col min="5119" max="5119" width="8" style="128" customWidth="1"/>
    <col min="5120" max="5120" width="28.5" style="128" customWidth="1"/>
    <col min="5121" max="5132" width="9.125" style="128"/>
    <col min="5133" max="5133" width="10.625" style="128" customWidth="1"/>
    <col min="5134" max="5374" width="9.125" style="128"/>
    <col min="5375" max="5375" width="8" style="128" customWidth="1"/>
    <col min="5376" max="5376" width="28.5" style="128" customWidth="1"/>
    <col min="5377" max="5388" width="9.125" style="128"/>
    <col min="5389" max="5389" width="10.625" style="128" customWidth="1"/>
    <col min="5390" max="5630" width="9.125" style="128"/>
    <col min="5631" max="5631" width="8" style="128" customWidth="1"/>
    <col min="5632" max="5632" width="28.5" style="128" customWidth="1"/>
    <col min="5633" max="5644" width="9.125" style="128"/>
    <col min="5645" max="5645" width="10.625" style="128" customWidth="1"/>
    <col min="5646" max="5886" width="9.125" style="128"/>
    <col min="5887" max="5887" width="8" style="128" customWidth="1"/>
    <col min="5888" max="5888" width="28.5" style="128" customWidth="1"/>
    <col min="5889" max="5900" width="9.125" style="128"/>
    <col min="5901" max="5901" width="10.625" style="128" customWidth="1"/>
    <col min="5902" max="6142" width="9.125" style="128"/>
    <col min="6143" max="6143" width="8" style="128" customWidth="1"/>
    <col min="6144" max="6144" width="28.5" style="128" customWidth="1"/>
    <col min="6145" max="6156" width="9.125" style="128"/>
    <col min="6157" max="6157" width="10.625" style="128" customWidth="1"/>
    <col min="6158" max="6398" width="9.125" style="128"/>
    <col min="6399" max="6399" width="8" style="128" customWidth="1"/>
    <col min="6400" max="6400" width="28.5" style="128" customWidth="1"/>
    <col min="6401" max="6412" width="9.125" style="128"/>
    <col min="6413" max="6413" width="10.625" style="128" customWidth="1"/>
    <col min="6414" max="6654" width="9.125" style="128"/>
    <col min="6655" max="6655" width="8" style="128" customWidth="1"/>
    <col min="6656" max="6656" width="28.5" style="128" customWidth="1"/>
    <col min="6657" max="6668" width="9.125" style="128"/>
    <col min="6669" max="6669" width="10.625" style="128" customWidth="1"/>
    <col min="6670" max="6910" width="9.125" style="128"/>
    <col min="6911" max="6911" width="8" style="128" customWidth="1"/>
    <col min="6912" max="6912" width="28.5" style="128" customWidth="1"/>
    <col min="6913" max="6924" width="9.125" style="128"/>
    <col min="6925" max="6925" width="10.625" style="128" customWidth="1"/>
    <col min="6926" max="7166" width="9.125" style="128"/>
    <col min="7167" max="7167" width="8" style="128" customWidth="1"/>
    <col min="7168" max="7168" width="28.5" style="128" customWidth="1"/>
    <col min="7169" max="7180" width="9.125" style="128"/>
    <col min="7181" max="7181" width="10.625" style="128" customWidth="1"/>
    <col min="7182" max="7422" width="9.125" style="128"/>
    <col min="7423" max="7423" width="8" style="128" customWidth="1"/>
    <col min="7424" max="7424" width="28.5" style="128" customWidth="1"/>
    <col min="7425" max="7436" width="9.125" style="128"/>
    <col min="7437" max="7437" width="10.625" style="128" customWidth="1"/>
    <col min="7438" max="7678" width="9.125" style="128"/>
    <col min="7679" max="7679" width="8" style="128" customWidth="1"/>
    <col min="7680" max="7680" width="28.5" style="128" customWidth="1"/>
    <col min="7681" max="7692" width="9.125" style="128"/>
    <col min="7693" max="7693" width="10.625" style="128" customWidth="1"/>
    <col min="7694" max="7934" width="9.125" style="128"/>
    <col min="7935" max="7935" width="8" style="128" customWidth="1"/>
    <col min="7936" max="7936" width="28.5" style="128" customWidth="1"/>
    <col min="7937" max="7948" width="9.125" style="128"/>
    <col min="7949" max="7949" width="10.625" style="128" customWidth="1"/>
    <col min="7950" max="8190" width="9.125" style="128"/>
    <col min="8191" max="8191" width="8" style="128" customWidth="1"/>
    <col min="8192" max="8192" width="28.5" style="128" customWidth="1"/>
    <col min="8193" max="8204" width="9.125" style="128"/>
    <col min="8205" max="8205" width="10.625" style="128" customWidth="1"/>
    <col min="8206" max="8446" width="9.125" style="128"/>
    <col min="8447" max="8447" width="8" style="128" customWidth="1"/>
    <col min="8448" max="8448" width="28.5" style="128" customWidth="1"/>
    <col min="8449" max="8460" width="9.125" style="128"/>
    <col min="8461" max="8461" width="10.625" style="128" customWidth="1"/>
    <col min="8462" max="8702" width="9.125" style="128"/>
    <col min="8703" max="8703" width="8" style="128" customWidth="1"/>
    <col min="8704" max="8704" width="28.5" style="128" customWidth="1"/>
    <col min="8705" max="8716" width="9.125" style="128"/>
    <col min="8717" max="8717" width="10.625" style="128" customWidth="1"/>
    <col min="8718" max="8958" width="9.125" style="128"/>
    <col min="8959" max="8959" width="8" style="128" customWidth="1"/>
    <col min="8960" max="8960" width="28.5" style="128" customWidth="1"/>
    <col min="8961" max="8972" width="9.125" style="128"/>
    <col min="8973" max="8973" width="10.625" style="128" customWidth="1"/>
    <col min="8974" max="9214" width="9.125" style="128"/>
    <col min="9215" max="9215" width="8" style="128" customWidth="1"/>
    <col min="9216" max="9216" width="28.5" style="128" customWidth="1"/>
    <col min="9217" max="9228" width="9.125" style="128"/>
    <col min="9229" max="9229" width="10.625" style="128" customWidth="1"/>
    <col min="9230" max="9470" width="9.125" style="128"/>
    <col min="9471" max="9471" width="8" style="128" customWidth="1"/>
    <col min="9472" max="9472" width="28.5" style="128" customWidth="1"/>
    <col min="9473" max="9484" width="9.125" style="128"/>
    <col min="9485" max="9485" width="10.625" style="128" customWidth="1"/>
    <col min="9486" max="9726" width="9.125" style="128"/>
    <col min="9727" max="9727" width="8" style="128" customWidth="1"/>
    <col min="9728" max="9728" width="28.5" style="128" customWidth="1"/>
    <col min="9729" max="9740" width="9.125" style="128"/>
    <col min="9741" max="9741" width="10.625" style="128" customWidth="1"/>
    <col min="9742" max="9982" width="9.125" style="128"/>
    <col min="9983" max="9983" width="8" style="128" customWidth="1"/>
    <col min="9984" max="9984" width="28.5" style="128" customWidth="1"/>
    <col min="9985" max="9996" width="9.125" style="128"/>
    <col min="9997" max="9997" width="10.625" style="128" customWidth="1"/>
    <col min="9998" max="10238" width="9.125" style="128"/>
    <col min="10239" max="10239" width="8" style="128" customWidth="1"/>
    <col min="10240" max="10240" width="28.5" style="128" customWidth="1"/>
    <col min="10241" max="10252" width="9.125" style="128"/>
    <col min="10253" max="10253" width="10.625" style="128" customWidth="1"/>
    <col min="10254" max="10494" width="9.125" style="128"/>
    <col min="10495" max="10495" width="8" style="128" customWidth="1"/>
    <col min="10496" max="10496" width="28.5" style="128" customWidth="1"/>
    <col min="10497" max="10508" width="9.125" style="128"/>
    <col min="10509" max="10509" width="10.625" style="128" customWidth="1"/>
    <col min="10510" max="10750" width="9.125" style="128"/>
    <col min="10751" max="10751" width="8" style="128" customWidth="1"/>
    <col min="10752" max="10752" width="28.5" style="128" customWidth="1"/>
    <col min="10753" max="10764" width="9.125" style="128"/>
    <col min="10765" max="10765" width="10.625" style="128" customWidth="1"/>
    <col min="10766" max="11006" width="9.125" style="128"/>
    <col min="11007" max="11007" width="8" style="128" customWidth="1"/>
    <col min="11008" max="11008" width="28.5" style="128" customWidth="1"/>
    <col min="11009" max="11020" width="9.125" style="128"/>
    <col min="11021" max="11021" width="10.625" style="128" customWidth="1"/>
    <col min="11022" max="11262" width="9.125" style="128"/>
    <col min="11263" max="11263" width="8" style="128" customWidth="1"/>
    <col min="11264" max="11264" width="28.5" style="128" customWidth="1"/>
    <col min="11265" max="11276" width="9.125" style="128"/>
    <col min="11277" max="11277" width="10.625" style="128" customWidth="1"/>
    <col min="11278" max="11518" width="9.125" style="128"/>
    <col min="11519" max="11519" width="8" style="128" customWidth="1"/>
    <col min="11520" max="11520" width="28.5" style="128" customWidth="1"/>
    <col min="11521" max="11532" width="9.125" style="128"/>
    <col min="11533" max="11533" width="10.625" style="128" customWidth="1"/>
    <col min="11534" max="11774" width="9.125" style="128"/>
    <col min="11775" max="11775" width="8" style="128" customWidth="1"/>
    <col min="11776" max="11776" width="28.5" style="128" customWidth="1"/>
    <col min="11777" max="11788" width="9.125" style="128"/>
    <col min="11789" max="11789" width="10.625" style="128" customWidth="1"/>
    <col min="11790" max="12030" width="9.125" style="128"/>
    <col min="12031" max="12031" width="8" style="128" customWidth="1"/>
    <col min="12032" max="12032" width="28.5" style="128" customWidth="1"/>
    <col min="12033" max="12044" width="9.125" style="128"/>
    <col min="12045" max="12045" width="10.625" style="128" customWidth="1"/>
    <col min="12046" max="12286" width="9.125" style="128"/>
    <col min="12287" max="12287" width="8" style="128" customWidth="1"/>
    <col min="12288" max="12288" width="28.5" style="128" customWidth="1"/>
    <col min="12289" max="12300" width="9.125" style="128"/>
    <col min="12301" max="12301" width="10.625" style="128" customWidth="1"/>
    <col min="12302" max="12542" width="9.125" style="128"/>
    <col min="12543" max="12543" width="8" style="128" customWidth="1"/>
    <col min="12544" max="12544" width="28.5" style="128" customWidth="1"/>
    <col min="12545" max="12556" width="9.125" style="128"/>
    <col min="12557" max="12557" width="10.625" style="128" customWidth="1"/>
    <col min="12558" max="12798" width="9.125" style="128"/>
    <col min="12799" max="12799" width="8" style="128" customWidth="1"/>
    <col min="12800" max="12800" width="28.5" style="128" customWidth="1"/>
    <col min="12801" max="12812" width="9.125" style="128"/>
    <col min="12813" max="12813" width="10.625" style="128" customWidth="1"/>
    <col min="12814" max="13054" width="9.125" style="128"/>
    <col min="13055" max="13055" width="8" style="128" customWidth="1"/>
    <col min="13056" max="13056" width="28.5" style="128" customWidth="1"/>
    <col min="13057" max="13068" width="9.125" style="128"/>
    <col min="13069" max="13069" width="10.625" style="128" customWidth="1"/>
    <col min="13070" max="13310" width="9.125" style="128"/>
    <col min="13311" max="13311" width="8" style="128" customWidth="1"/>
    <col min="13312" max="13312" width="28.5" style="128" customWidth="1"/>
    <col min="13313" max="13324" width="9.125" style="128"/>
    <col min="13325" max="13325" width="10.625" style="128" customWidth="1"/>
    <col min="13326" max="13566" width="9.125" style="128"/>
    <col min="13567" max="13567" width="8" style="128" customWidth="1"/>
    <col min="13568" max="13568" width="28.5" style="128" customWidth="1"/>
    <col min="13569" max="13580" width="9.125" style="128"/>
    <col min="13581" max="13581" width="10.625" style="128" customWidth="1"/>
    <col min="13582" max="13822" width="9.125" style="128"/>
    <col min="13823" max="13823" width="8" style="128" customWidth="1"/>
    <col min="13824" max="13824" width="28.5" style="128" customWidth="1"/>
    <col min="13825" max="13836" width="9.125" style="128"/>
    <col min="13837" max="13837" width="10.625" style="128" customWidth="1"/>
    <col min="13838" max="14078" width="9.125" style="128"/>
    <col min="14079" max="14079" width="8" style="128" customWidth="1"/>
    <col min="14080" max="14080" width="28.5" style="128" customWidth="1"/>
    <col min="14081" max="14092" width="9.125" style="128"/>
    <col min="14093" max="14093" width="10.625" style="128" customWidth="1"/>
    <col min="14094" max="14334" width="9.125" style="128"/>
    <col min="14335" max="14335" width="8" style="128" customWidth="1"/>
    <col min="14336" max="14336" width="28.5" style="128" customWidth="1"/>
    <col min="14337" max="14348" width="9.125" style="128"/>
    <col min="14349" max="14349" width="10.625" style="128" customWidth="1"/>
    <col min="14350" max="14590" width="9.125" style="128"/>
    <col min="14591" max="14591" width="8" style="128" customWidth="1"/>
    <col min="14592" max="14592" width="28.5" style="128" customWidth="1"/>
    <col min="14593" max="14604" width="9.125" style="128"/>
    <col min="14605" max="14605" width="10.625" style="128" customWidth="1"/>
    <col min="14606" max="14846" width="9.125" style="128"/>
    <col min="14847" max="14847" width="8" style="128" customWidth="1"/>
    <col min="14848" max="14848" width="28.5" style="128" customWidth="1"/>
    <col min="14849" max="14860" width="9.125" style="128"/>
    <col min="14861" max="14861" width="10.625" style="128" customWidth="1"/>
    <col min="14862" max="15102" width="9.125" style="128"/>
    <col min="15103" max="15103" width="8" style="128" customWidth="1"/>
    <col min="15104" max="15104" width="28.5" style="128" customWidth="1"/>
    <col min="15105" max="15116" width="9.125" style="128"/>
    <col min="15117" max="15117" width="10.625" style="128" customWidth="1"/>
    <col min="15118" max="15358" width="9.125" style="128"/>
    <col min="15359" max="15359" width="8" style="128" customWidth="1"/>
    <col min="15360" max="15360" width="28.5" style="128" customWidth="1"/>
    <col min="15361" max="15372" width="9.125" style="128"/>
    <col min="15373" max="15373" width="10.625" style="128" customWidth="1"/>
    <col min="15374" max="15614" width="9.125" style="128"/>
    <col min="15615" max="15615" width="8" style="128" customWidth="1"/>
    <col min="15616" max="15616" width="28.5" style="128" customWidth="1"/>
    <col min="15617" max="15628" width="9.125" style="128"/>
    <col min="15629" max="15629" width="10.625" style="128" customWidth="1"/>
    <col min="15630" max="15870" width="9.125" style="128"/>
    <col min="15871" max="15871" width="8" style="128" customWidth="1"/>
    <col min="15872" max="15872" width="28.5" style="128" customWidth="1"/>
    <col min="15873" max="15884" width="9.125" style="128"/>
    <col min="15885" max="15885" width="10.625" style="128" customWidth="1"/>
    <col min="15886" max="16126" width="9.125" style="128"/>
    <col min="16127" max="16127" width="8" style="128" customWidth="1"/>
    <col min="16128" max="16128" width="28.5" style="128" customWidth="1"/>
    <col min="16129" max="16140" width="9.125" style="128"/>
    <col min="16141" max="16141" width="10.625" style="128" customWidth="1"/>
    <col min="16142" max="16384" width="9.125" style="128"/>
  </cols>
  <sheetData>
    <row r="1" spans="1:13" ht="18.75">
      <c r="A1" s="129" t="s">
        <v>16</v>
      </c>
      <c r="B1" s="130"/>
      <c r="C1" s="131"/>
      <c r="D1" s="131"/>
      <c r="E1" s="130"/>
      <c r="F1" s="131"/>
      <c r="G1" s="131"/>
      <c r="H1" s="130"/>
      <c r="I1" s="131"/>
      <c r="J1" s="131"/>
      <c r="K1" s="131"/>
      <c r="L1" s="131"/>
      <c r="M1" s="131"/>
    </row>
    <row r="2" spans="1:13" ht="12">
      <c r="A2" s="128" t="s">
        <v>17</v>
      </c>
      <c r="B2" s="132"/>
    </row>
    <row r="3" spans="1:13" ht="16.899999999999999" customHeight="1">
      <c r="A3" s="133" t="s">
        <v>18</v>
      </c>
      <c r="B3" s="133" t="s">
        <v>19</v>
      </c>
      <c r="C3" s="211" t="s">
        <v>20</v>
      </c>
      <c r="D3" s="211"/>
      <c r="E3" s="211"/>
      <c r="F3" s="135"/>
      <c r="G3" s="136"/>
      <c r="H3" s="137"/>
      <c r="I3" s="137"/>
      <c r="J3" s="137" t="s">
        <v>21</v>
      </c>
      <c r="K3" s="137"/>
      <c r="L3" s="137"/>
      <c r="M3" s="158"/>
    </row>
    <row r="4" spans="1:13" ht="16.149999999999999" customHeight="1">
      <c r="A4" s="138"/>
      <c r="B4" s="138" t="s">
        <v>22</v>
      </c>
      <c r="C4" s="134">
        <v>2017</v>
      </c>
      <c r="D4" s="134">
        <f t="shared" ref="D4:L4" si="0">C4+1</f>
        <v>2018</v>
      </c>
      <c r="E4" s="134">
        <f t="shared" si="0"/>
        <v>2019</v>
      </c>
      <c r="F4" s="134">
        <f t="shared" si="0"/>
        <v>2020</v>
      </c>
      <c r="G4" s="134">
        <f t="shared" si="0"/>
        <v>2021</v>
      </c>
      <c r="H4" s="139">
        <f t="shared" si="0"/>
        <v>2022</v>
      </c>
      <c r="I4" s="139">
        <f t="shared" si="0"/>
        <v>2023</v>
      </c>
      <c r="J4" s="139">
        <f t="shared" si="0"/>
        <v>2024</v>
      </c>
      <c r="K4" s="139">
        <f t="shared" si="0"/>
        <v>2025</v>
      </c>
      <c r="L4" s="139">
        <f t="shared" si="0"/>
        <v>2026</v>
      </c>
      <c r="M4" s="159" t="s">
        <v>23</v>
      </c>
    </row>
    <row r="5" spans="1:13" ht="15.6" customHeight="1">
      <c r="A5" s="140">
        <v>1</v>
      </c>
      <c r="B5" s="141" t="s">
        <v>24</v>
      </c>
      <c r="C5" s="142">
        <f>SUM(C6:C9)</f>
        <v>0</v>
      </c>
      <c r="D5" s="142">
        <f t="shared" ref="D5:L5" si="1">SUM(D6:D9)</f>
        <v>0</v>
      </c>
      <c r="E5" s="142" t="e">
        <f t="shared" si="1"/>
        <v>#REF!</v>
      </c>
      <c r="F5" s="142" t="e">
        <f t="shared" si="1"/>
        <v>#REF!</v>
      </c>
      <c r="G5" s="142" t="e">
        <f t="shared" si="1"/>
        <v>#REF!</v>
      </c>
      <c r="H5" s="142" t="e">
        <f t="shared" si="1"/>
        <v>#REF!</v>
      </c>
      <c r="I5" s="142" t="e">
        <f t="shared" si="1"/>
        <v>#REF!</v>
      </c>
      <c r="J5" s="142" t="e">
        <f t="shared" si="1"/>
        <v>#REF!</v>
      </c>
      <c r="K5" s="142" t="e">
        <f t="shared" si="1"/>
        <v>#REF!</v>
      </c>
      <c r="L5" s="142" t="e">
        <f t="shared" si="1"/>
        <v>#REF!</v>
      </c>
      <c r="M5" s="146" t="e">
        <f t="shared" ref="M5:M17" si="2">SUM(C5:L5)</f>
        <v>#REF!</v>
      </c>
    </row>
    <row r="6" spans="1:13" ht="15.6" customHeight="1">
      <c r="A6" s="140">
        <v>1.1000000000000001</v>
      </c>
      <c r="B6" s="143" t="s">
        <v>25</v>
      </c>
      <c r="C6" s="144"/>
      <c r="D6" s="144"/>
      <c r="E6" s="144" t="e">
        <f>#REF!</f>
        <v>#REF!</v>
      </c>
      <c r="F6" s="144" t="e">
        <f>#REF!</f>
        <v>#REF!</v>
      </c>
      <c r="G6" s="144" t="e">
        <f>#REF!</f>
        <v>#REF!</v>
      </c>
      <c r="H6" s="144" t="e">
        <f>#REF!</f>
        <v>#REF!</v>
      </c>
      <c r="I6" s="144" t="e">
        <f>#REF!</f>
        <v>#REF!</v>
      </c>
      <c r="J6" s="144" t="e">
        <f>#REF!</f>
        <v>#REF!</v>
      </c>
      <c r="K6" s="144" t="e">
        <f>#REF!</f>
        <v>#REF!</v>
      </c>
      <c r="L6" s="144" t="e">
        <f>#REF!</f>
        <v>#REF!</v>
      </c>
      <c r="M6" s="146" t="e">
        <f t="shared" si="2"/>
        <v>#REF!</v>
      </c>
    </row>
    <row r="7" spans="1:13" ht="15.6" customHeight="1">
      <c r="A7" s="140">
        <v>1.2</v>
      </c>
      <c r="B7" s="143" t="s">
        <v>26</v>
      </c>
      <c r="C7" s="144"/>
      <c r="D7" s="144"/>
      <c r="E7" s="144">
        <f>[1]折、摊!G18</f>
        <v>0</v>
      </c>
      <c r="F7" s="144">
        <f>[1]折、摊!H18</f>
        <v>0</v>
      </c>
      <c r="G7" s="144">
        <f>[1]折、摊!I18</f>
        <v>0</v>
      </c>
      <c r="H7" s="144">
        <f>[1]折、摊!J18</f>
        <v>0</v>
      </c>
      <c r="I7" s="144">
        <f>[1]折、摊!K18</f>
        <v>0</v>
      </c>
      <c r="J7" s="144">
        <f>[1]折、摊!L18</f>
        <v>0</v>
      </c>
      <c r="K7" s="144">
        <f>[1]折、摊!M18</f>
        <v>0</v>
      </c>
      <c r="L7" s="144">
        <f>[1]折、摊!N18</f>
        <v>0</v>
      </c>
      <c r="M7" s="146">
        <f t="shared" si="2"/>
        <v>0</v>
      </c>
    </row>
    <row r="8" spans="1:13" ht="15.6" customHeight="1">
      <c r="A8" s="140">
        <v>1.3</v>
      </c>
      <c r="B8" s="143" t="s">
        <v>27</v>
      </c>
      <c r="C8" s="144" t="s">
        <v>28</v>
      </c>
      <c r="D8" s="144" t="s">
        <v>28</v>
      </c>
      <c r="E8" s="144" t="s">
        <v>28</v>
      </c>
      <c r="F8" s="144" t="s">
        <v>28</v>
      </c>
      <c r="G8" s="144" t="s">
        <v>28</v>
      </c>
      <c r="H8" s="144" t="s">
        <v>28</v>
      </c>
      <c r="I8" s="144" t="s">
        <v>28</v>
      </c>
      <c r="J8" s="144" t="s">
        <v>28</v>
      </c>
      <c r="K8" s="144" t="s">
        <v>28</v>
      </c>
      <c r="L8" s="144"/>
      <c r="M8" s="146">
        <f t="shared" si="2"/>
        <v>0</v>
      </c>
    </row>
    <row r="9" spans="1:13" s="127" customFormat="1" ht="15.6" customHeight="1">
      <c r="A9" s="145">
        <v>1.4</v>
      </c>
      <c r="B9" s="146" t="s">
        <v>29</v>
      </c>
      <c r="C9" s="144" t="s">
        <v>28</v>
      </c>
      <c r="D9" s="144" t="s">
        <v>28</v>
      </c>
      <c r="E9" s="144" t="s">
        <v>28</v>
      </c>
      <c r="F9" s="144" t="s">
        <v>28</v>
      </c>
      <c r="G9" s="144" t="s">
        <v>28</v>
      </c>
      <c r="H9" s="144" t="s">
        <v>28</v>
      </c>
      <c r="I9" s="144" t="s">
        <v>28</v>
      </c>
      <c r="J9" s="144" t="s">
        <v>28</v>
      </c>
      <c r="K9" s="144" t="s">
        <v>28</v>
      </c>
      <c r="L9" s="144" t="s">
        <v>28</v>
      </c>
      <c r="M9" s="146">
        <f t="shared" si="2"/>
        <v>0</v>
      </c>
    </row>
    <row r="10" spans="1:13" ht="15.6" customHeight="1">
      <c r="A10" s="145">
        <v>2</v>
      </c>
      <c r="B10" s="141" t="s">
        <v>30</v>
      </c>
      <c r="C10" s="142">
        <f t="shared" ref="C10:L10" si="3">SUM(C11:C16)</f>
        <v>0</v>
      </c>
      <c r="D10" s="142">
        <f t="shared" si="3"/>
        <v>0</v>
      </c>
      <c r="E10" s="142">
        <f t="shared" si="3"/>
        <v>0</v>
      </c>
      <c r="F10" s="142">
        <f t="shared" si="3"/>
        <v>0</v>
      </c>
      <c r="G10" s="142">
        <f t="shared" si="3"/>
        <v>0</v>
      </c>
      <c r="H10" s="142">
        <f t="shared" si="3"/>
        <v>0</v>
      </c>
      <c r="I10" s="142">
        <f t="shared" si="3"/>
        <v>0</v>
      </c>
      <c r="J10" s="142">
        <f t="shared" si="3"/>
        <v>0</v>
      </c>
      <c r="K10" s="142">
        <f t="shared" si="3"/>
        <v>0</v>
      </c>
      <c r="L10" s="142">
        <f t="shared" si="3"/>
        <v>0</v>
      </c>
      <c r="M10" s="146">
        <f t="shared" si="2"/>
        <v>0</v>
      </c>
    </row>
    <row r="11" spans="1:13" ht="15" customHeight="1">
      <c r="A11" s="140">
        <v>2.1</v>
      </c>
      <c r="B11" s="140" t="s">
        <v>31</v>
      </c>
      <c r="C11" s="144">
        <f>([1]计划!C6-[1]计划!C7)</f>
        <v>0</v>
      </c>
      <c r="D11" s="144">
        <f>([1]计划!D6-[1]计划!D7)</f>
        <v>0</v>
      </c>
      <c r="E11" s="144">
        <f>([1]计划!E6-[1]计划!E7)</f>
        <v>0</v>
      </c>
      <c r="F11" s="144">
        <f>([1]计划!F6-[1]计划!F7)</f>
        <v>0</v>
      </c>
      <c r="G11" s="144">
        <f>([1]计划!G6-[1]计划!G7)</f>
        <v>0</v>
      </c>
      <c r="H11" s="144">
        <f>([1]计划!H6-[1]计划!H7)</f>
        <v>0</v>
      </c>
      <c r="I11" s="144">
        <f>([1]计划!I6-[1]计划!I7)</f>
        <v>0</v>
      </c>
      <c r="J11" s="144">
        <f>([1]计划!J6-[1]计划!J7)</f>
        <v>0</v>
      </c>
      <c r="K11" s="144">
        <f>([1]计划!K6-[1]计划!K7)</f>
        <v>0</v>
      </c>
      <c r="L11" s="144">
        <f>([1]计划!L6-[1]计划!L7)</f>
        <v>0</v>
      </c>
      <c r="M11" s="146">
        <f t="shared" si="2"/>
        <v>0</v>
      </c>
    </row>
    <row r="12" spans="1:13" s="127" customFormat="1" ht="15" customHeight="1">
      <c r="A12" s="140">
        <v>2.2000000000000002</v>
      </c>
      <c r="B12" s="146" t="s">
        <v>32</v>
      </c>
      <c r="C12" s="144">
        <f>[1]计划!C8</f>
        <v>0</v>
      </c>
      <c r="D12" s="144">
        <f>[1]计划!D8</f>
        <v>0</v>
      </c>
      <c r="E12" s="144">
        <f>[1]计划!E8</f>
        <v>0</v>
      </c>
      <c r="F12" s="144">
        <f>[1]计划!F8</f>
        <v>0</v>
      </c>
      <c r="G12" s="144">
        <f>[1]计划!G8</f>
        <v>0</v>
      </c>
      <c r="H12" s="144">
        <f>[1]计划!H8</f>
        <v>0</v>
      </c>
      <c r="I12" s="144">
        <f>[1]计划!I8</f>
        <v>0</v>
      </c>
      <c r="J12" s="144">
        <f>[1]计划!J8</f>
        <v>0</v>
      </c>
      <c r="K12" s="144">
        <f>[1]计划!K8</f>
        <v>0</v>
      </c>
      <c r="L12" s="144">
        <f>[1]计划!L8</f>
        <v>0</v>
      </c>
      <c r="M12" s="146">
        <f t="shared" si="2"/>
        <v>0</v>
      </c>
    </row>
    <row r="13" spans="1:13" ht="15" customHeight="1">
      <c r="A13" s="140">
        <v>2.2999999999999998</v>
      </c>
      <c r="B13" s="143" t="s">
        <v>33</v>
      </c>
      <c r="C13" s="144">
        <f>[1]总成本!C22</f>
        <v>0</v>
      </c>
      <c r="D13" s="144">
        <f>[1]总成本!D22</f>
        <v>0</v>
      </c>
      <c r="E13" s="144">
        <f>[1]总成本!E22</f>
        <v>0</v>
      </c>
      <c r="F13" s="144">
        <f>[1]总成本!F22</f>
        <v>0</v>
      </c>
      <c r="G13" s="144">
        <f>[1]总成本!G22</f>
        <v>0</v>
      </c>
      <c r="H13" s="144">
        <f>[1]总成本!H22</f>
        <v>0</v>
      </c>
      <c r="I13" s="144">
        <f>[1]总成本!I22</f>
        <v>0</v>
      </c>
      <c r="J13" s="144">
        <f>[1]总成本!J22</f>
        <v>0</v>
      </c>
      <c r="K13" s="144">
        <f>[1]总成本!K22</f>
        <v>0</v>
      </c>
      <c r="L13" s="144">
        <f>[1]总成本!L22</f>
        <v>0</v>
      </c>
      <c r="M13" s="146">
        <f t="shared" si="2"/>
        <v>0</v>
      </c>
    </row>
    <row r="14" spans="1:13" ht="15" customHeight="1">
      <c r="A14" s="140">
        <v>2.4</v>
      </c>
      <c r="B14" s="143" t="s">
        <v>34</v>
      </c>
      <c r="C14" s="144">
        <f>[1]价格!D15</f>
        <v>0</v>
      </c>
      <c r="D14" s="144">
        <f>[1]价格!E15</f>
        <v>0</v>
      </c>
      <c r="E14" s="144">
        <f>[1]价格!F15</f>
        <v>0</v>
      </c>
      <c r="F14" s="144">
        <f>[1]价格!G15</f>
        <v>0</v>
      </c>
      <c r="G14" s="144">
        <f>[1]价格!H15</f>
        <v>0</v>
      </c>
      <c r="H14" s="144">
        <f>[1]价格!I15</f>
        <v>0</v>
      </c>
      <c r="I14" s="144">
        <f>[1]价格!J15</f>
        <v>0</v>
      </c>
      <c r="J14" s="144">
        <f>[1]价格!K15</f>
        <v>0</v>
      </c>
      <c r="K14" s="144">
        <f>[1]价格!L15</f>
        <v>0</v>
      </c>
      <c r="L14" s="144">
        <f>[1]价格!M15</f>
        <v>0</v>
      </c>
      <c r="M14" s="146">
        <f t="shared" si="2"/>
        <v>0</v>
      </c>
    </row>
    <row r="15" spans="1:13" ht="15" customHeight="1">
      <c r="A15" s="140">
        <v>2.5</v>
      </c>
      <c r="B15" s="143" t="s">
        <v>35</v>
      </c>
      <c r="C15" s="144">
        <f>[1]利润!C13</f>
        <v>0</v>
      </c>
      <c r="D15" s="144">
        <f>[1]利润!D13</f>
        <v>0</v>
      </c>
      <c r="E15" s="144">
        <f>[1]利润!E13</f>
        <v>0</v>
      </c>
      <c r="F15" s="144">
        <f>[1]利润!F13</f>
        <v>0</v>
      </c>
      <c r="G15" s="144">
        <f>[1]利润!G13</f>
        <v>0</v>
      </c>
      <c r="H15" s="144">
        <f>[1]利润!H13</f>
        <v>0</v>
      </c>
      <c r="I15" s="144">
        <f>[1]利润!I13</f>
        <v>0</v>
      </c>
      <c r="J15" s="144">
        <f>[1]利润!J13</f>
        <v>0</v>
      </c>
      <c r="K15" s="144">
        <f>[1]利润!K13</f>
        <v>0</v>
      </c>
      <c r="L15" s="144">
        <f>[1]利润!L13</f>
        <v>0</v>
      </c>
      <c r="M15" s="146">
        <f t="shared" si="2"/>
        <v>0</v>
      </c>
    </row>
    <row r="16" spans="1:13" ht="15" customHeight="1">
      <c r="A16" s="140">
        <v>2.6</v>
      </c>
      <c r="B16" s="143" t="s">
        <v>36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6">
        <f t="shared" si="2"/>
        <v>0</v>
      </c>
    </row>
    <row r="17" spans="1:18" ht="12">
      <c r="A17" s="140">
        <v>3</v>
      </c>
      <c r="B17" s="141" t="s">
        <v>37</v>
      </c>
      <c r="C17" s="142">
        <f t="shared" ref="C17:L17" si="4">C5-C10</f>
        <v>0</v>
      </c>
      <c r="D17" s="142">
        <f t="shared" si="4"/>
        <v>0</v>
      </c>
      <c r="E17" s="142" t="e">
        <f t="shared" si="4"/>
        <v>#REF!</v>
      </c>
      <c r="F17" s="142" t="e">
        <f t="shared" si="4"/>
        <v>#REF!</v>
      </c>
      <c r="G17" s="142" t="e">
        <f t="shared" si="4"/>
        <v>#REF!</v>
      </c>
      <c r="H17" s="142" t="e">
        <f t="shared" si="4"/>
        <v>#REF!</v>
      </c>
      <c r="I17" s="142" t="e">
        <f t="shared" si="4"/>
        <v>#REF!</v>
      </c>
      <c r="J17" s="142" t="e">
        <f t="shared" si="4"/>
        <v>#REF!</v>
      </c>
      <c r="K17" s="142" t="e">
        <f t="shared" si="4"/>
        <v>#REF!</v>
      </c>
      <c r="L17" s="142" t="e">
        <f t="shared" si="4"/>
        <v>#REF!</v>
      </c>
      <c r="M17" s="146" t="e">
        <f t="shared" si="2"/>
        <v>#REF!</v>
      </c>
    </row>
    <row r="18" spans="1:18" ht="12">
      <c r="A18" s="147">
        <v>4</v>
      </c>
      <c r="B18" s="143" t="s">
        <v>38</v>
      </c>
      <c r="C18" s="144">
        <f>C17</f>
        <v>0</v>
      </c>
      <c r="D18" s="144">
        <f t="shared" ref="D18:L18" si="5">C18+D17</f>
        <v>0</v>
      </c>
      <c r="E18" s="144" t="e">
        <f t="shared" si="5"/>
        <v>#REF!</v>
      </c>
      <c r="F18" s="144" t="e">
        <f t="shared" si="5"/>
        <v>#REF!</v>
      </c>
      <c r="G18" s="144" t="e">
        <f t="shared" si="5"/>
        <v>#REF!</v>
      </c>
      <c r="H18" s="144" t="e">
        <f t="shared" si="5"/>
        <v>#REF!</v>
      </c>
      <c r="I18" s="144" t="e">
        <f t="shared" si="5"/>
        <v>#REF!</v>
      </c>
      <c r="J18" s="144" t="e">
        <f t="shared" si="5"/>
        <v>#REF!</v>
      </c>
      <c r="K18" s="144" t="e">
        <f t="shared" si="5"/>
        <v>#REF!</v>
      </c>
      <c r="L18" s="144" t="e">
        <f t="shared" si="5"/>
        <v>#REF!</v>
      </c>
      <c r="M18" s="143" t="s">
        <v>28</v>
      </c>
    </row>
    <row r="19" spans="1:18" s="127" customFormat="1" ht="12">
      <c r="A19" s="147">
        <v>5</v>
      </c>
      <c r="B19" s="143" t="s">
        <v>39</v>
      </c>
      <c r="C19" s="144">
        <f t="shared" ref="C19:L19" si="6">C17+C15</f>
        <v>0</v>
      </c>
      <c r="D19" s="144">
        <f t="shared" si="6"/>
        <v>0</v>
      </c>
      <c r="E19" s="144" t="e">
        <f t="shared" si="6"/>
        <v>#REF!</v>
      </c>
      <c r="F19" s="144" t="e">
        <f t="shared" si="6"/>
        <v>#REF!</v>
      </c>
      <c r="G19" s="144" t="e">
        <f t="shared" si="6"/>
        <v>#REF!</v>
      </c>
      <c r="H19" s="144" t="e">
        <f t="shared" si="6"/>
        <v>#REF!</v>
      </c>
      <c r="I19" s="144" t="e">
        <f t="shared" si="6"/>
        <v>#REF!</v>
      </c>
      <c r="J19" s="144" t="e">
        <f t="shared" si="6"/>
        <v>#REF!</v>
      </c>
      <c r="K19" s="144" t="e">
        <f t="shared" si="6"/>
        <v>#REF!</v>
      </c>
      <c r="L19" s="144" t="e">
        <f t="shared" si="6"/>
        <v>#REF!</v>
      </c>
      <c r="M19" s="146" t="e">
        <f>SUM(C19:L19)</f>
        <v>#REF!</v>
      </c>
    </row>
    <row r="20" spans="1:18" s="127" customFormat="1" ht="12">
      <c r="A20" s="140">
        <v>6</v>
      </c>
      <c r="B20" s="143" t="s">
        <v>40</v>
      </c>
      <c r="C20" s="144">
        <f>C19</f>
        <v>0</v>
      </c>
      <c r="D20" s="144">
        <f t="shared" ref="D20:L20" si="7">C20+D19</f>
        <v>0</v>
      </c>
      <c r="E20" s="144" t="e">
        <f t="shared" si="7"/>
        <v>#REF!</v>
      </c>
      <c r="F20" s="144" t="e">
        <f t="shared" si="7"/>
        <v>#REF!</v>
      </c>
      <c r="G20" s="144" t="e">
        <f t="shared" si="7"/>
        <v>#REF!</v>
      </c>
      <c r="H20" s="144" t="e">
        <f t="shared" si="7"/>
        <v>#REF!</v>
      </c>
      <c r="I20" s="144" t="e">
        <f t="shared" si="7"/>
        <v>#REF!</v>
      </c>
      <c r="J20" s="144" t="e">
        <f t="shared" si="7"/>
        <v>#REF!</v>
      </c>
      <c r="K20" s="144" t="e">
        <f t="shared" si="7"/>
        <v>#REF!</v>
      </c>
      <c r="L20" s="144" t="e">
        <f t="shared" si="7"/>
        <v>#REF!</v>
      </c>
      <c r="M20" s="143" t="s">
        <v>28</v>
      </c>
    </row>
    <row r="21" spans="1:18" ht="12">
      <c r="A21" s="148"/>
      <c r="B21" s="149" t="s">
        <v>41</v>
      </c>
      <c r="C21" s="149"/>
      <c r="D21" s="149"/>
      <c r="E21" s="149" t="s">
        <v>42</v>
      </c>
      <c r="F21" s="149"/>
      <c r="G21" s="149"/>
      <c r="H21" s="149"/>
      <c r="I21" s="149" t="s">
        <v>43</v>
      </c>
      <c r="J21" s="149"/>
      <c r="K21" s="149"/>
      <c r="L21" s="149"/>
      <c r="M21" s="160"/>
    </row>
    <row r="22" spans="1:18" ht="12">
      <c r="A22" s="150"/>
      <c r="B22" s="151" t="s">
        <v>44</v>
      </c>
      <c r="C22" s="151"/>
      <c r="D22" s="152" t="s">
        <v>45</v>
      </c>
      <c r="E22" s="153" t="e">
        <f>IRR(C17:L17,0.15)</f>
        <v>#VALUE!</v>
      </c>
      <c r="F22" s="151"/>
      <c r="G22" s="151"/>
      <c r="H22" s="151"/>
      <c r="I22" s="153" t="e">
        <f>IRR(C19:L19,0.15)</f>
        <v>#VALUE!</v>
      </c>
      <c r="J22" s="151"/>
      <c r="K22" s="151"/>
      <c r="L22" s="151"/>
      <c r="M22" s="161"/>
    </row>
    <row r="23" spans="1:18" ht="12">
      <c r="A23" s="150"/>
      <c r="B23" s="151" t="s">
        <v>46</v>
      </c>
      <c r="C23" s="151"/>
      <c r="D23" s="151"/>
      <c r="E23" s="154" t="e">
        <f>NPV(0.12,C17:L17)</f>
        <v>#REF!</v>
      </c>
      <c r="F23" s="151"/>
      <c r="G23" s="151"/>
      <c r="H23" s="151"/>
      <c r="I23" s="154" t="e">
        <f>NPV(0.12,C19:L19)</f>
        <v>#REF!</v>
      </c>
      <c r="J23" s="151"/>
      <c r="K23" s="151"/>
      <c r="L23" s="151"/>
      <c r="M23" s="161"/>
      <c r="R23" s="128">
        <f>30.9-29.82</f>
        <v>1.08</v>
      </c>
    </row>
    <row r="24" spans="1:18" ht="12">
      <c r="A24" s="155"/>
      <c r="B24" s="156" t="s">
        <v>47</v>
      </c>
      <c r="C24" s="156"/>
      <c r="D24" s="156"/>
      <c r="E24" s="157" t="e">
        <f>6-H18/I17</f>
        <v>#REF!</v>
      </c>
      <c r="F24" s="156"/>
      <c r="G24" s="156"/>
      <c r="H24" s="156"/>
      <c r="I24" s="157" t="e">
        <f>6-H20/I19</f>
        <v>#REF!</v>
      </c>
      <c r="J24" s="156"/>
      <c r="K24" s="156"/>
      <c r="L24" s="156"/>
      <c r="M24" s="162"/>
    </row>
  </sheetData>
  <mergeCells count="1">
    <mergeCell ref="C3:E3"/>
  </mergeCells>
  <phoneticPr fontId="4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workbookViewId="0">
      <pane xSplit="2" ySplit="5" topLeftCell="C6" activePane="bottomRight" state="frozen"/>
      <selection pane="topRight"/>
      <selection pane="bottomLeft"/>
      <selection pane="bottomRight" sqref="A1:H1"/>
    </sheetView>
  </sheetViews>
  <sheetFormatPr defaultColWidth="9" defaultRowHeight="16.5"/>
  <cols>
    <col min="1" max="1" width="5.125" style="102" customWidth="1"/>
    <col min="2" max="2" width="19.625" style="102" customWidth="1"/>
    <col min="3" max="3" width="12.5" style="102" customWidth="1"/>
    <col min="4" max="7" width="12.5" style="103" customWidth="1"/>
    <col min="8" max="8" width="16.5" style="103" customWidth="1"/>
    <col min="9" max="34" width="9" style="102"/>
    <col min="35" max="35" width="4.375" style="102" customWidth="1"/>
    <col min="36" max="36" width="13.875" style="102" customWidth="1"/>
    <col min="37" max="16384" width="9" style="102"/>
  </cols>
  <sheetData>
    <row r="1" spans="1:37" ht="36.75" customHeight="1">
      <c r="A1" s="214" t="s">
        <v>319</v>
      </c>
      <c r="B1" s="214"/>
      <c r="C1" s="214"/>
      <c r="D1" s="214"/>
      <c r="E1" s="214"/>
      <c r="F1" s="214"/>
      <c r="G1" s="214"/>
      <c r="H1" s="214"/>
    </row>
    <row r="2" spans="1:37" ht="22.5" customHeight="1">
      <c r="B2" s="172"/>
      <c r="C2" s="172"/>
      <c r="D2" s="172"/>
      <c r="E2" s="172"/>
      <c r="F2" s="172"/>
      <c r="G2" s="172" t="s">
        <v>273</v>
      </c>
      <c r="H2" s="172"/>
    </row>
    <row r="3" spans="1:37" ht="21.75" customHeight="1">
      <c r="A3" s="212" t="s">
        <v>18</v>
      </c>
      <c r="B3" s="104" t="s">
        <v>1</v>
      </c>
      <c r="C3" s="104" t="s">
        <v>268</v>
      </c>
      <c r="D3" s="104" t="s">
        <v>269</v>
      </c>
      <c r="E3" s="104" t="s">
        <v>270</v>
      </c>
      <c r="F3" s="104" t="s">
        <v>271</v>
      </c>
      <c r="G3" s="104" t="s">
        <v>272</v>
      </c>
      <c r="H3" s="123" t="s">
        <v>51</v>
      </c>
      <c r="AK3" s="102" t="s">
        <v>52</v>
      </c>
    </row>
    <row r="4" spans="1:37" s="72" customFormat="1" ht="15.75" customHeight="1">
      <c r="A4" s="213"/>
      <c r="B4" s="80" t="s">
        <v>3</v>
      </c>
      <c r="C4" s="105">
        <f>'2025年'!S6</f>
        <v>29200</v>
      </c>
      <c r="D4" s="105">
        <f>'2026年'!S6</f>
        <v>60500</v>
      </c>
      <c r="E4" s="105">
        <f>'2027年'!S6</f>
        <v>62500</v>
      </c>
      <c r="F4" s="105">
        <f>'2028年'!S6</f>
        <v>0</v>
      </c>
      <c r="G4" s="105">
        <f>'2029年'!S6</f>
        <v>0</v>
      </c>
      <c r="H4" s="105">
        <f t="shared" ref="H4:H11" si="0">SUM(C4:G4)</f>
        <v>152200</v>
      </c>
      <c r="AI4" s="79" t="s">
        <v>18</v>
      </c>
      <c r="AJ4" s="80" t="s">
        <v>3</v>
      </c>
      <c r="AK4" s="72" t="s">
        <v>53</v>
      </c>
    </row>
    <row r="5" spans="1:37" s="72" customFormat="1" ht="15.75" customHeight="1">
      <c r="A5" s="76">
        <v>1</v>
      </c>
      <c r="B5" s="80" t="s">
        <v>54</v>
      </c>
      <c r="C5" s="105">
        <f>'2025年'!S7</f>
        <v>45298619.469026528</v>
      </c>
      <c r="D5" s="105">
        <f>'2026年'!S7</f>
        <v>88007610.619469002</v>
      </c>
      <c r="E5" s="105">
        <f>'2027年'!S7</f>
        <v>91651858.407079622</v>
      </c>
      <c r="F5" s="105">
        <f>'2028年'!S7</f>
        <v>0</v>
      </c>
      <c r="G5" s="105">
        <f>'2029年'!S7</f>
        <v>0</v>
      </c>
      <c r="H5" s="105">
        <f t="shared" si="0"/>
        <v>224958088.49557513</v>
      </c>
      <c r="AI5" s="79" t="s">
        <v>55</v>
      </c>
      <c r="AJ5" s="80" t="s">
        <v>54</v>
      </c>
      <c r="AK5" s="72" t="s">
        <v>53</v>
      </c>
    </row>
    <row r="6" spans="1:37" s="72" customFormat="1" ht="15.75" customHeight="1">
      <c r="A6" s="76">
        <v>2</v>
      </c>
      <c r="B6" s="76" t="s">
        <v>56</v>
      </c>
      <c r="C6" s="105">
        <f>'2025年'!S8</f>
        <v>0</v>
      </c>
      <c r="D6" s="105">
        <f>'2026年'!S8</f>
        <v>4400380.530973454</v>
      </c>
      <c r="E6" s="105">
        <f>'2027年'!S8</f>
        <v>8936056.1946902666</v>
      </c>
      <c r="F6" s="105">
        <f>'2028年'!S8</f>
        <v>0</v>
      </c>
      <c r="G6" s="105">
        <f>'2029年'!S8</f>
        <v>0</v>
      </c>
      <c r="H6" s="105">
        <f t="shared" si="0"/>
        <v>13336436.725663722</v>
      </c>
      <c r="AI6" s="79" t="s">
        <v>57</v>
      </c>
      <c r="AJ6" s="76" t="s">
        <v>58</v>
      </c>
      <c r="AK6" s="72" t="s">
        <v>53</v>
      </c>
    </row>
    <row r="7" spans="1:37" s="72" customFormat="1" ht="15.75" customHeight="1">
      <c r="A7" s="76">
        <v>3</v>
      </c>
      <c r="B7" s="80" t="s">
        <v>59</v>
      </c>
      <c r="C7" s="106">
        <f>'2025年'!S9</f>
        <v>45298619.469026528</v>
      </c>
      <c r="D7" s="106">
        <f>D5-D6</f>
        <v>83607230.088495553</v>
      </c>
      <c r="E7" s="106">
        <f>'2027年'!S9</f>
        <v>82715802.212389335</v>
      </c>
      <c r="F7" s="105">
        <f>'2028年'!S9</f>
        <v>0</v>
      </c>
      <c r="G7" s="105">
        <f>'2029年'!S9</f>
        <v>0</v>
      </c>
      <c r="H7" s="105">
        <f t="shared" si="0"/>
        <v>211621651.76991141</v>
      </c>
      <c r="AI7" s="79" t="s">
        <v>60</v>
      </c>
      <c r="AJ7" s="80" t="s">
        <v>59</v>
      </c>
      <c r="AK7" s="72" t="s">
        <v>61</v>
      </c>
    </row>
    <row r="8" spans="1:37" s="72" customFormat="1" ht="15.75" customHeight="1">
      <c r="A8" s="76">
        <v>4</v>
      </c>
      <c r="B8" s="79" t="s">
        <v>274</v>
      </c>
      <c r="C8" s="105">
        <f>'2025年'!S10</f>
        <v>31657364.85583096</v>
      </c>
      <c r="D8" s="105">
        <f>'2026年'!S10</f>
        <v>58922309.109600402</v>
      </c>
      <c r="E8" s="106">
        <f>'2027年'!S10</f>
        <v>58170139.36673484</v>
      </c>
      <c r="F8" s="105">
        <f>'2028年'!S10</f>
        <v>0</v>
      </c>
      <c r="G8" s="105">
        <f>'2029年'!S10</f>
        <v>0</v>
      </c>
      <c r="H8" s="105">
        <f t="shared" si="0"/>
        <v>148749813.33216619</v>
      </c>
      <c r="AI8" s="79" t="s">
        <v>62</v>
      </c>
      <c r="AJ8" s="79" t="s">
        <v>63</v>
      </c>
      <c r="AK8" s="72" t="s">
        <v>64</v>
      </c>
    </row>
    <row r="9" spans="1:37" s="72" customFormat="1" ht="15.75" customHeight="1">
      <c r="A9" s="76">
        <v>5</v>
      </c>
      <c r="B9" s="79" t="s">
        <v>65</v>
      </c>
      <c r="C9" s="105">
        <f>'2025年'!S11</f>
        <v>3143724.1911504413</v>
      </c>
      <c r="D9" s="105">
        <f>'2026年'!S11</f>
        <v>6107728.1769911498</v>
      </c>
      <c r="E9" s="106">
        <f>'2027年'!S11</f>
        <v>6360638.9734513266</v>
      </c>
      <c r="F9" s="105">
        <f>'2028年'!S11</f>
        <v>0</v>
      </c>
      <c r="G9" s="105">
        <f>'2029年'!S11</f>
        <v>0</v>
      </c>
      <c r="H9" s="105">
        <f t="shared" si="0"/>
        <v>15612091.341592919</v>
      </c>
      <c r="AI9" s="79" t="s">
        <v>66</v>
      </c>
      <c r="AJ9" s="79" t="s">
        <v>65</v>
      </c>
    </row>
    <row r="10" spans="1:37" s="72" customFormat="1" ht="15.75" customHeight="1">
      <c r="A10" s="76">
        <v>6</v>
      </c>
      <c r="B10" s="79" t="s">
        <v>67</v>
      </c>
      <c r="C10" s="105">
        <f>'2025年'!S12</f>
        <v>1965960.084955751</v>
      </c>
      <c r="D10" s="105">
        <f>'2026年'!S12</f>
        <v>3819530.3008849546</v>
      </c>
      <c r="E10" s="106">
        <f>'2027年'!S12</f>
        <v>3977690.6548672551</v>
      </c>
      <c r="F10" s="105">
        <f>'2028年'!S12</f>
        <v>0</v>
      </c>
      <c r="G10" s="105">
        <f>'2029年'!S12</f>
        <v>0</v>
      </c>
      <c r="H10" s="105">
        <f t="shared" si="0"/>
        <v>9763181.0407079607</v>
      </c>
      <c r="AI10" s="79" t="s">
        <v>68</v>
      </c>
      <c r="AJ10" s="79" t="s">
        <v>67</v>
      </c>
    </row>
    <row r="11" spans="1:37" s="72" customFormat="1" ht="15.75" customHeight="1">
      <c r="A11" s="76">
        <v>7</v>
      </c>
      <c r="B11" s="79" t="s">
        <v>69</v>
      </c>
      <c r="C11" s="105">
        <f>'2025年'!S13</f>
        <v>2948940.1274336274</v>
      </c>
      <c r="D11" s="105">
        <f>'2026年'!S13</f>
        <v>5729295.4513274319</v>
      </c>
      <c r="E11" s="106">
        <f>'2027年'!S13</f>
        <v>5966535.9823008832</v>
      </c>
      <c r="F11" s="105">
        <f>'2028年'!S13</f>
        <v>0</v>
      </c>
      <c r="G11" s="105">
        <f>'2029年'!S13</f>
        <v>0</v>
      </c>
      <c r="H11" s="105">
        <f t="shared" si="0"/>
        <v>14644771.561061943</v>
      </c>
      <c r="AI11" s="79" t="s">
        <v>70</v>
      </c>
      <c r="AJ11" s="79" t="s">
        <v>69</v>
      </c>
      <c r="AK11" s="72" t="s">
        <v>53</v>
      </c>
    </row>
    <row r="12" spans="1:37" s="72" customFormat="1" ht="15.75" customHeight="1">
      <c r="A12" s="76">
        <v>8</v>
      </c>
      <c r="B12" s="107" t="s">
        <v>71</v>
      </c>
      <c r="C12" s="108">
        <f>SUM(C9:C11)</f>
        <v>8058624.4035398196</v>
      </c>
      <c r="D12" s="108">
        <f t="shared" ref="D12:H12" si="1">SUM(D9:D11)</f>
        <v>15656553.929203536</v>
      </c>
      <c r="E12" s="108">
        <f t="shared" si="1"/>
        <v>16304865.610619465</v>
      </c>
      <c r="F12" s="108">
        <f t="shared" si="1"/>
        <v>0</v>
      </c>
      <c r="G12" s="108">
        <f t="shared" si="1"/>
        <v>0</v>
      </c>
      <c r="H12" s="108">
        <f t="shared" si="1"/>
        <v>40020043.943362825</v>
      </c>
      <c r="AI12" s="79" t="s">
        <v>72</v>
      </c>
      <c r="AJ12" s="84" t="s">
        <v>71</v>
      </c>
    </row>
    <row r="13" spans="1:37" s="72" customFormat="1" ht="15.75" customHeight="1">
      <c r="A13" s="76">
        <v>9</v>
      </c>
      <c r="B13" s="109" t="s">
        <v>73</v>
      </c>
      <c r="C13" s="105">
        <f>'2025年'!S15</f>
        <v>5582630.2096557487</v>
      </c>
      <c r="D13" s="105">
        <f>'2026年'!S15</f>
        <v>9028367.0496916138</v>
      </c>
      <c r="E13" s="106">
        <f>'2027年'!S15</f>
        <v>8240797.2350350302</v>
      </c>
      <c r="F13" s="105">
        <f>'2028年'!S15</f>
        <v>0</v>
      </c>
      <c r="G13" s="105">
        <f>'2029年'!S15</f>
        <v>0</v>
      </c>
      <c r="H13" s="105">
        <f>SUM(C13:G13)</f>
        <v>22851794.494382393</v>
      </c>
      <c r="J13" s="102"/>
      <c r="K13" s="102"/>
      <c r="L13" s="102"/>
      <c r="M13" s="102"/>
      <c r="N13" s="102"/>
      <c r="O13" s="102"/>
      <c r="AI13" s="79" t="s">
        <v>74</v>
      </c>
      <c r="AJ13" s="84" t="s">
        <v>73</v>
      </c>
    </row>
    <row r="14" spans="1:37" ht="15.75" customHeight="1">
      <c r="A14" s="76">
        <v>10</v>
      </c>
      <c r="B14" s="110" t="s">
        <v>75</v>
      </c>
      <c r="C14" s="111">
        <f>+C13/C7</f>
        <v>0.12324062576505093</v>
      </c>
      <c r="D14" s="111">
        <f>+D13/D7</f>
        <v>0.10798548211841702</v>
      </c>
      <c r="E14" s="111">
        <f t="shared" ref="E14:F14" si="2">+E13/E7</f>
        <v>9.9627846368159953E-2</v>
      </c>
      <c r="F14" s="111" t="e">
        <f t="shared" si="2"/>
        <v>#DIV/0!</v>
      </c>
      <c r="G14" s="111" t="e">
        <f>+G13/G7</f>
        <v>#DIV/0!</v>
      </c>
      <c r="H14" s="111">
        <f>+H13/H7</f>
        <v>0.10798419870207007</v>
      </c>
      <c r="AI14" s="110" t="s">
        <v>76</v>
      </c>
      <c r="AJ14" s="110" t="s">
        <v>75</v>
      </c>
    </row>
    <row r="15" spans="1:37" ht="15.75" customHeight="1">
      <c r="A15" s="76">
        <v>11</v>
      </c>
      <c r="B15" s="110" t="s">
        <v>77</v>
      </c>
      <c r="C15" s="105">
        <f>'2025年'!S17</f>
        <v>3944552.7728613555</v>
      </c>
      <c r="D15" s="105">
        <f>'2026年'!S17</f>
        <v>7468044.5427728584</v>
      </c>
      <c r="E15" s="106">
        <f>'2027年'!S17</f>
        <v>7768694.9852507375</v>
      </c>
      <c r="F15" s="105"/>
      <c r="G15" s="105"/>
      <c r="H15" s="105">
        <f>SUM(C15:G15)</f>
        <v>19181292.300884951</v>
      </c>
      <c r="AI15" s="110" t="s">
        <v>78</v>
      </c>
      <c r="AJ15" s="110" t="s">
        <v>77</v>
      </c>
    </row>
    <row r="16" spans="1:37" ht="15.75" hidden="1" customHeight="1">
      <c r="A16" s="76"/>
      <c r="B16" s="110"/>
      <c r="C16" s="105"/>
      <c r="D16" s="105"/>
      <c r="E16" s="105"/>
      <c r="F16" s="105"/>
      <c r="G16" s="105"/>
      <c r="H16" s="105">
        <f>SUM(D16:F16)</f>
        <v>0</v>
      </c>
      <c r="AI16" s="110"/>
      <c r="AJ16" s="110"/>
    </row>
    <row r="17" spans="1:37" ht="15.75" customHeight="1">
      <c r="A17" s="76">
        <v>12</v>
      </c>
      <c r="B17" s="110" t="s">
        <v>79</v>
      </c>
      <c r="C17" s="112">
        <f>'2025年'!S19</f>
        <v>779136.25486725639</v>
      </c>
      <c r="D17" s="112">
        <f>'2026年'!S19</f>
        <v>1513730.9026548669</v>
      </c>
      <c r="E17" s="112">
        <f>'2027年'!S19</f>
        <v>1576411.9646017696</v>
      </c>
      <c r="F17" s="105">
        <f>'2028年'!S19</f>
        <v>0</v>
      </c>
      <c r="G17" s="105">
        <f>'2029年'!S19</f>
        <v>0</v>
      </c>
      <c r="H17" s="105">
        <f>SUM(C17:G17)</f>
        <v>3869279.1221238929</v>
      </c>
      <c r="P17" s="83"/>
      <c r="AI17" s="110" t="s">
        <v>80</v>
      </c>
      <c r="AJ17" s="110" t="s">
        <v>79</v>
      </c>
      <c r="AK17" s="102" t="s">
        <v>53</v>
      </c>
    </row>
    <row r="18" spans="1:37" ht="15.75" customHeight="1">
      <c r="A18" s="76">
        <v>13</v>
      </c>
      <c r="B18" s="110" t="s">
        <v>81</v>
      </c>
      <c r="C18" s="112">
        <f>'2025年'!S20</f>
        <v>1195883.5539823005</v>
      </c>
      <c r="D18" s="112">
        <f>'2026年'!S20</f>
        <v>2323400.9203539817</v>
      </c>
      <c r="E18" s="112">
        <f>'2027年'!S20</f>
        <v>2419609.061946902</v>
      </c>
      <c r="F18" s="105">
        <f>'2028年'!S20</f>
        <v>0</v>
      </c>
      <c r="G18" s="105">
        <f>'2029年'!S20</f>
        <v>0</v>
      </c>
      <c r="H18" s="105">
        <f>SUM(C18:G18)</f>
        <v>5938893.5362831838</v>
      </c>
      <c r="AI18" s="110" t="s">
        <v>82</v>
      </c>
      <c r="AJ18" s="110" t="s">
        <v>81</v>
      </c>
    </row>
    <row r="19" spans="1:37" s="74" customFormat="1" ht="15.75" customHeight="1">
      <c r="A19" s="76">
        <v>14</v>
      </c>
      <c r="B19" s="91" t="s">
        <v>83</v>
      </c>
      <c r="C19" s="113">
        <f>'2025年'!S21</f>
        <v>88500</v>
      </c>
      <c r="D19" s="113">
        <f>'2026年'!S21</f>
        <v>88500</v>
      </c>
      <c r="E19" s="113">
        <f>'2027年'!S21</f>
        <v>88500</v>
      </c>
      <c r="F19" s="113">
        <f>'2028年'!S21</f>
        <v>0</v>
      </c>
      <c r="G19" s="105">
        <f>'2029年'!S21</f>
        <v>0</v>
      </c>
      <c r="H19" s="105">
        <f>SUM(C19:G19)</f>
        <v>265500</v>
      </c>
      <c r="AI19" s="91"/>
      <c r="AJ19" s="91"/>
    </row>
    <row r="20" spans="1:37" s="72" customFormat="1" ht="15.75" customHeight="1">
      <c r="A20" s="76">
        <v>15</v>
      </c>
      <c r="B20" s="79" t="s">
        <v>84</v>
      </c>
      <c r="C20" s="112">
        <f>'2025年'!S22</f>
        <v>1608100.9911504418</v>
      </c>
      <c r="D20" s="112">
        <f>'2026年'!S22</f>
        <v>3124270.1769911493</v>
      </c>
      <c r="E20" s="112">
        <f>'2027年'!S22</f>
        <v>3253640.9734513261</v>
      </c>
      <c r="F20" s="105">
        <f>'2028年'!S22</f>
        <v>0</v>
      </c>
      <c r="G20" s="105">
        <f>'2029年'!S22</f>
        <v>0</v>
      </c>
      <c r="H20" s="105">
        <f>SUM(C20:G20)</f>
        <v>7986012.141592918</v>
      </c>
      <c r="AI20" s="79" t="s">
        <v>85</v>
      </c>
      <c r="AJ20" s="79" t="s">
        <v>84</v>
      </c>
    </row>
    <row r="21" spans="1:37" s="100" customFormat="1" ht="15.75" customHeight="1">
      <c r="A21" s="76">
        <v>16</v>
      </c>
      <c r="B21" s="114" t="s">
        <v>86</v>
      </c>
      <c r="C21" s="108">
        <f t="shared" ref="C21:G21" si="3">+C20+C19+C18+C17+C15</f>
        <v>7616173.5728613548</v>
      </c>
      <c r="D21" s="108">
        <f t="shared" si="3"/>
        <v>14517946.542772856</v>
      </c>
      <c r="E21" s="108">
        <f t="shared" si="3"/>
        <v>15106856.985250736</v>
      </c>
      <c r="F21" s="108">
        <f t="shared" si="3"/>
        <v>0</v>
      </c>
      <c r="G21" s="108">
        <f t="shared" si="3"/>
        <v>0</v>
      </c>
      <c r="H21" s="108">
        <f>+H20+H19+H18+H17+H15</f>
        <v>37240977.100884944</v>
      </c>
      <c r="AI21" s="124" t="s">
        <v>87</v>
      </c>
      <c r="AJ21" s="125" t="s">
        <v>86</v>
      </c>
    </row>
    <row r="22" spans="1:37" ht="15.75" customHeight="1">
      <c r="A22" s="76">
        <v>17</v>
      </c>
      <c r="B22" s="110" t="s">
        <v>88</v>
      </c>
      <c r="C22" s="113">
        <f>'2025年'!S24</f>
        <v>-2033543.3632056061</v>
      </c>
      <c r="D22" s="115">
        <f>'2026年'!S24</f>
        <v>-5489579.4930812418</v>
      </c>
      <c r="E22" s="115">
        <f>'2027年'!S24</f>
        <v>-6866059.7502157055</v>
      </c>
      <c r="F22" s="105"/>
      <c r="G22" s="105"/>
      <c r="H22" s="105">
        <f>SUM(C22:G22)</f>
        <v>-14389182.606502553</v>
      </c>
      <c r="AI22" s="110" t="s">
        <v>89</v>
      </c>
      <c r="AJ22" s="110" t="s">
        <v>88</v>
      </c>
    </row>
    <row r="23" spans="1:37" ht="15.75" customHeight="1">
      <c r="A23" s="76">
        <v>18</v>
      </c>
      <c r="B23" s="110" t="s">
        <v>35</v>
      </c>
      <c r="C23" s="113">
        <f>'2025年'!S25</f>
        <v>0</v>
      </c>
      <c r="D23" s="115">
        <f>'2026年'!S25</f>
        <v>0</v>
      </c>
      <c r="E23" s="115">
        <f>'2027年'!S25</f>
        <v>0</v>
      </c>
      <c r="F23" s="105" t="e">
        <f>'2028年'!S25</f>
        <v>#DIV/0!</v>
      </c>
      <c r="G23" s="105" t="e">
        <f>'2029年'!S25</f>
        <v>#DIV/0!</v>
      </c>
      <c r="H23" s="105">
        <f t="shared" ref="H23" si="4">IF(H22&lt;0,0,H22*0.15)</f>
        <v>0</v>
      </c>
      <c r="AI23" s="110" t="s">
        <v>90</v>
      </c>
      <c r="AJ23" s="110" t="s">
        <v>35</v>
      </c>
    </row>
    <row r="24" spans="1:37" ht="15.75" customHeight="1">
      <c r="A24" s="76">
        <v>19</v>
      </c>
      <c r="B24" s="110" t="s">
        <v>91</v>
      </c>
      <c r="C24" s="113">
        <f>'2025年'!S26</f>
        <v>-2033543.3632055998</v>
      </c>
      <c r="D24" s="115">
        <f>'2026年'!S26</f>
        <v>-5489579.4930812418</v>
      </c>
      <c r="E24" s="115">
        <f>'2027年'!S26</f>
        <v>-6866059.7502157055</v>
      </c>
      <c r="F24" s="105" t="e">
        <f>'2028年'!S26</f>
        <v>#DIV/0!</v>
      </c>
      <c r="G24" s="105" t="e">
        <f>'2029年'!S26</f>
        <v>#DIV/0!</v>
      </c>
      <c r="H24" s="105">
        <f>H22-H23</f>
        <v>-14389182.606502553</v>
      </c>
      <c r="AI24" s="110" t="s">
        <v>92</v>
      </c>
      <c r="AJ24" s="110" t="s">
        <v>91</v>
      </c>
    </row>
    <row r="25" spans="1:37" ht="15.75" customHeight="1">
      <c r="A25" s="76">
        <v>20</v>
      </c>
      <c r="B25" s="110" t="s">
        <v>93</v>
      </c>
      <c r="C25" s="116">
        <f>C24/C7</f>
        <v>-4.4891950064748866E-2</v>
      </c>
      <c r="D25" s="116">
        <f t="shared" ref="D25:G25" si="5">D24/D7</f>
        <v>-6.5659147986013883E-2</v>
      </c>
      <c r="E25" s="116">
        <f>E24/E7</f>
        <v>-8.3007836067233276E-2</v>
      </c>
      <c r="F25" s="116" t="e">
        <f t="shared" si="5"/>
        <v>#DIV/0!</v>
      </c>
      <c r="G25" s="116" t="e">
        <f t="shared" si="5"/>
        <v>#DIV/0!</v>
      </c>
      <c r="H25" s="116">
        <f>H24/H7</f>
        <v>-6.7994850650477834E-2</v>
      </c>
      <c r="AI25" s="126" t="s">
        <v>94</v>
      </c>
      <c r="AJ25" s="126" t="s">
        <v>95</v>
      </c>
    </row>
    <row r="26" spans="1:37" s="101" customFormat="1" ht="15.75" customHeight="1">
      <c r="D26" s="117"/>
      <c r="E26" s="117"/>
      <c r="F26" s="117"/>
      <c r="G26" s="117"/>
      <c r="H26" s="117"/>
    </row>
    <row r="27" spans="1:37" s="101" customFormat="1" ht="15.75" customHeight="1">
      <c r="A27" s="101" t="s">
        <v>96</v>
      </c>
      <c r="D27" s="118"/>
      <c r="E27" s="118"/>
      <c r="F27" s="118"/>
      <c r="G27" s="118"/>
      <c r="H27" s="118"/>
      <c r="AI27" s="101" t="s">
        <v>96</v>
      </c>
    </row>
    <row r="28" spans="1:37" ht="25.5" customHeight="1">
      <c r="A28" s="110" t="s">
        <v>18</v>
      </c>
      <c r="B28" s="173" t="s">
        <v>1</v>
      </c>
      <c r="C28" s="104" t="str">
        <f>C3</f>
        <v>2025年</v>
      </c>
      <c r="D28" s="104" t="str">
        <f t="shared" ref="D28:G28" si="6">D3</f>
        <v>2026年</v>
      </c>
      <c r="E28" s="104" t="str">
        <f t="shared" si="6"/>
        <v>2027年</v>
      </c>
      <c r="F28" s="104" t="str">
        <f t="shared" si="6"/>
        <v>2028年</v>
      </c>
      <c r="G28" s="104" t="str">
        <f t="shared" si="6"/>
        <v>2029年</v>
      </c>
      <c r="H28" s="123" t="s">
        <v>51</v>
      </c>
      <c r="AK28" s="102" t="s">
        <v>52</v>
      </c>
    </row>
    <row r="29" spans="1:37" s="72" customFormat="1" ht="15.75" customHeight="1">
      <c r="A29" s="79" t="s">
        <v>97</v>
      </c>
      <c r="B29" s="84" t="s">
        <v>98</v>
      </c>
      <c r="C29" s="84"/>
      <c r="D29" s="90"/>
      <c r="E29" s="90"/>
      <c r="F29" s="90"/>
      <c r="G29" s="90"/>
      <c r="H29" s="90"/>
      <c r="AI29" s="79" t="s">
        <v>99</v>
      </c>
      <c r="AJ29" s="84" t="s">
        <v>98</v>
      </c>
    </row>
    <row r="30" spans="1:37" s="72" customFormat="1" ht="15.75" customHeight="1">
      <c r="A30" s="79" t="s">
        <v>55</v>
      </c>
      <c r="B30" s="79" t="s">
        <v>100</v>
      </c>
      <c r="C30" s="82">
        <f>+C7/C4</f>
        <v>1551.3225845557031</v>
      </c>
      <c r="D30" s="82">
        <f t="shared" ref="D30:H30" si="7">+D7/D4</f>
        <v>1381.9376874131497</v>
      </c>
      <c r="E30" s="82">
        <f t="shared" si="7"/>
        <v>1323.4528353982294</v>
      </c>
      <c r="F30" s="82" t="e">
        <f t="shared" si="7"/>
        <v>#DIV/0!</v>
      </c>
      <c r="G30" s="82" t="e">
        <f t="shared" si="7"/>
        <v>#DIV/0!</v>
      </c>
      <c r="H30" s="82">
        <f t="shared" si="7"/>
        <v>1390.4182113660409</v>
      </c>
      <c r="AI30" s="79" t="s">
        <v>55</v>
      </c>
      <c r="AJ30" s="79" t="s">
        <v>100</v>
      </c>
    </row>
    <row r="31" spans="1:37" s="72" customFormat="1" ht="15.75" customHeight="1">
      <c r="A31" s="79" t="s">
        <v>57</v>
      </c>
      <c r="B31" s="79" t="s">
        <v>101</v>
      </c>
      <c r="C31" s="82">
        <f>+C8/C4</f>
        <v>1084.1563306791425</v>
      </c>
      <c r="D31" s="82">
        <f t="shared" ref="D31:H31" si="8">+D8/D4</f>
        <v>973.92246462149421</v>
      </c>
      <c r="E31" s="82">
        <f t="shared" si="8"/>
        <v>930.72222986775739</v>
      </c>
      <c r="F31" s="82" t="e">
        <f t="shared" si="8"/>
        <v>#DIV/0!</v>
      </c>
      <c r="G31" s="82" t="e">
        <f t="shared" si="8"/>
        <v>#DIV/0!</v>
      </c>
      <c r="H31" s="82">
        <f t="shared" si="8"/>
        <v>977.33123082895008</v>
      </c>
      <c r="AI31" s="79" t="s">
        <v>57</v>
      </c>
      <c r="AJ31" s="79" t="s">
        <v>101</v>
      </c>
    </row>
    <row r="32" spans="1:37" s="72" customFormat="1" ht="15.75" customHeight="1">
      <c r="A32" s="79" t="s">
        <v>102</v>
      </c>
      <c r="B32" s="79" t="s">
        <v>103</v>
      </c>
      <c r="C32" s="90">
        <f>C30-C31</f>
        <v>467.16625387656063</v>
      </c>
      <c r="D32" s="90">
        <f t="shared" ref="D32:H32" si="9">D30-D31</f>
        <v>408.01522279165545</v>
      </c>
      <c r="E32" s="90">
        <f t="shared" si="9"/>
        <v>392.73060553047196</v>
      </c>
      <c r="F32" s="90" t="e">
        <f t="shared" si="9"/>
        <v>#DIV/0!</v>
      </c>
      <c r="G32" s="90" t="e">
        <f t="shared" si="9"/>
        <v>#DIV/0!</v>
      </c>
      <c r="H32" s="90">
        <f t="shared" si="9"/>
        <v>413.08698053709077</v>
      </c>
      <c r="AI32" s="79" t="s">
        <v>102</v>
      </c>
      <c r="AJ32" s="79" t="s">
        <v>103</v>
      </c>
    </row>
    <row r="33" spans="1:36" s="72" customFormat="1" ht="15.75" customHeight="1">
      <c r="A33" s="79">
        <v>3.1</v>
      </c>
      <c r="B33" s="79" t="s">
        <v>104</v>
      </c>
      <c r="C33" s="85">
        <f>C32/C30</f>
        <v>0.30114062576505096</v>
      </c>
      <c r="D33" s="85">
        <f t="shared" ref="D33:H33" si="10">D32/D30</f>
        <v>0.29524864001315393</v>
      </c>
      <c r="E33" s="85">
        <f t="shared" si="10"/>
        <v>0.29674695994156725</v>
      </c>
      <c r="F33" s="85" t="e">
        <f t="shared" si="10"/>
        <v>#DIV/0!</v>
      </c>
      <c r="G33" s="85" t="e">
        <f t="shared" si="10"/>
        <v>#DIV/0!</v>
      </c>
      <c r="H33" s="85">
        <f t="shared" si="10"/>
        <v>0.29709549052241352</v>
      </c>
      <c r="AI33" s="79"/>
      <c r="AJ33" s="79"/>
    </row>
    <row r="34" spans="1:36" s="72" customFormat="1" ht="15.75" customHeight="1">
      <c r="A34" s="79" t="s">
        <v>99</v>
      </c>
      <c r="B34" s="84" t="s">
        <v>9</v>
      </c>
      <c r="C34" s="90"/>
      <c r="D34" s="90"/>
      <c r="E34" s="90"/>
      <c r="F34" s="90"/>
      <c r="G34" s="90"/>
      <c r="H34" s="90"/>
      <c r="AI34" s="79" t="s">
        <v>105</v>
      </c>
      <c r="AJ34" s="84" t="s">
        <v>9</v>
      </c>
    </row>
    <row r="35" spans="1:36" s="72" customFormat="1" ht="15.75" customHeight="1">
      <c r="A35" s="79" t="s">
        <v>55</v>
      </c>
      <c r="B35" s="91" t="s">
        <v>106</v>
      </c>
      <c r="C35" s="82">
        <f>+C9/C4</f>
        <v>107.6617873681658</v>
      </c>
      <c r="D35" s="82">
        <f t="shared" ref="D35:H35" si="11">+D9/D4</f>
        <v>100.95418474365538</v>
      </c>
      <c r="E35" s="82">
        <f t="shared" si="11"/>
        <v>101.77022357522122</v>
      </c>
      <c r="F35" s="82" t="e">
        <f t="shared" si="11"/>
        <v>#DIV/0!</v>
      </c>
      <c r="G35" s="82" t="e">
        <f t="shared" si="11"/>
        <v>#DIV/0!</v>
      </c>
      <c r="H35" s="82">
        <f t="shared" si="11"/>
        <v>102.57615861756189</v>
      </c>
      <c r="AI35" s="79" t="s">
        <v>102</v>
      </c>
      <c r="AJ35" s="79" t="s">
        <v>106</v>
      </c>
    </row>
    <row r="36" spans="1:36" s="72" customFormat="1" ht="15.75" customHeight="1">
      <c r="A36" s="79" t="s">
        <v>57</v>
      </c>
      <c r="B36" s="91" t="s">
        <v>107</v>
      </c>
      <c r="C36" s="82">
        <f>+C10/C4</f>
        <v>67.327400169717492</v>
      </c>
      <c r="D36" s="82">
        <f t="shared" ref="D36:H36" si="12">+D10/D4</f>
        <v>63.132732246032305</v>
      </c>
      <c r="E36" s="82">
        <f t="shared" si="12"/>
        <v>63.643050477876081</v>
      </c>
      <c r="F36" s="82" t="e">
        <f t="shared" si="12"/>
        <v>#DIV/0!</v>
      </c>
      <c r="G36" s="82" t="e">
        <f t="shared" si="12"/>
        <v>#DIV/0!</v>
      </c>
      <c r="H36" s="82">
        <f t="shared" si="12"/>
        <v>64.147050201760578</v>
      </c>
      <c r="AI36" s="79" t="s">
        <v>60</v>
      </c>
      <c r="AJ36" s="79" t="s">
        <v>107</v>
      </c>
    </row>
    <row r="37" spans="1:36" s="72" customFormat="1" ht="15.75" customHeight="1">
      <c r="A37" s="79" t="s">
        <v>102</v>
      </c>
      <c r="B37" s="91" t="s">
        <v>108</v>
      </c>
      <c r="C37" s="82">
        <f>+C11/C4</f>
        <v>100.99110025457628</v>
      </c>
      <c r="D37" s="82">
        <f t="shared" ref="D37:H37" si="13">+D11/D4</f>
        <v>94.699098369048457</v>
      </c>
      <c r="E37" s="82">
        <f t="shared" si="13"/>
        <v>95.464575716814124</v>
      </c>
      <c r="F37" s="82" t="e">
        <f t="shared" si="13"/>
        <v>#DIV/0!</v>
      </c>
      <c r="G37" s="82" t="e">
        <f t="shared" si="13"/>
        <v>#DIV/0!</v>
      </c>
      <c r="H37" s="82">
        <f t="shared" si="13"/>
        <v>96.220575302640881</v>
      </c>
      <c r="AI37" s="79" t="s">
        <v>66</v>
      </c>
      <c r="AJ37" s="79" t="s">
        <v>108</v>
      </c>
    </row>
    <row r="38" spans="1:36" s="72" customFormat="1" ht="15.75" customHeight="1">
      <c r="A38" s="79" t="s">
        <v>109</v>
      </c>
      <c r="B38" s="109" t="s">
        <v>110</v>
      </c>
      <c r="C38" s="82"/>
      <c r="D38" s="82"/>
      <c r="E38" s="82"/>
      <c r="F38" s="82"/>
      <c r="G38" s="82"/>
      <c r="H38" s="82"/>
      <c r="AI38" s="79" t="s">
        <v>109</v>
      </c>
      <c r="AJ38" s="84" t="s">
        <v>110</v>
      </c>
    </row>
    <row r="39" spans="1:36" s="72" customFormat="1">
      <c r="A39" s="79" t="s">
        <v>55</v>
      </c>
      <c r="B39" s="91" t="s">
        <v>276</v>
      </c>
      <c r="C39" s="82">
        <f>+C13/C4</f>
        <v>191.18596608410098</v>
      </c>
      <c r="D39" s="82">
        <f t="shared" ref="D39:H39" si="14">+D13/D4</f>
        <v>149.22920743291922</v>
      </c>
      <c r="E39" s="82">
        <f t="shared" si="14"/>
        <v>131.85275576056048</v>
      </c>
      <c r="F39" s="82" t="e">
        <f t="shared" si="14"/>
        <v>#DIV/0!</v>
      </c>
      <c r="G39" s="82" t="e">
        <f t="shared" si="14"/>
        <v>#DIV/0!</v>
      </c>
      <c r="H39" s="82">
        <f t="shared" si="14"/>
        <v>150.14319641512742</v>
      </c>
      <c r="AI39" s="79" t="s">
        <v>55</v>
      </c>
      <c r="AJ39" s="79" t="s">
        <v>111</v>
      </c>
    </row>
    <row r="40" spans="1:36" s="72" customFormat="1" ht="15.75" customHeight="1">
      <c r="A40" s="79" t="s">
        <v>57</v>
      </c>
      <c r="B40" s="91" t="s">
        <v>112</v>
      </c>
      <c r="C40" s="105">
        <f>+C21/C39</f>
        <v>39836.467753658595</v>
      </c>
      <c r="D40" s="105">
        <f t="shared" ref="D40:H40" si="15">+D21/D39</f>
        <v>97286.226955932143</v>
      </c>
      <c r="E40" s="105">
        <f t="shared" si="15"/>
        <v>114573.6916768293</v>
      </c>
      <c r="F40" s="105" t="e">
        <f t="shared" si="15"/>
        <v>#DIV/0!</v>
      </c>
      <c r="G40" s="105" t="e">
        <f t="shared" si="15"/>
        <v>#DIV/0!</v>
      </c>
      <c r="H40" s="105">
        <f t="shared" si="15"/>
        <v>248036.39452245465</v>
      </c>
      <c r="AI40" s="79" t="s">
        <v>57</v>
      </c>
      <c r="AJ40" s="79" t="s">
        <v>112</v>
      </c>
    </row>
    <row r="41" spans="1:36" s="72" customFormat="1" ht="15.75" customHeight="1">
      <c r="A41" s="79" t="s">
        <v>113</v>
      </c>
      <c r="B41" s="84" t="s">
        <v>114</v>
      </c>
      <c r="C41" s="90"/>
      <c r="D41" s="90"/>
      <c r="E41" s="90"/>
      <c r="F41" s="90"/>
      <c r="G41" s="90"/>
      <c r="H41" s="90"/>
      <c r="AI41" s="79" t="s">
        <v>113</v>
      </c>
      <c r="AJ41" s="84" t="s">
        <v>114</v>
      </c>
    </row>
    <row r="42" spans="1:36" s="72" customFormat="1" ht="15.75" customHeight="1">
      <c r="A42" s="79" t="s">
        <v>55</v>
      </c>
      <c r="B42" s="79" t="s">
        <v>115</v>
      </c>
      <c r="C42" s="90">
        <f>+C15/C4</f>
        <v>135.08742372812861</v>
      </c>
      <c r="D42" s="90">
        <f t="shared" ref="D42:H42" si="16">+D15/D4</f>
        <v>123.43875277310509</v>
      </c>
      <c r="E42" s="90">
        <f t="shared" si="16"/>
        <v>124.29911976401181</v>
      </c>
      <c r="F42" s="90" t="e">
        <f t="shared" si="16"/>
        <v>#DIV/0!</v>
      </c>
      <c r="G42" s="90" t="e">
        <f t="shared" si="16"/>
        <v>#DIV/0!</v>
      </c>
      <c r="H42" s="90">
        <f t="shared" si="16"/>
        <v>126.0268876536462</v>
      </c>
      <c r="AI42" s="79" t="s">
        <v>55</v>
      </c>
      <c r="AJ42" s="79" t="s">
        <v>115</v>
      </c>
    </row>
    <row r="43" spans="1:36" s="72" customFormat="1" ht="15.75" customHeight="1">
      <c r="A43" s="79" t="s">
        <v>57</v>
      </c>
      <c r="B43" s="79" t="s">
        <v>116</v>
      </c>
      <c r="C43" s="90">
        <f>+C17/C4</f>
        <v>26.682748454358094</v>
      </c>
      <c r="D43" s="90">
        <f t="shared" ref="D43:H43" si="17">+D17/D4</f>
        <v>25.020345498427552</v>
      </c>
      <c r="E43" s="90">
        <f t="shared" si="17"/>
        <v>25.222591433628313</v>
      </c>
      <c r="F43" s="90" t="e">
        <f t="shared" si="17"/>
        <v>#DIV/0!</v>
      </c>
      <c r="G43" s="90" t="e">
        <f t="shared" si="17"/>
        <v>#DIV/0!</v>
      </c>
      <c r="H43" s="90">
        <f t="shared" si="17"/>
        <v>25.422333259683921</v>
      </c>
      <c r="AI43" s="79" t="s">
        <v>57</v>
      </c>
      <c r="AJ43" s="79" t="s">
        <v>116</v>
      </c>
    </row>
    <row r="44" spans="1:36" s="72" customFormat="1" ht="15.75" customHeight="1">
      <c r="A44" s="79" t="s">
        <v>102</v>
      </c>
      <c r="B44" s="79" t="s">
        <v>117</v>
      </c>
      <c r="C44" s="90">
        <f>+C18/C4</f>
        <v>40.954916232270563</v>
      </c>
      <c r="D44" s="90">
        <f t="shared" ref="D44:H44" si="18">+D18/D4</f>
        <v>38.403320997586476</v>
      </c>
      <c r="E44" s="90">
        <f t="shared" si="18"/>
        <v>38.713744991150435</v>
      </c>
      <c r="F44" s="90" t="e">
        <f t="shared" si="18"/>
        <v>#DIV/0!</v>
      </c>
      <c r="G44" s="90" t="e">
        <f t="shared" si="18"/>
        <v>#DIV/0!</v>
      </c>
      <c r="H44" s="90">
        <f t="shared" si="18"/>
        <v>39.020325468352063</v>
      </c>
      <c r="AI44" s="79" t="s">
        <v>102</v>
      </c>
      <c r="AJ44" s="79" t="s">
        <v>117</v>
      </c>
    </row>
    <row r="45" spans="1:36" s="72" customFormat="1" ht="15.75" customHeight="1">
      <c r="A45" s="79" t="s">
        <v>60</v>
      </c>
      <c r="B45" s="79" t="s">
        <v>118</v>
      </c>
      <c r="C45" s="90">
        <f>C19/C4</f>
        <v>3.0308219178082192</v>
      </c>
      <c r="D45" s="90">
        <f t="shared" ref="D45:H45" si="19">D19/D4</f>
        <v>1.4628099173553719</v>
      </c>
      <c r="E45" s="90">
        <f t="shared" si="19"/>
        <v>1.4159999999999999</v>
      </c>
      <c r="F45" s="90" t="e">
        <f t="shared" si="19"/>
        <v>#DIV/0!</v>
      </c>
      <c r="G45" s="90" t="e">
        <f t="shared" si="19"/>
        <v>#DIV/0!</v>
      </c>
      <c r="H45" s="90">
        <f t="shared" si="19"/>
        <v>1.7444152431011826</v>
      </c>
      <c r="AI45" s="79" t="s">
        <v>60</v>
      </c>
      <c r="AJ45" s="79" t="s">
        <v>119</v>
      </c>
    </row>
    <row r="46" spans="1:36" s="72" customFormat="1" ht="15.75" customHeight="1">
      <c r="A46" s="79" t="s">
        <v>62</v>
      </c>
      <c r="B46" s="79" t="s">
        <v>120</v>
      </c>
      <c r="C46" s="90">
        <f>C20/C4</f>
        <v>55.071951751727461</v>
      </c>
      <c r="D46" s="90">
        <f t="shared" ref="D46:H46" si="20">D20/D4</f>
        <v>51.640829371754535</v>
      </c>
      <c r="E46" s="90">
        <f t="shared" si="20"/>
        <v>52.058255575221217</v>
      </c>
      <c r="F46" s="90" t="e">
        <f t="shared" si="20"/>
        <v>#DIV/0!</v>
      </c>
      <c r="G46" s="90" t="e">
        <f t="shared" si="20"/>
        <v>#DIV/0!</v>
      </c>
      <c r="H46" s="90">
        <f t="shared" si="20"/>
        <v>52.470513413882507</v>
      </c>
      <c r="AI46" s="79" t="s">
        <v>62</v>
      </c>
      <c r="AJ46" s="79" t="s">
        <v>120</v>
      </c>
    </row>
    <row r="47" spans="1:36" s="72" customFormat="1" ht="15.75" customHeight="1">
      <c r="A47" s="79" t="s">
        <v>121</v>
      </c>
      <c r="B47" s="84" t="s">
        <v>122</v>
      </c>
      <c r="C47" s="90"/>
      <c r="D47" s="90"/>
      <c r="E47" s="90"/>
      <c r="F47" s="90"/>
      <c r="G47" s="90"/>
      <c r="H47" s="90"/>
      <c r="AI47" s="79" t="s">
        <v>121</v>
      </c>
      <c r="AJ47" s="84" t="s">
        <v>122</v>
      </c>
    </row>
    <row r="48" spans="1:36" s="72" customFormat="1" ht="15.75" customHeight="1">
      <c r="A48" s="79" t="s">
        <v>55</v>
      </c>
      <c r="B48" s="79" t="s">
        <v>123</v>
      </c>
      <c r="C48" s="93">
        <f>+(C11+C17)/C7</f>
        <v>8.2300000000000012E-2</v>
      </c>
      <c r="D48" s="93">
        <f t="shared" ref="D48:H48" si="21">+(D11+D17)/D7</f>
        <v>8.6631578947368421E-2</v>
      </c>
      <c r="E48" s="93">
        <f t="shared" si="21"/>
        <v>9.1191135734072046E-2</v>
      </c>
      <c r="F48" s="93" t="e">
        <f t="shared" si="21"/>
        <v>#DIV/0!</v>
      </c>
      <c r="G48" s="93" t="e">
        <f t="shared" si="21"/>
        <v>#DIV/0!</v>
      </c>
      <c r="H48" s="93">
        <f t="shared" si="21"/>
        <v>8.748656164594866E-2</v>
      </c>
      <c r="AI48" s="79" t="s">
        <v>55</v>
      </c>
      <c r="AJ48" s="79" t="s">
        <v>123</v>
      </c>
    </row>
    <row r="49" spans="1:36" s="72" customFormat="1" ht="15.75" customHeight="1">
      <c r="A49" s="79" t="s">
        <v>57</v>
      </c>
      <c r="B49" s="79" t="s">
        <v>124</v>
      </c>
      <c r="C49" s="93">
        <f>+(C9+C10+C15)/C7</f>
        <v>0.19987887390604675</v>
      </c>
      <c r="D49" s="93">
        <f t="shared" ref="D49:H49" si="22">+(D9+D10+D15)/D7</f>
        <v>0.20805979342021733</v>
      </c>
      <c r="E49" s="93">
        <f t="shared" si="22"/>
        <v>0.21890647408672795</v>
      </c>
      <c r="F49" s="93" t="e">
        <f t="shared" si="22"/>
        <v>#DIV/0!</v>
      </c>
      <c r="G49" s="93" t="e">
        <f t="shared" si="22"/>
        <v>#DIV/0!</v>
      </c>
      <c r="H49" s="93">
        <f t="shared" si="22"/>
        <v>0.21054823223679672</v>
      </c>
      <c r="AI49" s="79" t="s">
        <v>57</v>
      </c>
      <c r="AJ49" s="79" t="s">
        <v>124</v>
      </c>
    </row>
    <row r="50" spans="1:36" s="72" customFormat="1" ht="15.75" customHeight="1">
      <c r="A50" s="79" t="s">
        <v>102</v>
      </c>
      <c r="B50" s="79" t="s">
        <v>125</v>
      </c>
      <c r="C50" s="93">
        <f>+C18/C7</f>
        <v>2.6400000000000003E-2</v>
      </c>
      <c r="D50" s="93">
        <f t="shared" ref="D50:H50" si="23">+D18/D7</f>
        <v>2.7789473684210527E-2</v>
      </c>
      <c r="E50" s="93">
        <f t="shared" si="23"/>
        <v>2.9252077562326877E-2</v>
      </c>
      <c r="F50" s="93" t="e">
        <f t="shared" si="23"/>
        <v>#DIV/0!</v>
      </c>
      <c r="G50" s="93" t="e">
        <f t="shared" si="23"/>
        <v>#DIV/0!</v>
      </c>
      <c r="H50" s="93">
        <f t="shared" si="23"/>
        <v>2.8063733018870531E-2</v>
      </c>
      <c r="AI50" s="79" t="s">
        <v>102</v>
      </c>
      <c r="AJ50" s="79" t="s">
        <v>125</v>
      </c>
    </row>
    <row r="51" spans="1:36" s="72" customFormat="1" ht="15.75" customHeight="1">
      <c r="A51" s="79" t="s">
        <v>60</v>
      </c>
      <c r="B51" s="79" t="s">
        <v>126</v>
      </c>
      <c r="C51" s="93">
        <f>+C19/C7</f>
        <v>1.9537019237531716E-3</v>
      </c>
      <c r="D51" s="93">
        <f t="shared" ref="D51:H51" si="24">+D19/D7</f>
        <v>1.058520894739912E-3</v>
      </c>
      <c r="E51" s="93">
        <f t="shared" si="24"/>
        <v>1.0699285702719607E-3</v>
      </c>
      <c r="F51" s="93" t="e">
        <f t="shared" si="24"/>
        <v>#DIV/0!</v>
      </c>
      <c r="G51" s="93" t="e">
        <f t="shared" si="24"/>
        <v>#DIV/0!</v>
      </c>
      <c r="H51" s="93">
        <f t="shared" si="24"/>
        <v>1.254597522415469E-3</v>
      </c>
      <c r="AI51" s="79" t="s">
        <v>60</v>
      </c>
      <c r="AJ51" s="79" t="s">
        <v>126</v>
      </c>
    </row>
    <row r="52" spans="1:36" s="72" customFormat="1" ht="15.75" customHeight="1">
      <c r="A52" s="79" t="s">
        <v>62</v>
      </c>
      <c r="B52" s="79" t="s">
        <v>127</v>
      </c>
      <c r="C52" s="93">
        <f>+C20/C7</f>
        <v>3.5500000000000004E-2</v>
      </c>
      <c r="D52" s="93">
        <f t="shared" ref="D52:H52" si="25">+D20/D7</f>
        <v>3.7368421052631579E-2</v>
      </c>
      <c r="E52" s="93">
        <f t="shared" si="25"/>
        <v>3.9335180055401667E-2</v>
      </c>
      <c r="F52" s="93" t="e">
        <f t="shared" si="25"/>
        <v>#DIV/0!</v>
      </c>
      <c r="G52" s="93" t="e">
        <f t="shared" si="25"/>
        <v>#DIV/0!</v>
      </c>
      <c r="H52" s="93">
        <f t="shared" si="25"/>
        <v>3.7737216748859992E-2</v>
      </c>
      <c r="AI52" s="79" t="s">
        <v>62</v>
      </c>
      <c r="AJ52" s="79" t="s">
        <v>127</v>
      </c>
    </row>
    <row r="53" spans="1:36" s="72" customFormat="1" ht="15.75" customHeight="1">
      <c r="A53" s="79" t="s">
        <v>66</v>
      </c>
      <c r="B53" s="79" t="s">
        <v>128</v>
      </c>
      <c r="C53" s="93">
        <f>+C24/C7</f>
        <v>-4.4891950064748866E-2</v>
      </c>
      <c r="D53" s="93">
        <f t="shared" ref="D53:H53" si="26">+D24/D7</f>
        <v>-6.5659147986013883E-2</v>
      </c>
      <c r="E53" s="93">
        <f t="shared" si="26"/>
        <v>-8.3007836067233276E-2</v>
      </c>
      <c r="F53" s="93" t="e">
        <f t="shared" si="26"/>
        <v>#DIV/0!</v>
      </c>
      <c r="G53" s="93" t="e">
        <f t="shared" si="26"/>
        <v>#DIV/0!</v>
      </c>
      <c r="H53" s="93">
        <f t="shared" si="26"/>
        <v>-6.7994850650477834E-2</v>
      </c>
      <c r="AI53" s="79" t="s">
        <v>66</v>
      </c>
      <c r="AJ53" s="79" t="s">
        <v>129</v>
      </c>
    </row>
    <row r="54" spans="1:36" s="72" customFormat="1" ht="15.75" customHeight="1">
      <c r="A54" s="79" t="s">
        <v>130</v>
      </c>
      <c r="B54" s="84" t="s">
        <v>131</v>
      </c>
      <c r="C54" s="90">
        <f>+C22/C4</f>
        <v>-69.641896000191991</v>
      </c>
      <c r="D54" s="90">
        <f t="shared" ref="D54:H54" si="27">+D22/D4</f>
        <v>-90.736851125309784</v>
      </c>
      <c r="E54" s="90">
        <f t="shared" si="27"/>
        <v>-109.85695600345129</v>
      </c>
      <c r="F54" s="90" t="e">
        <f t="shared" si="27"/>
        <v>#DIV/0!</v>
      </c>
      <c r="G54" s="90" t="e">
        <f t="shared" si="27"/>
        <v>#DIV/0!</v>
      </c>
      <c r="H54" s="90">
        <f t="shared" si="27"/>
        <v>-94.54127862353846</v>
      </c>
      <c r="AI54" s="79" t="s">
        <v>130</v>
      </c>
      <c r="AJ54" s="84" t="s">
        <v>131</v>
      </c>
    </row>
    <row r="55" spans="1:36" s="72" customFormat="1" ht="32.25" customHeight="1">
      <c r="A55" s="79" t="s">
        <v>132</v>
      </c>
      <c r="B55" s="119" t="s">
        <v>133</v>
      </c>
      <c r="C55" s="119"/>
      <c r="D55" s="90"/>
      <c r="E55" s="90"/>
      <c r="F55" s="90"/>
      <c r="G55" s="90"/>
      <c r="H55" s="90"/>
      <c r="AI55" s="79"/>
      <c r="AJ55" s="84"/>
    </row>
    <row r="56" spans="1:36" s="72" customFormat="1" ht="15.75" customHeight="1">
      <c r="A56" s="79" t="s">
        <v>55</v>
      </c>
      <c r="B56" s="79" t="s">
        <v>134</v>
      </c>
      <c r="C56" s="90">
        <f>C57+C58</f>
        <v>920500</v>
      </c>
      <c r="D56" s="90"/>
      <c r="E56" s="90"/>
      <c r="F56" s="90"/>
      <c r="G56" s="90"/>
      <c r="H56" s="90"/>
    </row>
    <row r="57" spans="1:36" s="72" customFormat="1" ht="15.75" customHeight="1">
      <c r="A57" s="79">
        <v>1.1000000000000001</v>
      </c>
      <c r="B57" s="120" t="s">
        <v>135</v>
      </c>
      <c r="C57" s="90">
        <f>项目投资!B27</f>
        <v>265500</v>
      </c>
      <c r="D57" s="90"/>
      <c r="E57" s="90"/>
      <c r="F57" s="90"/>
      <c r="G57" s="90"/>
      <c r="H57" s="90"/>
    </row>
    <row r="58" spans="1:36" s="72" customFormat="1" ht="15.75" customHeight="1">
      <c r="A58" s="79">
        <v>1.2</v>
      </c>
      <c r="B58" s="79" t="s">
        <v>136</v>
      </c>
      <c r="C58" s="90">
        <f>项目投资!B26</f>
        <v>655000</v>
      </c>
      <c r="D58" s="90"/>
      <c r="E58" s="90"/>
      <c r="F58" s="90"/>
      <c r="G58" s="90"/>
      <c r="H58" s="90"/>
    </row>
    <row r="59" spans="1:36" ht="15.75" customHeight="1">
      <c r="A59" s="110" t="s">
        <v>57</v>
      </c>
      <c r="B59" s="110" t="s">
        <v>137</v>
      </c>
      <c r="C59" s="121">
        <f>C60+C61</f>
        <v>-2033543.3632055998</v>
      </c>
      <c r="D59" s="121">
        <f t="shared" ref="D59:H59" si="28">D60+D61</f>
        <v>-5489579.4930812418</v>
      </c>
      <c r="E59" s="121">
        <f t="shared" si="28"/>
        <v>-6866059.7502157055</v>
      </c>
      <c r="F59" s="121" t="e">
        <f t="shared" si="28"/>
        <v>#DIV/0!</v>
      </c>
      <c r="G59" s="121" t="e">
        <f t="shared" si="28"/>
        <v>#DIV/0!</v>
      </c>
      <c r="H59" s="121">
        <f t="shared" si="28"/>
        <v>-14389182.606502553</v>
      </c>
    </row>
    <row r="60" spans="1:36" ht="15.75" customHeight="1">
      <c r="A60" s="110" t="s">
        <v>102</v>
      </c>
      <c r="B60" s="110" t="s">
        <v>138</v>
      </c>
      <c r="C60" s="121">
        <f>C24</f>
        <v>-2033543.3632055998</v>
      </c>
      <c r="D60" s="121">
        <f t="shared" ref="D60:H60" si="29">D24</f>
        <v>-5489579.4930812418</v>
      </c>
      <c r="E60" s="121">
        <f t="shared" si="29"/>
        <v>-6866059.7502157055</v>
      </c>
      <c r="F60" s="121" t="e">
        <f t="shared" si="29"/>
        <v>#DIV/0!</v>
      </c>
      <c r="G60" s="121" t="e">
        <f t="shared" si="29"/>
        <v>#DIV/0!</v>
      </c>
      <c r="H60" s="121">
        <f t="shared" si="29"/>
        <v>-14389182.606502553</v>
      </c>
    </row>
    <row r="61" spans="1:36" ht="15.75" customHeight="1">
      <c r="A61" s="110" t="s">
        <v>60</v>
      </c>
      <c r="B61" s="110" t="s">
        <v>139</v>
      </c>
      <c r="C61" s="110"/>
      <c r="D61" s="121">
        <f>'[2]2023年'!I18</f>
        <v>0</v>
      </c>
      <c r="E61" s="121"/>
      <c r="F61" s="121"/>
      <c r="G61" s="121"/>
      <c r="H61" s="121">
        <f>[2]项目投资!G26</f>
        <v>0</v>
      </c>
    </row>
    <row r="62" spans="1:36" ht="15.75" customHeight="1">
      <c r="A62" s="110" t="s">
        <v>62</v>
      </c>
      <c r="B62" s="110" t="s">
        <v>140</v>
      </c>
      <c r="C62" s="110"/>
      <c r="D62" s="122"/>
      <c r="E62" s="122"/>
      <c r="F62" s="122"/>
      <c r="G62" s="122"/>
      <c r="H62" s="121"/>
    </row>
    <row r="64" spans="1:36">
      <c r="B64"/>
      <c r="C64"/>
    </row>
  </sheetData>
  <mergeCells count="2">
    <mergeCell ref="A3:A4"/>
    <mergeCell ref="A1:H1"/>
  </mergeCells>
  <phoneticPr fontId="4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4"/>
  <sheetViews>
    <sheetView workbookViewId="0">
      <pane xSplit="2" ySplit="6" topLeftCell="K7" activePane="bottomRight" state="frozen"/>
      <selection pane="topRight" activeCell="C1" sqref="C1"/>
      <selection pane="bottomLeft" activeCell="A7" sqref="A7"/>
      <selection pane="bottomRight" activeCell="R48" sqref="R48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2" width="9" style="72"/>
    <col min="43" max="43" width="4.375" style="72" customWidth="1"/>
    <col min="44" max="44" width="13.875" style="72" customWidth="1"/>
    <col min="45" max="16384" width="9" style="72"/>
  </cols>
  <sheetData>
    <row r="1" spans="1:45">
      <c r="A1" s="215" t="s">
        <v>141</v>
      </c>
      <c r="B1" s="215"/>
      <c r="C1" s="219" t="s">
        <v>267</v>
      </c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1"/>
    </row>
    <row r="2" spans="1:45">
      <c r="A2" s="215" t="s">
        <v>142</v>
      </c>
      <c r="B2" s="215"/>
      <c r="C2" s="222" t="s">
        <v>318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45">
      <c r="A3" s="215" t="s">
        <v>143</v>
      </c>
      <c r="B3" s="215"/>
      <c r="C3" s="77" t="str">
        <f>销量!C5</f>
        <v>驾驶员座椅总成</v>
      </c>
      <c r="D3" s="77" t="str">
        <f>销量!D5</f>
        <v>驾驶员座椅总成</v>
      </c>
      <c r="E3" s="77" t="str">
        <f>销量!E5</f>
        <v>副驾驶座椅总成</v>
      </c>
      <c r="F3" s="77" t="str">
        <f>销量!F5</f>
        <v>副驾驶座椅安装支架</v>
      </c>
      <c r="G3" s="77" t="str">
        <f>销量!G5</f>
        <v>驾驶员座椅总成</v>
      </c>
      <c r="H3" s="77" t="str">
        <f>销量!H5</f>
        <v>驾驶员座椅总成</v>
      </c>
      <c r="I3" s="77" t="str">
        <f>销量!I5</f>
        <v>副驾驶员座椅总成</v>
      </c>
      <c r="J3" s="77" t="str">
        <f>销量!J5</f>
        <v>副驾驶员座椅总成</v>
      </c>
      <c r="K3" s="77" t="str">
        <f>销量!K5</f>
        <v>副驾驶员座椅总成</v>
      </c>
      <c r="L3" s="77" t="str">
        <f>销量!L5</f>
        <v>副驾驶员座椅总成</v>
      </c>
      <c r="M3" s="77" t="str">
        <f>销量!M5</f>
        <v>驾驶员座椅总成</v>
      </c>
      <c r="N3" s="77" t="str">
        <f>销量!N5</f>
        <v>驾驶员座椅总成</v>
      </c>
      <c r="O3" s="77" t="str">
        <f>销量!O5</f>
        <v>驾驶员座椅总成</v>
      </c>
      <c r="P3" s="77" t="str">
        <f>销量!P5</f>
        <v>驾驶员座椅总成</v>
      </c>
      <c r="Q3" s="77" t="str">
        <f>销量!Q5</f>
        <v>驾驶员座椅总成</v>
      </c>
      <c r="R3" s="77" t="str">
        <f>销量!R5</f>
        <v>驾驶员座椅总成</v>
      </c>
      <c r="S3" s="216" t="s">
        <v>51</v>
      </c>
    </row>
    <row r="4" spans="1:45">
      <c r="A4" s="215" t="s">
        <v>144</v>
      </c>
      <c r="B4" s="215"/>
      <c r="C4" s="77" t="str">
        <f>销量!C6</f>
        <v>A668100000148</v>
      </c>
      <c r="D4" s="77" t="str">
        <f>销量!D6</f>
        <v>A668100000149</v>
      </c>
      <c r="E4" s="77" t="str">
        <f>销量!E6</f>
        <v>A668100000150</v>
      </c>
      <c r="F4" s="77" t="str">
        <f>销量!F6</f>
        <v>A668100000147</v>
      </c>
      <c r="G4" s="77" t="str">
        <f>销量!G6</f>
        <v>A668100000130</v>
      </c>
      <c r="H4" s="77" t="str">
        <f>销量!H6</f>
        <v>A668100000131</v>
      </c>
      <c r="I4" s="77" t="str">
        <f>销量!I6</f>
        <v>A668100000155</v>
      </c>
      <c r="J4" s="77" t="str">
        <f>销量!J6</f>
        <v>A668100000154</v>
      </c>
      <c r="K4" s="77" t="str">
        <f>销量!K6</f>
        <v>A668100000156</v>
      </c>
      <c r="L4" s="77" t="str">
        <f>销量!L6</f>
        <v>A668100000158</v>
      </c>
      <c r="M4" s="77" t="str">
        <f>销量!M6</f>
        <v>A668100000139</v>
      </c>
      <c r="N4" s="77" t="str">
        <f>销量!N6</f>
        <v>A668100000138</v>
      </c>
      <c r="O4" s="77" t="str">
        <f>销量!O6</f>
        <v>A668100000142</v>
      </c>
      <c r="P4" s="77" t="str">
        <f>销量!P6</f>
        <v>A668100000143</v>
      </c>
      <c r="Q4" s="77" t="str">
        <f>销量!Q6</f>
        <v>A668100000140</v>
      </c>
      <c r="R4" s="77" t="str">
        <f>销量!R6</f>
        <v>A668100000141</v>
      </c>
      <c r="S4" s="217"/>
    </row>
    <row r="5" spans="1:45" ht="31.5" customHeight="1">
      <c r="A5" s="215" t="s">
        <v>145</v>
      </c>
      <c r="B5" s="215"/>
      <c r="C5" s="78" t="str">
        <f>销量!C7</f>
        <v>匹配新能源车身</v>
      </c>
      <c r="D5" s="78" t="str">
        <f>销量!D7</f>
        <v>匹配新能源车身</v>
      </c>
      <c r="E5" s="78" t="str">
        <f>销量!E7</f>
        <v>匹配新能源车身</v>
      </c>
      <c r="F5" s="78" t="str">
        <f>销量!F7</f>
        <v>匹配新能源车身</v>
      </c>
      <c r="G5" s="78" t="str">
        <f>销量!G7</f>
        <v>增加振动提醒</v>
      </c>
      <c r="H5" s="78" t="str">
        <f>销量!H7</f>
        <v>增加振动提醒</v>
      </c>
      <c r="I5" s="78" t="str">
        <f>销量!I7</f>
        <v>旋转副驾</v>
      </c>
      <c r="J5" s="78" t="str">
        <f>销量!J7</f>
        <v>旋转副驾</v>
      </c>
      <c r="K5" s="78" t="str">
        <f>销量!K7</f>
        <v>旋转副驾</v>
      </c>
      <c r="L5" s="78" t="str">
        <f>销量!L7</f>
        <v>旋转副驾</v>
      </c>
      <c r="M5" s="78" t="str">
        <f>销量!M7</f>
        <v>更换斜切扶手</v>
      </c>
      <c r="N5" s="78" t="str">
        <f>销量!N7</f>
        <v>更换斜切扶手</v>
      </c>
      <c r="O5" s="78" t="str">
        <f>销量!O7</f>
        <v>更换斜切扶手</v>
      </c>
      <c r="P5" s="78" t="str">
        <f>销量!P7</f>
        <v>更换斜切扶手</v>
      </c>
      <c r="Q5" s="78" t="str">
        <f>销量!Q7</f>
        <v>更换斜切扶手</v>
      </c>
      <c r="R5" s="78" t="str">
        <f>销量!R7</f>
        <v>更换斜切扶手</v>
      </c>
      <c r="S5" s="218"/>
      <c r="AS5" s="72" t="s">
        <v>52</v>
      </c>
    </row>
    <row r="6" spans="1:45" ht="17.25">
      <c r="A6" s="79" t="s">
        <v>18</v>
      </c>
      <c r="B6" s="80" t="s">
        <v>146</v>
      </c>
      <c r="C6" s="99">
        <f>销量!C9</f>
        <v>2000</v>
      </c>
      <c r="D6" s="99">
        <f>销量!D9</f>
        <v>2000</v>
      </c>
      <c r="E6" s="99">
        <f>销量!E9</f>
        <v>4000</v>
      </c>
      <c r="F6" s="99">
        <f>销量!F9</f>
        <v>4000</v>
      </c>
      <c r="G6" s="99">
        <f>销量!G9</f>
        <v>100</v>
      </c>
      <c r="H6" s="99">
        <f>销量!H9</f>
        <v>100</v>
      </c>
      <c r="I6" s="99">
        <f>销量!I9</f>
        <v>0</v>
      </c>
      <c r="J6" s="99">
        <f>销量!J9</f>
        <v>0</v>
      </c>
      <c r="K6" s="99">
        <f>销量!K9</f>
        <v>0</v>
      </c>
      <c r="L6" s="99">
        <f>销量!L9</f>
        <v>0</v>
      </c>
      <c r="M6" s="99">
        <f>销量!M9</f>
        <v>3000</v>
      </c>
      <c r="N6" s="99">
        <f>销量!N9</f>
        <v>5000</v>
      </c>
      <c r="O6" s="99">
        <f>销量!O9</f>
        <v>3000</v>
      </c>
      <c r="P6" s="99">
        <f>销量!P9</f>
        <v>500</v>
      </c>
      <c r="Q6" s="99">
        <f>销量!Q9</f>
        <v>5000</v>
      </c>
      <c r="R6" s="99">
        <f>销量!R9</f>
        <v>500</v>
      </c>
      <c r="S6" s="82">
        <f>+SUM(C6:R6)</f>
        <v>29200</v>
      </c>
      <c r="AQ6" s="79" t="s">
        <v>18</v>
      </c>
      <c r="AR6" s="80" t="s">
        <v>3</v>
      </c>
      <c r="AS6" s="72" t="s">
        <v>53</v>
      </c>
    </row>
    <row r="7" spans="1:45">
      <c r="A7" s="76">
        <v>1</v>
      </c>
      <c r="B7" s="80" t="s">
        <v>54</v>
      </c>
      <c r="C7" s="82">
        <f>C6*销量!C8</f>
        <v>3663716.8141593002</v>
      </c>
      <c r="D7" s="82">
        <f>D6*销量!D8</f>
        <v>4592920.3539823005</v>
      </c>
      <c r="E7" s="82">
        <f>E6*销量!E8</f>
        <v>2318584.0707964599</v>
      </c>
      <c r="F7" s="82">
        <f>F6*销量!F8</f>
        <v>234017.69911504441</v>
      </c>
      <c r="G7" s="82">
        <f>G6*销量!G8</f>
        <v>269911.50442477904</v>
      </c>
      <c r="H7" s="82">
        <f>H6*销量!H8</f>
        <v>223451.327433628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6860176.9911504295</v>
      </c>
      <c r="N7" s="82">
        <f>N6*销量!N8</f>
        <v>9110619.4690265507</v>
      </c>
      <c r="O7" s="82">
        <f>O6*销量!O8</f>
        <v>6860176.9911504295</v>
      </c>
      <c r="P7" s="82">
        <f>P6*销量!P8</f>
        <v>1143362.8318584049</v>
      </c>
      <c r="Q7" s="82">
        <f>Q6*销量!Q8</f>
        <v>9110619.4690265507</v>
      </c>
      <c r="R7" s="82">
        <f>R6*销量!R8</f>
        <v>911061.94690265495</v>
      </c>
      <c r="S7" s="82">
        <f t="shared" ref="S7:S26" si="0">+SUM(C7:R7)</f>
        <v>45298619.469026528</v>
      </c>
      <c r="T7" s="75"/>
      <c r="AQ7" s="79" t="s">
        <v>55</v>
      </c>
      <c r="AR7" s="80" t="s">
        <v>54</v>
      </c>
      <c r="AS7" s="72" t="s">
        <v>53</v>
      </c>
    </row>
    <row r="8" spans="1:45">
      <c r="A8" s="76">
        <v>2</v>
      </c>
      <c r="B8" s="76" t="s">
        <v>56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>
        <f t="shared" si="0"/>
        <v>0</v>
      </c>
      <c r="T8" s="83"/>
      <c r="AQ8" s="79" t="s">
        <v>57</v>
      </c>
      <c r="AR8" s="76" t="s">
        <v>58</v>
      </c>
      <c r="AS8" s="72" t="s">
        <v>53</v>
      </c>
    </row>
    <row r="9" spans="1:45">
      <c r="A9" s="76">
        <v>3</v>
      </c>
      <c r="B9" s="80" t="s">
        <v>59</v>
      </c>
      <c r="C9" s="82">
        <f>+C7-C8</f>
        <v>3663716.8141593002</v>
      </c>
      <c r="D9" s="82">
        <f t="shared" ref="D9:R9" si="1">+D7-D8</f>
        <v>4592920.3539823005</v>
      </c>
      <c r="E9" s="82">
        <f t="shared" si="1"/>
        <v>2318584.0707964599</v>
      </c>
      <c r="F9" s="82">
        <f t="shared" si="1"/>
        <v>234017.69911504441</v>
      </c>
      <c r="G9" s="82">
        <f t="shared" si="1"/>
        <v>269911.50442477904</v>
      </c>
      <c r="H9" s="82">
        <f t="shared" si="1"/>
        <v>223451.327433628</v>
      </c>
      <c r="I9" s="82">
        <f t="shared" si="1"/>
        <v>0</v>
      </c>
      <c r="J9" s="82">
        <f t="shared" si="1"/>
        <v>0</v>
      </c>
      <c r="K9" s="82">
        <f t="shared" si="1"/>
        <v>0</v>
      </c>
      <c r="L9" s="82">
        <f t="shared" si="1"/>
        <v>0</v>
      </c>
      <c r="M9" s="82">
        <f t="shared" si="1"/>
        <v>6860176.9911504295</v>
      </c>
      <c r="N9" s="82">
        <f t="shared" si="1"/>
        <v>9110619.4690265507</v>
      </c>
      <c r="O9" s="82">
        <f t="shared" si="1"/>
        <v>6860176.9911504295</v>
      </c>
      <c r="P9" s="82">
        <f t="shared" si="1"/>
        <v>1143362.8318584049</v>
      </c>
      <c r="Q9" s="82">
        <f t="shared" si="1"/>
        <v>9110619.4690265507</v>
      </c>
      <c r="R9" s="82">
        <f t="shared" si="1"/>
        <v>911061.94690265495</v>
      </c>
      <c r="S9" s="82">
        <f t="shared" si="0"/>
        <v>45298619.469026528</v>
      </c>
      <c r="AQ9" s="79" t="s">
        <v>60</v>
      </c>
      <c r="AR9" s="80" t="s">
        <v>59</v>
      </c>
      <c r="AS9" s="72" t="s">
        <v>61</v>
      </c>
    </row>
    <row r="10" spans="1:45">
      <c r="A10" s="76">
        <v>4</v>
      </c>
      <c r="B10" s="79" t="s">
        <v>63</v>
      </c>
      <c r="C10" s="82">
        <f>C6*C33</f>
        <v>2710927.0359546971</v>
      </c>
      <c r="D10" s="82">
        <f t="shared" ref="D10:R10" si="2">D6*D33</f>
        <v>3735015.318174927</v>
      </c>
      <c r="E10" s="82">
        <f t="shared" si="2"/>
        <v>1728213.2618702976</v>
      </c>
      <c r="F10" s="82">
        <f t="shared" si="2"/>
        <v>124625.86285714286</v>
      </c>
      <c r="G10" s="82">
        <f t="shared" si="2"/>
        <v>183719.43590594138</v>
      </c>
      <c r="H10" s="82">
        <f t="shared" si="2"/>
        <v>147448.23892600863</v>
      </c>
      <c r="I10" s="82">
        <f t="shared" si="2"/>
        <v>0</v>
      </c>
      <c r="J10" s="82">
        <f t="shared" si="2"/>
        <v>0</v>
      </c>
      <c r="K10" s="82">
        <f t="shared" si="2"/>
        <v>0</v>
      </c>
      <c r="L10" s="82">
        <f t="shared" si="2"/>
        <v>0</v>
      </c>
      <c r="M10" s="82">
        <f t="shared" si="2"/>
        <v>4734583.0771782426</v>
      </c>
      <c r="N10" s="82">
        <f t="shared" si="2"/>
        <v>6077411.9463004321</v>
      </c>
      <c r="O10" s="82">
        <f t="shared" si="2"/>
        <v>4736778.8375198571</v>
      </c>
      <c r="P10" s="82">
        <f t="shared" si="2"/>
        <v>789463.13958664297</v>
      </c>
      <c r="Q10" s="82">
        <f t="shared" si="2"/>
        <v>6081071.5468697902</v>
      </c>
      <c r="R10" s="82">
        <f t="shared" si="2"/>
        <v>608107.15468697902</v>
      </c>
      <c r="S10" s="82">
        <f t="shared" si="0"/>
        <v>31657364.85583096</v>
      </c>
      <c r="AQ10" s="79" t="s">
        <v>62</v>
      </c>
      <c r="AR10" s="79" t="s">
        <v>63</v>
      </c>
      <c r="AS10" s="72" t="s">
        <v>64</v>
      </c>
    </row>
    <row r="11" spans="1:45">
      <c r="A11" s="76">
        <v>5</v>
      </c>
      <c r="B11" s="79" t="s">
        <v>65</v>
      </c>
      <c r="C11" s="82">
        <f>+C6*C36</f>
        <v>254261.94690265544</v>
      </c>
      <c r="D11" s="82">
        <f t="shared" ref="D11:R11" si="3">+D6*D36</f>
        <v>318748.67256637162</v>
      </c>
      <c r="E11" s="82">
        <f t="shared" si="3"/>
        <v>160909.73451327431</v>
      </c>
      <c r="F11" s="82">
        <f t="shared" si="3"/>
        <v>16240.828318584083</v>
      </c>
      <c r="G11" s="82">
        <f t="shared" si="3"/>
        <v>18731.858407079664</v>
      </c>
      <c r="H11" s="82">
        <f t="shared" si="3"/>
        <v>15507.522123893785</v>
      </c>
      <c r="I11" s="82">
        <f t="shared" si="3"/>
        <v>0</v>
      </c>
      <c r="J11" s="82">
        <f t="shared" si="3"/>
        <v>0</v>
      </c>
      <c r="K11" s="82">
        <f t="shared" si="3"/>
        <v>0</v>
      </c>
      <c r="L11" s="82">
        <f t="shared" si="3"/>
        <v>0</v>
      </c>
      <c r="M11" s="82">
        <f t="shared" si="3"/>
        <v>476096.28318583983</v>
      </c>
      <c r="N11" s="82">
        <f t="shared" si="3"/>
        <v>632276.99115044263</v>
      </c>
      <c r="O11" s="82">
        <f t="shared" si="3"/>
        <v>476096.28318583983</v>
      </c>
      <c r="P11" s="82">
        <f t="shared" si="3"/>
        <v>79349.3805309733</v>
      </c>
      <c r="Q11" s="82">
        <f t="shared" si="3"/>
        <v>632276.99115044263</v>
      </c>
      <c r="R11" s="82">
        <f t="shared" si="3"/>
        <v>63227.699115044263</v>
      </c>
      <c r="S11" s="82">
        <f t="shared" si="0"/>
        <v>3143724.1911504413</v>
      </c>
      <c r="AQ11" s="79" t="s">
        <v>66</v>
      </c>
      <c r="AR11" s="79" t="s">
        <v>65</v>
      </c>
    </row>
    <row r="12" spans="1:45">
      <c r="A12" s="76">
        <v>6</v>
      </c>
      <c r="B12" s="79" t="s">
        <v>67</v>
      </c>
      <c r="C12" s="82">
        <f>+C6*C37</f>
        <v>159005.3097345136</v>
      </c>
      <c r="D12" s="82">
        <f t="shared" ref="D12:R12" si="4">+D6*D37</f>
        <v>199332.74336283182</v>
      </c>
      <c r="E12" s="82">
        <f t="shared" si="4"/>
        <v>100626.54867256636</v>
      </c>
      <c r="F12" s="82">
        <f t="shared" si="4"/>
        <v>10156.368141592926</v>
      </c>
      <c r="G12" s="82">
        <f t="shared" si="4"/>
        <v>11714.159292035411</v>
      </c>
      <c r="H12" s="82">
        <f t="shared" si="4"/>
        <v>9697.7876106194562</v>
      </c>
      <c r="I12" s="82">
        <f t="shared" si="4"/>
        <v>0</v>
      </c>
      <c r="J12" s="82">
        <f t="shared" si="4"/>
        <v>0</v>
      </c>
      <c r="K12" s="82">
        <f t="shared" si="4"/>
        <v>0</v>
      </c>
      <c r="L12" s="82">
        <f t="shared" si="4"/>
        <v>0</v>
      </c>
      <c r="M12" s="82">
        <f t="shared" si="4"/>
        <v>297731.68141592864</v>
      </c>
      <c r="N12" s="82">
        <f t="shared" si="4"/>
        <v>395400.88495575223</v>
      </c>
      <c r="O12" s="82">
        <f t="shared" si="4"/>
        <v>297731.68141592864</v>
      </c>
      <c r="P12" s="82">
        <f t="shared" si="4"/>
        <v>49621.946902654767</v>
      </c>
      <c r="Q12" s="82">
        <f t="shared" si="4"/>
        <v>395400.88495575223</v>
      </c>
      <c r="R12" s="82">
        <f t="shared" si="4"/>
        <v>39540.088495575226</v>
      </c>
      <c r="S12" s="82">
        <f t="shared" si="0"/>
        <v>1965960.084955751</v>
      </c>
      <c r="AQ12" s="79" t="s">
        <v>68</v>
      </c>
      <c r="AR12" s="79" t="s">
        <v>67</v>
      </c>
    </row>
    <row r="13" spans="1:45">
      <c r="A13" s="76">
        <v>7</v>
      </c>
      <c r="B13" s="79" t="s">
        <v>69</v>
      </c>
      <c r="C13" s="82">
        <f>+C6*C38</f>
        <v>238507.96460177045</v>
      </c>
      <c r="D13" s="82">
        <f t="shared" ref="D13:R13" si="5">+D6*D38</f>
        <v>298999.11504424777</v>
      </c>
      <c r="E13" s="82">
        <f t="shared" si="5"/>
        <v>150939.82300884955</v>
      </c>
      <c r="F13" s="82">
        <f t="shared" si="5"/>
        <v>15234.55221238939</v>
      </c>
      <c r="G13" s="82">
        <f t="shared" si="5"/>
        <v>17571.238938053117</v>
      </c>
      <c r="H13" s="82">
        <f t="shared" si="5"/>
        <v>14546.681415929186</v>
      </c>
      <c r="I13" s="82">
        <f t="shared" si="5"/>
        <v>0</v>
      </c>
      <c r="J13" s="82">
        <f t="shared" si="5"/>
        <v>0</v>
      </c>
      <c r="K13" s="82">
        <f t="shared" si="5"/>
        <v>0</v>
      </c>
      <c r="L13" s="82">
        <f t="shared" si="5"/>
        <v>0</v>
      </c>
      <c r="M13" s="82">
        <f t="shared" si="5"/>
        <v>446597.52212389302</v>
      </c>
      <c r="N13" s="82">
        <f t="shared" si="5"/>
        <v>593101.32743362838</v>
      </c>
      <c r="O13" s="82">
        <f t="shared" si="5"/>
        <v>446597.52212389302</v>
      </c>
      <c r="P13" s="82">
        <f t="shared" si="5"/>
        <v>74432.920353982176</v>
      </c>
      <c r="Q13" s="82">
        <f t="shared" si="5"/>
        <v>593101.32743362838</v>
      </c>
      <c r="R13" s="82">
        <f t="shared" si="5"/>
        <v>59310.132743362839</v>
      </c>
      <c r="S13" s="82">
        <f t="shared" si="0"/>
        <v>2948940.1274336274</v>
      </c>
      <c r="AQ13" s="79" t="s">
        <v>70</v>
      </c>
      <c r="AR13" s="79" t="s">
        <v>69</v>
      </c>
      <c r="AS13" s="72" t="s">
        <v>53</v>
      </c>
    </row>
    <row r="14" spans="1:45">
      <c r="A14" s="76">
        <v>8</v>
      </c>
      <c r="B14" s="84" t="s">
        <v>71</v>
      </c>
      <c r="C14" s="82">
        <f>SUM(C11:C13)</f>
        <v>651775.22123893956</v>
      </c>
      <c r="D14" s="82">
        <f t="shared" ref="D14:R14" si="6">SUM(D11:D13)</f>
        <v>817080.53097345121</v>
      </c>
      <c r="E14" s="82">
        <f t="shared" si="6"/>
        <v>412476.10619469022</v>
      </c>
      <c r="F14" s="82">
        <f t="shared" si="6"/>
        <v>41631.748672566398</v>
      </c>
      <c r="G14" s="82">
        <f t="shared" si="6"/>
        <v>48017.25663716819</v>
      </c>
      <c r="H14" s="82">
        <f t="shared" si="6"/>
        <v>39751.991150442424</v>
      </c>
      <c r="I14" s="82">
        <f t="shared" si="6"/>
        <v>0</v>
      </c>
      <c r="J14" s="82">
        <f t="shared" si="6"/>
        <v>0</v>
      </c>
      <c r="K14" s="82">
        <f t="shared" si="6"/>
        <v>0</v>
      </c>
      <c r="L14" s="82">
        <f t="shared" si="6"/>
        <v>0</v>
      </c>
      <c r="M14" s="82">
        <f t="shared" si="6"/>
        <v>1220425.4867256614</v>
      </c>
      <c r="N14" s="82">
        <f t="shared" si="6"/>
        <v>1620779.2035398232</v>
      </c>
      <c r="O14" s="82">
        <f t="shared" si="6"/>
        <v>1220425.4867256614</v>
      </c>
      <c r="P14" s="82">
        <f t="shared" si="6"/>
        <v>203404.24778761022</v>
      </c>
      <c r="Q14" s="82">
        <f t="shared" si="6"/>
        <v>1620779.2035398232</v>
      </c>
      <c r="R14" s="82">
        <f t="shared" si="6"/>
        <v>162077.92035398234</v>
      </c>
      <c r="S14" s="82">
        <f>SUM(S11:S13)</f>
        <v>8058624.4035398196</v>
      </c>
      <c r="AQ14" s="79" t="s">
        <v>72</v>
      </c>
      <c r="AR14" s="84" t="s">
        <v>71</v>
      </c>
    </row>
    <row r="15" spans="1:45">
      <c r="A15" s="76">
        <v>9</v>
      </c>
      <c r="B15" s="84" t="s">
        <v>73</v>
      </c>
      <c r="C15" s="82">
        <f>+C9-C10-C14</f>
        <v>301014.55696566356</v>
      </c>
      <c r="D15" s="82">
        <f t="shared" ref="D15:R15" si="7">+D9-D10-D14</f>
        <v>40824.504833922256</v>
      </c>
      <c r="E15" s="82">
        <f t="shared" si="7"/>
        <v>177894.70273147209</v>
      </c>
      <c r="F15" s="82">
        <f t="shared" si="7"/>
        <v>67760.087585335161</v>
      </c>
      <c r="G15" s="82">
        <f t="shared" si="7"/>
        <v>38174.811881669462</v>
      </c>
      <c r="H15" s="82">
        <f t="shared" si="7"/>
        <v>36251.097357176943</v>
      </c>
      <c r="I15" s="82">
        <f t="shared" si="7"/>
        <v>0</v>
      </c>
      <c r="J15" s="82">
        <f t="shared" si="7"/>
        <v>0</v>
      </c>
      <c r="K15" s="82">
        <f t="shared" si="7"/>
        <v>0</v>
      </c>
      <c r="L15" s="82">
        <f t="shared" si="7"/>
        <v>0</v>
      </c>
      <c r="M15" s="82">
        <f t="shared" si="7"/>
        <v>905168.42724652542</v>
      </c>
      <c r="N15" s="82">
        <f t="shared" si="7"/>
        <v>1412428.3191862954</v>
      </c>
      <c r="O15" s="82">
        <f t="shared" si="7"/>
        <v>902972.66690491093</v>
      </c>
      <c r="P15" s="82">
        <f t="shared" si="7"/>
        <v>150495.44448415173</v>
      </c>
      <c r="Q15" s="82">
        <f t="shared" si="7"/>
        <v>1408768.7186169373</v>
      </c>
      <c r="R15" s="82">
        <f t="shared" si="7"/>
        <v>140876.87186169359</v>
      </c>
      <c r="S15" s="82">
        <f t="shared" ref="S15" si="8">+S9-S10-S14</f>
        <v>5582630.2096557487</v>
      </c>
      <c r="AQ15" s="79" t="s">
        <v>74</v>
      </c>
      <c r="AR15" s="84" t="s">
        <v>73</v>
      </c>
    </row>
    <row r="16" spans="1:45">
      <c r="A16" s="76">
        <v>10</v>
      </c>
      <c r="B16" s="79" t="s">
        <v>75</v>
      </c>
      <c r="C16" s="85">
        <f>+C15/C9</f>
        <v>8.2160978108985289E-2</v>
      </c>
      <c r="D16" s="85">
        <f t="shared" ref="D16:R16" si="9">+D15/D9</f>
        <v>8.8885723434165998E-3</v>
      </c>
      <c r="E16" s="85">
        <f t="shared" si="9"/>
        <v>7.6725577895634917E-2</v>
      </c>
      <c r="F16" s="85">
        <f t="shared" si="9"/>
        <v>0.28955112302007519</v>
      </c>
      <c r="G16" s="85">
        <f t="shared" si="9"/>
        <v>0.1414345489386441</v>
      </c>
      <c r="H16" s="85">
        <f t="shared" si="9"/>
        <v>0.16223263371726734</v>
      </c>
      <c r="I16" s="85" t="e">
        <f t="shared" si="9"/>
        <v>#DIV/0!</v>
      </c>
      <c r="J16" s="85" t="e">
        <f t="shared" si="9"/>
        <v>#DIV/0!</v>
      </c>
      <c r="K16" s="85" t="e">
        <f t="shared" si="9"/>
        <v>#DIV/0!</v>
      </c>
      <c r="L16" s="85" t="e">
        <f t="shared" si="9"/>
        <v>#DIV/0!</v>
      </c>
      <c r="M16" s="85">
        <f t="shared" si="9"/>
        <v>0.13194534607695765</v>
      </c>
      <c r="N16" s="85">
        <f t="shared" si="9"/>
        <v>0.15503098598159432</v>
      </c>
      <c r="O16" s="85">
        <f t="shared" si="9"/>
        <v>0.13162527265254789</v>
      </c>
      <c r="P16" s="85">
        <f t="shared" si="9"/>
        <v>0.13162527265254781</v>
      </c>
      <c r="Q16" s="85">
        <f t="shared" si="9"/>
        <v>0.15462930082925097</v>
      </c>
      <c r="R16" s="85">
        <f t="shared" si="9"/>
        <v>0.15462930082925086</v>
      </c>
      <c r="S16" s="85">
        <f>+S15/S9</f>
        <v>0.12324062576505093</v>
      </c>
      <c r="AQ16" s="79" t="s">
        <v>76</v>
      </c>
      <c r="AR16" s="79" t="s">
        <v>75</v>
      </c>
    </row>
    <row r="17" spans="1:45">
      <c r="A17" s="76">
        <v>11</v>
      </c>
      <c r="B17" s="79" t="s">
        <v>77</v>
      </c>
      <c r="C17" s="82">
        <f>C6*C43+C18</f>
        <v>316463.25817270851</v>
      </c>
      <c r="D17" s="82">
        <f t="shared" ref="D17:R17" si="10">D6*D43+D18</f>
        <v>393122.550208106</v>
      </c>
      <c r="E17" s="82">
        <f t="shared" si="10"/>
        <v>219696.42784984037</v>
      </c>
      <c r="F17" s="82">
        <f t="shared" si="10"/>
        <v>47719.702186123584</v>
      </c>
      <c r="G17" s="82">
        <f t="shared" si="10"/>
        <v>22978.030165272579</v>
      </c>
      <c r="H17" s="82">
        <f t="shared" si="10"/>
        <v>19145.065563502623</v>
      </c>
      <c r="I17" s="82">
        <f t="shared" si="10"/>
        <v>0</v>
      </c>
      <c r="J17" s="82">
        <f t="shared" si="10"/>
        <v>0</v>
      </c>
      <c r="K17" s="82">
        <f t="shared" si="10"/>
        <v>0</v>
      </c>
      <c r="L17" s="82">
        <f t="shared" si="10"/>
        <v>0</v>
      </c>
      <c r="M17" s="82">
        <f t="shared" si="10"/>
        <v>587274.53327675979</v>
      </c>
      <c r="N17" s="82">
        <f t="shared" si="10"/>
        <v>787142.6587061059</v>
      </c>
      <c r="O17" s="82">
        <f t="shared" si="10"/>
        <v>587274.53327675979</v>
      </c>
      <c r="P17" s="82">
        <f t="shared" si="10"/>
        <v>97879.08887945996</v>
      </c>
      <c r="Q17" s="82">
        <f t="shared" si="10"/>
        <v>787142.6587061059</v>
      </c>
      <c r="R17" s="82">
        <f t="shared" si="10"/>
        <v>78714.265870610587</v>
      </c>
      <c r="S17" s="82">
        <f t="shared" si="0"/>
        <v>3944552.7728613555</v>
      </c>
      <c r="T17" s="83"/>
      <c r="AQ17" s="79" t="s">
        <v>78</v>
      </c>
      <c r="AR17" s="79" t="s">
        <v>77</v>
      </c>
    </row>
    <row r="18" spans="1:45" s="73" customFormat="1">
      <c r="A18" s="76">
        <v>12</v>
      </c>
      <c r="B18" s="87" t="s">
        <v>147</v>
      </c>
      <c r="C18" s="88">
        <f>$S$18/$S$6*C6</f>
        <v>14206.621004566208</v>
      </c>
      <c r="D18" s="88">
        <f t="shared" ref="D18:R18" si="11">$S$18/$S$6*D6</f>
        <v>14206.621004566208</v>
      </c>
      <c r="E18" s="88">
        <f t="shared" si="11"/>
        <v>28413.242009132417</v>
      </c>
      <c r="F18" s="88">
        <f t="shared" si="11"/>
        <v>28413.242009132417</v>
      </c>
      <c r="G18" s="88">
        <f t="shared" si="11"/>
        <v>710.33105022831046</v>
      </c>
      <c r="H18" s="88">
        <f t="shared" si="11"/>
        <v>710.33105022831046</v>
      </c>
      <c r="I18" s="88">
        <f t="shared" si="11"/>
        <v>0</v>
      </c>
      <c r="J18" s="88">
        <f t="shared" si="11"/>
        <v>0</v>
      </c>
      <c r="K18" s="88">
        <f t="shared" si="11"/>
        <v>0</v>
      </c>
      <c r="L18" s="88">
        <f t="shared" si="11"/>
        <v>0</v>
      </c>
      <c r="M18" s="88">
        <f t="shared" si="11"/>
        <v>21309.931506849312</v>
      </c>
      <c r="N18" s="88">
        <f t="shared" si="11"/>
        <v>35516.552511415524</v>
      </c>
      <c r="O18" s="88">
        <f t="shared" si="11"/>
        <v>21309.931506849312</v>
      </c>
      <c r="P18" s="88">
        <f t="shared" si="11"/>
        <v>3551.6552511415521</v>
      </c>
      <c r="Q18" s="88">
        <f t="shared" si="11"/>
        <v>35516.552511415524</v>
      </c>
      <c r="R18" s="88">
        <f t="shared" si="11"/>
        <v>3551.6552511415521</v>
      </c>
      <c r="S18" s="82">
        <f>项目投资!D26</f>
        <v>207416.66666666666</v>
      </c>
      <c r="T18" s="89" t="s">
        <v>148</v>
      </c>
      <c r="U18" s="89"/>
      <c r="V18" s="89"/>
    </row>
    <row r="19" spans="1:45">
      <c r="A19" s="76">
        <v>13</v>
      </c>
      <c r="B19" s="79" t="s">
        <v>79</v>
      </c>
      <c r="C19" s="82">
        <f>C6*C44</f>
        <v>63015.929203539963</v>
      </c>
      <c r="D19" s="82">
        <f t="shared" ref="D19:R19" si="12">D6*D44</f>
        <v>78998.230088495562</v>
      </c>
      <c r="E19" s="82">
        <f t="shared" si="12"/>
        <v>39879.64601769911</v>
      </c>
      <c r="F19" s="82">
        <f t="shared" si="12"/>
        <v>4025.104424778764</v>
      </c>
      <c r="G19" s="82">
        <f t="shared" si="12"/>
        <v>4642.4778761061998</v>
      </c>
      <c r="H19" s="82">
        <f t="shared" si="12"/>
        <v>3843.3628318584019</v>
      </c>
      <c r="I19" s="82">
        <f t="shared" si="12"/>
        <v>0</v>
      </c>
      <c r="J19" s="82">
        <f t="shared" si="12"/>
        <v>0</v>
      </c>
      <c r="K19" s="82">
        <f t="shared" si="12"/>
        <v>0</v>
      </c>
      <c r="L19" s="82">
        <f t="shared" si="12"/>
        <v>0</v>
      </c>
      <c r="M19" s="82">
        <f t="shared" si="12"/>
        <v>117995.04424778737</v>
      </c>
      <c r="N19" s="82">
        <f t="shared" si="12"/>
        <v>156702.65486725667</v>
      </c>
      <c r="O19" s="82">
        <f t="shared" si="12"/>
        <v>117995.04424778737</v>
      </c>
      <c r="P19" s="82">
        <f t="shared" si="12"/>
        <v>19665.840707964562</v>
      </c>
      <c r="Q19" s="82">
        <f t="shared" si="12"/>
        <v>156702.65486725667</v>
      </c>
      <c r="R19" s="82">
        <f t="shared" si="12"/>
        <v>15670.265486725666</v>
      </c>
      <c r="S19" s="82">
        <f t="shared" si="0"/>
        <v>779136.25486725639</v>
      </c>
      <c r="T19" s="73"/>
      <c r="AQ19" s="79" t="s">
        <v>80</v>
      </c>
      <c r="AR19" s="79" t="s">
        <v>79</v>
      </c>
      <c r="AS19" s="72" t="s">
        <v>53</v>
      </c>
    </row>
    <row r="20" spans="1:45">
      <c r="A20" s="76">
        <v>14</v>
      </c>
      <c r="B20" s="79" t="s">
        <v>81</v>
      </c>
      <c r="C20" s="82">
        <f>C6*C45</f>
        <v>96722.123893805518</v>
      </c>
      <c r="D20" s="82">
        <f t="shared" ref="D20:R20" si="13">D6*D45</f>
        <v>121253.09734513273</v>
      </c>
      <c r="E20" s="82">
        <f t="shared" si="13"/>
        <v>61210.61946902654</v>
      </c>
      <c r="F20" s="82">
        <f t="shared" si="13"/>
        <v>6178.0672566371722</v>
      </c>
      <c r="G20" s="82">
        <f t="shared" si="13"/>
        <v>7125.6637168141669</v>
      </c>
      <c r="H20" s="82">
        <f t="shared" si="13"/>
        <v>5899.1150442477792</v>
      </c>
      <c r="I20" s="82">
        <f t="shared" si="13"/>
        <v>0</v>
      </c>
      <c r="J20" s="82">
        <f t="shared" si="13"/>
        <v>0</v>
      </c>
      <c r="K20" s="82">
        <f t="shared" si="13"/>
        <v>0</v>
      </c>
      <c r="L20" s="82">
        <f t="shared" si="13"/>
        <v>0</v>
      </c>
      <c r="M20" s="82">
        <f t="shared" si="13"/>
        <v>181108.67256637133</v>
      </c>
      <c r="N20" s="82">
        <f t="shared" si="13"/>
        <v>240520.35398230093</v>
      </c>
      <c r="O20" s="82">
        <f t="shared" si="13"/>
        <v>181108.67256637133</v>
      </c>
      <c r="P20" s="82">
        <f t="shared" si="13"/>
        <v>30184.778761061887</v>
      </c>
      <c r="Q20" s="82">
        <f t="shared" si="13"/>
        <v>240520.35398230093</v>
      </c>
      <c r="R20" s="82">
        <f t="shared" si="13"/>
        <v>24052.035398230091</v>
      </c>
      <c r="S20" s="82">
        <f t="shared" si="0"/>
        <v>1195883.5539823005</v>
      </c>
      <c r="AQ20" s="79" t="s">
        <v>82</v>
      </c>
      <c r="AR20" s="79" t="s">
        <v>81</v>
      </c>
    </row>
    <row r="21" spans="1:45">
      <c r="A21" s="76">
        <v>15</v>
      </c>
      <c r="B21" s="79" t="s">
        <v>83</v>
      </c>
      <c r="C21" s="90">
        <f>$S$21/$S$6*C6</f>
        <v>6061.6438356164381</v>
      </c>
      <c r="D21" s="90">
        <f t="shared" ref="D21:R21" si="14">$S$21/$S$6*D6</f>
        <v>6061.6438356164381</v>
      </c>
      <c r="E21" s="90">
        <f t="shared" si="14"/>
        <v>12123.287671232876</v>
      </c>
      <c r="F21" s="90">
        <f t="shared" si="14"/>
        <v>12123.287671232876</v>
      </c>
      <c r="G21" s="90">
        <f t="shared" si="14"/>
        <v>303.08219178082192</v>
      </c>
      <c r="H21" s="90">
        <f t="shared" si="14"/>
        <v>303.08219178082192</v>
      </c>
      <c r="I21" s="90">
        <f t="shared" si="14"/>
        <v>0</v>
      </c>
      <c r="J21" s="90">
        <f t="shared" si="14"/>
        <v>0</v>
      </c>
      <c r="K21" s="90">
        <f t="shared" si="14"/>
        <v>0</v>
      </c>
      <c r="L21" s="90">
        <f t="shared" si="14"/>
        <v>0</v>
      </c>
      <c r="M21" s="90">
        <f t="shared" si="14"/>
        <v>9092.465753424658</v>
      </c>
      <c r="N21" s="90">
        <f t="shared" si="14"/>
        <v>15154.109589041096</v>
      </c>
      <c r="O21" s="90">
        <f t="shared" si="14"/>
        <v>9092.465753424658</v>
      </c>
      <c r="P21" s="90">
        <f t="shared" si="14"/>
        <v>1515.4109589041095</v>
      </c>
      <c r="Q21" s="90">
        <f t="shared" si="14"/>
        <v>15154.109589041096</v>
      </c>
      <c r="R21" s="90">
        <f t="shared" si="14"/>
        <v>1515.4109589041095</v>
      </c>
      <c r="S21" s="82">
        <f>项目投资!D27</f>
        <v>88500</v>
      </c>
      <c r="AQ21" s="79"/>
      <c r="AR21" s="79"/>
    </row>
    <row r="22" spans="1:45">
      <c r="A22" s="76">
        <v>16</v>
      </c>
      <c r="B22" s="79" t="s">
        <v>84</v>
      </c>
      <c r="C22" s="82">
        <f>C6*C47</f>
        <v>130061.94690265514</v>
      </c>
      <c r="D22" s="82">
        <f t="shared" ref="D22:R22" si="15">D6*D47</f>
        <v>163048.67256637165</v>
      </c>
      <c r="E22" s="82">
        <f t="shared" si="15"/>
        <v>82309.734513274321</v>
      </c>
      <c r="F22" s="82">
        <f t="shared" si="15"/>
        <v>8307.6283185840766</v>
      </c>
      <c r="G22" s="82">
        <f t="shared" si="15"/>
        <v>9581.8584070796551</v>
      </c>
      <c r="H22" s="82">
        <f t="shared" si="15"/>
        <v>7932.5221238937938</v>
      </c>
      <c r="I22" s="82">
        <f t="shared" si="15"/>
        <v>0</v>
      </c>
      <c r="J22" s="82">
        <f t="shared" si="15"/>
        <v>0</v>
      </c>
      <c r="K22" s="82">
        <f t="shared" si="15"/>
        <v>0</v>
      </c>
      <c r="L22" s="82">
        <f t="shared" si="15"/>
        <v>0</v>
      </c>
      <c r="M22" s="82">
        <f t="shared" si="15"/>
        <v>243536.28318584024</v>
      </c>
      <c r="N22" s="82">
        <f t="shared" si="15"/>
        <v>323426.99115044245</v>
      </c>
      <c r="O22" s="82">
        <f t="shared" si="15"/>
        <v>243536.28318584024</v>
      </c>
      <c r="P22" s="82">
        <f t="shared" si="15"/>
        <v>40589.380530973373</v>
      </c>
      <c r="Q22" s="82">
        <f t="shared" si="15"/>
        <v>323426.99115044245</v>
      </c>
      <c r="R22" s="82">
        <f t="shared" si="15"/>
        <v>32342.699115044248</v>
      </c>
      <c r="S22" s="82">
        <f t="shared" si="0"/>
        <v>1608100.9911504418</v>
      </c>
      <c r="AQ22" s="79" t="s">
        <v>85</v>
      </c>
      <c r="AR22" s="79" t="s">
        <v>84</v>
      </c>
    </row>
    <row r="23" spans="1:45">
      <c r="A23" s="76">
        <v>17</v>
      </c>
      <c r="B23" s="84" t="s">
        <v>86</v>
      </c>
      <c r="C23" s="90">
        <f>+C22+C21+C20+C19+C17</f>
        <v>612324.90200832556</v>
      </c>
      <c r="D23" s="90">
        <f t="shared" ref="D23:R23" si="16">+D22+D21+D20+D19+D17</f>
        <v>762484.19404372247</v>
      </c>
      <c r="E23" s="90">
        <f t="shared" si="16"/>
        <v>415219.7155210732</v>
      </c>
      <c r="F23" s="90">
        <f t="shared" si="16"/>
        <v>78353.789857356474</v>
      </c>
      <c r="G23" s="90">
        <f t="shared" si="16"/>
        <v>44631.112357053426</v>
      </c>
      <c r="H23" s="90">
        <f t="shared" si="16"/>
        <v>37123.147755283426</v>
      </c>
      <c r="I23" s="90">
        <f t="shared" si="16"/>
        <v>0</v>
      </c>
      <c r="J23" s="90">
        <f t="shared" si="16"/>
        <v>0</v>
      </c>
      <c r="K23" s="90">
        <f t="shared" si="16"/>
        <v>0</v>
      </c>
      <c r="L23" s="90">
        <f t="shared" si="16"/>
        <v>0</v>
      </c>
      <c r="M23" s="90">
        <f t="shared" si="16"/>
        <v>1139006.9990301833</v>
      </c>
      <c r="N23" s="90">
        <f t="shared" si="16"/>
        <v>1522946.768295147</v>
      </c>
      <c r="O23" s="90">
        <f t="shared" si="16"/>
        <v>1139006.9990301833</v>
      </c>
      <c r="P23" s="90">
        <f t="shared" si="16"/>
        <v>189834.4998383639</v>
      </c>
      <c r="Q23" s="90">
        <f t="shared" si="16"/>
        <v>1522946.768295147</v>
      </c>
      <c r="R23" s="90">
        <f t="shared" si="16"/>
        <v>152294.6768295147</v>
      </c>
      <c r="S23" s="90">
        <f>+S22+S21+S20+S19+S17</f>
        <v>7616173.5728613548</v>
      </c>
      <c r="AQ23" s="79" t="s">
        <v>87</v>
      </c>
      <c r="AR23" s="84" t="s">
        <v>86</v>
      </c>
    </row>
    <row r="24" spans="1:45">
      <c r="A24" s="76">
        <v>18</v>
      </c>
      <c r="B24" s="91" t="s">
        <v>88</v>
      </c>
      <c r="C24" s="90">
        <f>+C15-C23</f>
        <v>-311310.345042662</v>
      </c>
      <c r="D24" s="90">
        <f t="shared" ref="D24:R24" si="17">+D15-D23</f>
        <v>-721659.68920980021</v>
      </c>
      <c r="E24" s="90">
        <f t="shared" si="17"/>
        <v>-237325.01278960111</v>
      </c>
      <c r="F24" s="90">
        <f t="shared" si="17"/>
        <v>-10593.702272021314</v>
      </c>
      <c r="G24" s="90">
        <f t="shared" si="17"/>
        <v>-6456.3004753839632</v>
      </c>
      <c r="H24" s="90">
        <f t="shared" si="17"/>
        <v>-872.05039810648304</v>
      </c>
      <c r="I24" s="90">
        <f t="shared" si="17"/>
        <v>0</v>
      </c>
      <c r="J24" s="90">
        <f t="shared" si="17"/>
        <v>0</v>
      </c>
      <c r="K24" s="90">
        <f t="shared" si="17"/>
        <v>0</v>
      </c>
      <c r="L24" s="90">
        <f t="shared" si="17"/>
        <v>0</v>
      </c>
      <c r="M24" s="90">
        <f t="shared" si="17"/>
        <v>-233838.57178365788</v>
      </c>
      <c r="N24" s="90">
        <f t="shared" si="17"/>
        <v>-110518.44910885161</v>
      </c>
      <c r="O24" s="90">
        <f t="shared" si="17"/>
        <v>-236034.33212527237</v>
      </c>
      <c r="P24" s="90">
        <f t="shared" si="17"/>
        <v>-39339.055354212178</v>
      </c>
      <c r="Q24" s="90">
        <f t="shared" si="17"/>
        <v>-114178.0496782097</v>
      </c>
      <c r="R24" s="90">
        <f t="shared" si="17"/>
        <v>-11417.80496782111</v>
      </c>
      <c r="S24" s="90">
        <f>+S15-S23</f>
        <v>-2033543.3632056061</v>
      </c>
      <c r="U24" s="92"/>
      <c r="AQ24" s="79" t="s">
        <v>89</v>
      </c>
      <c r="AR24" s="79" t="s">
        <v>88</v>
      </c>
    </row>
    <row r="25" spans="1:45">
      <c r="A25" s="76">
        <v>19</v>
      </c>
      <c r="B25" s="79" t="s">
        <v>277</v>
      </c>
      <c r="C25" s="90">
        <f>IF(C24&lt;0,0,C24*0.15)</f>
        <v>0</v>
      </c>
      <c r="D25" s="90">
        <f t="shared" ref="D25:R25" si="18">IF(D24&lt;0,0,D24*0.15)</f>
        <v>0</v>
      </c>
      <c r="E25" s="90">
        <f t="shared" si="18"/>
        <v>0</v>
      </c>
      <c r="F25" s="90">
        <f t="shared" si="18"/>
        <v>0</v>
      </c>
      <c r="G25" s="90">
        <f t="shared" si="18"/>
        <v>0</v>
      </c>
      <c r="H25" s="90">
        <f t="shared" si="18"/>
        <v>0</v>
      </c>
      <c r="I25" s="90">
        <f t="shared" si="18"/>
        <v>0</v>
      </c>
      <c r="J25" s="90">
        <f t="shared" si="18"/>
        <v>0</v>
      </c>
      <c r="K25" s="90">
        <f t="shared" si="18"/>
        <v>0</v>
      </c>
      <c r="L25" s="90">
        <f t="shared" si="18"/>
        <v>0</v>
      </c>
      <c r="M25" s="90">
        <f t="shared" si="18"/>
        <v>0</v>
      </c>
      <c r="N25" s="90">
        <f t="shared" si="18"/>
        <v>0</v>
      </c>
      <c r="O25" s="90">
        <f t="shared" si="18"/>
        <v>0</v>
      </c>
      <c r="P25" s="90">
        <f t="shared" si="18"/>
        <v>0</v>
      </c>
      <c r="Q25" s="90">
        <f t="shared" si="18"/>
        <v>0</v>
      </c>
      <c r="R25" s="90">
        <f t="shared" si="18"/>
        <v>0</v>
      </c>
      <c r="S25" s="90">
        <f t="shared" ref="S25" si="19">IF(S24&lt;0,0,S24*0.15)</f>
        <v>0</v>
      </c>
      <c r="T25" s="2"/>
      <c r="U25" s="2"/>
      <c r="V25" s="2"/>
      <c r="AQ25" s="79" t="s">
        <v>90</v>
      </c>
      <c r="AR25" s="79" t="s">
        <v>35</v>
      </c>
    </row>
    <row r="26" spans="1:45">
      <c r="A26" s="76">
        <v>20</v>
      </c>
      <c r="B26" s="79" t="s">
        <v>91</v>
      </c>
      <c r="C26" s="90">
        <f>C24-C25</f>
        <v>-311310.345042662</v>
      </c>
      <c r="D26" s="90">
        <f t="shared" ref="D26:R26" si="20">D24-D25</f>
        <v>-721659.68920980021</v>
      </c>
      <c r="E26" s="90">
        <f t="shared" si="20"/>
        <v>-237325.01278960111</v>
      </c>
      <c r="F26" s="90">
        <f t="shared" si="20"/>
        <v>-10593.702272021314</v>
      </c>
      <c r="G26" s="90">
        <f t="shared" si="20"/>
        <v>-6456.3004753839632</v>
      </c>
      <c r="H26" s="90">
        <f t="shared" si="20"/>
        <v>-872.05039810648304</v>
      </c>
      <c r="I26" s="90">
        <f t="shared" si="20"/>
        <v>0</v>
      </c>
      <c r="J26" s="90">
        <f t="shared" si="20"/>
        <v>0</v>
      </c>
      <c r="K26" s="90">
        <f t="shared" si="20"/>
        <v>0</v>
      </c>
      <c r="L26" s="90">
        <f t="shared" si="20"/>
        <v>0</v>
      </c>
      <c r="M26" s="90">
        <f t="shared" si="20"/>
        <v>-233838.57178365788</v>
      </c>
      <c r="N26" s="90">
        <f t="shared" si="20"/>
        <v>-110518.44910885161</v>
      </c>
      <c r="O26" s="90">
        <f t="shared" si="20"/>
        <v>-236034.33212527237</v>
      </c>
      <c r="P26" s="90">
        <f t="shared" si="20"/>
        <v>-39339.055354212178</v>
      </c>
      <c r="Q26" s="90">
        <f t="shared" si="20"/>
        <v>-114178.0496782097</v>
      </c>
      <c r="R26" s="90">
        <f t="shared" si="20"/>
        <v>-11417.80496782111</v>
      </c>
      <c r="S26" s="82">
        <f t="shared" si="0"/>
        <v>-2033543.3632055998</v>
      </c>
      <c r="T26" s="2"/>
      <c r="U26" s="2"/>
      <c r="V26" s="2"/>
      <c r="AQ26" s="79" t="s">
        <v>92</v>
      </c>
      <c r="AR26" s="79" t="s">
        <v>91</v>
      </c>
    </row>
    <row r="27" spans="1:45">
      <c r="A27" s="76">
        <v>21</v>
      </c>
      <c r="B27" s="79" t="s">
        <v>95</v>
      </c>
      <c r="C27" s="93">
        <f>C26/C9</f>
        <v>-8.497118113483268E-2</v>
      </c>
      <c r="D27" s="93">
        <f t="shared" ref="D27:R27" si="21">D26/D9</f>
        <v>-0.15712436393199891</v>
      </c>
      <c r="E27" s="93">
        <f t="shared" si="21"/>
        <v>-0.10235773452375926</v>
      </c>
      <c r="F27" s="93">
        <f t="shared" si="21"/>
        <v>-4.5268807923854473E-2</v>
      </c>
      <c r="G27" s="93">
        <f t="shared" si="21"/>
        <v>-2.3920064056340562E-2</v>
      </c>
      <c r="H27" s="93">
        <f t="shared" si="21"/>
        <v>-3.9026413855854543E-3</v>
      </c>
      <c r="I27" s="93" t="e">
        <f t="shared" si="21"/>
        <v>#DIV/0!</v>
      </c>
      <c r="J27" s="93" t="e">
        <f t="shared" si="21"/>
        <v>#DIV/0!</v>
      </c>
      <c r="K27" s="93" t="e">
        <f t="shared" si="21"/>
        <v>#DIV/0!</v>
      </c>
      <c r="L27" s="93" t="e">
        <f t="shared" si="21"/>
        <v>#DIV/0!</v>
      </c>
      <c r="M27" s="93">
        <f t="shared" si="21"/>
        <v>-3.4086375917896532E-2</v>
      </c>
      <c r="N27" s="93">
        <f t="shared" si="21"/>
        <v>-1.2130728265468897E-2</v>
      </c>
      <c r="O27" s="93">
        <f t="shared" si="21"/>
        <v>-3.4406449342306279E-2</v>
      </c>
      <c r="P27" s="93">
        <f t="shared" si="21"/>
        <v>-3.4406449342306383E-2</v>
      </c>
      <c r="Q27" s="93">
        <f t="shared" si="21"/>
        <v>-1.2532413417812234E-2</v>
      </c>
      <c r="R27" s="93">
        <f t="shared" si="21"/>
        <v>-1.2532413417812388E-2</v>
      </c>
      <c r="S27" s="93">
        <f>S26/S9</f>
        <v>-4.4891950064748866E-2</v>
      </c>
      <c r="T27" s="2"/>
      <c r="U27" s="2"/>
      <c r="V27" s="2"/>
      <c r="AQ27" s="79" t="s">
        <v>94</v>
      </c>
      <c r="AR27" s="79" t="s">
        <v>95</v>
      </c>
    </row>
    <row r="28" spans="1:45">
      <c r="T28" s="2"/>
      <c r="U28" s="2"/>
      <c r="V28" s="2"/>
    </row>
    <row r="29" spans="1:45">
      <c r="A29" s="72" t="s">
        <v>96</v>
      </c>
      <c r="S29" s="75" t="s">
        <v>149</v>
      </c>
      <c r="T29" s="2"/>
      <c r="U29" s="2"/>
      <c r="V29" s="2"/>
      <c r="AQ29" s="72" t="s">
        <v>96</v>
      </c>
    </row>
    <row r="30" spans="1:45">
      <c r="A30" s="79" t="s">
        <v>97</v>
      </c>
      <c r="B30" s="84" t="s">
        <v>98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Q30" s="79" t="s">
        <v>99</v>
      </c>
      <c r="AR30" s="84" t="s">
        <v>98</v>
      </c>
    </row>
    <row r="31" spans="1:45">
      <c r="A31" s="76">
        <v>1</v>
      </c>
      <c r="B31" s="87" t="s">
        <v>100</v>
      </c>
      <c r="C31" s="94">
        <f>销量!C8</f>
        <v>1831.8584070796501</v>
      </c>
      <c r="D31" s="94">
        <f>销量!D8</f>
        <v>2296.4601769911501</v>
      </c>
      <c r="E31" s="94">
        <f>销量!E8</f>
        <v>579.64601769911496</v>
      </c>
      <c r="F31" s="94">
        <f>销量!F8</f>
        <v>58.504424778761098</v>
      </c>
      <c r="G31" s="94">
        <f>销量!G8</f>
        <v>2699.1150442477901</v>
      </c>
      <c r="H31" s="94">
        <f>销量!H8</f>
        <v>2234.5132743362801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2286.7256637168098</v>
      </c>
      <c r="N31" s="94">
        <f>销量!N8</f>
        <v>1822.12389380531</v>
      </c>
      <c r="O31" s="94">
        <f>销量!O8</f>
        <v>2286.7256637168098</v>
      </c>
      <c r="P31" s="94">
        <f>销量!P8</f>
        <v>2286.7256637168098</v>
      </c>
      <c r="Q31" s="94">
        <f>销量!Q8</f>
        <v>1822.12389380531</v>
      </c>
      <c r="R31" s="94">
        <f>销量!R8</f>
        <v>1822.12389380531</v>
      </c>
      <c r="S31" s="90"/>
      <c r="T31" s="2"/>
      <c r="U31" s="2"/>
      <c r="V31" s="2"/>
      <c r="X31" s="2"/>
      <c r="AQ31" s="79" t="s">
        <v>55</v>
      </c>
      <c r="AR31" s="79" t="s">
        <v>100</v>
      </c>
    </row>
    <row r="32" spans="1:45">
      <c r="A32" s="76">
        <v>2</v>
      </c>
      <c r="B32" s="79" t="s">
        <v>150</v>
      </c>
      <c r="C32" s="82">
        <f>C9/C6</f>
        <v>1831.8584070796501</v>
      </c>
      <c r="D32" s="82">
        <f t="shared" ref="D32:R32" si="22">D9/D6</f>
        <v>2296.4601769911501</v>
      </c>
      <c r="E32" s="82">
        <f t="shared" si="22"/>
        <v>579.64601769911496</v>
      </c>
      <c r="F32" s="82">
        <f t="shared" si="22"/>
        <v>58.504424778761106</v>
      </c>
      <c r="G32" s="82">
        <f t="shared" si="22"/>
        <v>2699.1150442477901</v>
      </c>
      <c r="H32" s="82">
        <f t="shared" si="22"/>
        <v>2234.5132743362801</v>
      </c>
      <c r="I32" s="82" t="e">
        <f t="shared" si="22"/>
        <v>#DIV/0!</v>
      </c>
      <c r="J32" s="82" t="e">
        <f t="shared" si="22"/>
        <v>#DIV/0!</v>
      </c>
      <c r="K32" s="82" t="e">
        <f t="shared" si="22"/>
        <v>#DIV/0!</v>
      </c>
      <c r="L32" s="82" t="e">
        <f t="shared" si="22"/>
        <v>#DIV/0!</v>
      </c>
      <c r="M32" s="82">
        <f t="shared" si="22"/>
        <v>2286.7256637168098</v>
      </c>
      <c r="N32" s="82">
        <f t="shared" si="22"/>
        <v>1822.1238938053102</v>
      </c>
      <c r="O32" s="82">
        <f t="shared" si="22"/>
        <v>2286.7256637168098</v>
      </c>
      <c r="P32" s="82">
        <f t="shared" si="22"/>
        <v>2286.7256637168098</v>
      </c>
      <c r="Q32" s="82">
        <f t="shared" si="22"/>
        <v>1822.1238938053102</v>
      </c>
      <c r="R32" s="82">
        <f t="shared" si="22"/>
        <v>1822.12389380531</v>
      </c>
      <c r="S32" s="90"/>
      <c r="T32" s="2"/>
      <c r="U32" s="2"/>
      <c r="V32" s="2"/>
      <c r="W32" s="2"/>
      <c r="X32" s="2"/>
      <c r="Y32" s="2"/>
      <c r="Z32" s="2"/>
      <c r="AQ32" s="79"/>
      <c r="AR32" s="79"/>
    </row>
    <row r="33" spans="1:44">
      <c r="A33" s="76">
        <v>3</v>
      </c>
      <c r="B33" s="87" t="s">
        <v>101</v>
      </c>
      <c r="C33" s="82">
        <f>材料成本!D24</f>
        <v>1355.4635179773486</v>
      </c>
      <c r="D33" s="82">
        <f>材料成本!E24</f>
        <v>1867.5076590874635</v>
      </c>
      <c r="E33" s="82">
        <f>材料成本!F24</f>
        <v>432.05331546757441</v>
      </c>
      <c r="F33" s="82">
        <f>材料成本!G24</f>
        <v>31.156465714285716</v>
      </c>
      <c r="G33" s="82">
        <f>材料成本!H24</f>
        <v>1837.194359059414</v>
      </c>
      <c r="H33" s="82">
        <f>材料成本!I24</f>
        <v>1474.4823892600864</v>
      </c>
      <c r="I33" s="82">
        <f>材料成本!J24</f>
        <v>0</v>
      </c>
      <c r="J33" s="82">
        <f>材料成本!K24</f>
        <v>0</v>
      </c>
      <c r="K33" s="82">
        <f>材料成本!L24</f>
        <v>0</v>
      </c>
      <c r="L33" s="82">
        <f>材料成本!M24</f>
        <v>0</v>
      </c>
      <c r="M33" s="82">
        <f>材料成本!N24</f>
        <v>1578.1943590594142</v>
      </c>
      <c r="N33" s="82">
        <f>材料成本!O24</f>
        <v>1215.4823892600864</v>
      </c>
      <c r="O33" s="82">
        <f>材料成本!P24</f>
        <v>1578.9262791732858</v>
      </c>
      <c r="P33" s="82">
        <f>材料成本!Q24</f>
        <v>1578.9262791732858</v>
      </c>
      <c r="Q33" s="82">
        <f>材料成本!R24</f>
        <v>1216.214309373958</v>
      </c>
      <c r="R33" s="82">
        <f>材料成本!S24</f>
        <v>1216.214309373958</v>
      </c>
      <c r="S33" s="90"/>
      <c r="U33" s="2"/>
      <c r="V33" s="2"/>
      <c r="W33" s="2"/>
      <c r="X33" s="2"/>
      <c r="Y33" s="2"/>
      <c r="Z33" s="2"/>
      <c r="AQ33" s="79" t="s">
        <v>57</v>
      </c>
      <c r="AR33" s="79" t="s">
        <v>101</v>
      </c>
    </row>
    <row r="34" spans="1:44" ht="17.25" customHeight="1">
      <c r="A34" s="76">
        <v>4</v>
      </c>
      <c r="B34" s="79" t="s">
        <v>103</v>
      </c>
      <c r="C34" s="95">
        <f>C32-C33</f>
        <v>476.39488910230148</v>
      </c>
      <c r="D34" s="95">
        <f t="shared" ref="D34:R34" si="23">D32-D33</f>
        <v>428.95251790368661</v>
      </c>
      <c r="E34" s="95">
        <f t="shared" si="23"/>
        <v>147.59270223154056</v>
      </c>
      <c r="F34" s="95">
        <f t="shared" si="23"/>
        <v>27.34795906447539</v>
      </c>
      <c r="G34" s="95">
        <f t="shared" si="23"/>
        <v>861.92068518837618</v>
      </c>
      <c r="H34" s="95">
        <f t="shared" si="23"/>
        <v>760.03088507619373</v>
      </c>
      <c r="I34" s="95" t="e">
        <f t="shared" si="23"/>
        <v>#DIV/0!</v>
      </c>
      <c r="J34" s="95" t="e">
        <f t="shared" si="23"/>
        <v>#DIV/0!</v>
      </c>
      <c r="K34" s="95" t="e">
        <f t="shared" si="23"/>
        <v>#DIV/0!</v>
      </c>
      <c r="L34" s="95" t="e">
        <f t="shared" si="23"/>
        <v>#DIV/0!</v>
      </c>
      <c r="M34" s="95">
        <f t="shared" si="23"/>
        <v>708.53130465739559</v>
      </c>
      <c r="N34" s="95">
        <f t="shared" si="23"/>
        <v>606.64150454522382</v>
      </c>
      <c r="O34" s="95">
        <f t="shared" si="23"/>
        <v>707.79938454352396</v>
      </c>
      <c r="P34" s="95">
        <f t="shared" si="23"/>
        <v>707.79938454352396</v>
      </c>
      <c r="Q34" s="95">
        <f t="shared" si="23"/>
        <v>605.90958443135219</v>
      </c>
      <c r="R34" s="95">
        <f t="shared" si="23"/>
        <v>605.90958443135196</v>
      </c>
      <c r="S34" s="90"/>
      <c r="U34" s="2"/>
      <c r="V34" s="2"/>
      <c r="W34" s="2"/>
      <c r="X34" s="2"/>
      <c r="Y34" s="2"/>
      <c r="Z34" s="2"/>
      <c r="AQ34" s="79" t="s">
        <v>102</v>
      </c>
      <c r="AR34" s="79" t="s">
        <v>103</v>
      </c>
    </row>
    <row r="35" spans="1:44">
      <c r="A35" s="79" t="s">
        <v>99</v>
      </c>
      <c r="B35" s="84" t="s">
        <v>9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Q35" s="79" t="s">
        <v>105</v>
      </c>
      <c r="AR35" s="84" t="s">
        <v>9</v>
      </c>
    </row>
    <row r="36" spans="1:44">
      <c r="A36" s="76">
        <v>1</v>
      </c>
      <c r="B36" s="79" t="s">
        <v>106</v>
      </c>
      <c r="C36" s="88">
        <f>标准成本!E4</f>
        <v>127.13097345132772</v>
      </c>
      <c r="D36" s="88">
        <f>标准成本!E16</f>
        <v>159.37433628318581</v>
      </c>
      <c r="E36" s="88">
        <f>标准成本!E29</f>
        <v>40.227433628318579</v>
      </c>
      <c r="F36" s="88">
        <f>标准成本!E42</f>
        <v>4.0602070796460206</v>
      </c>
      <c r="G36" s="88">
        <f>标准成本!E55</f>
        <v>187.31858407079665</v>
      </c>
      <c r="H36" s="88">
        <f>标准成本!E68</f>
        <v>155.07522123893784</v>
      </c>
      <c r="I36" s="88">
        <f>标准成本!E81</f>
        <v>0</v>
      </c>
      <c r="J36" s="88">
        <f>标准成本!E94</f>
        <v>0</v>
      </c>
      <c r="K36" s="88">
        <f>标准成本!E107</f>
        <v>0</v>
      </c>
      <c r="L36" s="88">
        <f>标准成本!E120</f>
        <v>0</v>
      </c>
      <c r="M36" s="88">
        <f>标准成本!E133</f>
        <v>158.69876106194661</v>
      </c>
      <c r="N36" s="88">
        <f>标准成本!E146</f>
        <v>126.45539823008852</v>
      </c>
      <c r="O36" s="88">
        <f>标准成本!E159</f>
        <v>158.69876106194661</v>
      </c>
      <c r="P36" s="88">
        <f>标准成本!E172</f>
        <v>158.69876106194661</v>
      </c>
      <c r="Q36" s="88">
        <f>标准成本!E185</f>
        <v>126.45539823008852</v>
      </c>
      <c r="R36" s="88">
        <f>标准成本!E198</f>
        <v>126.45539823008852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Q36" s="79" t="s">
        <v>102</v>
      </c>
      <c r="AR36" s="79" t="s">
        <v>106</v>
      </c>
    </row>
    <row r="37" spans="1:44">
      <c r="A37" s="76">
        <v>2</v>
      </c>
      <c r="B37" s="79" t="s">
        <v>107</v>
      </c>
      <c r="C37" s="88">
        <f>标准成本!E6</f>
        <v>79.502654867256808</v>
      </c>
      <c r="D37" s="88">
        <f>标准成本!E18</f>
        <v>99.66637168141591</v>
      </c>
      <c r="E37" s="88">
        <f>标准成本!E31</f>
        <v>25.156637168141589</v>
      </c>
      <c r="F37" s="88">
        <f>标准成本!E44</f>
        <v>2.5390920353982316</v>
      </c>
      <c r="G37" s="88">
        <f>标准成本!E57</f>
        <v>117.1415929203541</v>
      </c>
      <c r="H37" s="88">
        <f>标准成本!E70</f>
        <v>96.977876106194557</v>
      </c>
      <c r="I37" s="88">
        <f>标准成本!E83</f>
        <v>0</v>
      </c>
      <c r="J37" s="88">
        <f>标准成本!E96</f>
        <v>0</v>
      </c>
      <c r="K37" s="88">
        <f>标准成本!E109</f>
        <v>0</v>
      </c>
      <c r="L37" s="88">
        <f>标准成本!E122</f>
        <v>0</v>
      </c>
      <c r="M37" s="88">
        <f>标准成本!E135</f>
        <v>99.24389380530954</v>
      </c>
      <c r="N37" s="88">
        <f>标准成本!E148</f>
        <v>79.080176991150452</v>
      </c>
      <c r="O37" s="88">
        <f>标准成本!E161</f>
        <v>99.24389380530954</v>
      </c>
      <c r="P37" s="88">
        <f>标准成本!E174</f>
        <v>99.24389380530954</v>
      </c>
      <c r="Q37" s="88">
        <f>标准成本!E187</f>
        <v>79.080176991150452</v>
      </c>
      <c r="R37" s="88">
        <f>标准成本!E200</f>
        <v>79.080176991150452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Q37" s="79" t="s">
        <v>60</v>
      </c>
      <c r="AR37" s="79" t="s">
        <v>107</v>
      </c>
    </row>
    <row r="38" spans="1:44">
      <c r="A38" s="76">
        <v>3</v>
      </c>
      <c r="B38" s="79" t="s">
        <v>108</v>
      </c>
      <c r="C38" s="88">
        <f>标准成本!E10</f>
        <v>119.25398230088523</v>
      </c>
      <c r="D38" s="88">
        <f>标准成本!E22</f>
        <v>149.49955752212389</v>
      </c>
      <c r="E38" s="88">
        <f>标准成本!E35</f>
        <v>37.734955752212386</v>
      </c>
      <c r="F38" s="88">
        <f>标准成本!E48</f>
        <v>3.8086380530973476</v>
      </c>
      <c r="G38" s="88">
        <f>标准成本!E61</f>
        <v>175.71238938053116</v>
      </c>
      <c r="H38" s="88">
        <f>标准成本!E74</f>
        <v>145.46681415929186</v>
      </c>
      <c r="I38" s="88">
        <f>标准成本!E87</f>
        <v>0</v>
      </c>
      <c r="J38" s="88">
        <f>标准成本!E100</f>
        <v>0</v>
      </c>
      <c r="K38" s="88">
        <f>标准成本!E113</f>
        <v>0</v>
      </c>
      <c r="L38" s="88">
        <f>标准成本!E126</f>
        <v>0</v>
      </c>
      <c r="M38" s="88">
        <f>标准成本!E139</f>
        <v>148.86584070796434</v>
      </c>
      <c r="N38" s="88">
        <f>标准成本!E152</f>
        <v>118.62026548672569</v>
      </c>
      <c r="O38" s="88">
        <f>标准成本!E165</f>
        <v>148.86584070796434</v>
      </c>
      <c r="P38" s="88">
        <f>标准成本!E178</f>
        <v>148.86584070796434</v>
      </c>
      <c r="Q38" s="88">
        <f>标准成本!E191</f>
        <v>118.62026548672569</v>
      </c>
      <c r="R38" s="88">
        <f>标准成本!E204</f>
        <v>118.62026548672569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Q38" s="79" t="s">
        <v>66</v>
      </c>
      <c r="AR38" s="79" t="s">
        <v>108</v>
      </c>
    </row>
    <row r="39" spans="1:44">
      <c r="A39" s="79" t="s">
        <v>105</v>
      </c>
      <c r="B39" s="84" t="s">
        <v>110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Q39" s="79" t="s">
        <v>109</v>
      </c>
      <c r="AR39" s="84" t="s">
        <v>110</v>
      </c>
    </row>
    <row r="40" spans="1:44">
      <c r="A40" s="76">
        <v>1</v>
      </c>
      <c r="B40" s="79" t="s">
        <v>111</v>
      </c>
      <c r="C40" s="90">
        <f>C34-C36-C37-C38</f>
        <v>150.50727848283174</v>
      </c>
      <c r="D40" s="90">
        <f>D34-D36-D37-D38</f>
        <v>20.412252416960996</v>
      </c>
      <c r="E40" s="90">
        <f t="shared" ref="E40:R40" si="24">E34-E36-E37-E38</f>
        <v>44.473675682868006</v>
      </c>
      <c r="F40" s="90">
        <f t="shared" si="24"/>
        <v>16.940021896333793</v>
      </c>
      <c r="G40" s="90">
        <f t="shared" si="24"/>
        <v>381.74811881669427</v>
      </c>
      <c r="H40" s="90">
        <f t="shared" si="24"/>
        <v>362.51097357176945</v>
      </c>
      <c r="I40" s="90" t="e">
        <f t="shared" si="24"/>
        <v>#DIV/0!</v>
      </c>
      <c r="J40" s="90" t="e">
        <f t="shared" si="24"/>
        <v>#DIV/0!</v>
      </c>
      <c r="K40" s="90" t="e">
        <f t="shared" si="24"/>
        <v>#DIV/0!</v>
      </c>
      <c r="L40" s="90" t="e">
        <f t="shared" si="24"/>
        <v>#DIV/0!</v>
      </c>
      <c r="M40" s="90">
        <f t="shared" si="24"/>
        <v>301.7228090821751</v>
      </c>
      <c r="N40" s="90">
        <f t="shared" si="24"/>
        <v>282.48566383725915</v>
      </c>
      <c r="O40" s="90">
        <f t="shared" si="24"/>
        <v>300.99088896830347</v>
      </c>
      <c r="P40" s="90">
        <f t="shared" si="24"/>
        <v>300.99088896830347</v>
      </c>
      <c r="Q40" s="90">
        <f t="shared" si="24"/>
        <v>281.75374372338752</v>
      </c>
      <c r="R40" s="90">
        <f t="shared" si="24"/>
        <v>281.75374372338729</v>
      </c>
      <c r="S40" s="90"/>
      <c r="AQ40" s="79" t="s">
        <v>55</v>
      </c>
      <c r="AR40" s="79" t="s">
        <v>111</v>
      </c>
    </row>
    <row r="41" spans="1:44">
      <c r="A41" s="76">
        <v>2</v>
      </c>
      <c r="B41" s="79" t="s">
        <v>112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Q41" s="79" t="s">
        <v>57</v>
      </c>
      <c r="AR41" s="79" t="s">
        <v>112</v>
      </c>
    </row>
    <row r="42" spans="1:44">
      <c r="A42" s="79" t="s">
        <v>109</v>
      </c>
      <c r="B42" s="84" t="s">
        <v>114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Q42" s="79" t="s">
        <v>113</v>
      </c>
      <c r="AR42" s="84" t="s">
        <v>114</v>
      </c>
    </row>
    <row r="43" spans="1:44">
      <c r="A43" s="76">
        <v>1</v>
      </c>
      <c r="B43" s="91" t="s">
        <v>115</v>
      </c>
      <c r="C43" s="88">
        <f>标准成本!E5</f>
        <v>151.12831858407114</v>
      </c>
      <c r="D43" s="88">
        <f>标准成本!E17</f>
        <v>189.4579646017699</v>
      </c>
      <c r="E43" s="88">
        <f>标准成本!E30</f>
        <v>47.820796460176986</v>
      </c>
      <c r="F43" s="88">
        <f>标准成本!E43</f>
        <v>4.8266150442477906</v>
      </c>
      <c r="G43" s="88">
        <f>标准成本!E56</f>
        <v>222.67699115044269</v>
      </c>
      <c r="H43" s="88">
        <f>标准成本!E69</f>
        <v>184.34734513274313</v>
      </c>
      <c r="I43" s="88">
        <f>标准成本!E82</f>
        <v>0</v>
      </c>
      <c r="J43" s="88">
        <f>标准成本!E95</f>
        <v>0</v>
      </c>
      <c r="K43" s="88">
        <f>标准成本!E108</f>
        <v>0</v>
      </c>
      <c r="L43" s="88">
        <f>标准成本!E121</f>
        <v>0</v>
      </c>
      <c r="M43" s="88">
        <f>标准成本!E134</f>
        <v>188.65486725663681</v>
      </c>
      <c r="N43" s="88">
        <f>标准成本!E147</f>
        <v>150.32522123893807</v>
      </c>
      <c r="O43" s="88">
        <f>标准成本!E160</f>
        <v>188.65486725663681</v>
      </c>
      <c r="P43" s="88">
        <f>标准成本!E173</f>
        <v>188.65486725663681</v>
      </c>
      <c r="Q43" s="88">
        <f>标准成本!E186</f>
        <v>150.32522123893807</v>
      </c>
      <c r="R43" s="88">
        <f>标准成本!E199</f>
        <v>150.32522123893807</v>
      </c>
      <c r="S43" s="90"/>
      <c r="AQ43" s="79" t="s">
        <v>55</v>
      </c>
      <c r="AR43" s="79" t="s">
        <v>115</v>
      </c>
    </row>
    <row r="44" spans="1:44">
      <c r="A44" s="76">
        <v>2</v>
      </c>
      <c r="B44" s="91" t="s">
        <v>116</v>
      </c>
      <c r="C44" s="88">
        <f>标准成本!E9</f>
        <v>31.507964601769981</v>
      </c>
      <c r="D44" s="88">
        <f>标准成本!E21</f>
        <v>39.49911504424778</v>
      </c>
      <c r="E44" s="88">
        <f>标准成本!E34</f>
        <v>9.9699115044247772</v>
      </c>
      <c r="F44" s="88">
        <f>标准成本!E47</f>
        <v>1.006276106194691</v>
      </c>
      <c r="G44" s="88">
        <f>标准成本!E60</f>
        <v>46.424778761061994</v>
      </c>
      <c r="H44" s="88">
        <f>标准成本!E73</f>
        <v>38.43362831858402</v>
      </c>
      <c r="I44" s="88">
        <f>标准成本!E86</f>
        <v>0</v>
      </c>
      <c r="J44" s="88">
        <f>标准成本!E99</f>
        <v>0</v>
      </c>
      <c r="K44" s="88">
        <f>标准成本!E112</f>
        <v>0</v>
      </c>
      <c r="L44" s="88">
        <f>标准成本!E125</f>
        <v>0</v>
      </c>
      <c r="M44" s="88">
        <f>标准成本!E138</f>
        <v>39.331681415929125</v>
      </c>
      <c r="N44" s="88">
        <f>标准成本!E151</f>
        <v>31.340530973451333</v>
      </c>
      <c r="O44" s="88">
        <f>标准成本!E164</f>
        <v>39.331681415929125</v>
      </c>
      <c r="P44" s="88">
        <f>标准成本!E177</f>
        <v>39.331681415929125</v>
      </c>
      <c r="Q44" s="88">
        <f>标准成本!E190</f>
        <v>31.340530973451333</v>
      </c>
      <c r="R44" s="88">
        <f>标准成本!E203</f>
        <v>31.340530973451333</v>
      </c>
      <c r="S44" s="90"/>
      <c r="AQ44" s="79" t="s">
        <v>57</v>
      </c>
      <c r="AR44" s="79" t="s">
        <v>116</v>
      </c>
    </row>
    <row r="45" spans="1:44">
      <c r="A45" s="76">
        <v>3</v>
      </c>
      <c r="B45" s="91" t="s">
        <v>117</v>
      </c>
      <c r="C45" s="88">
        <f>标准成本!E8</f>
        <v>48.361061946902758</v>
      </c>
      <c r="D45" s="88">
        <f>标准成本!E20</f>
        <v>60.626548672566365</v>
      </c>
      <c r="E45" s="88">
        <f>标准成本!E33</f>
        <v>15.302654867256635</v>
      </c>
      <c r="F45" s="88">
        <f>标准成本!E46</f>
        <v>1.5445168141592931</v>
      </c>
      <c r="G45" s="88">
        <f>标准成本!E59</f>
        <v>71.256637168141665</v>
      </c>
      <c r="H45" s="88">
        <f>标准成本!E72</f>
        <v>58.991150442477796</v>
      </c>
      <c r="I45" s="88">
        <f>标准成本!E85</f>
        <v>0</v>
      </c>
      <c r="J45" s="88">
        <f>标准成本!E98</f>
        <v>0</v>
      </c>
      <c r="K45" s="88">
        <f>标准成本!E111</f>
        <v>0</v>
      </c>
      <c r="L45" s="88">
        <f>标准成本!E124</f>
        <v>0</v>
      </c>
      <c r="M45" s="88">
        <f>标准成本!E137</f>
        <v>60.369557522123777</v>
      </c>
      <c r="N45" s="88">
        <f>标准成本!E150</f>
        <v>48.104070796460185</v>
      </c>
      <c r="O45" s="88">
        <f>标准成本!E163</f>
        <v>60.369557522123777</v>
      </c>
      <c r="P45" s="88">
        <f>标准成本!E176</f>
        <v>60.369557522123777</v>
      </c>
      <c r="Q45" s="88">
        <f>标准成本!E189</f>
        <v>48.104070796460185</v>
      </c>
      <c r="R45" s="88">
        <f>标准成本!E202</f>
        <v>48.104070796460185</v>
      </c>
      <c r="S45" s="90"/>
      <c r="AQ45" s="79" t="s">
        <v>102</v>
      </c>
      <c r="AR45" s="79" t="s">
        <v>117</v>
      </c>
    </row>
    <row r="46" spans="1:44" s="74" customFormat="1">
      <c r="A46" s="76">
        <v>4</v>
      </c>
      <c r="B46" s="91" t="s">
        <v>118</v>
      </c>
      <c r="C46" s="96">
        <f>C21/C6</f>
        <v>3.0308219178082192</v>
      </c>
      <c r="D46" s="96">
        <f>D21/D6</f>
        <v>3.0308219178082192</v>
      </c>
      <c r="E46" s="96">
        <f t="shared" ref="E46:R46" si="25">E21/E6</f>
        <v>3.0308219178082192</v>
      </c>
      <c r="F46" s="96">
        <f t="shared" si="25"/>
        <v>3.0308219178082192</v>
      </c>
      <c r="G46" s="96">
        <f t="shared" si="25"/>
        <v>3.0308219178082192</v>
      </c>
      <c r="H46" s="96">
        <f t="shared" si="25"/>
        <v>3.0308219178082192</v>
      </c>
      <c r="I46" s="96" t="e">
        <f t="shared" si="25"/>
        <v>#DIV/0!</v>
      </c>
      <c r="J46" s="96" t="e">
        <f t="shared" si="25"/>
        <v>#DIV/0!</v>
      </c>
      <c r="K46" s="96" t="e">
        <f t="shared" si="25"/>
        <v>#DIV/0!</v>
      </c>
      <c r="L46" s="96" t="e">
        <f t="shared" si="25"/>
        <v>#DIV/0!</v>
      </c>
      <c r="M46" s="96">
        <f t="shared" si="25"/>
        <v>3.0308219178082192</v>
      </c>
      <c r="N46" s="96">
        <f t="shared" si="25"/>
        <v>3.0308219178082192</v>
      </c>
      <c r="O46" s="96">
        <f t="shared" si="25"/>
        <v>3.0308219178082192</v>
      </c>
      <c r="P46" s="96">
        <f t="shared" si="25"/>
        <v>3.0308219178082192</v>
      </c>
      <c r="Q46" s="96">
        <f t="shared" si="25"/>
        <v>3.0308219178082192</v>
      </c>
      <c r="R46" s="96">
        <f t="shared" si="25"/>
        <v>3.0308219178082192</v>
      </c>
      <c r="S46" s="96"/>
      <c r="AQ46" s="91" t="s">
        <v>62</v>
      </c>
      <c r="AR46" s="91" t="s">
        <v>120</v>
      </c>
    </row>
    <row r="47" spans="1:44" s="74" customFormat="1">
      <c r="A47" s="76">
        <v>5</v>
      </c>
      <c r="B47" s="91" t="s">
        <v>120</v>
      </c>
      <c r="C47" s="88">
        <f>标准成本!E11</f>
        <v>65.030973451327569</v>
      </c>
      <c r="D47" s="88">
        <f>标准成本!E23</f>
        <v>81.524336283185818</v>
      </c>
      <c r="E47" s="88">
        <f>标准成本!E36</f>
        <v>20.57743362831858</v>
      </c>
      <c r="F47" s="88">
        <f>标准成本!E49</f>
        <v>2.0769070796460189</v>
      </c>
      <c r="G47" s="88">
        <f>标准成本!E62</f>
        <v>95.818584070796547</v>
      </c>
      <c r="H47" s="88">
        <f>标准成本!E75</f>
        <v>79.325221238937942</v>
      </c>
      <c r="I47" s="88">
        <f>标准成本!E88</f>
        <v>0</v>
      </c>
      <c r="J47" s="88">
        <f>标准成本!E101</f>
        <v>0</v>
      </c>
      <c r="K47" s="88">
        <f>标准成本!E114</f>
        <v>0</v>
      </c>
      <c r="L47" s="88">
        <f>标准成本!E127</f>
        <v>0</v>
      </c>
      <c r="M47" s="88">
        <f>标准成本!E140</f>
        <v>81.178761061946744</v>
      </c>
      <c r="N47" s="88">
        <f>标准成本!E153</f>
        <v>64.685398230088495</v>
      </c>
      <c r="O47" s="88">
        <f>标准成本!E166</f>
        <v>81.178761061946744</v>
      </c>
      <c r="P47" s="88">
        <f>标准成本!E179</f>
        <v>81.178761061946744</v>
      </c>
      <c r="Q47" s="88">
        <f>标准成本!E192</f>
        <v>64.685398230088495</v>
      </c>
      <c r="R47" s="88">
        <f>标准成本!E205</f>
        <v>64.685398230088495</v>
      </c>
      <c r="S47" s="96"/>
      <c r="AQ47" s="91" t="s">
        <v>62</v>
      </c>
      <c r="AR47" s="91" t="s">
        <v>120</v>
      </c>
    </row>
    <row r="48" spans="1:44">
      <c r="A48" s="79" t="s">
        <v>113</v>
      </c>
      <c r="B48" s="84" t="s">
        <v>131</v>
      </c>
      <c r="C48" s="90">
        <f>C40-C43-C44-C45-C47-C46</f>
        <v>-148.55186201904792</v>
      </c>
      <c r="D48" s="90">
        <f>D40-D43-D44-D45-D47-D46</f>
        <v>-353.72653410261705</v>
      </c>
      <c r="E48" s="90">
        <f t="shared" ref="E48:R48" si="26">E40-E43-E44-E45-E47-E46</f>
        <v>-52.227942695117193</v>
      </c>
      <c r="F48" s="90">
        <f t="shared" si="26"/>
        <v>4.4548849342777803</v>
      </c>
      <c r="G48" s="90">
        <f t="shared" si="26"/>
        <v>-57.459694251556833</v>
      </c>
      <c r="H48" s="90">
        <f t="shared" si="26"/>
        <v>-1.617193478781652</v>
      </c>
      <c r="I48" s="90" t="e">
        <f t="shared" si="26"/>
        <v>#DIV/0!</v>
      </c>
      <c r="J48" s="90" t="e">
        <f t="shared" si="26"/>
        <v>#DIV/0!</v>
      </c>
      <c r="K48" s="90" t="e">
        <f t="shared" si="26"/>
        <v>#DIV/0!</v>
      </c>
      <c r="L48" s="90" t="e">
        <f t="shared" si="26"/>
        <v>#DIV/0!</v>
      </c>
      <c r="M48" s="90">
        <f t="shared" si="26"/>
        <v>-70.842880092269581</v>
      </c>
      <c r="N48" s="90">
        <f t="shared" si="26"/>
        <v>-15.000379319487152</v>
      </c>
      <c r="O48" s="90">
        <f t="shared" si="26"/>
        <v>-71.574800206141219</v>
      </c>
      <c r="P48" s="90">
        <f t="shared" si="26"/>
        <v>-71.574800206141219</v>
      </c>
      <c r="Q48" s="90">
        <f t="shared" si="26"/>
        <v>-15.73229943335879</v>
      </c>
      <c r="R48" s="90">
        <f t="shared" si="26"/>
        <v>-15.732299433359017</v>
      </c>
      <c r="S48" s="90"/>
      <c r="AQ48" s="79" t="s">
        <v>130</v>
      </c>
      <c r="AR48" s="84" t="s">
        <v>131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K8" activePane="bottomRight" state="frozen"/>
      <selection pane="topRight"/>
      <selection pane="bottomLeft"/>
      <selection pane="bottomRight" activeCell="M29" sqref="M29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4" width="9" style="72"/>
    <col min="45" max="45" width="4.375" style="72" customWidth="1"/>
    <col min="46" max="46" width="13.875" style="72" customWidth="1"/>
    <col min="47" max="16384" width="9" style="72"/>
  </cols>
  <sheetData>
    <row r="1" spans="1:47">
      <c r="A1" s="215" t="s">
        <v>141</v>
      </c>
      <c r="B1" s="215"/>
      <c r="C1" s="219" t="s">
        <v>266</v>
      </c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1"/>
    </row>
    <row r="2" spans="1:47">
      <c r="A2" s="215" t="s">
        <v>142</v>
      </c>
      <c r="B2" s="215"/>
      <c r="C2" s="222" t="str">
        <f>'2025年'!$C$2</f>
        <v>北汽福田戴姆勒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47">
      <c r="A3" s="215" t="s">
        <v>143</v>
      </c>
      <c r="B3" s="215"/>
      <c r="C3" s="77" t="str">
        <f>'2025年'!C3</f>
        <v>驾驶员座椅总成</v>
      </c>
      <c r="D3" s="77" t="str">
        <f>'2025年'!D3</f>
        <v>驾驶员座椅总成</v>
      </c>
      <c r="E3" s="77" t="str">
        <f>'2025年'!E3</f>
        <v>副驾驶座椅总成</v>
      </c>
      <c r="F3" s="77" t="str">
        <f>'2025年'!F3</f>
        <v>副驾驶座椅安装支架</v>
      </c>
      <c r="G3" s="77" t="str">
        <f>'2025年'!G3</f>
        <v>驾驶员座椅总成</v>
      </c>
      <c r="H3" s="77" t="str">
        <f>'2025年'!H3</f>
        <v>驾驶员座椅总成</v>
      </c>
      <c r="I3" s="77" t="str">
        <f>'2025年'!I3</f>
        <v>副驾驶员座椅总成</v>
      </c>
      <c r="J3" s="77" t="str">
        <f>'2025年'!J3</f>
        <v>副驾驶员座椅总成</v>
      </c>
      <c r="K3" s="77" t="str">
        <f>'2025年'!K3</f>
        <v>副驾驶员座椅总成</v>
      </c>
      <c r="L3" s="77" t="str">
        <f>'2025年'!L3</f>
        <v>副驾驶员座椅总成</v>
      </c>
      <c r="M3" s="77" t="str">
        <f>'2025年'!M3</f>
        <v>驾驶员座椅总成</v>
      </c>
      <c r="N3" s="77" t="str">
        <f>'2025年'!N3</f>
        <v>驾驶员座椅总成</v>
      </c>
      <c r="O3" s="77" t="str">
        <f>'2025年'!O3</f>
        <v>驾驶员座椅总成</v>
      </c>
      <c r="P3" s="77" t="str">
        <f>'2025年'!P3</f>
        <v>驾驶员座椅总成</v>
      </c>
      <c r="Q3" s="77" t="str">
        <f>'2025年'!Q3</f>
        <v>驾驶员座椅总成</v>
      </c>
      <c r="R3" s="77" t="str">
        <f>'2025年'!R3</f>
        <v>驾驶员座椅总成</v>
      </c>
      <c r="S3" s="216" t="s">
        <v>51</v>
      </c>
    </row>
    <row r="4" spans="1:47">
      <c r="A4" s="215" t="s">
        <v>144</v>
      </c>
      <c r="B4" s="215"/>
      <c r="C4" s="77" t="str">
        <f>'2025年'!C4</f>
        <v>A668100000148</v>
      </c>
      <c r="D4" s="77" t="str">
        <f>'2025年'!D4</f>
        <v>A668100000149</v>
      </c>
      <c r="E4" s="77" t="str">
        <f>'2025年'!E4</f>
        <v>A668100000150</v>
      </c>
      <c r="F4" s="77" t="str">
        <f>'2025年'!F4</f>
        <v>A668100000147</v>
      </c>
      <c r="G4" s="77" t="str">
        <f>'2025年'!G4</f>
        <v>A668100000130</v>
      </c>
      <c r="H4" s="77" t="str">
        <f>'2025年'!H4</f>
        <v>A668100000131</v>
      </c>
      <c r="I4" s="77" t="str">
        <f>'2025年'!I4</f>
        <v>A668100000155</v>
      </c>
      <c r="J4" s="77" t="str">
        <f>'2025年'!J4</f>
        <v>A668100000154</v>
      </c>
      <c r="K4" s="77" t="str">
        <f>'2025年'!K4</f>
        <v>A668100000156</v>
      </c>
      <c r="L4" s="77" t="str">
        <f>'2025年'!L4</f>
        <v>A668100000158</v>
      </c>
      <c r="M4" s="77" t="str">
        <f>'2025年'!M4</f>
        <v>A668100000139</v>
      </c>
      <c r="N4" s="77" t="str">
        <f>'2025年'!N4</f>
        <v>A668100000138</v>
      </c>
      <c r="O4" s="77" t="str">
        <f>'2025年'!O4</f>
        <v>A668100000142</v>
      </c>
      <c r="P4" s="77" t="str">
        <f>'2025年'!P4</f>
        <v>A668100000143</v>
      </c>
      <c r="Q4" s="77" t="str">
        <f>'2025年'!Q4</f>
        <v>A668100000140</v>
      </c>
      <c r="R4" s="77" t="str">
        <f>'2025年'!R4</f>
        <v>A668100000141</v>
      </c>
      <c r="S4" s="217"/>
    </row>
    <row r="5" spans="1:47">
      <c r="A5" s="215" t="s">
        <v>145</v>
      </c>
      <c r="B5" s="215"/>
      <c r="C5" s="78" t="str">
        <f>'2025年'!C5</f>
        <v>匹配新能源车身</v>
      </c>
      <c r="D5" s="78" t="str">
        <f>'2025年'!D5</f>
        <v>匹配新能源车身</v>
      </c>
      <c r="E5" s="78" t="str">
        <f>'2025年'!E5</f>
        <v>匹配新能源车身</v>
      </c>
      <c r="F5" s="78" t="str">
        <f>'2025年'!F5</f>
        <v>匹配新能源车身</v>
      </c>
      <c r="G5" s="78" t="str">
        <f>'2025年'!G5</f>
        <v>增加振动提醒</v>
      </c>
      <c r="H5" s="78" t="str">
        <f>'2025年'!H5</f>
        <v>增加振动提醒</v>
      </c>
      <c r="I5" s="78" t="str">
        <f>'2025年'!I5</f>
        <v>旋转副驾</v>
      </c>
      <c r="J5" s="78" t="str">
        <f>'2025年'!J5</f>
        <v>旋转副驾</v>
      </c>
      <c r="K5" s="78" t="str">
        <f>'2025年'!K5</f>
        <v>旋转副驾</v>
      </c>
      <c r="L5" s="78" t="str">
        <f>'2025年'!L5</f>
        <v>旋转副驾</v>
      </c>
      <c r="M5" s="78" t="str">
        <f>'2025年'!M5</f>
        <v>更换斜切扶手</v>
      </c>
      <c r="N5" s="78" t="str">
        <f>'2025年'!N5</f>
        <v>更换斜切扶手</v>
      </c>
      <c r="O5" s="78" t="str">
        <f>'2025年'!O5</f>
        <v>更换斜切扶手</v>
      </c>
      <c r="P5" s="78" t="str">
        <f>'2025年'!P5</f>
        <v>更换斜切扶手</v>
      </c>
      <c r="Q5" s="78" t="str">
        <f>'2025年'!Q5</f>
        <v>更换斜切扶手</v>
      </c>
      <c r="R5" s="78" t="str">
        <f>'2025年'!R5</f>
        <v>更换斜切扶手</v>
      </c>
      <c r="S5" s="218"/>
      <c r="AU5" s="72" t="s">
        <v>52</v>
      </c>
    </row>
    <row r="6" spans="1:47" ht="17.25">
      <c r="A6" s="79" t="s">
        <v>18</v>
      </c>
      <c r="B6" s="80" t="s">
        <v>146</v>
      </c>
      <c r="C6" s="99">
        <f>销量!C10</f>
        <v>5000</v>
      </c>
      <c r="D6" s="99">
        <f>销量!D10</f>
        <v>5000</v>
      </c>
      <c r="E6" s="99">
        <f>销量!E10</f>
        <v>10000</v>
      </c>
      <c r="F6" s="99">
        <f>销量!F10</f>
        <v>10000</v>
      </c>
      <c r="G6" s="99">
        <f>销量!G10</f>
        <v>200</v>
      </c>
      <c r="H6" s="99">
        <f>销量!H10</f>
        <v>300</v>
      </c>
      <c r="I6" s="99">
        <f>销量!I10</f>
        <v>0</v>
      </c>
      <c r="J6" s="99">
        <f>销量!J10</f>
        <v>0</v>
      </c>
      <c r="K6" s="99">
        <f>销量!K10</f>
        <v>0</v>
      </c>
      <c r="L6" s="99">
        <f>销量!L10</f>
        <v>0</v>
      </c>
      <c r="M6" s="99">
        <f>销量!M10</f>
        <v>5000</v>
      </c>
      <c r="N6" s="99">
        <f>销量!N10</f>
        <v>8000</v>
      </c>
      <c r="O6" s="99">
        <f>销量!O10</f>
        <v>5000</v>
      </c>
      <c r="P6" s="99">
        <f>销量!P10</f>
        <v>1000</v>
      </c>
      <c r="Q6" s="99">
        <f>销量!Q10</f>
        <v>10000</v>
      </c>
      <c r="R6" s="99">
        <f>销量!R10</f>
        <v>1000</v>
      </c>
      <c r="S6" s="82">
        <f>+SUM(C6:R6)</f>
        <v>60500</v>
      </c>
      <c r="AS6" s="79" t="s">
        <v>18</v>
      </c>
      <c r="AT6" s="80" t="s">
        <v>3</v>
      </c>
      <c r="AU6" s="72" t="s">
        <v>53</v>
      </c>
    </row>
    <row r="7" spans="1:47">
      <c r="A7" s="76">
        <v>1</v>
      </c>
      <c r="B7" s="80" t="s">
        <v>54</v>
      </c>
      <c r="C7" s="82">
        <f>C6*销量!C8</f>
        <v>9159292.0353982504</v>
      </c>
      <c r="D7" s="82">
        <f>D6*销量!D8</f>
        <v>11482300.884955751</v>
      </c>
      <c r="E7" s="82">
        <f>E6*销量!E8</f>
        <v>5796460.1769911498</v>
      </c>
      <c r="F7" s="82">
        <f>F6*销量!F8</f>
        <v>585044.24778761098</v>
      </c>
      <c r="G7" s="82">
        <f>G6*销量!G8</f>
        <v>539823.00884955807</v>
      </c>
      <c r="H7" s="82">
        <f>H6*销量!H8</f>
        <v>670353.98230088409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11433628.318584049</v>
      </c>
      <c r="N7" s="82">
        <f>N6*销量!N8</f>
        <v>14576991.150442479</v>
      </c>
      <c r="O7" s="82">
        <f>O6*销量!O8</f>
        <v>11433628.318584049</v>
      </c>
      <c r="P7" s="82">
        <f>P6*销量!P8</f>
        <v>2286725.6637168098</v>
      </c>
      <c r="Q7" s="82">
        <f>Q6*销量!Q8</f>
        <v>18221238.938053101</v>
      </c>
      <c r="R7" s="82">
        <f>R6*销量!R8</f>
        <v>1822123.8938053099</v>
      </c>
      <c r="S7" s="82">
        <f t="shared" ref="S7:S13" si="0">+SUM(C7:R7)</f>
        <v>88007610.619469002</v>
      </c>
      <c r="T7" s="75"/>
      <c r="AS7" s="79" t="s">
        <v>55</v>
      </c>
      <c r="AT7" s="80" t="s">
        <v>54</v>
      </c>
      <c r="AU7" s="72" t="s">
        <v>53</v>
      </c>
    </row>
    <row r="8" spans="1:47">
      <c r="A8" s="76">
        <v>2</v>
      </c>
      <c r="B8" s="76" t="s">
        <v>56</v>
      </c>
      <c r="C8" s="82">
        <f>C7*(1-销量!$V$7)</f>
        <v>457964.60176991293</v>
      </c>
      <c r="D8" s="82">
        <f>D7*(1-销量!$V$7)</f>
        <v>574115.04424778803</v>
      </c>
      <c r="E8" s="82">
        <f>E7*(1-销量!$V$7)</f>
        <v>289823.00884955772</v>
      </c>
      <c r="F8" s="82">
        <f>F7*(1-销量!$V$7)</f>
        <v>29252.212389380576</v>
      </c>
      <c r="G8" s="82">
        <f>G7*(1-销量!$V$7)</f>
        <v>26991.150442477927</v>
      </c>
      <c r="H8" s="82">
        <f>H7*(1-销量!$V$7)</f>
        <v>33517.699115044234</v>
      </c>
      <c r="I8" s="82">
        <f>I7*(1-销量!$V$7)</f>
        <v>0</v>
      </c>
      <c r="J8" s="82">
        <f>J7*(1-销量!$V$7)</f>
        <v>0</v>
      </c>
      <c r="K8" s="82">
        <f>K7*(1-销量!$V$7)</f>
        <v>0</v>
      </c>
      <c r="L8" s="82">
        <f>L7*(1-销量!$V$7)</f>
        <v>0</v>
      </c>
      <c r="M8" s="82">
        <f>M7*(1-销量!$V$7)</f>
        <v>571681.41592920292</v>
      </c>
      <c r="N8" s="82">
        <f>N7*(1-销量!$V$7)</f>
        <v>728849.55752212461</v>
      </c>
      <c r="O8" s="82">
        <f>O7*(1-销量!$V$7)</f>
        <v>571681.41592920292</v>
      </c>
      <c r="P8" s="82">
        <f>P7*(1-销量!$V$7)</f>
        <v>114336.2831858406</v>
      </c>
      <c r="Q8" s="82">
        <f>Q7*(1-销量!$V$7)</f>
        <v>911061.94690265588</v>
      </c>
      <c r="R8" s="82">
        <f>R7*(1-销量!$V$7)</f>
        <v>91106.194690265576</v>
      </c>
      <c r="S8" s="82">
        <f t="shared" si="0"/>
        <v>4400380.530973454</v>
      </c>
      <c r="T8" s="83"/>
      <c r="AS8" s="79" t="s">
        <v>57</v>
      </c>
      <c r="AT8" s="76" t="s">
        <v>58</v>
      </c>
      <c r="AU8" s="72" t="s">
        <v>53</v>
      </c>
    </row>
    <row r="9" spans="1:47">
      <c r="A9" s="76">
        <v>3</v>
      </c>
      <c r="B9" s="80" t="s">
        <v>59</v>
      </c>
      <c r="C9" s="82">
        <f>+C7-C8</f>
        <v>8701327.4336283375</v>
      </c>
      <c r="D9" s="82">
        <f>+D7-D8</f>
        <v>10908185.840707963</v>
      </c>
      <c r="E9" s="82">
        <f t="shared" ref="E9:F9" si="1">+E7-E8</f>
        <v>5506637.1681415923</v>
      </c>
      <c r="F9" s="82">
        <f t="shared" si="1"/>
        <v>555792.03539823042</v>
      </c>
      <c r="G9" s="82">
        <f t="shared" ref="G9:R9" si="2">+G7-G8</f>
        <v>512831.85840708017</v>
      </c>
      <c r="H9" s="82">
        <f t="shared" si="2"/>
        <v>636836.28318583989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10861946.902654845</v>
      </c>
      <c r="N9" s="82">
        <f t="shared" si="2"/>
        <v>13848141.592920355</v>
      </c>
      <c r="O9" s="82">
        <f t="shared" si="2"/>
        <v>10861946.902654845</v>
      </c>
      <c r="P9" s="82">
        <f t="shared" si="2"/>
        <v>2172389.3805309692</v>
      </c>
      <c r="Q9" s="82">
        <f t="shared" si="2"/>
        <v>17310176.991150446</v>
      </c>
      <c r="R9" s="82">
        <f t="shared" si="2"/>
        <v>1731017.6991150444</v>
      </c>
      <c r="S9" s="82">
        <f t="shared" si="0"/>
        <v>83607230.088495553</v>
      </c>
      <c r="AS9" s="79" t="s">
        <v>60</v>
      </c>
      <c r="AT9" s="80" t="s">
        <v>59</v>
      </c>
      <c r="AU9" s="72" t="s">
        <v>61</v>
      </c>
    </row>
    <row r="10" spans="1:47">
      <c r="A10" s="76">
        <v>4</v>
      </c>
      <c r="B10" s="79" t="s">
        <v>63</v>
      </c>
      <c r="C10" s="82">
        <f>C6*C33</f>
        <v>6438451.7103924053</v>
      </c>
      <c r="D10" s="82">
        <f>D6*D33</f>
        <v>8870661.3806654513</v>
      </c>
      <c r="E10" s="82">
        <f t="shared" ref="E10:F10" si="3">E6*E33</f>
        <v>4104506.4969419567</v>
      </c>
      <c r="F10" s="82">
        <f t="shared" si="3"/>
        <v>295986.42428571428</v>
      </c>
      <c r="G10" s="82">
        <f t="shared" ref="G10:R10" si="4">G6*G33</f>
        <v>349066.9282212886</v>
      </c>
      <c r="H10" s="82">
        <f t="shared" si="4"/>
        <v>420227.48093912459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7496423.2055322165</v>
      </c>
      <c r="N10" s="82">
        <f t="shared" si="4"/>
        <v>9237666.1583766565</v>
      </c>
      <c r="O10" s="82">
        <f t="shared" si="4"/>
        <v>7499899.8260731073</v>
      </c>
      <c r="P10" s="82">
        <f t="shared" si="4"/>
        <v>1499979.9652146215</v>
      </c>
      <c r="Q10" s="82">
        <f t="shared" si="4"/>
        <v>11554035.9390526</v>
      </c>
      <c r="R10" s="82">
        <f t="shared" si="4"/>
        <v>1155403.5939052601</v>
      </c>
      <c r="S10" s="82">
        <f t="shared" si="0"/>
        <v>58922309.109600402</v>
      </c>
      <c r="AS10" s="79" t="s">
        <v>62</v>
      </c>
      <c r="AT10" s="79" t="s">
        <v>63</v>
      </c>
      <c r="AU10" s="72" t="s">
        <v>64</v>
      </c>
    </row>
    <row r="11" spans="1:47">
      <c r="A11" s="76">
        <v>5</v>
      </c>
      <c r="B11" s="79" t="s">
        <v>65</v>
      </c>
      <c r="C11" s="82">
        <f>+C6*C36</f>
        <v>635654.86725663859</v>
      </c>
      <c r="D11" s="82">
        <f>+D6*D36</f>
        <v>796871.68141592911</v>
      </c>
      <c r="E11" s="82">
        <f t="shared" ref="E11:F11" si="5">+E6*E36</f>
        <v>402274.33628318581</v>
      </c>
      <c r="F11" s="82">
        <f t="shared" si="5"/>
        <v>40602.070796460204</v>
      </c>
      <c r="G11" s="82">
        <f t="shared" ref="G11:R11" si="6">+G6*G36</f>
        <v>37463.716814159328</v>
      </c>
      <c r="H11" s="82">
        <f t="shared" si="6"/>
        <v>46522.566371681351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793493.80530973303</v>
      </c>
      <c r="N11" s="82">
        <f t="shared" si="6"/>
        <v>1011643.1858407082</v>
      </c>
      <c r="O11" s="82">
        <f t="shared" si="6"/>
        <v>793493.80530973303</v>
      </c>
      <c r="P11" s="82">
        <f t="shared" si="6"/>
        <v>158698.7610619466</v>
      </c>
      <c r="Q11" s="82">
        <f t="shared" si="6"/>
        <v>1264553.9823008853</v>
      </c>
      <c r="R11" s="82">
        <f t="shared" si="6"/>
        <v>126455.39823008853</v>
      </c>
      <c r="S11" s="82">
        <f t="shared" si="0"/>
        <v>6107728.1769911498</v>
      </c>
      <c r="AS11" s="79" t="s">
        <v>66</v>
      </c>
      <c r="AT11" s="79" t="s">
        <v>65</v>
      </c>
    </row>
    <row r="12" spans="1:47">
      <c r="A12" s="76">
        <v>6</v>
      </c>
      <c r="B12" s="79" t="s">
        <v>67</v>
      </c>
      <c r="C12" s="82">
        <f>+C6*C37</f>
        <v>397513.27433628403</v>
      </c>
      <c r="D12" s="82">
        <f>+D6*D37</f>
        <v>498331.85840707953</v>
      </c>
      <c r="E12" s="82">
        <f t="shared" ref="E12:F12" si="7">+E6*E37</f>
        <v>251566.37168141588</v>
      </c>
      <c r="F12" s="82">
        <f t="shared" si="7"/>
        <v>25390.920353982317</v>
      </c>
      <c r="G12" s="82">
        <f t="shared" ref="G12:R12" si="8">+G6*G37</f>
        <v>23428.318584070821</v>
      </c>
      <c r="H12" s="82">
        <f t="shared" si="8"/>
        <v>29093.362831858369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496219.46902654768</v>
      </c>
      <c r="N12" s="82">
        <f t="shared" si="8"/>
        <v>632641.41592920362</v>
      </c>
      <c r="O12" s="82">
        <f t="shared" si="8"/>
        <v>496219.46902654768</v>
      </c>
      <c r="P12" s="82">
        <f t="shared" si="8"/>
        <v>99243.893805309533</v>
      </c>
      <c r="Q12" s="82">
        <f t="shared" si="8"/>
        <v>790801.76991150447</v>
      </c>
      <c r="R12" s="82">
        <f t="shared" si="8"/>
        <v>79080.176991150453</v>
      </c>
      <c r="S12" s="82">
        <f t="shared" si="0"/>
        <v>3819530.3008849546</v>
      </c>
      <c r="AS12" s="79" t="s">
        <v>68</v>
      </c>
      <c r="AT12" s="79" t="s">
        <v>67</v>
      </c>
    </row>
    <row r="13" spans="1:47">
      <c r="A13" s="76">
        <v>7</v>
      </c>
      <c r="B13" s="79" t="s">
        <v>69</v>
      </c>
      <c r="C13" s="82">
        <f>+C6*C38</f>
        <v>596269.91150442616</v>
      </c>
      <c r="D13" s="82">
        <f>+D6*D38</f>
        <v>747497.78761061945</v>
      </c>
      <c r="E13" s="82">
        <f t="shared" ref="E13:F13" si="9">+E6*E38</f>
        <v>377349.55752212385</v>
      </c>
      <c r="F13" s="82">
        <f t="shared" si="9"/>
        <v>38086.380530973474</v>
      </c>
      <c r="G13" s="82">
        <f t="shared" ref="G13:R13" si="10">+G6*G38</f>
        <v>35142.477876106233</v>
      </c>
      <c r="H13" s="82">
        <f t="shared" si="10"/>
        <v>43640.044247787555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744329.20353982167</v>
      </c>
      <c r="N13" s="82">
        <f t="shared" si="10"/>
        <v>948962.12389380543</v>
      </c>
      <c r="O13" s="82">
        <f t="shared" si="10"/>
        <v>744329.20353982167</v>
      </c>
      <c r="P13" s="82">
        <f t="shared" si="10"/>
        <v>148865.84070796435</v>
      </c>
      <c r="Q13" s="82">
        <f t="shared" si="10"/>
        <v>1186202.6548672568</v>
      </c>
      <c r="R13" s="82">
        <f t="shared" si="10"/>
        <v>118620.26548672568</v>
      </c>
      <c r="S13" s="82">
        <f t="shared" si="0"/>
        <v>5729295.4513274319</v>
      </c>
      <c r="AS13" s="79" t="s">
        <v>70</v>
      </c>
      <c r="AT13" s="79" t="s">
        <v>69</v>
      </c>
      <c r="AU13" s="72" t="s">
        <v>53</v>
      </c>
    </row>
    <row r="14" spans="1:47">
      <c r="A14" s="76">
        <v>8</v>
      </c>
      <c r="B14" s="84" t="s">
        <v>71</v>
      </c>
      <c r="C14" s="82">
        <f>SUM(C11:C13)</f>
        <v>1629438.0530973487</v>
      </c>
      <c r="D14" s="82">
        <f>SUM(D11:D13)</f>
        <v>2042701.327433628</v>
      </c>
      <c r="E14" s="82">
        <f t="shared" ref="E14:S14" si="11">SUM(E11:E13)</f>
        <v>1031190.2654867256</v>
      </c>
      <c r="F14" s="82">
        <f t="shared" si="11"/>
        <v>104079.371681416</v>
      </c>
      <c r="G14" s="82">
        <f t="shared" ref="G14:R14" si="12">SUM(G11:G13)</f>
        <v>96034.513274336379</v>
      </c>
      <c r="H14" s="82">
        <f t="shared" si="12"/>
        <v>119255.97345132727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2034042.4778761026</v>
      </c>
      <c r="N14" s="82">
        <f t="shared" si="12"/>
        <v>2593246.7256637174</v>
      </c>
      <c r="O14" s="82">
        <f t="shared" si="12"/>
        <v>2034042.4778761026</v>
      </c>
      <c r="P14" s="82">
        <f t="shared" si="12"/>
        <v>406808.49557522044</v>
      </c>
      <c r="Q14" s="82">
        <f t="shared" si="12"/>
        <v>3241558.4070796464</v>
      </c>
      <c r="R14" s="82">
        <f t="shared" si="12"/>
        <v>324155.84070796467</v>
      </c>
      <c r="S14" s="82">
        <f t="shared" si="11"/>
        <v>15656553.929203536</v>
      </c>
      <c r="AS14" s="79" t="s">
        <v>72</v>
      </c>
      <c r="AT14" s="84" t="s">
        <v>71</v>
      </c>
    </row>
    <row r="15" spans="1:47">
      <c r="A15" s="76">
        <v>9</v>
      </c>
      <c r="B15" s="84" t="s">
        <v>73</v>
      </c>
      <c r="C15" s="82">
        <f>+C9-C10-C14</f>
        <v>633437.67013858352</v>
      </c>
      <c r="D15" s="82">
        <f>+D9-D10-D14</f>
        <v>-5176.8673911159858</v>
      </c>
      <c r="E15" s="82">
        <f t="shared" ref="E15:F15" si="13">+E9-E10-E14</f>
        <v>370940.40571291</v>
      </c>
      <c r="F15" s="82">
        <f t="shared" si="13"/>
        <v>155726.23943110014</v>
      </c>
      <c r="G15" s="82">
        <f t="shared" ref="G15:R15" si="14">+G9-G10-G14</f>
        <v>67730.416911455191</v>
      </c>
      <c r="H15" s="82">
        <f t="shared" si="14"/>
        <v>97352.828795388021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1331481.2192465262</v>
      </c>
      <c r="N15" s="82">
        <f t="shared" si="14"/>
        <v>2017228.7088799817</v>
      </c>
      <c r="O15" s="82">
        <f t="shared" si="14"/>
        <v>1328004.5987056354</v>
      </c>
      <c r="P15" s="82">
        <f t="shared" si="14"/>
        <v>265600.91974112729</v>
      </c>
      <c r="Q15" s="82">
        <f t="shared" si="14"/>
        <v>2514582.6450181995</v>
      </c>
      <c r="R15" s="82">
        <f t="shared" si="14"/>
        <v>251458.26450181968</v>
      </c>
      <c r="S15" s="82">
        <f>+S9-S10-S14</f>
        <v>9028367.0496916138</v>
      </c>
      <c r="AS15" s="79" t="s">
        <v>74</v>
      </c>
      <c r="AT15" s="84" t="s">
        <v>73</v>
      </c>
    </row>
    <row r="16" spans="1:47">
      <c r="A16" s="76">
        <v>10</v>
      </c>
      <c r="B16" s="79" t="s">
        <v>75</v>
      </c>
      <c r="C16" s="85">
        <f>+C15/C9</f>
        <v>7.2797820214248438E-2</v>
      </c>
      <c r="D16" s="85">
        <f>+D15/D9</f>
        <v>-4.7458555132023645E-4</v>
      </c>
      <c r="E16" s="85">
        <f t="shared" ref="E16:F16" si="15">+E15/E9</f>
        <v>6.7362420000898093E-2</v>
      </c>
      <c r="F16" s="85">
        <f t="shared" si="15"/>
        <v>0.28018796512533822</v>
      </c>
      <c r="G16" s="85">
        <f t="shared" ref="G16:R16" si="16">+G15/G9</f>
        <v>0.1320713910439073</v>
      </c>
      <c r="H16" s="85">
        <f t="shared" si="16"/>
        <v>0.15286947582253063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>
        <f t="shared" si="16"/>
        <v>0.12258218818222077</v>
      </c>
      <c r="N16" s="85">
        <f t="shared" si="16"/>
        <v>0.14566782808685738</v>
      </c>
      <c r="O16" s="85">
        <f t="shared" si="16"/>
        <v>0.1222621147578109</v>
      </c>
      <c r="P16" s="85">
        <f t="shared" si="16"/>
        <v>0.12226211475781099</v>
      </c>
      <c r="Q16" s="85">
        <f t="shared" si="16"/>
        <v>0.14526614293451418</v>
      </c>
      <c r="R16" s="85">
        <f t="shared" si="16"/>
        <v>0.14526614293451404</v>
      </c>
      <c r="S16" s="85">
        <f>+S15/S9</f>
        <v>0.10798548211841702</v>
      </c>
      <c r="AS16" s="79" t="s">
        <v>76</v>
      </c>
      <c r="AT16" s="79" t="s">
        <v>75</v>
      </c>
    </row>
    <row r="17" spans="1:47">
      <c r="A17" s="76">
        <v>11</v>
      </c>
      <c r="B17" s="79" t="s">
        <v>77</v>
      </c>
      <c r="C17" s="82">
        <f>C6*C43+C18</f>
        <v>772783.46619859268</v>
      </c>
      <c r="D17" s="82">
        <f>D6*D43+D18</f>
        <v>964431.69628708647</v>
      </c>
      <c r="E17" s="82">
        <f t="shared" ref="E17:F17" si="17">E6*E43+E18</f>
        <v>512491.71115824371</v>
      </c>
      <c r="F17" s="82">
        <f t="shared" si="17"/>
        <v>82549.896998951735</v>
      </c>
      <c r="G17" s="82">
        <f t="shared" ref="G17:R17" si="18">G6*G43+G18</f>
        <v>45221.073161218017</v>
      </c>
      <c r="H17" s="82">
        <f t="shared" si="18"/>
        <v>56332.715936517154</v>
      </c>
      <c r="I17" s="82">
        <f t="shared" si="18"/>
        <v>0</v>
      </c>
      <c r="J17" s="82">
        <f t="shared" si="18"/>
        <v>0</v>
      </c>
      <c r="K17" s="82">
        <f t="shared" si="18"/>
        <v>0</v>
      </c>
      <c r="L17" s="82">
        <f t="shared" si="18"/>
        <v>0</v>
      </c>
      <c r="M17" s="82">
        <f t="shared" si="18"/>
        <v>960416.20956142095</v>
      </c>
      <c r="N17" s="82">
        <f t="shared" si="18"/>
        <v>1230028.7671566836</v>
      </c>
      <c r="O17" s="82">
        <f t="shared" si="18"/>
        <v>960416.20956142095</v>
      </c>
      <c r="P17" s="82">
        <f t="shared" si="18"/>
        <v>192083.2419122842</v>
      </c>
      <c r="Q17" s="82">
        <f t="shared" si="18"/>
        <v>1537535.9589458546</v>
      </c>
      <c r="R17" s="82">
        <f t="shared" si="18"/>
        <v>153753.59589458545</v>
      </c>
      <c r="S17" s="82">
        <f>+SUM(C17:R17)</f>
        <v>7468044.5427728584</v>
      </c>
      <c r="T17" s="83"/>
      <c r="AS17" s="79" t="s">
        <v>78</v>
      </c>
      <c r="AT17" s="79" t="s">
        <v>77</v>
      </c>
    </row>
    <row r="18" spans="1:47" s="73" customFormat="1">
      <c r="A18" s="76">
        <v>12</v>
      </c>
      <c r="B18" s="87" t="s">
        <v>147</v>
      </c>
      <c r="C18" s="88">
        <f>$S$18/$S$6*C6</f>
        <v>17141.873278236915</v>
      </c>
      <c r="D18" s="88">
        <f>$S$18/$S$6*D6</f>
        <v>17141.873278236915</v>
      </c>
      <c r="E18" s="88">
        <f>$S$18/$S$6*E6</f>
        <v>34283.74655647383</v>
      </c>
      <c r="F18" s="88">
        <f>$S$18/$S$6*F6</f>
        <v>34283.74655647383</v>
      </c>
      <c r="G18" s="88">
        <f t="shared" ref="G18:R18" si="19">$S$18/$S$6*G6</f>
        <v>685.67493112947659</v>
      </c>
      <c r="H18" s="88">
        <f t="shared" si="19"/>
        <v>1028.5123966942149</v>
      </c>
      <c r="I18" s="88">
        <f t="shared" si="19"/>
        <v>0</v>
      </c>
      <c r="J18" s="88">
        <f t="shared" si="19"/>
        <v>0</v>
      </c>
      <c r="K18" s="88">
        <f t="shared" si="19"/>
        <v>0</v>
      </c>
      <c r="L18" s="88">
        <f t="shared" si="19"/>
        <v>0</v>
      </c>
      <c r="M18" s="88">
        <f t="shared" si="19"/>
        <v>17141.873278236915</v>
      </c>
      <c r="N18" s="88">
        <f t="shared" si="19"/>
        <v>27426.997245179064</v>
      </c>
      <c r="O18" s="88">
        <f t="shared" si="19"/>
        <v>17141.873278236915</v>
      </c>
      <c r="P18" s="88">
        <f t="shared" si="19"/>
        <v>3428.374655647383</v>
      </c>
      <c r="Q18" s="88">
        <f t="shared" si="19"/>
        <v>34283.74655647383</v>
      </c>
      <c r="R18" s="88">
        <f t="shared" si="19"/>
        <v>3428.374655647383</v>
      </c>
      <c r="S18" s="82">
        <f>项目投资!E26</f>
        <v>207416.66666666666</v>
      </c>
      <c r="T18" s="89" t="s">
        <v>148</v>
      </c>
      <c r="U18" s="89"/>
      <c r="V18" s="89"/>
    </row>
    <row r="19" spans="1:47">
      <c r="A19" s="76">
        <v>13</v>
      </c>
      <c r="B19" s="79" t="s">
        <v>79</v>
      </c>
      <c r="C19" s="82">
        <f>C6*C44</f>
        <v>157539.8230088499</v>
      </c>
      <c r="D19" s="82">
        <f>D6*D44</f>
        <v>197495.57522123889</v>
      </c>
      <c r="E19" s="82">
        <f t="shared" ref="E19:F19" si="20">E6*E44</f>
        <v>99699.115044247766</v>
      </c>
      <c r="F19" s="82">
        <f t="shared" si="20"/>
        <v>10062.761061946911</v>
      </c>
      <c r="G19" s="82">
        <f t="shared" ref="G19:R19" si="21">G6*G44</f>
        <v>9284.9557522123996</v>
      </c>
      <c r="H19" s="82">
        <f t="shared" si="21"/>
        <v>11530.088495575206</v>
      </c>
      <c r="I19" s="82">
        <f t="shared" si="21"/>
        <v>0</v>
      </c>
      <c r="J19" s="82">
        <f t="shared" si="21"/>
        <v>0</v>
      </c>
      <c r="K19" s="82">
        <f t="shared" si="21"/>
        <v>0</v>
      </c>
      <c r="L19" s="82">
        <f t="shared" si="21"/>
        <v>0</v>
      </c>
      <c r="M19" s="82">
        <f t="shared" si="21"/>
        <v>196658.40707964564</v>
      </c>
      <c r="N19" s="82">
        <f t="shared" si="21"/>
        <v>250724.24778761066</v>
      </c>
      <c r="O19" s="82">
        <f t="shared" si="21"/>
        <v>196658.40707964564</v>
      </c>
      <c r="P19" s="82">
        <f t="shared" si="21"/>
        <v>39331.681415929124</v>
      </c>
      <c r="Q19" s="82">
        <f t="shared" si="21"/>
        <v>313405.30973451334</v>
      </c>
      <c r="R19" s="82">
        <f t="shared" si="21"/>
        <v>31340.530973451332</v>
      </c>
      <c r="S19" s="82">
        <f t="shared" ref="S19:S20" si="22">+SUM(C19:R19)</f>
        <v>1513730.9026548669</v>
      </c>
      <c r="T19" s="73"/>
      <c r="AS19" s="79" t="s">
        <v>80</v>
      </c>
      <c r="AT19" s="79" t="s">
        <v>79</v>
      </c>
      <c r="AU19" s="72" t="s">
        <v>53</v>
      </c>
    </row>
    <row r="20" spans="1:47">
      <c r="A20" s="76">
        <v>14</v>
      </c>
      <c r="B20" s="79" t="s">
        <v>81</v>
      </c>
      <c r="C20" s="82">
        <f>C6*C45</f>
        <v>241805.30973451378</v>
      </c>
      <c r="D20" s="82">
        <f>D6*D45</f>
        <v>303132.74336283182</v>
      </c>
      <c r="E20" s="82">
        <f t="shared" ref="E20:F20" si="23">E6*E45</f>
        <v>153026.54867256634</v>
      </c>
      <c r="F20" s="82">
        <f t="shared" si="23"/>
        <v>15445.168141592931</v>
      </c>
      <c r="G20" s="82">
        <f t="shared" ref="G20:R20" si="24">G6*G45</f>
        <v>14251.327433628334</v>
      </c>
      <c r="H20" s="82">
        <f t="shared" si="24"/>
        <v>17697.345132743339</v>
      </c>
      <c r="I20" s="82">
        <f t="shared" si="24"/>
        <v>0</v>
      </c>
      <c r="J20" s="82">
        <f t="shared" si="24"/>
        <v>0</v>
      </c>
      <c r="K20" s="82">
        <f t="shared" si="24"/>
        <v>0</v>
      </c>
      <c r="L20" s="82">
        <f t="shared" si="24"/>
        <v>0</v>
      </c>
      <c r="M20" s="82">
        <f t="shared" si="24"/>
        <v>301847.78761061886</v>
      </c>
      <c r="N20" s="82">
        <f t="shared" si="24"/>
        <v>384832.56637168146</v>
      </c>
      <c r="O20" s="82">
        <f t="shared" si="24"/>
        <v>301847.78761061886</v>
      </c>
      <c r="P20" s="82">
        <f t="shared" si="24"/>
        <v>60369.557522123774</v>
      </c>
      <c r="Q20" s="82">
        <f t="shared" si="24"/>
        <v>481040.70796460187</v>
      </c>
      <c r="R20" s="82">
        <f t="shared" si="24"/>
        <v>48104.070796460182</v>
      </c>
      <c r="S20" s="82">
        <f t="shared" si="22"/>
        <v>2323400.9203539817</v>
      </c>
      <c r="AS20" s="79" t="s">
        <v>82</v>
      </c>
      <c r="AT20" s="79" t="s">
        <v>81</v>
      </c>
    </row>
    <row r="21" spans="1:47">
      <c r="A21" s="76">
        <v>15</v>
      </c>
      <c r="B21" s="79" t="s">
        <v>83</v>
      </c>
      <c r="C21" s="90">
        <f>$S$21/$S$6*C6</f>
        <v>7314.0495867768595</v>
      </c>
      <c r="D21" s="90">
        <f>$S$21/$S$6*D6</f>
        <v>7314.0495867768595</v>
      </c>
      <c r="E21" s="90">
        <f t="shared" ref="E21:F21" si="25">$S$21/$S$6*E6</f>
        <v>14628.099173553719</v>
      </c>
      <c r="F21" s="90">
        <f t="shared" si="25"/>
        <v>14628.099173553719</v>
      </c>
      <c r="G21" s="90">
        <f t="shared" ref="G21:R21" si="26">$S$21/$S$6*G6</f>
        <v>292.56198347107437</v>
      </c>
      <c r="H21" s="90">
        <f t="shared" si="26"/>
        <v>438.84297520661158</v>
      </c>
      <c r="I21" s="90">
        <f t="shared" si="26"/>
        <v>0</v>
      </c>
      <c r="J21" s="90">
        <f t="shared" si="26"/>
        <v>0</v>
      </c>
      <c r="K21" s="90">
        <f t="shared" si="26"/>
        <v>0</v>
      </c>
      <c r="L21" s="90">
        <f t="shared" si="26"/>
        <v>0</v>
      </c>
      <c r="M21" s="90">
        <f t="shared" si="26"/>
        <v>7314.0495867768595</v>
      </c>
      <c r="N21" s="90">
        <f t="shared" si="26"/>
        <v>11702.479338842975</v>
      </c>
      <c r="O21" s="90">
        <f t="shared" si="26"/>
        <v>7314.0495867768595</v>
      </c>
      <c r="P21" s="90">
        <f t="shared" si="26"/>
        <v>1462.8099173553719</v>
      </c>
      <c r="Q21" s="90">
        <f t="shared" si="26"/>
        <v>14628.099173553719</v>
      </c>
      <c r="R21" s="90">
        <f t="shared" si="26"/>
        <v>1462.8099173553719</v>
      </c>
      <c r="S21" s="82">
        <f>项目投资!E27</f>
        <v>88500</v>
      </c>
      <c r="AS21" s="79"/>
      <c r="AT21" s="79"/>
    </row>
    <row r="22" spans="1:47">
      <c r="A22" s="76">
        <v>16</v>
      </c>
      <c r="B22" s="79" t="s">
        <v>84</v>
      </c>
      <c r="C22" s="82">
        <f>C6*C47</f>
        <v>325154.86725663784</v>
      </c>
      <c r="D22" s="82">
        <f>D6*D47</f>
        <v>407621.68141592911</v>
      </c>
      <c r="E22" s="82">
        <f t="shared" ref="E22:F22" si="27">E6*E47</f>
        <v>205774.33628318581</v>
      </c>
      <c r="F22" s="82">
        <f t="shared" si="27"/>
        <v>20769.07079646019</v>
      </c>
      <c r="G22" s="82">
        <f t="shared" ref="G22:R22" si="28">G6*G47</f>
        <v>19163.71681415931</v>
      </c>
      <c r="H22" s="82">
        <f t="shared" si="28"/>
        <v>23797.566371681383</v>
      </c>
      <c r="I22" s="82">
        <f t="shared" si="28"/>
        <v>0</v>
      </c>
      <c r="J22" s="82">
        <f t="shared" si="28"/>
        <v>0</v>
      </c>
      <c r="K22" s="82">
        <f t="shared" si="28"/>
        <v>0</v>
      </c>
      <c r="L22" s="82">
        <f t="shared" si="28"/>
        <v>0</v>
      </c>
      <c r="M22" s="82">
        <f t="shared" si="28"/>
        <v>405893.80530973373</v>
      </c>
      <c r="N22" s="82">
        <f t="shared" si="28"/>
        <v>517483.18584070797</v>
      </c>
      <c r="O22" s="82">
        <f t="shared" si="28"/>
        <v>405893.80530973373</v>
      </c>
      <c r="P22" s="82">
        <f t="shared" si="28"/>
        <v>81178.761061946745</v>
      </c>
      <c r="Q22" s="82">
        <f t="shared" si="28"/>
        <v>646853.98230088491</v>
      </c>
      <c r="R22" s="82">
        <f t="shared" si="28"/>
        <v>64685.398230088496</v>
      </c>
      <c r="S22" s="82">
        <f>+SUM(C22:R22)</f>
        <v>3124270.1769911493</v>
      </c>
      <c r="AS22" s="79" t="s">
        <v>85</v>
      </c>
      <c r="AT22" s="79" t="s">
        <v>84</v>
      </c>
    </row>
    <row r="23" spans="1:47">
      <c r="A23" s="76">
        <v>17</v>
      </c>
      <c r="B23" s="84" t="s">
        <v>86</v>
      </c>
      <c r="C23" s="90">
        <f>+C22+C21+C20+C19+C17</f>
        <v>1504597.515785371</v>
      </c>
      <c r="D23" s="90">
        <f>+D22+D21+D20+D19+D17</f>
        <v>1879995.7458738631</v>
      </c>
      <c r="E23" s="90">
        <f t="shared" ref="E23:F23" si="29">+E22+E21+E20+E19+E17</f>
        <v>985619.81033179734</v>
      </c>
      <c r="F23" s="90">
        <f t="shared" si="29"/>
        <v>143454.99617250549</v>
      </c>
      <c r="G23" s="90">
        <f t="shared" ref="G23:R23" si="30">+G22+G21+G20+G19+G17</f>
        <v>88213.635144689135</v>
      </c>
      <c r="H23" s="90">
        <f t="shared" si="30"/>
        <v>109796.5589117237</v>
      </c>
      <c r="I23" s="90">
        <f t="shared" si="30"/>
        <v>0</v>
      </c>
      <c r="J23" s="90">
        <f t="shared" si="30"/>
        <v>0</v>
      </c>
      <c r="K23" s="90">
        <f t="shared" si="30"/>
        <v>0</v>
      </c>
      <c r="L23" s="90">
        <f t="shared" si="30"/>
        <v>0</v>
      </c>
      <c r="M23" s="90">
        <f t="shared" si="30"/>
        <v>1872130.2591481961</v>
      </c>
      <c r="N23" s="90">
        <f t="shared" si="30"/>
        <v>2394771.2464955267</v>
      </c>
      <c r="O23" s="90">
        <f t="shared" si="30"/>
        <v>1872130.2591481961</v>
      </c>
      <c r="P23" s="90">
        <f t="shared" si="30"/>
        <v>374426.05182963924</v>
      </c>
      <c r="Q23" s="90">
        <f t="shared" si="30"/>
        <v>2993464.0581194083</v>
      </c>
      <c r="R23" s="90">
        <f t="shared" si="30"/>
        <v>299346.40581194084</v>
      </c>
      <c r="S23" s="90">
        <f>+S22+S21+S20+S19+S17</f>
        <v>14517946.542772856</v>
      </c>
      <c r="AS23" s="79" t="s">
        <v>87</v>
      </c>
      <c r="AT23" s="84" t="s">
        <v>86</v>
      </c>
    </row>
    <row r="24" spans="1:47">
      <c r="A24" s="76">
        <v>18</v>
      </c>
      <c r="B24" s="91" t="s">
        <v>88</v>
      </c>
      <c r="C24" s="90">
        <f>+C15-C23</f>
        <v>-871159.84564678743</v>
      </c>
      <c r="D24" s="90">
        <f>+D15-D23</f>
        <v>-1885172.6132649791</v>
      </c>
      <c r="E24" s="90">
        <f t="shared" ref="E24:F24" si="31">+E15-E23</f>
        <v>-614679.40461888735</v>
      </c>
      <c r="F24" s="90">
        <f t="shared" si="31"/>
        <v>12271.243258594652</v>
      </c>
      <c r="G24" s="90">
        <f t="shared" ref="G24:R24" si="32">+G15-G23</f>
        <v>-20483.218233233943</v>
      </c>
      <c r="H24" s="90">
        <f t="shared" si="32"/>
        <v>-12443.730116335675</v>
      </c>
      <c r="I24" s="90">
        <f t="shared" si="32"/>
        <v>0</v>
      </c>
      <c r="J24" s="90">
        <f t="shared" si="32"/>
        <v>0</v>
      </c>
      <c r="K24" s="90">
        <f t="shared" si="32"/>
        <v>0</v>
      </c>
      <c r="L24" s="90">
        <f t="shared" si="32"/>
        <v>0</v>
      </c>
      <c r="M24" s="90">
        <f t="shared" si="32"/>
        <v>-540649.03990166984</v>
      </c>
      <c r="N24" s="90">
        <f t="shared" si="32"/>
        <v>-377542.53761554509</v>
      </c>
      <c r="O24" s="90">
        <f t="shared" si="32"/>
        <v>-544125.66044256068</v>
      </c>
      <c r="P24" s="90">
        <f t="shared" si="32"/>
        <v>-108825.13208851195</v>
      </c>
      <c r="Q24" s="90">
        <f t="shared" si="32"/>
        <v>-478881.41310120886</v>
      </c>
      <c r="R24" s="90">
        <f t="shared" si="32"/>
        <v>-47888.141310121166</v>
      </c>
      <c r="S24" s="90">
        <f>+S15-S23</f>
        <v>-5489579.4930812418</v>
      </c>
      <c r="U24" s="92"/>
      <c r="AS24" s="79" t="s">
        <v>89</v>
      </c>
      <c r="AT24" s="79" t="s">
        <v>88</v>
      </c>
    </row>
    <row r="25" spans="1:47">
      <c r="A25" s="76">
        <v>19</v>
      </c>
      <c r="B25" s="79" t="s">
        <v>277</v>
      </c>
      <c r="C25" s="90">
        <f>IF(C24&lt;0,0,C24*0.15)</f>
        <v>0</v>
      </c>
      <c r="D25" s="90">
        <f t="shared" ref="D25:S25" si="33">IF(D24&lt;0,0,D24*0.15)</f>
        <v>0</v>
      </c>
      <c r="E25" s="90">
        <f t="shared" ref="E25:F25" si="34">IF(E24&lt;0,0,E24*0.15)</f>
        <v>0</v>
      </c>
      <c r="F25" s="90">
        <f t="shared" si="34"/>
        <v>1840.6864887891977</v>
      </c>
      <c r="G25" s="90">
        <f t="shared" ref="G25:R25" si="35">IF(G24&lt;0,0,G24*0.15)</f>
        <v>0</v>
      </c>
      <c r="H25" s="90">
        <f t="shared" si="35"/>
        <v>0</v>
      </c>
      <c r="I25" s="90">
        <f t="shared" si="35"/>
        <v>0</v>
      </c>
      <c r="J25" s="90">
        <f t="shared" si="35"/>
        <v>0</v>
      </c>
      <c r="K25" s="90">
        <f t="shared" si="35"/>
        <v>0</v>
      </c>
      <c r="L25" s="90">
        <f t="shared" si="35"/>
        <v>0</v>
      </c>
      <c r="M25" s="90">
        <f t="shared" si="35"/>
        <v>0</v>
      </c>
      <c r="N25" s="90">
        <f t="shared" si="35"/>
        <v>0</v>
      </c>
      <c r="O25" s="90">
        <f t="shared" si="35"/>
        <v>0</v>
      </c>
      <c r="P25" s="90">
        <f t="shared" si="35"/>
        <v>0</v>
      </c>
      <c r="Q25" s="90">
        <f t="shared" si="35"/>
        <v>0</v>
      </c>
      <c r="R25" s="90">
        <f t="shared" si="35"/>
        <v>0</v>
      </c>
      <c r="S25" s="90">
        <f t="shared" si="33"/>
        <v>0</v>
      </c>
      <c r="T25" s="2"/>
      <c r="U25" s="2"/>
      <c r="V25" s="2"/>
      <c r="AS25" s="79" t="s">
        <v>90</v>
      </c>
      <c r="AT25" s="79" t="s">
        <v>35</v>
      </c>
    </row>
    <row r="26" spans="1:47">
      <c r="A26" s="76">
        <v>20</v>
      </c>
      <c r="B26" s="79" t="s">
        <v>91</v>
      </c>
      <c r="C26" s="90">
        <f>C24-C25</f>
        <v>-871159.84564678743</v>
      </c>
      <c r="D26" s="90">
        <f>D24-D25</f>
        <v>-1885172.6132649791</v>
      </c>
      <c r="E26" s="90">
        <f t="shared" ref="E26:F26" si="36">E24-E25</f>
        <v>-614679.40461888735</v>
      </c>
      <c r="F26" s="90">
        <f t="shared" si="36"/>
        <v>10430.556769805455</v>
      </c>
      <c r="G26" s="90">
        <f t="shared" ref="G26:R26" si="37">G24-G25</f>
        <v>-20483.218233233943</v>
      </c>
      <c r="H26" s="90">
        <f t="shared" si="37"/>
        <v>-12443.730116335675</v>
      </c>
      <c r="I26" s="90">
        <f t="shared" si="37"/>
        <v>0</v>
      </c>
      <c r="J26" s="90">
        <f t="shared" si="37"/>
        <v>0</v>
      </c>
      <c r="K26" s="90">
        <f t="shared" si="37"/>
        <v>0</v>
      </c>
      <c r="L26" s="90">
        <f t="shared" si="37"/>
        <v>0</v>
      </c>
      <c r="M26" s="90">
        <f t="shared" si="37"/>
        <v>-540649.03990166984</v>
      </c>
      <c r="N26" s="90">
        <f t="shared" si="37"/>
        <v>-377542.53761554509</v>
      </c>
      <c r="O26" s="90">
        <f t="shared" si="37"/>
        <v>-544125.66044256068</v>
      </c>
      <c r="P26" s="90">
        <f t="shared" si="37"/>
        <v>-108825.13208851195</v>
      </c>
      <c r="Q26" s="90">
        <f t="shared" si="37"/>
        <v>-478881.41310120886</v>
      </c>
      <c r="R26" s="90">
        <f t="shared" si="37"/>
        <v>-47888.141310121166</v>
      </c>
      <c r="S26" s="90">
        <f>S24-S25</f>
        <v>-5489579.4930812418</v>
      </c>
      <c r="T26" s="2"/>
      <c r="U26" s="2"/>
      <c r="V26" s="2"/>
      <c r="AS26" s="79" t="s">
        <v>92</v>
      </c>
      <c r="AT26" s="79" t="s">
        <v>91</v>
      </c>
    </row>
    <row r="27" spans="1:47">
      <c r="A27" s="76">
        <v>21</v>
      </c>
      <c r="B27" s="79" t="s">
        <v>95</v>
      </c>
      <c r="C27" s="93">
        <f>C26/C9</f>
        <v>-0.10011803972345464</v>
      </c>
      <c r="D27" s="93">
        <f t="shared" ref="D27:F27" si="38">D26/D9</f>
        <v>-0.17282182764339735</v>
      </c>
      <c r="E27" s="93">
        <f t="shared" si="38"/>
        <v>-0.11162518717868104</v>
      </c>
      <c r="F27" s="93">
        <f t="shared" si="38"/>
        <v>1.8767013748823981E-2</v>
      </c>
      <c r="G27" s="93">
        <f t="shared" ref="G27:R27" si="39">G26/G9</f>
        <v>-3.9941391895693415E-2</v>
      </c>
      <c r="H27" s="93">
        <f t="shared" si="39"/>
        <v>-1.9539920140989171E-2</v>
      </c>
      <c r="I27" s="93" t="e">
        <f t="shared" si="39"/>
        <v>#DIV/0!</v>
      </c>
      <c r="J27" s="93" t="e">
        <f t="shared" si="39"/>
        <v>#DIV/0!</v>
      </c>
      <c r="K27" s="93" t="e">
        <f t="shared" si="39"/>
        <v>#DIV/0!</v>
      </c>
      <c r="L27" s="93" t="e">
        <f t="shared" si="39"/>
        <v>#DIV/0!</v>
      </c>
      <c r="M27" s="93">
        <f t="shared" si="39"/>
        <v>-4.9774597937826966E-2</v>
      </c>
      <c r="N27" s="93">
        <f t="shared" si="39"/>
        <v>-2.7263047180898104E-2</v>
      </c>
      <c r="O27" s="93">
        <f t="shared" si="39"/>
        <v>-5.0094671362236824E-2</v>
      </c>
      <c r="P27" s="93">
        <f t="shared" si="39"/>
        <v>-5.0094671362236734E-2</v>
      </c>
      <c r="Q27" s="93">
        <f t="shared" si="39"/>
        <v>-2.7664732333241272E-2</v>
      </c>
      <c r="R27" s="93">
        <f t="shared" si="39"/>
        <v>-2.7664732333241435E-2</v>
      </c>
      <c r="S27" s="93">
        <f>S26/S9</f>
        <v>-6.5659147986013883E-2</v>
      </c>
      <c r="T27" s="2"/>
      <c r="U27" s="2"/>
      <c r="V27" s="2"/>
      <c r="AS27" s="79" t="s">
        <v>94</v>
      </c>
      <c r="AT27" s="79" t="s">
        <v>95</v>
      </c>
    </row>
    <row r="28" spans="1:47">
      <c r="T28" s="2"/>
      <c r="U28" s="2"/>
      <c r="V28" s="2"/>
    </row>
    <row r="29" spans="1:47">
      <c r="A29" s="72" t="s">
        <v>96</v>
      </c>
      <c r="S29" s="75" t="s">
        <v>149</v>
      </c>
      <c r="T29" s="2"/>
      <c r="U29" s="2"/>
      <c r="V29" s="2"/>
      <c r="AS29" s="72" t="s">
        <v>96</v>
      </c>
    </row>
    <row r="30" spans="1:47">
      <c r="A30" s="79" t="s">
        <v>97</v>
      </c>
      <c r="B30" s="84" t="s">
        <v>98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S30" s="79" t="s">
        <v>99</v>
      </c>
      <c r="AT30" s="84" t="s">
        <v>98</v>
      </c>
    </row>
    <row r="31" spans="1:47">
      <c r="A31" s="76">
        <v>1</v>
      </c>
      <c r="B31" s="87" t="s">
        <v>100</v>
      </c>
      <c r="C31" s="94">
        <f>销量!C8</f>
        <v>1831.8584070796501</v>
      </c>
      <c r="D31" s="94">
        <f>销量!D8</f>
        <v>2296.4601769911501</v>
      </c>
      <c r="E31" s="94">
        <f>销量!E8</f>
        <v>579.64601769911496</v>
      </c>
      <c r="F31" s="94">
        <f>销量!F8</f>
        <v>58.504424778761098</v>
      </c>
      <c r="G31" s="94">
        <f>销量!G8</f>
        <v>2699.1150442477901</v>
      </c>
      <c r="H31" s="94">
        <f>销量!H8</f>
        <v>2234.5132743362801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2286.7256637168098</v>
      </c>
      <c r="N31" s="94">
        <f>销量!N8</f>
        <v>1822.12389380531</v>
      </c>
      <c r="O31" s="94">
        <f>销量!O8</f>
        <v>2286.7256637168098</v>
      </c>
      <c r="P31" s="94">
        <f>销量!P8</f>
        <v>2286.7256637168098</v>
      </c>
      <c r="Q31" s="94">
        <f>销量!Q8</f>
        <v>1822.12389380531</v>
      </c>
      <c r="R31" s="94">
        <f>销量!R8</f>
        <v>1822.12389380531</v>
      </c>
      <c r="S31" s="90"/>
      <c r="T31" s="2"/>
      <c r="U31" s="2"/>
      <c r="V31" s="2"/>
      <c r="X31" s="2"/>
      <c r="AS31" s="79" t="s">
        <v>55</v>
      </c>
      <c r="AT31" s="79" t="s">
        <v>100</v>
      </c>
    </row>
    <row r="32" spans="1:47">
      <c r="A32" s="76">
        <v>2</v>
      </c>
      <c r="B32" s="79" t="s">
        <v>150</v>
      </c>
      <c r="C32" s="82">
        <f>C9/C6</f>
        <v>1740.2654867256674</v>
      </c>
      <c r="D32" s="82">
        <f t="shared" ref="D32:F32" si="40">D9/D6</f>
        <v>2181.6371681415926</v>
      </c>
      <c r="E32" s="82">
        <f t="shared" si="40"/>
        <v>550.66371681415922</v>
      </c>
      <c r="F32" s="82">
        <f t="shared" si="40"/>
        <v>55.579203539823041</v>
      </c>
      <c r="G32" s="82">
        <f t="shared" ref="G32:R32" si="41">G9/G6</f>
        <v>2564.159292035401</v>
      </c>
      <c r="H32" s="82">
        <f t="shared" si="41"/>
        <v>2122.7876106194662</v>
      </c>
      <c r="I32" s="82" t="e">
        <f t="shared" si="41"/>
        <v>#DIV/0!</v>
      </c>
      <c r="J32" s="82" t="e">
        <f t="shared" si="41"/>
        <v>#DIV/0!</v>
      </c>
      <c r="K32" s="82" t="e">
        <f t="shared" si="41"/>
        <v>#DIV/0!</v>
      </c>
      <c r="L32" s="82" t="e">
        <f t="shared" si="41"/>
        <v>#DIV/0!</v>
      </c>
      <c r="M32" s="82">
        <f t="shared" si="41"/>
        <v>2172.389380530969</v>
      </c>
      <c r="N32" s="82">
        <f t="shared" si="41"/>
        <v>1731.0176991150445</v>
      </c>
      <c r="O32" s="82">
        <f t="shared" si="41"/>
        <v>2172.389380530969</v>
      </c>
      <c r="P32" s="82">
        <f t="shared" si="41"/>
        <v>2172.3893805309694</v>
      </c>
      <c r="Q32" s="82">
        <f t="shared" si="41"/>
        <v>1731.0176991150447</v>
      </c>
      <c r="R32" s="82">
        <f t="shared" si="41"/>
        <v>1731.0176991150445</v>
      </c>
      <c r="S32" s="90"/>
      <c r="T32" s="2"/>
      <c r="U32" s="2"/>
      <c r="V32" s="2"/>
      <c r="W32" s="2"/>
      <c r="X32" s="2"/>
      <c r="Y32" s="2"/>
      <c r="Z32" s="2"/>
      <c r="AS32" s="79"/>
      <c r="AT32" s="79"/>
    </row>
    <row r="33" spans="1:46">
      <c r="A33" s="76">
        <v>3</v>
      </c>
      <c r="B33" s="87" t="s">
        <v>101</v>
      </c>
      <c r="C33" s="82">
        <f>材料成本!D25</f>
        <v>1287.6903420784811</v>
      </c>
      <c r="D33" s="82">
        <f>材料成本!E25</f>
        <v>1774.1322761330903</v>
      </c>
      <c r="E33" s="82">
        <f>材料成本!F25</f>
        <v>410.45064969419565</v>
      </c>
      <c r="F33" s="82">
        <f>材料成本!G25</f>
        <v>29.598642428571427</v>
      </c>
      <c r="G33" s="82">
        <f>材料成本!H25</f>
        <v>1745.3346411064431</v>
      </c>
      <c r="H33" s="82">
        <f>材料成本!I25</f>
        <v>1400.758269797082</v>
      </c>
      <c r="I33" s="82">
        <f>材料成本!J25</f>
        <v>0</v>
      </c>
      <c r="J33" s="82">
        <f>材料成本!K25</f>
        <v>0</v>
      </c>
      <c r="K33" s="82">
        <f>材料成本!L25</f>
        <v>0</v>
      </c>
      <c r="L33" s="82">
        <f>材料成本!M25</f>
        <v>0</v>
      </c>
      <c r="M33" s="82">
        <f>材料成本!N25</f>
        <v>1499.2846411064434</v>
      </c>
      <c r="N33" s="82">
        <f>材料成本!O25</f>
        <v>1154.708269797082</v>
      </c>
      <c r="O33" s="82">
        <f>材料成本!P25</f>
        <v>1499.9799652146214</v>
      </c>
      <c r="P33" s="82">
        <f>材料成本!Q25</f>
        <v>1499.9799652146214</v>
      </c>
      <c r="Q33" s="82">
        <f>材料成本!R25</f>
        <v>1155.4035939052601</v>
      </c>
      <c r="R33" s="82">
        <f>材料成本!S25</f>
        <v>1155.4035939052601</v>
      </c>
      <c r="S33" s="90"/>
      <c r="U33" s="2"/>
      <c r="V33" s="2"/>
      <c r="W33" s="2"/>
      <c r="X33" s="2"/>
      <c r="Y33" s="2"/>
      <c r="Z33" s="2"/>
      <c r="AS33" s="79" t="s">
        <v>57</v>
      </c>
      <c r="AT33" s="79" t="s">
        <v>101</v>
      </c>
    </row>
    <row r="34" spans="1:46" ht="17.25" customHeight="1">
      <c r="A34" s="76">
        <v>4</v>
      </c>
      <c r="B34" s="79" t="s">
        <v>103</v>
      </c>
      <c r="C34" s="95">
        <f>C32-C33</f>
        <v>452.57514464718633</v>
      </c>
      <c r="D34" s="95">
        <f t="shared" ref="D34:F34" si="42">D32-D33</f>
        <v>407.50489200850234</v>
      </c>
      <c r="E34" s="95">
        <f t="shared" si="42"/>
        <v>140.21306711996357</v>
      </c>
      <c r="F34" s="95">
        <f t="shared" si="42"/>
        <v>25.980561111251614</v>
      </c>
      <c r="G34" s="95">
        <f t="shared" ref="G34:R34" si="43">G32-G33</f>
        <v>818.82465092895791</v>
      </c>
      <c r="H34" s="95">
        <f t="shared" si="43"/>
        <v>722.02934082238426</v>
      </c>
      <c r="I34" s="95" t="e">
        <f t="shared" si="43"/>
        <v>#DIV/0!</v>
      </c>
      <c r="J34" s="95" t="e">
        <f t="shared" si="43"/>
        <v>#DIV/0!</v>
      </c>
      <c r="K34" s="95" t="e">
        <f t="shared" si="43"/>
        <v>#DIV/0!</v>
      </c>
      <c r="L34" s="95" t="e">
        <f t="shared" si="43"/>
        <v>#DIV/0!</v>
      </c>
      <c r="M34" s="95">
        <f t="shared" si="43"/>
        <v>673.10473942452563</v>
      </c>
      <c r="N34" s="95">
        <f t="shared" si="43"/>
        <v>576.30942931796244</v>
      </c>
      <c r="O34" s="95">
        <f t="shared" si="43"/>
        <v>672.40941531634758</v>
      </c>
      <c r="P34" s="95">
        <f t="shared" si="43"/>
        <v>672.40941531634803</v>
      </c>
      <c r="Q34" s="95">
        <f t="shared" si="43"/>
        <v>575.61410520978461</v>
      </c>
      <c r="R34" s="95">
        <f t="shared" si="43"/>
        <v>575.61410520978438</v>
      </c>
      <c r="S34" s="90"/>
      <c r="U34" s="2"/>
      <c r="V34" s="2"/>
      <c r="W34" s="2"/>
      <c r="X34" s="2"/>
      <c r="Y34" s="2"/>
      <c r="Z34" s="2"/>
      <c r="AS34" s="79" t="s">
        <v>102</v>
      </c>
      <c r="AT34" s="79" t="s">
        <v>103</v>
      </c>
    </row>
    <row r="35" spans="1:46">
      <c r="A35" s="79" t="s">
        <v>99</v>
      </c>
      <c r="B35" s="84" t="s">
        <v>9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S35" s="79" t="s">
        <v>105</v>
      </c>
      <c r="AT35" s="84" t="s">
        <v>9</v>
      </c>
    </row>
    <row r="36" spans="1:46">
      <c r="A36" s="76">
        <v>1</v>
      </c>
      <c r="B36" s="79" t="s">
        <v>106</v>
      </c>
      <c r="C36" s="88">
        <f>'2025年'!C36</f>
        <v>127.13097345132772</v>
      </c>
      <c r="D36" s="88">
        <f>'2025年'!D36</f>
        <v>159.37433628318581</v>
      </c>
      <c r="E36" s="88">
        <f>'2025年'!E36</f>
        <v>40.227433628318579</v>
      </c>
      <c r="F36" s="88">
        <f>'2025年'!F36</f>
        <v>4.0602070796460206</v>
      </c>
      <c r="G36" s="88">
        <f>'2025年'!G36</f>
        <v>187.31858407079665</v>
      </c>
      <c r="H36" s="88">
        <f>'2025年'!H36</f>
        <v>155.07522123893784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158.69876106194661</v>
      </c>
      <c r="N36" s="88">
        <f>'2025年'!N36</f>
        <v>126.45539823008852</v>
      </c>
      <c r="O36" s="88">
        <f>'2025年'!O36</f>
        <v>158.69876106194661</v>
      </c>
      <c r="P36" s="88">
        <f>'2025年'!P36</f>
        <v>158.69876106194661</v>
      </c>
      <c r="Q36" s="88">
        <f>'2025年'!Q36</f>
        <v>126.45539823008852</v>
      </c>
      <c r="R36" s="88">
        <f>'2025年'!R36</f>
        <v>126.45539823008852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S36" s="79" t="s">
        <v>102</v>
      </c>
      <c r="AT36" s="79" t="s">
        <v>106</v>
      </c>
    </row>
    <row r="37" spans="1:46">
      <c r="A37" s="76">
        <v>2</v>
      </c>
      <c r="B37" s="79" t="s">
        <v>107</v>
      </c>
      <c r="C37" s="88">
        <f>'2025年'!C37</f>
        <v>79.502654867256808</v>
      </c>
      <c r="D37" s="88">
        <f>'2025年'!D37</f>
        <v>99.66637168141591</v>
      </c>
      <c r="E37" s="88">
        <f>'2025年'!E37</f>
        <v>25.156637168141589</v>
      </c>
      <c r="F37" s="88">
        <f>'2025年'!F37</f>
        <v>2.5390920353982316</v>
      </c>
      <c r="G37" s="88">
        <f>'2025年'!G37</f>
        <v>117.1415929203541</v>
      </c>
      <c r="H37" s="88">
        <f>'2025年'!H37</f>
        <v>96.977876106194557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99.24389380530954</v>
      </c>
      <c r="N37" s="88">
        <f>'2025年'!N37</f>
        <v>79.080176991150452</v>
      </c>
      <c r="O37" s="88">
        <f>'2025年'!O37</f>
        <v>99.24389380530954</v>
      </c>
      <c r="P37" s="88">
        <f>'2025年'!P37</f>
        <v>99.24389380530954</v>
      </c>
      <c r="Q37" s="88">
        <f>'2025年'!Q37</f>
        <v>79.080176991150452</v>
      </c>
      <c r="R37" s="88">
        <f>'2025年'!R37</f>
        <v>79.080176991150452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S37" s="79" t="s">
        <v>60</v>
      </c>
      <c r="AT37" s="79" t="s">
        <v>107</v>
      </c>
    </row>
    <row r="38" spans="1:46">
      <c r="A38" s="76">
        <v>3</v>
      </c>
      <c r="B38" s="79" t="s">
        <v>108</v>
      </c>
      <c r="C38" s="88">
        <f>'2025年'!C38</f>
        <v>119.25398230088523</v>
      </c>
      <c r="D38" s="88">
        <f>'2025年'!D38</f>
        <v>149.49955752212389</v>
      </c>
      <c r="E38" s="88">
        <f>'2025年'!E38</f>
        <v>37.734955752212386</v>
      </c>
      <c r="F38" s="88">
        <f>'2025年'!F38</f>
        <v>3.8086380530973476</v>
      </c>
      <c r="G38" s="88">
        <f>'2025年'!G38</f>
        <v>175.71238938053116</v>
      </c>
      <c r="H38" s="88">
        <f>'2025年'!H38</f>
        <v>145.46681415929186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148.86584070796434</v>
      </c>
      <c r="N38" s="88">
        <f>'2025年'!N38</f>
        <v>118.62026548672569</v>
      </c>
      <c r="O38" s="88">
        <f>'2025年'!O38</f>
        <v>148.86584070796434</v>
      </c>
      <c r="P38" s="88">
        <f>'2025年'!P38</f>
        <v>148.86584070796434</v>
      </c>
      <c r="Q38" s="88">
        <f>'2025年'!Q38</f>
        <v>118.62026548672569</v>
      </c>
      <c r="R38" s="88">
        <f>'2025年'!R38</f>
        <v>118.62026548672569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S38" s="79" t="s">
        <v>66</v>
      </c>
      <c r="AT38" s="79" t="s">
        <v>108</v>
      </c>
    </row>
    <row r="39" spans="1:46">
      <c r="A39" s="79" t="s">
        <v>105</v>
      </c>
      <c r="B39" s="84" t="s">
        <v>110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S39" s="79" t="s">
        <v>109</v>
      </c>
      <c r="AT39" s="84" t="s">
        <v>110</v>
      </c>
    </row>
    <row r="40" spans="1:46">
      <c r="A40" s="76">
        <v>1</v>
      </c>
      <c r="B40" s="79" t="s">
        <v>111</v>
      </c>
      <c r="C40" s="90">
        <f>C34-C36-C37-C38</f>
        <v>126.68753402771661</v>
      </c>
      <c r="D40" s="90">
        <f>D34-D36-D37-D38</f>
        <v>-1.0353734782232777</v>
      </c>
      <c r="E40" s="90">
        <f t="shared" ref="E40:F40" si="44">E34-E36-E37-E38</f>
        <v>37.094040571291018</v>
      </c>
      <c r="F40" s="90">
        <f t="shared" si="44"/>
        <v>15.572623943110017</v>
      </c>
      <c r="G40" s="90">
        <f t="shared" ref="G40:R40" si="45">G34-G36-G37-G38</f>
        <v>338.652084557276</v>
      </c>
      <c r="H40" s="90">
        <f t="shared" si="45"/>
        <v>324.50942931795998</v>
      </c>
      <c r="I40" s="90" t="e">
        <f t="shared" si="45"/>
        <v>#DIV/0!</v>
      </c>
      <c r="J40" s="90" t="e">
        <f t="shared" si="45"/>
        <v>#DIV/0!</v>
      </c>
      <c r="K40" s="90" t="e">
        <f t="shared" si="45"/>
        <v>#DIV/0!</v>
      </c>
      <c r="L40" s="90" t="e">
        <f t="shared" si="45"/>
        <v>#DIV/0!</v>
      </c>
      <c r="M40" s="90">
        <f t="shared" si="45"/>
        <v>266.29624384930514</v>
      </c>
      <c r="N40" s="90">
        <f t="shared" si="45"/>
        <v>252.1535886099978</v>
      </c>
      <c r="O40" s="90">
        <f t="shared" si="45"/>
        <v>265.60091974112709</v>
      </c>
      <c r="P40" s="90">
        <f t="shared" si="45"/>
        <v>265.60091974112754</v>
      </c>
      <c r="Q40" s="90">
        <f t="shared" si="45"/>
        <v>251.45826450181997</v>
      </c>
      <c r="R40" s="90">
        <f t="shared" si="45"/>
        <v>251.45826450181974</v>
      </c>
      <c r="S40" s="90"/>
      <c r="AS40" s="79" t="s">
        <v>55</v>
      </c>
      <c r="AT40" s="79" t="s">
        <v>111</v>
      </c>
    </row>
    <row r="41" spans="1:46">
      <c r="A41" s="76">
        <v>2</v>
      </c>
      <c r="B41" s="79" t="s">
        <v>112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S41" s="79" t="s">
        <v>57</v>
      </c>
      <c r="AT41" s="79" t="s">
        <v>112</v>
      </c>
    </row>
    <row r="42" spans="1:46">
      <c r="A42" s="79" t="s">
        <v>109</v>
      </c>
      <c r="B42" s="84" t="s">
        <v>114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S42" s="79" t="s">
        <v>113</v>
      </c>
      <c r="AT42" s="84" t="s">
        <v>114</v>
      </c>
    </row>
    <row r="43" spans="1:46">
      <c r="A43" s="76">
        <v>1</v>
      </c>
      <c r="B43" s="91" t="s">
        <v>115</v>
      </c>
      <c r="C43" s="88">
        <f>'2025年'!C43</f>
        <v>151.12831858407114</v>
      </c>
      <c r="D43" s="88">
        <f>'2025年'!D43</f>
        <v>189.4579646017699</v>
      </c>
      <c r="E43" s="88">
        <f>'2025年'!E43</f>
        <v>47.820796460176986</v>
      </c>
      <c r="F43" s="88">
        <f>'2025年'!F43</f>
        <v>4.8266150442477906</v>
      </c>
      <c r="G43" s="88">
        <f>'2025年'!G43</f>
        <v>222.67699115044269</v>
      </c>
      <c r="H43" s="88">
        <f>'2025年'!H43</f>
        <v>184.34734513274313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188.65486725663681</v>
      </c>
      <c r="N43" s="88">
        <f>'2025年'!N43</f>
        <v>150.32522123893807</v>
      </c>
      <c r="O43" s="88">
        <f>'2025年'!O43</f>
        <v>188.65486725663681</v>
      </c>
      <c r="P43" s="88">
        <f>'2025年'!P43</f>
        <v>188.65486725663681</v>
      </c>
      <c r="Q43" s="88">
        <f>'2025年'!Q43</f>
        <v>150.32522123893807</v>
      </c>
      <c r="R43" s="88">
        <f>'2025年'!R43</f>
        <v>150.32522123893807</v>
      </c>
      <c r="S43" s="90"/>
      <c r="AS43" s="79" t="s">
        <v>55</v>
      </c>
      <c r="AT43" s="79" t="s">
        <v>115</v>
      </c>
    </row>
    <row r="44" spans="1:46">
      <c r="A44" s="76">
        <v>2</v>
      </c>
      <c r="B44" s="91" t="s">
        <v>116</v>
      </c>
      <c r="C44" s="88">
        <f>'2025年'!C44</f>
        <v>31.507964601769981</v>
      </c>
      <c r="D44" s="88">
        <f>'2025年'!D44</f>
        <v>39.49911504424778</v>
      </c>
      <c r="E44" s="88">
        <f>'2025年'!E44</f>
        <v>9.9699115044247772</v>
      </c>
      <c r="F44" s="88">
        <f>'2025年'!F44</f>
        <v>1.006276106194691</v>
      </c>
      <c r="G44" s="88">
        <f>'2025年'!G44</f>
        <v>46.424778761061994</v>
      </c>
      <c r="H44" s="88">
        <f>'2025年'!H44</f>
        <v>38.43362831858402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39.331681415929125</v>
      </c>
      <c r="N44" s="88">
        <f>'2025年'!N44</f>
        <v>31.340530973451333</v>
      </c>
      <c r="O44" s="88">
        <f>'2025年'!O44</f>
        <v>39.331681415929125</v>
      </c>
      <c r="P44" s="88">
        <f>'2025年'!P44</f>
        <v>39.331681415929125</v>
      </c>
      <c r="Q44" s="88">
        <f>'2025年'!Q44</f>
        <v>31.340530973451333</v>
      </c>
      <c r="R44" s="88">
        <f>'2025年'!R44</f>
        <v>31.340530973451333</v>
      </c>
      <c r="S44" s="90"/>
      <c r="AS44" s="79" t="s">
        <v>57</v>
      </c>
      <c r="AT44" s="79" t="s">
        <v>116</v>
      </c>
    </row>
    <row r="45" spans="1:46">
      <c r="A45" s="76">
        <v>3</v>
      </c>
      <c r="B45" s="91" t="s">
        <v>117</v>
      </c>
      <c r="C45" s="88">
        <f>'2025年'!C45</f>
        <v>48.361061946902758</v>
      </c>
      <c r="D45" s="88">
        <f>'2025年'!D45</f>
        <v>60.626548672566365</v>
      </c>
      <c r="E45" s="88">
        <f>'2025年'!E45</f>
        <v>15.302654867256635</v>
      </c>
      <c r="F45" s="88">
        <f>'2025年'!F45</f>
        <v>1.5445168141592931</v>
      </c>
      <c r="G45" s="88">
        <f>'2025年'!G45</f>
        <v>71.256637168141665</v>
      </c>
      <c r="H45" s="88">
        <f>'2025年'!H45</f>
        <v>58.991150442477796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60.369557522123777</v>
      </c>
      <c r="N45" s="88">
        <f>'2025年'!N45</f>
        <v>48.104070796460185</v>
      </c>
      <c r="O45" s="88">
        <f>'2025年'!O45</f>
        <v>60.369557522123777</v>
      </c>
      <c r="P45" s="88">
        <f>'2025年'!P45</f>
        <v>60.369557522123777</v>
      </c>
      <c r="Q45" s="88">
        <f>'2025年'!Q45</f>
        <v>48.104070796460185</v>
      </c>
      <c r="R45" s="88">
        <f>'2025年'!R45</f>
        <v>48.104070796460185</v>
      </c>
      <c r="S45" s="90"/>
      <c r="AS45" s="79" t="s">
        <v>102</v>
      </c>
      <c r="AT45" s="79" t="s">
        <v>117</v>
      </c>
    </row>
    <row r="46" spans="1:46" s="74" customFormat="1">
      <c r="A46" s="76">
        <v>4</v>
      </c>
      <c r="B46" s="91" t="s">
        <v>118</v>
      </c>
      <c r="C46" s="96">
        <f>C21/C6</f>
        <v>1.4628099173553719</v>
      </c>
      <c r="D46" s="96">
        <f>D21/D6</f>
        <v>1.4628099173553719</v>
      </c>
      <c r="E46" s="96">
        <f t="shared" ref="E46:F46" si="46">E21/E6</f>
        <v>1.4628099173553719</v>
      </c>
      <c r="F46" s="96">
        <f t="shared" si="46"/>
        <v>1.4628099173553719</v>
      </c>
      <c r="G46" s="96">
        <f t="shared" ref="G46:R46" si="47">G21/G6</f>
        <v>1.4628099173553719</v>
      </c>
      <c r="H46" s="96">
        <f t="shared" si="47"/>
        <v>1.4628099173553719</v>
      </c>
      <c r="I46" s="96" t="e">
        <f t="shared" si="47"/>
        <v>#DIV/0!</v>
      </c>
      <c r="J46" s="96" t="e">
        <f t="shared" si="47"/>
        <v>#DIV/0!</v>
      </c>
      <c r="K46" s="96" t="e">
        <f t="shared" si="47"/>
        <v>#DIV/0!</v>
      </c>
      <c r="L46" s="96" t="e">
        <f t="shared" si="47"/>
        <v>#DIV/0!</v>
      </c>
      <c r="M46" s="96">
        <f t="shared" si="47"/>
        <v>1.4628099173553719</v>
      </c>
      <c r="N46" s="96">
        <f t="shared" si="47"/>
        <v>1.4628099173553719</v>
      </c>
      <c r="O46" s="96">
        <f t="shared" si="47"/>
        <v>1.4628099173553719</v>
      </c>
      <c r="P46" s="96">
        <f t="shared" si="47"/>
        <v>1.4628099173553719</v>
      </c>
      <c r="Q46" s="96">
        <f t="shared" si="47"/>
        <v>1.4628099173553719</v>
      </c>
      <c r="R46" s="96">
        <f t="shared" si="47"/>
        <v>1.4628099173553719</v>
      </c>
      <c r="S46" s="96"/>
      <c r="AS46" s="91" t="s">
        <v>62</v>
      </c>
      <c r="AT46" s="91" t="s">
        <v>120</v>
      </c>
    </row>
    <row r="47" spans="1:46" s="74" customFormat="1">
      <c r="A47" s="76">
        <v>5</v>
      </c>
      <c r="B47" s="91" t="s">
        <v>120</v>
      </c>
      <c r="C47" s="88">
        <f>'2025年'!C47</f>
        <v>65.030973451327569</v>
      </c>
      <c r="D47" s="88">
        <f>'2025年'!D47</f>
        <v>81.524336283185818</v>
      </c>
      <c r="E47" s="88">
        <f>'2025年'!E47</f>
        <v>20.57743362831858</v>
      </c>
      <c r="F47" s="88">
        <f>'2025年'!F47</f>
        <v>2.0769070796460189</v>
      </c>
      <c r="G47" s="88">
        <f>'2025年'!G47</f>
        <v>95.818584070796547</v>
      </c>
      <c r="H47" s="88">
        <f>'2025年'!H47</f>
        <v>79.325221238937942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81.178761061946744</v>
      </c>
      <c r="N47" s="88">
        <f>'2025年'!N47</f>
        <v>64.685398230088495</v>
      </c>
      <c r="O47" s="88">
        <f>'2025年'!O47</f>
        <v>81.178761061946744</v>
      </c>
      <c r="P47" s="88">
        <f>'2025年'!P47</f>
        <v>81.178761061946744</v>
      </c>
      <c r="Q47" s="88">
        <f>'2025年'!Q47</f>
        <v>64.685398230088495</v>
      </c>
      <c r="R47" s="88">
        <f>'2025年'!R47</f>
        <v>64.685398230088495</v>
      </c>
      <c r="S47" s="96"/>
      <c r="AS47" s="91" t="s">
        <v>62</v>
      </c>
      <c r="AT47" s="91" t="s">
        <v>120</v>
      </c>
    </row>
    <row r="48" spans="1:46">
      <c r="A48" s="79" t="s">
        <v>113</v>
      </c>
      <c r="B48" s="84" t="s">
        <v>131</v>
      </c>
      <c r="C48" s="90">
        <f>C40-C43-C44-C45-C47-C46</f>
        <v>-170.80359447371021</v>
      </c>
      <c r="D48" s="90">
        <f>D40-D43-D44-D45-D47-D46</f>
        <v>-373.60614799734844</v>
      </c>
      <c r="E48" s="90">
        <f t="shared" ref="E48:F48" si="48">E40-E43-E44-E45-E47-E46</f>
        <v>-58.039565806241335</v>
      </c>
      <c r="F48" s="90">
        <f t="shared" si="48"/>
        <v>4.6554989815068515</v>
      </c>
      <c r="G48" s="90">
        <f t="shared" ref="G48:R48" si="49">G40-G43-G44-G45-G47-G46</f>
        <v>-98.987716510522262</v>
      </c>
      <c r="H48" s="90">
        <f t="shared" si="49"/>
        <v>-38.050725732138282</v>
      </c>
      <c r="I48" s="90" t="e">
        <f t="shared" si="49"/>
        <v>#DIV/0!</v>
      </c>
      <c r="J48" s="90" t="e">
        <f t="shared" si="49"/>
        <v>#DIV/0!</v>
      </c>
      <c r="K48" s="90" t="e">
        <f t="shared" si="49"/>
        <v>#DIV/0!</v>
      </c>
      <c r="L48" s="90" t="e">
        <f t="shared" si="49"/>
        <v>#DIV/0!</v>
      </c>
      <c r="M48" s="90">
        <f t="shared" si="49"/>
        <v>-104.70143332468669</v>
      </c>
      <c r="N48" s="90">
        <f t="shared" si="49"/>
        <v>-43.764442546295662</v>
      </c>
      <c r="O48" s="90">
        <f t="shared" si="49"/>
        <v>-105.39675743286475</v>
      </c>
      <c r="P48" s="90">
        <f t="shared" si="49"/>
        <v>-105.39675743286429</v>
      </c>
      <c r="Q48" s="90">
        <f t="shared" si="49"/>
        <v>-44.459766654473491</v>
      </c>
      <c r="R48" s="90">
        <f t="shared" si="49"/>
        <v>-44.459766654473718</v>
      </c>
      <c r="S48" s="90"/>
      <c r="AS48" s="79" t="s">
        <v>130</v>
      </c>
      <c r="AT48" s="84" t="s">
        <v>131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K8" activePane="bottomRight" state="frozen"/>
      <selection pane="topRight"/>
      <selection pane="bottomLeft"/>
      <selection pane="bottomRight" activeCell="F3" sqref="F3:R48"/>
    </sheetView>
  </sheetViews>
  <sheetFormatPr defaultColWidth="9" defaultRowHeight="16.5"/>
  <cols>
    <col min="1" max="1" width="5.125" style="72" customWidth="1"/>
    <col min="2" max="2" width="17.5" style="72" customWidth="1"/>
    <col min="3" max="3" width="15.375" style="75" customWidth="1"/>
    <col min="4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4" width="9" style="72"/>
    <col min="45" max="45" width="4.375" style="72" customWidth="1"/>
    <col min="46" max="46" width="13.875" style="72" customWidth="1"/>
    <col min="47" max="16384" width="9" style="72"/>
  </cols>
  <sheetData>
    <row r="1" spans="1:47">
      <c r="A1" s="215" t="s">
        <v>141</v>
      </c>
      <c r="B1" s="215"/>
      <c r="C1" s="219" t="s">
        <v>265</v>
      </c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1"/>
    </row>
    <row r="2" spans="1:47">
      <c r="A2" s="215" t="s">
        <v>142</v>
      </c>
      <c r="B2" s="215"/>
      <c r="C2" s="222" t="str">
        <f>'2025年'!$C$2</f>
        <v>北汽福田戴姆勒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47">
      <c r="A3" s="215" t="s">
        <v>143</v>
      </c>
      <c r="B3" s="215"/>
      <c r="C3" s="77" t="str">
        <f>'2025年'!C3</f>
        <v>驾驶员座椅总成</v>
      </c>
      <c r="D3" s="77" t="str">
        <f>'2025年'!D3</f>
        <v>驾驶员座椅总成</v>
      </c>
      <c r="E3" s="77" t="str">
        <f>'2025年'!E3</f>
        <v>副驾驶座椅总成</v>
      </c>
      <c r="F3" s="77" t="str">
        <f>'2025年'!F3</f>
        <v>副驾驶座椅安装支架</v>
      </c>
      <c r="G3" s="77" t="str">
        <f>'2025年'!G3</f>
        <v>驾驶员座椅总成</v>
      </c>
      <c r="H3" s="77" t="str">
        <f>'2025年'!H3</f>
        <v>驾驶员座椅总成</v>
      </c>
      <c r="I3" s="77" t="str">
        <f>'2025年'!I3</f>
        <v>副驾驶员座椅总成</v>
      </c>
      <c r="J3" s="77" t="str">
        <f>'2025年'!J3</f>
        <v>副驾驶员座椅总成</v>
      </c>
      <c r="K3" s="77" t="str">
        <f>'2025年'!K3</f>
        <v>副驾驶员座椅总成</v>
      </c>
      <c r="L3" s="77" t="str">
        <f>'2025年'!L3</f>
        <v>副驾驶员座椅总成</v>
      </c>
      <c r="M3" s="77" t="str">
        <f>'2025年'!M3</f>
        <v>驾驶员座椅总成</v>
      </c>
      <c r="N3" s="77" t="str">
        <f>'2025年'!N3</f>
        <v>驾驶员座椅总成</v>
      </c>
      <c r="O3" s="77" t="str">
        <f>'2025年'!O3</f>
        <v>驾驶员座椅总成</v>
      </c>
      <c r="P3" s="77" t="str">
        <f>'2025年'!P3</f>
        <v>驾驶员座椅总成</v>
      </c>
      <c r="Q3" s="77" t="str">
        <f>'2025年'!Q3</f>
        <v>驾驶员座椅总成</v>
      </c>
      <c r="R3" s="77" t="str">
        <f>'2025年'!R3</f>
        <v>驾驶员座椅总成</v>
      </c>
      <c r="S3" s="216" t="s">
        <v>51</v>
      </c>
    </row>
    <row r="4" spans="1:47">
      <c r="A4" s="215" t="s">
        <v>144</v>
      </c>
      <c r="B4" s="215"/>
      <c r="C4" s="77" t="str">
        <f>'2025年'!C4</f>
        <v>A668100000148</v>
      </c>
      <c r="D4" s="77" t="str">
        <f>'2025年'!D4</f>
        <v>A668100000149</v>
      </c>
      <c r="E4" s="77" t="str">
        <f>'2025年'!E4</f>
        <v>A668100000150</v>
      </c>
      <c r="F4" s="77" t="str">
        <f>'2025年'!F4</f>
        <v>A668100000147</v>
      </c>
      <c r="G4" s="77" t="str">
        <f>'2025年'!G4</f>
        <v>A668100000130</v>
      </c>
      <c r="H4" s="77" t="str">
        <f>'2025年'!H4</f>
        <v>A668100000131</v>
      </c>
      <c r="I4" s="77" t="str">
        <f>'2025年'!I4</f>
        <v>A668100000155</v>
      </c>
      <c r="J4" s="77" t="str">
        <f>'2025年'!J4</f>
        <v>A668100000154</v>
      </c>
      <c r="K4" s="77" t="str">
        <f>'2025年'!K4</f>
        <v>A668100000156</v>
      </c>
      <c r="L4" s="77" t="str">
        <f>'2025年'!L4</f>
        <v>A668100000158</v>
      </c>
      <c r="M4" s="77" t="str">
        <f>'2025年'!M4</f>
        <v>A668100000139</v>
      </c>
      <c r="N4" s="77" t="str">
        <f>'2025年'!N4</f>
        <v>A668100000138</v>
      </c>
      <c r="O4" s="77" t="str">
        <f>'2025年'!O4</f>
        <v>A668100000142</v>
      </c>
      <c r="P4" s="77" t="str">
        <f>'2025年'!P4</f>
        <v>A668100000143</v>
      </c>
      <c r="Q4" s="77" t="str">
        <f>'2025年'!Q4</f>
        <v>A668100000140</v>
      </c>
      <c r="R4" s="77" t="str">
        <f>'2025年'!R4</f>
        <v>A668100000141</v>
      </c>
      <c r="S4" s="217"/>
    </row>
    <row r="5" spans="1:47">
      <c r="A5" s="215" t="s">
        <v>145</v>
      </c>
      <c r="B5" s="215"/>
      <c r="C5" s="78" t="str">
        <f>'2025年'!C5</f>
        <v>匹配新能源车身</v>
      </c>
      <c r="D5" s="78" t="str">
        <f>'2025年'!D5</f>
        <v>匹配新能源车身</v>
      </c>
      <c r="E5" s="78" t="str">
        <f>'2025年'!E5</f>
        <v>匹配新能源车身</v>
      </c>
      <c r="F5" s="78" t="str">
        <f>'2025年'!F5</f>
        <v>匹配新能源车身</v>
      </c>
      <c r="G5" s="78" t="str">
        <f>'2025年'!G5</f>
        <v>增加振动提醒</v>
      </c>
      <c r="H5" s="78" t="str">
        <f>'2025年'!H5</f>
        <v>增加振动提醒</v>
      </c>
      <c r="I5" s="78" t="str">
        <f>'2025年'!I5</f>
        <v>旋转副驾</v>
      </c>
      <c r="J5" s="78" t="str">
        <f>'2025年'!J5</f>
        <v>旋转副驾</v>
      </c>
      <c r="K5" s="78" t="str">
        <f>'2025年'!K5</f>
        <v>旋转副驾</v>
      </c>
      <c r="L5" s="78" t="str">
        <f>'2025年'!L5</f>
        <v>旋转副驾</v>
      </c>
      <c r="M5" s="78" t="str">
        <f>'2025年'!M5</f>
        <v>更换斜切扶手</v>
      </c>
      <c r="N5" s="78" t="str">
        <f>'2025年'!N5</f>
        <v>更换斜切扶手</v>
      </c>
      <c r="O5" s="78" t="str">
        <f>'2025年'!O5</f>
        <v>更换斜切扶手</v>
      </c>
      <c r="P5" s="78" t="str">
        <f>'2025年'!P5</f>
        <v>更换斜切扶手</v>
      </c>
      <c r="Q5" s="78" t="str">
        <f>'2025年'!Q5</f>
        <v>更换斜切扶手</v>
      </c>
      <c r="R5" s="78" t="str">
        <f>'2025年'!R5</f>
        <v>更换斜切扶手</v>
      </c>
      <c r="S5" s="218"/>
      <c r="AU5" s="72" t="s">
        <v>52</v>
      </c>
    </row>
    <row r="6" spans="1:47">
      <c r="A6" s="79" t="s">
        <v>18</v>
      </c>
      <c r="B6" s="80" t="s">
        <v>146</v>
      </c>
      <c r="C6" s="81">
        <f>销量!C11</f>
        <v>5000</v>
      </c>
      <c r="D6" s="81">
        <f>销量!D11</f>
        <v>5000</v>
      </c>
      <c r="E6" s="81">
        <f>销量!E11</f>
        <v>10000</v>
      </c>
      <c r="F6" s="81">
        <f>销量!F11</f>
        <v>10000</v>
      </c>
      <c r="G6" s="81">
        <f>销量!G11</f>
        <v>200</v>
      </c>
      <c r="H6" s="81">
        <f>销量!H11</f>
        <v>300</v>
      </c>
      <c r="I6" s="81">
        <f>销量!I11</f>
        <v>0</v>
      </c>
      <c r="J6" s="81">
        <f>销量!J11</f>
        <v>0</v>
      </c>
      <c r="K6" s="81">
        <f>销量!K11</f>
        <v>0</v>
      </c>
      <c r="L6" s="81">
        <f>销量!L11</f>
        <v>0</v>
      </c>
      <c r="M6" s="81">
        <f>销量!M11</f>
        <v>5000</v>
      </c>
      <c r="N6" s="81">
        <f>销量!N11</f>
        <v>10000</v>
      </c>
      <c r="O6" s="81">
        <f>销量!O11</f>
        <v>5000</v>
      </c>
      <c r="P6" s="81">
        <f>销量!P11</f>
        <v>1000</v>
      </c>
      <c r="Q6" s="81">
        <f>销量!Q11</f>
        <v>10000</v>
      </c>
      <c r="R6" s="81">
        <f>销量!R11</f>
        <v>1000</v>
      </c>
      <c r="S6" s="82">
        <f>+SUM(C6:R6)</f>
        <v>62500</v>
      </c>
      <c r="AS6" s="79" t="s">
        <v>18</v>
      </c>
      <c r="AT6" s="80" t="s">
        <v>3</v>
      </c>
      <c r="AU6" s="72" t="s">
        <v>53</v>
      </c>
    </row>
    <row r="7" spans="1:47">
      <c r="A7" s="76">
        <v>1</v>
      </c>
      <c r="B7" s="80" t="s">
        <v>54</v>
      </c>
      <c r="C7" s="82">
        <f>C6*销量!C8</f>
        <v>9159292.0353982504</v>
      </c>
      <c r="D7" s="82">
        <f>D6*销量!D8</f>
        <v>11482300.884955751</v>
      </c>
      <c r="E7" s="82">
        <f>E6*销量!E8</f>
        <v>5796460.1769911498</v>
      </c>
      <c r="F7" s="82">
        <f>F6*销量!F8</f>
        <v>585044.24778761098</v>
      </c>
      <c r="G7" s="82">
        <f>G6*销量!G8</f>
        <v>539823.00884955807</v>
      </c>
      <c r="H7" s="82">
        <f>H6*销量!H8</f>
        <v>670353.98230088409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11433628.318584049</v>
      </c>
      <c r="N7" s="82">
        <f>N6*销量!N8</f>
        <v>18221238.938053101</v>
      </c>
      <c r="O7" s="82">
        <f>O6*销量!O8</f>
        <v>11433628.318584049</v>
      </c>
      <c r="P7" s="82">
        <f>P6*销量!P8</f>
        <v>2286725.6637168098</v>
      </c>
      <c r="Q7" s="82">
        <f>Q6*销量!Q8</f>
        <v>18221238.938053101</v>
      </c>
      <c r="R7" s="82">
        <f>R6*销量!R8</f>
        <v>1822123.8938053099</v>
      </c>
      <c r="S7" s="82">
        <f t="shared" ref="S7:S13" si="0">+SUM(C7:R7)</f>
        <v>91651858.407079622</v>
      </c>
      <c r="T7" s="75"/>
      <c r="AS7" s="79" t="s">
        <v>55</v>
      </c>
      <c r="AT7" s="80" t="s">
        <v>54</v>
      </c>
      <c r="AU7" s="72" t="s">
        <v>53</v>
      </c>
    </row>
    <row r="8" spans="1:47">
      <c r="A8" s="76">
        <v>2</v>
      </c>
      <c r="B8" s="76" t="s">
        <v>56</v>
      </c>
      <c r="C8" s="82">
        <f>C7*(1-销量!$V$8)</f>
        <v>893030.97345132974</v>
      </c>
      <c r="D8" s="82">
        <f>D7*(1-销量!$V$8)</f>
        <v>1119524.336283186</v>
      </c>
      <c r="E8" s="82">
        <f>E7*(1-销量!$V$8)</f>
        <v>565154.86725663731</v>
      </c>
      <c r="F8" s="82">
        <f>F7*(1-销量!$V$8)</f>
        <v>57041.814159292087</v>
      </c>
      <c r="G8" s="82">
        <f>G7*(1-销量!$V$8)</f>
        <v>52632.743362831927</v>
      </c>
      <c r="H8" s="82">
        <f>H7*(1-销量!$V$8)</f>
        <v>65359.513274336219</v>
      </c>
      <c r="I8" s="82">
        <f>I7*(1-销量!$V$8)</f>
        <v>0</v>
      </c>
      <c r="J8" s="82">
        <f>J7*(1-销量!$V$8)</f>
        <v>0</v>
      </c>
      <c r="K8" s="82">
        <f>K7*(1-销量!$V$8)</f>
        <v>0</v>
      </c>
      <c r="L8" s="82">
        <f>L7*(1-销量!$V$8)</f>
        <v>0</v>
      </c>
      <c r="M8" s="82">
        <f>M7*(1-销量!$V$8)</f>
        <v>1114778.7610619452</v>
      </c>
      <c r="N8" s="82">
        <f>N7*(1-销量!$V$8)</f>
        <v>1776570.796460178</v>
      </c>
      <c r="O8" s="82">
        <f>O7*(1-销量!$V$8)</f>
        <v>1114778.7610619452</v>
      </c>
      <c r="P8" s="82">
        <f>P7*(1-销量!$V$8)</f>
        <v>222955.75221238902</v>
      </c>
      <c r="Q8" s="82">
        <f>Q7*(1-销量!$V$8)</f>
        <v>1776570.796460178</v>
      </c>
      <c r="R8" s="82">
        <f>R7*(1-销量!$V$8)</f>
        <v>177657.07964601778</v>
      </c>
      <c r="S8" s="82">
        <f t="shared" si="0"/>
        <v>8936056.1946902666</v>
      </c>
      <c r="T8" s="83"/>
      <c r="AS8" s="79" t="s">
        <v>57</v>
      </c>
      <c r="AT8" s="76" t="s">
        <v>58</v>
      </c>
      <c r="AU8" s="72" t="s">
        <v>53</v>
      </c>
    </row>
    <row r="9" spans="1:47">
      <c r="A9" s="76">
        <v>3</v>
      </c>
      <c r="B9" s="80" t="s">
        <v>59</v>
      </c>
      <c r="C9" s="82">
        <f>+C7-C8</f>
        <v>8266261.0619469211</v>
      </c>
      <c r="D9" s="82">
        <f>+D7-D8</f>
        <v>10362776.548672564</v>
      </c>
      <c r="E9" s="82">
        <f t="shared" ref="E9:F9" si="1">+E7-E8</f>
        <v>5231305.3097345121</v>
      </c>
      <c r="F9" s="82">
        <f t="shared" si="1"/>
        <v>528002.43362831883</v>
      </c>
      <c r="G9" s="82">
        <f t="shared" ref="G9:R9" si="2">+G7-G8</f>
        <v>487190.26548672613</v>
      </c>
      <c r="H9" s="82">
        <f t="shared" si="2"/>
        <v>604994.46902654786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10318849.557522103</v>
      </c>
      <c r="N9" s="82">
        <f t="shared" si="2"/>
        <v>16444668.141592924</v>
      </c>
      <c r="O9" s="82">
        <f t="shared" si="2"/>
        <v>10318849.557522103</v>
      </c>
      <c r="P9" s="82">
        <f t="shared" si="2"/>
        <v>2063769.9115044209</v>
      </c>
      <c r="Q9" s="82">
        <f t="shared" si="2"/>
        <v>16444668.141592924</v>
      </c>
      <c r="R9" s="82">
        <f t="shared" si="2"/>
        <v>1644466.814159292</v>
      </c>
      <c r="S9" s="82">
        <f t="shared" si="0"/>
        <v>82715802.212389335</v>
      </c>
      <c r="AS9" s="79" t="s">
        <v>60</v>
      </c>
      <c r="AT9" s="80" t="s">
        <v>59</v>
      </c>
      <c r="AU9" s="72" t="s">
        <v>61</v>
      </c>
    </row>
    <row r="10" spans="1:47">
      <c r="A10" s="76">
        <v>4</v>
      </c>
      <c r="B10" s="79" t="s">
        <v>63</v>
      </c>
      <c r="C10" s="82">
        <f>C6*C33</f>
        <v>6116529.1248727851</v>
      </c>
      <c r="D10" s="82">
        <f>D6*D33</f>
        <v>8427128.3116321787</v>
      </c>
      <c r="E10" s="82">
        <f t="shared" ref="E10:F10" si="3">E6*E33</f>
        <v>3899281.1720948583</v>
      </c>
      <c r="F10" s="82">
        <f t="shared" si="3"/>
        <v>281187.10307142854</v>
      </c>
      <c r="G10" s="82">
        <f t="shared" ref="G10:R10" si="4">G6*G33</f>
        <v>331613.58181022416</v>
      </c>
      <c r="H10" s="82">
        <f t="shared" si="4"/>
        <v>399216.10689216835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7121602.0452556051</v>
      </c>
      <c r="N10" s="82">
        <f t="shared" si="4"/>
        <v>10969728.563072279</v>
      </c>
      <c r="O10" s="82">
        <f t="shared" si="4"/>
        <v>7124904.8347694511</v>
      </c>
      <c r="P10" s="82">
        <f t="shared" si="4"/>
        <v>1424980.9669538902</v>
      </c>
      <c r="Q10" s="82">
        <f t="shared" si="4"/>
        <v>10976334.142099969</v>
      </c>
      <c r="R10" s="82">
        <f t="shared" si="4"/>
        <v>1097633.414209997</v>
      </c>
      <c r="S10" s="82">
        <f t="shared" si="0"/>
        <v>58170139.36673484</v>
      </c>
      <c r="AS10" s="79" t="s">
        <v>62</v>
      </c>
      <c r="AT10" s="79" t="s">
        <v>63</v>
      </c>
      <c r="AU10" s="72" t="s">
        <v>64</v>
      </c>
    </row>
    <row r="11" spans="1:47">
      <c r="A11" s="76">
        <v>5</v>
      </c>
      <c r="B11" s="79" t="s">
        <v>65</v>
      </c>
      <c r="C11" s="82">
        <f>+C6*C36</f>
        <v>635654.86725663859</v>
      </c>
      <c r="D11" s="82">
        <f>+D6*D36</f>
        <v>796871.68141592911</v>
      </c>
      <c r="E11" s="82">
        <f t="shared" ref="E11:F11" si="5">+E6*E36</f>
        <v>402274.33628318581</v>
      </c>
      <c r="F11" s="82">
        <f t="shared" si="5"/>
        <v>40602.070796460204</v>
      </c>
      <c r="G11" s="82">
        <f t="shared" ref="G11:R11" si="6">+G6*G36</f>
        <v>37463.716814159328</v>
      </c>
      <c r="H11" s="82">
        <f t="shared" si="6"/>
        <v>46522.566371681351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793493.80530973303</v>
      </c>
      <c r="N11" s="82">
        <f t="shared" si="6"/>
        <v>1264553.9823008853</v>
      </c>
      <c r="O11" s="82">
        <f t="shared" si="6"/>
        <v>793493.80530973303</v>
      </c>
      <c r="P11" s="82">
        <f t="shared" si="6"/>
        <v>158698.7610619466</v>
      </c>
      <c r="Q11" s="82">
        <f t="shared" si="6"/>
        <v>1264553.9823008853</v>
      </c>
      <c r="R11" s="82">
        <f t="shared" si="6"/>
        <v>126455.39823008853</v>
      </c>
      <c r="S11" s="82">
        <f t="shared" si="0"/>
        <v>6360638.9734513266</v>
      </c>
      <c r="AS11" s="79" t="s">
        <v>66</v>
      </c>
      <c r="AT11" s="79" t="s">
        <v>65</v>
      </c>
    </row>
    <row r="12" spans="1:47">
      <c r="A12" s="76">
        <v>6</v>
      </c>
      <c r="B12" s="79" t="s">
        <v>67</v>
      </c>
      <c r="C12" s="82">
        <f>+C6*C37</f>
        <v>397513.27433628403</v>
      </c>
      <c r="D12" s="82">
        <f>+D6*D37</f>
        <v>498331.85840707953</v>
      </c>
      <c r="E12" s="82">
        <f t="shared" ref="E12:F12" si="7">+E6*E37</f>
        <v>251566.37168141588</v>
      </c>
      <c r="F12" s="82">
        <f t="shared" si="7"/>
        <v>25390.920353982317</v>
      </c>
      <c r="G12" s="82">
        <f t="shared" ref="G12:R12" si="8">+G6*G37</f>
        <v>23428.318584070821</v>
      </c>
      <c r="H12" s="82">
        <f t="shared" si="8"/>
        <v>29093.362831858369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496219.46902654768</v>
      </c>
      <c r="N12" s="82">
        <f t="shared" si="8"/>
        <v>790801.76991150447</v>
      </c>
      <c r="O12" s="82">
        <f t="shared" si="8"/>
        <v>496219.46902654768</v>
      </c>
      <c r="P12" s="82">
        <f t="shared" si="8"/>
        <v>99243.893805309533</v>
      </c>
      <c r="Q12" s="82">
        <f t="shared" si="8"/>
        <v>790801.76991150447</v>
      </c>
      <c r="R12" s="82">
        <f t="shared" si="8"/>
        <v>79080.176991150453</v>
      </c>
      <c r="S12" s="82">
        <f t="shared" si="0"/>
        <v>3977690.6548672551</v>
      </c>
      <c r="AS12" s="79" t="s">
        <v>68</v>
      </c>
      <c r="AT12" s="79" t="s">
        <v>67</v>
      </c>
    </row>
    <row r="13" spans="1:47">
      <c r="A13" s="76">
        <v>7</v>
      </c>
      <c r="B13" s="79" t="s">
        <v>69</v>
      </c>
      <c r="C13" s="82">
        <f>+C6*C38</f>
        <v>596269.91150442616</v>
      </c>
      <c r="D13" s="82">
        <f>+D6*D38</f>
        <v>747497.78761061945</v>
      </c>
      <c r="E13" s="82">
        <f t="shared" ref="E13:F13" si="9">+E6*E38</f>
        <v>377349.55752212385</v>
      </c>
      <c r="F13" s="82">
        <f t="shared" si="9"/>
        <v>38086.380530973474</v>
      </c>
      <c r="G13" s="82">
        <f t="shared" ref="G13:R13" si="10">+G6*G38</f>
        <v>35142.477876106233</v>
      </c>
      <c r="H13" s="82">
        <f t="shared" si="10"/>
        <v>43640.044247787555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744329.20353982167</v>
      </c>
      <c r="N13" s="82">
        <f t="shared" si="10"/>
        <v>1186202.6548672568</v>
      </c>
      <c r="O13" s="82">
        <f t="shared" si="10"/>
        <v>744329.20353982167</v>
      </c>
      <c r="P13" s="82">
        <f t="shared" si="10"/>
        <v>148865.84070796435</v>
      </c>
      <c r="Q13" s="82">
        <f t="shared" si="10"/>
        <v>1186202.6548672568</v>
      </c>
      <c r="R13" s="82">
        <f t="shared" si="10"/>
        <v>118620.26548672568</v>
      </c>
      <c r="S13" s="82">
        <f t="shared" si="0"/>
        <v>5966535.9823008832</v>
      </c>
      <c r="AS13" s="79" t="s">
        <v>70</v>
      </c>
      <c r="AT13" s="79" t="s">
        <v>69</v>
      </c>
      <c r="AU13" s="72" t="s">
        <v>53</v>
      </c>
    </row>
    <row r="14" spans="1:47">
      <c r="A14" s="76">
        <v>8</v>
      </c>
      <c r="B14" s="84" t="s">
        <v>71</v>
      </c>
      <c r="C14" s="82">
        <f>SUM(C11:C13)</f>
        <v>1629438.0530973487</v>
      </c>
      <c r="D14" s="82">
        <f>SUM(D11:D13)</f>
        <v>2042701.327433628</v>
      </c>
      <c r="E14" s="82">
        <f t="shared" ref="E14:S14" si="11">SUM(E11:E13)</f>
        <v>1031190.2654867256</v>
      </c>
      <c r="F14" s="82">
        <f t="shared" si="11"/>
        <v>104079.371681416</v>
      </c>
      <c r="G14" s="82">
        <f t="shared" ref="G14:R14" si="12">SUM(G11:G13)</f>
        <v>96034.513274336379</v>
      </c>
      <c r="H14" s="82">
        <f t="shared" si="12"/>
        <v>119255.97345132727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2034042.4778761026</v>
      </c>
      <c r="N14" s="82">
        <f t="shared" si="12"/>
        <v>3241558.4070796464</v>
      </c>
      <c r="O14" s="82">
        <f t="shared" si="12"/>
        <v>2034042.4778761026</v>
      </c>
      <c r="P14" s="82">
        <f t="shared" si="12"/>
        <v>406808.49557522044</v>
      </c>
      <c r="Q14" s="82">
        <f t="shared" si="12"/>
        <v>3241558.4070796464</v>
      </c>
      <c r="R14" s="82">
        <f t="shared" si="12"/>
        <v>324155.84070796467</v>
      </c>
      <c r="S14" s="82">
        <f t="shared" si="11"/>
        <v>16304865.610619465</v>
      </c>
      <c r="AS14" s="79" t="s">
        <v>72</v>
      </c>
      <c r="AT14" s="84" t="s">
        <v>71</v>
      </c>
    </row>
    <row r="15" spans="1:47">
      <c r="A15" s="76">
        <v>9</v>
      </c>
      <c r="B15" s="84" t="s">
        <v>73</v>
      </c>
      <c r="C15" s="82">
        <f>+C9-C10-C14</f>
        <v>520293.88397678733</v>
      </c>
      <c r="D15" s="82">
        <f>+D9-D10-D14</f>
        <v>-107053.09039324243</v>
      </c>
      <c r="E15" s="82">
        <f t="shared" ref="E15:S15" si="13">+E9-E10-E14</f>
        <v>300833.87215292826</v>
      </c>
      <c r="F15" s="82">
        <f t="shared" si="13"/>
        <v>142735.95887547429</v>
      </c>
      <c r="G15" s="82">
        <f t="shared" ref="G15:R15" si="14">+G9-G10-G14</f>
        <v>59542.17040216559</v>
      </c>
      <c r="H15" s="82">
        <f t="shared" si="14"/>
        <v>86522.388683052239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1163205.0343903955</v>
      </c>
      <c r="N15" s="82">
        <f t="shared" si="14"/>
        <v>2233381.1714409981</v>
      </c>
      <c r="O15" s="82">
        <f t="shared" si="14"/>
        <v>1159902.2448765496</v>
      </c>
      <c r="P15" s="82">
        <f t="shared" si="14"/>
        <v>231980.44897531031</v>
      </c>
      <c r="Q15" s="82">
        <f t="shared" si="14"/>
        <v>2226775.5924133081</v>
      </c>
      <c r="R15" s="82">
        <f t="shared" si="14"/>
        <v>222677.55924133031</v>
      </c>
      <c r="S15" s="82">
        <f t="shared" si="13"/>
        <v>8240797.2350350302</v>
      </c>
      <c r="AS15" s="79" t="s">
        <v>74</v>
      </c>
      <c r="AT15" s="84" t="s">
        <v>73</v>
      </c>
    </row>
    <row r="16" spans="1:47">
      <c r="A16" s="76">
        <v>10</v>
      </c>
      <c r="B16" s="79" t="s">
        <v>75</v>
      </c>
      <c r="C16" s="85">
        <f>+C15/C9</f>
        <v>6.2941864535578138E-2</v>
      </c>
      <c r="D16" s="85">
        <f>+D15/D9</f>
        <v>-1.0330541229990678E-2</v>
      </c>
      <c r="E16" s="85">
        <f t="shared" ref="E16:F16" si="15">+E15/E9</f>
        <v>5.7506464322227738E-2</v>
      </c>
      <c r="F16" s="85">
        <f t="shared" si="15"/>
        <v>0.2703320094466678</v>
      </c>
      <c r="G16" s="85">
        <f t="shared" ref="G16:R16" si="16">+G15/G9</f>
        <v>0.12221543536523691</v>
      </c>
      <c r="H16" s="85">
        <f t="shared" si="16"/>
        <v>0.14301352014386026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>
        <f t="shared" si="16"/>
        <v>0.11272623250355047</v>
      </c>
      <c r="N16" s="85">
        <f t="shared" si="16"/>
        <v>0.13581187240818715</v>
      </c>
      <c r="O16" s="85">
        <f t="shared" si="16"/>
        <v>0.11240615907914064</v>
      </c>
      <c r="P16" s="85">
        <f t="shared" si="16"/>
        <v>0.11240615907914082</v>
      </c>
      <c r="Q16" s="85">
        <f t="shared" si="16"/>
        <v>0.13541018725584389</v>
      </c>
      <c r="R16" s="85">
        <f t="shared" si="16"/>
        <v>0.13541018725584361</v>
      </c>
      <c r="S16" s="85">
        <f>+S15/S9</f>
        <v>9.9627846368159953E-2</v>
      </c>
      <c r="AS16" s="79" t="s">
        <v>76</v>
      </c>
      <c r="AT16" s="79" t="s">
        <v>75</v>
      </c>
    </row>
    <row r="17" spans="1:47">
      <c r="A17" s="76">
        <v>11</v>
      </c>
      <c r="B17" s="79" t="s">
        <v>77</v>
      </c>
      <c r="C17" s="82">
        <f>C6*C43+C18</f>
        <v>772234.9262536891</v>
      </c>
      <c r="D17" s="82">
        <f>D6*D43+D18</f>
        <v>963883.15634218289</v>
      </c>
      <c r="E17" s="82">
        <f t="shared" ref="E17:F17" si="17">E6*E43+E18</f>
        <v>511394.63126843655</v>
      </c>
      <c r="F17" s="82">
        <f t="shared" si="17"/>
        <v>81452.817109144569</v>
      </c>
      <c r="G17" s="82">
        <f t="shared" ref="G17:R17" si="18">G6*G43+G18</f>
        <v>45199.13156342187</v>
      </c>
      <c r="H17" s="82">
        <f t="shared" si="18"/>
        <v>56299.80353982294</v>
      </c>
      <c r="I17" s="82">
        <f t="shared" si="18"/>
        <v>0</v>
      </c>
      <c r="J17" s="82">
        <f t="shared" si="18"/>
        <v>0</v>
      </c>
      <c r="K17" s="82">
        <f t="shared" si="18"/>
        <v>0</v>
      </c>
      <c r="L17" s="82">
        <f t="shared" si="18"/>
        <v>0</v>
      </c>
      <c r="M17" s="82">
        <f t="shared" si="18"/>
        <v>959867.66961651738</v>
      </c>
      <c r="N17" s="82">
        <f t="shared" si="18"/>
        <v>1536438.8790560474</v>
      </c>
      <c r="O17" s="82">
        <f t="shared" si="18"/>
        <v>959867.66961651738</v>
      </c>
      <c r="P17" s="82">
        <f t="shared" si="18"/>
        <v>191973.53392330348</v>
      </c>
      <c r="Q17" s="82">
        <f t="shared" si="18"/>
        <v>1536438.8790560474</v>
      </c>
      <c r="R17" s="82">
        <f t="shared" si="18"/>
        <v>153643.88790560473</v>
      </c>
      <c r="S17" s="82">
        <f>+SUM(C17:R17)</f>
        <v>7768694.9852507375</v>
      </c>
      <c r="T17" s="83"/>
      <c r="AS17" s="79" t="s">
        <v>78</v>
      </c>
      <c r="AT17" s="79" t="s">
        <v>77</v>
      </c>
    </row>
    <row r="18" spans="1:47" s="73" customFormat="1">
      <c r="A18" s="76">
        <v>12</v>
      </c>
      <c r="B18" s="87" t="s">
        <v>147</v>
      </c>
      <c r="C18" s="88">
        <f>$S$18/$S$6*C6</f>
        <v>16593.333333333332</v>
      </c>
      <c r="D18" s="88">
        <f>$S$18/$S$6*D6</f>
        <v>16593.333333333332</v>
      </c>
      <c r="E18" s="88">
        <f>$S$18/$S$6*E6</f>
        <v>33186.666666666664</v>
      </c>
      <c r="F18" s="88">
        <f>$S$18/$S$6*F6</f>
        <v>33186.666666666664</v>
      </c>
      <c r="G18" s="88">
        <f t="shared" ref="G18:R18" si="19">$S$18/$S$6*G6</f>
        <v>663.73333333333335</v>
      </c>
      <c r="H18" s="88">
        <f t="shared" si="19"/>
        <v>995.6</v>
      </c>
      <c r="I18" s="88">
        <f t="shared" si="19"/>
        <v>0</v>
      </c>
      <c r="J18" s="88">
        <f t="shared" si="19"/>
        <v>0</v>
      </c>
      <c r="K18" s="88">
        <f t="shared" si="19"/>
        <v>0</v>
      </c>
      <c r="L18" s="88">
        <f t="shared" si="19"/>
        <v>0</v>
      </c>
      <c r="M18" s="88">
        <f t="shared" si="19"/>
        <v>16593.333333333332</v>
      </c>
      <c r="N18" s="88">
        <f t="shared" si="19"/>
        <v>33186.666666666664</v>
      </c>
      <c r="O18" s="88">
        <f t="shared" si="19"/>
        <v>16593.333333333332</v>
      </c>
      <c r="P18" s="88">
        <f t="shared" si="19"/>
        <v>3318.6666666666665</v>
      </c>
      <c r="Q18" s="88">
        <f t="shared" si="19"/>
        <v>33186.666666666664</v>
      </c>
      <c r="R18" s="88">
        <f t="shared" si="19"/>
        <v>3318.6666666666665</v>
      </c>
      <c r="S18" s="82">
        <f>项目投资!F26</f>
        <v>207416.66666666666</v>
      </c>
      <c r="T18" s="89" t="s">
        <v>148</v>
      </c>
      <c r="U18" s="89"/>
      <c r="V18" s="89"/>
    </row>
    <row r="19" spans="1:47">
      <c r="A19" s="76">
        <v>13</v>
      </c>
      <c r="B19" s="79" t="s">
        <v>79</v>
      </c>
      <c r="C19" s="82">
        <f>C6*C44</f>
        <v>157539.8230088499</v>
      </c>
      <c r="D19" s="82">
        <f>D6*D44</f>
        <v>197495.57522123889</v>
      </c>
      <c r="E19" s="82">
        <f t="shared" ref="E19:F19" si="20">E6*E44</f>
        <v>99699.115044247766</v>
      </c>
      <c r="F19" s="82">
        <f t="shared" si="20"/>
        <v>10062.761061946911</v>
      </c>
      <c r="G19" s="82">
        <f t="shared" ref="G19:R19" si="21">G6*G44</f>
        <v>9284.9557522123996</v>
      </c>
      <c r="H19" s="82">
        <f t="shared" si="21"/>
        <v>11530.088495575206</v>
      </c>
      <c r="I19" s="82">
        <f t="shared" si="21"/>
        <v>0</v>
      </c>
      <c r="J19" s="82">
        <f t="shared" si="21"/>
        <v>0</v>
      </c>
      <c r="K19" s="82">
        <f t="shared" si="21"/>
        <v>0</v>
      </c>
      <c r="L19" s="82">
        <f t="shared" si="21"/>
        <v>0</v>
      </c>
      <c r="M19" s="82">
        <f t="shared" si="21"/>
        <v>196658.40707964564</v>
      </c>
      <c r="N19" s="82">
        <f t="shared" si="21"/>
        <v>313405.30973451334</v>
      </c>
      <c r="O19" s="82">
        <f t="shared" si="21"/>
        <v>196658.40707964564</v>
      </c>
      <c r="P19" s="82">
        <f t="shared" si="21"/>
        <v>39331.681415929124</v>
      </c>
      <c r="Q19" s="82">
        <f t="shared" si="21"/>
        <v>313405.30973451334</v>
      </c>
      <c r="R19" s="82">
        <f t="shared" si="21"/>
        <v>31340.530973451332</v>
      </c>
      <c r="S19" s="82">
        <f>+SUM(C19:R19)</f>
        <v>1576411.9646017696</v>
      </c>
      <c r="T19" s="73"/>
      <c r="AS19" s="79" t="s">
        <v>80</v>
      </c>
      <c r="AT19" s="79" t="s">
        <v>79</v>
      </c>
      <c r="AU19" s="72" t="s">
        <v>53</v>
      </c>
    </row>
    <row r="20" spans="1:47">
      <c r="A20" s="76">
        <v>14</v>
      </c>
      <c r="B20" s="79" t="s">
        <v>81</v>
      </c>
      <c r="C20" s="82">
        <f>C6*C45</f>
        <v>241805.30973451378</v>
      </c>
      <c r="D20" s="82">
        <f>D6*D45</f>
        <v>303132.74336283182</v>
      </c>
      <c r="E20" s="82">
        <f t="shared" ref="E20:F20" si="22">E6*E45</f>
        <v>153026.54867256634</v>
      </c>
      <c r="F20" s="82">
        <f t="shared" si="22"/>
        <v>15445.168141592931</v>
      </c>
      <c r="G20" s="82">
        <f t="shared" ref="G20:R20" si="23">G6*G45</f>
        <v>14251.327433628334</v>
      </c>
      <c r="H20" s="82">
        <f t="shared" si="23"/>
        <v>17697.345132743339</v>
      </c>
      <c r="I20" s="82">
        <f t="shared" si="23"/>
        <v>0</v>
      </c>
      <c r="J20" s="82">
        <f t="shared" si="23"/>
        <v>0</v>
      </c>
      <c r="K20" s="82">
        <f t="shared" si="23"/>
        <v>0</v>
      </c>
      <c r="L20" s="82">
        <f t="shared" si="23"/>
        <v>0</v>
      </c>
      <c r="M20" s="82">
        <f t="shared" si="23"/>
        <v>301847.78761061886</v>
      </c>
      <c r="N20" s="82">
        <f t="shared" si="23"/>
        <v>481040.70796460187</v>
      </c>
      <c r="O20" s="82">
        <f t="shared" si="23"/>
        <v>301847.78761061886</v>
      </c>
      <c r="P20" s="82">
        <f t="shared" si="23"/>
        <v>60369.557522123774</v>
      </c>
      <c r="Q20" s="82">
        <f t="shared" si="23"/>
        <v>481040.70796460187</v>
      </c>
      <c r="R20" s="82">
        <f t="shared" si="23"/>
        <v>48104.070796460182</v>
      </c>
      <c r="S20" s="82">
        <f>+SUM(C20:R20)</f>
        <v>2419609.061946902</v>
      </c>
      <c r="AS20" s="79" t="s">
        <v>82</v>
      </c>
      <c r="AT20" s="79" t="s">
        <v>81</v>
      </c>
    </row>
    <row r="21" spans="1:47">
      <c r="A21" s="76">
        <v>15</v>
      </c>
      <c r="B21" s="79" t="s">
        <v>83</v>
      </c>
      <c r="C21" s="90">
        <f>$S$21/$S$6*C6</f>
        <v>7080</v>
      </c>
      <c r="D21" s="90">
        <f>$S$21/$S$6*D6</f>
        <v>7080</v>
      </c>
      <c r="E21" s="90">
        <f>$S$21/$S$6*E6</f>
        <v>14160</v>
      </c>
      <c r="F21" s="90">
        <f>$S$21/$S$6*F6</f>
        <v>14160</v>
      </c>
      <c r="G21" s="90">
        <f t="shared" ref="G21:R21" si="24">$S$21/$S$6*G6</f>
        <v>283.2</v>
      </c>
      <c r="H21" s="90">
        <f t="shared" si="24"/>
        <v>424.79999999999995</v>
      </c>
      <c r="I21" s="90">
        <f t="shared" si="24"/>
        <v>0</v>
      </c>
      <c r="J21" s="90">
        <f t="shared" si="24"/>
        <v>0</v>
      </c>
      <c r="K21" s="90">
        <f t="shared" si="24"/>
        <v>0</v>
      </c>
      <c r="L21" s="90">
        <f t="shared" si="24"/>
        <v>0</v>
      </c>
      <c r="M21" s="90">
        <f t="shared" si="24"/>
        <v>7080</v>
      </c>
      <c r="N21" s="90">
        <f t="shared" si="24"/>
        <v>14160</v>
      </c>
      <c r="O21" s="90">
        <f t="shared" si="24"/>
        <v>7080</v>
      </c>
      <c r="P21" s="90">
        <f t="shared" si="24"/>
        <v>1416</v>
      </c>
      <c r="Q21" s="90">
        <f t="shared" si="24"/>
        <v>14160</v>
      </c>
      <c r="R21" s="90">
        <f t="shared" si="24"/>
        <v>1416</v>
      </c>
      <c r="S21" s="82">
        <f>项目投资!F27</f>
        <v>88500</v>
      </c>
      <c r="AS21" s="79"/>
      <c r="AT21" s="79"/>
    </row>
    <row r="22" spans="1:47">
      <c r="A22" s="76">
        <v>16</v>
      </c>
      <c r="B22" s="79" t="s">
        <v>84</v>
      </c>
      <c r="C22" s="82">
        <f>C6*C47</f>
        <v>325154.86725663784</v>
      </c>
      <c r="D22" s="82">
        <f>D6*D47</f>
        <v>407621.68141592911</v>
      </c>
      <c r="E22" s="82">
        <f t="shared" ref="E22:F22" si="25">E6*E47</f>
        <v>205774.33628318581</v>
      </c>
      <c r="F22" s="82">
        <f t="shared" si="25"/>
        <v>20769.07079646019</v>
      </c>
      <c r="G22" s="82">
        <f t="shared" ref="G22:R22" si="26">G6*G47</f>
        <v>19163.71681415931</v>
      </c>
      <c r="H22" s="82">
        <f t="shared" si="26"/>
        <v>23797.566371681383</v>
      </c>
      <c r="I22" s="82">
        <f t="shared" si="26"/>
        <v>0</v>
      </c>
      <c r="J22" s="82">
        <f t="shared" si="26"/>
        <v>0</v>
      </c>
      <c r="K22" s="82">
        <f t="shared" si="26"/>
        <v>0</v>
      </c>
      <c r="L22" s="82">
        <f t="shared" si="26"/>
        <v>0</v>
      </c>
      <c r="M22" s="82">
        <f t="shared" si="26"/>
        <v>405893.80530973373</v>
      </c>
      <c r="N22" s="82">
        <f t="shared" si="26"/>
        <v>646853.98230088491</v>
      </c>
      <c r="O22" s="82">
        <f t="shared" si="26"/>
        <v>405893.80530973373</v>
      </c>
      <c r="P22" s="82">
        <f t="shared" si="26"/>
        <v>81178.761061946745</v>
      </c>
      <c r="Q22" s="82">
        <f t="shared" si="26"/>
        <v>646853.98230088491</v>
      </c>
      <c r="R22" s="82">
        <f t="shared" si="26"/>
        <v>64685.398230088496</v>
      </c>
      <c r="S22" s="82">
        <f t="shared" ref="S22:S23" si="27">+SUM(C22:R22)</f>
        <v>3253640.9734513261</v>
      </c>
      <c r="AS22" s="79" t="s">
        <v>85</v>
      </c>
      <c r="AT22" s="79" t="s">
        <v>84</v>
      </c>
    </row>
    <row r="23" spans="1:47">
      <c r="A23" s="76">
        <v>17</v>
      </c>
      <c r="B23" s="84" t="s">
        <v>86</v>
      </c>
      <c r="C23" s="90">
        <f>+C22+C21+C20+C19+C17</f>
        <v>1503814.9262536906</v>
      </c>
      <c r="D23" s="90">
        <f>+D22+D21+D20+D19+D17</f>
        <v>1879213.1563421828</v>
      </c>
      <c r="E23" s="90">
        <f t="shared" ref="E23:F23" si="28">+E22+E21+E20+E19+E17</f>
        <v>984054.63126843655</v>
      </c>
      <c r="F23" s="90">
        <f t="shared" si="28"/>
        <v>141889.81710914461</v>
      </c>
      <c r="G23" s="90">
        <f t="shared" ref="G23:R23" si="29">+G22+G21+G20+G19+G17</f>
        <v>88182.331563421918</v>
      </c>
      <c r="H23" s="90">
        <f t="shared" si="29"/>
        <v>109749.60353982286</v>
      </c>
      <c r="I23" s="90">
        <f t="shared" si="29"/>
        <v>0</v>
      </c>
      <c r="J23" s="90">
        <f t="shared" si="29"/>
        <v>0</v>
      </c>
      <c r="K23" s="90">
        <f t="shared" si="29"/>
        <v>0</v>
      </c>
      <c r="L23" s="90">
        <f t="shared" si="29"/>
        <v>0</v>
      </c>
      <c r="M23" s="90">
        <f t="shared" si="29"/>
        <v>1871347.6696165157</v>
      </c>
      <c r="N23" s="90">
        <f t="shared" si="29"/>
        <v>2991898.8790560476</v>
      </c>
      <c r="O23" s="90">
        <f t="shared" si="29"/>
        <v>1871347.6696165157</v>
      </c>
      <c r="P23" s="90">
        <f t="shared" si="29"/>
        <v>374269.53392330313</v>
      </c>
      <c r="Q23" s="90">
        <f t="shared" si="29"/>
        <v>2991898.8790560476</v>
      </c>
      <c r="R23" s="90">
        <f t="shared" si="29"/>
        <v>299189.88790560473</v>
      </c>
      <c r="S23" s="82">
        <f t="shared" si="27"/>
        <v>15106856.985250736</v>
      </c>
      <c r="AS23" s="79" t="s">
        <v>87</v>
      </c>
      <c r="AT23" s="84" t="s">
        <v>86</v>
      </c>
    </row>
    <row r="24" spans="1:47">
      <c r="A24" s="76">
        <v>18</v>
      </c>
      <c r="B24" s="91" t="s">
        <v>88</v>
      </c>
      <c r="C24" s="90">
        <f>+C15-C23</f>
        <v>-983521.04227690329</v>
      </c>
      <c r="D24" s="90">
        <f>+D15-D23</f>
        <v>-1986266.2467354252</v>
      </c>
      <c r="E24" s="90">
        <f t="shared" ref="E24:F24" si="30">+E15-E23</f>
        <v>-683220.75911550829</v>
      </c>
      <c r="F24" s="90">
        <f t="shared" si="30"/>
        <v>846.14176632967428</v>
      </c>
      <c r="G24" s="90">
        <f t="shared" ref="G24:R24" si="31">+G15-G23</f>
        <v>-28640.161161256328</v>
      </c>
      <c r="H24" s="90">
        <f t="shared" si="31"/>
        <v>-23227.214856770617</v>
      </c>
      <c r="I24" s="90">
        <f t="shared" si="31"/>
        <v>0</v>
      </c>
      <c r="J24" s="90">
        <f t="shared" si="31"/>
        <v>0</v>
      </c>
      <c r="K24" s="90">
        <f t="shared" si="31"/>
        <v>0</v>
      </c>
      <c r="L24" s="90">
        <f t="shared" si="31"/>
        <v>0</v>
      </c>
      <c r="M24" s="90">
        <f t="shared" si="31"/>
        <v>-708142.63522612024</v>
      </c>
      <c r="N24" s="90">
        <f t="shared" si="31"/>
        <v>-758517.70761504956</v>
      </c>
      <c r="O24" s="90">
        <f t="shared" si="31"/>
        <v>-711445.42473996617</v>
      </c>
      <c r="P24" s="90">
        <f t="shared" si="31"/>
        <v>-142289.08494799281</v>
      </c>
      <c r="Q24" s="90">
        <f t="shared" si="31"/>
        <v>-765123.28664273955</v>
      </c>
      <c r="R24" s="90">
        <f t="shared" si="31"/>
        <v>-76512.328664274421</v>
      </c>
      <c r="S24" s="90">
        <f>+S15-S23</f>
        <v>-6866059.7502157055</v>
      </c>
      <c r="U24" s="92"/>
      <c r="AS24" s="79" t="s">
        <v>89</v>
      </c>
      <c r="AT24" s="79" t="s">
        <v>88</v>
      </c>
    </row>
    <row r="25" spans="1:47">
      <c r="A25" s="76">
        <v>19</v>
      </c>
      <c r="B25" s="79" t="s">
        <v>277</v>
      </c>
      <c r="C25" s="90">
        <f>IF(C24&lt;0,0,C24*0.15)</f>
        <v>0</v>
      </c>
      <c r="D25" s="90">
        <f t="shared" ref="D25:S25" si="32">IF(D24&lt;0,0,D24*0.15)</f>
        <v>0</v>
      </c>
      <c r="E25" s="90">
        <f t="shared" ref="E25:F25" si="33">IF(E24&lt;0,0,E24*0.15)</f>
        <v>0</v>
      </c>
      <c r="F25" s="90">
        <f t="shared" si="33"/>
        <v>126.92126494945114</v>
      </c>
      <c r="G25" s="90">
        <f t="shared" ref="G25:R25" si="34">IF(G24&lt;0,0,G24*0.15)</f>
        <v>0</v>
      </c>
      <c r="H25" s="90">
        <f t="shared" si="34"/>
        <v>0</v>
      </c>
      <c r="I25" s="90">
        <f t="shared" si="34"/>
        <v>0</v>
      </c>
      <c r="J25" s="90">
        <f t="shared" si="34"/>
        <v>0</v>
      </c>
      <c r="K25" s="90">
        <f t="shared" si="34"/>
        <v>0</v>
      </c>
      <c r="L25" s="90">
        <f t="shared" si="34"/>
        <v>0</v>
      </c>
      <c r="M25" s="90">
        <f t="shared" si="34"/>
        <v>0</v>
      </c>
      <c r="N25" s="90">
        <f t="shared" si="34"/>
        <v>0</v>
      </c>
      <c r="O25" s="90">
        <f t="shared" si="34"/>
        <v>0</v>
      </c>
      <c r="P25" s="90">
        <f t="shared" si="34"/>
        <v>0</v>
      </c>
      <c r="Q25" s="90">
        <f t="shared" si="34"/>
        <v>0</v>
      </c>
      <c r="R25" s="90">
        <f t="shared" si="34"/>
        <v>0</v>
      </c>
      <c r="S25" s="90">
        <f t="shared" si="32"/>
        <v>0</v>
      </c>
      <c r="T25" s="2"/>
      <c r="U25" s="2"/>
      <c r="V25" s="2"/>
      <c r="AS25" s="79" t="s">
        <v>90</v>
      </c>
      <c r="AT25" s="79" t="s">
        <v>35</v>
      </c>
    </row>
    <row r="26" spans="1:47">
      <c r="A26" s="76">
        <v>20</v>
      </c>
      <c r="B26" s="79" t="s">
        <v>91</v>
      </c>
      <c r="C26" s="90">
        <f>C24-C25</f>
        <v>-983521.04227690329</v>
      </c>
      <c r="D26" s="90">
        <f>D24-D25</f>
        <v>-1986266.2467354252</v>
      </c>
      <c r="E26" s="90">
        <f t="shared" ref="E26:S26" si="35">E24-E25</f>
        <v>-683220.75911550829</v>
      </c>
      <c r="F26" s="90">
        <f t="shared" si="35"/>
        <v>719.22050138022314</v>
      </c>
      <c r="G26" s="90">
        <f t="shared" ref="G26:R26" si="36">G24-G25</f>
        <v>-28640.161161256328</v>
      </c>
      <c r="H26" s="90">
        <f t="shared" si="36"/>
        <v>-23227.214856770617</v>
      </c>
      <c r="I26" s="90">
        <f t="shared" si="36"/>
        <v>0</v>
      </c>
      <c r="J26" s="90">
        <f t="shared" si="36"/>
        <v>0</v>
      </c>
      <c r="K26" s="90">
        <f t="shared" si="36"/>
        <v>0</v>
      </c>
      <c r="L26" s="90">
        <f t="shared" si="36"/>
        <v>0</v>
      </c>
      <c r="M26" s="90">
        <f t="shared" si="36"/>
        <v>-708142.63522612024</v>
      </c>
      <c r="N26" s="90">
        <f t="shared" si="36"/>
        <v>-758517.70761504956</v>
      </c>
      <c r="O26" s="90">
        <f t="shared" si="36"/>
        <v>-711445.42473996617</v>
      </c>
      <c r="P26" s="90">
        <f t="shared" si="36"/>
        <v>-142289.08494799281</v>
      </c>
      <c r="Q26" s="90">
        <f t="shared" si="36"/>
        <v>-765123.28664273955</v>
      </c>
      <c r="R26" s="90">
        <f t="shared" si="36"/>
        <v>-76512.328664274421</v>
      </c>
      <c r="S26" s="90">
        <f t="shared" si="35"/>
        <v>-6866059.7502157055</v>
      </c>
      <c r="T26" s="2"/>
      <c r="U26" s="2"/>
      <c r="V26" s="2"/>
      <c r="AS26" s="79" t="s">
        <v>92</v>
      </c>
      <c r="AT26" s="79" t="s">
        <v>91</v>
      </c>
    </row>
    <row r="27" spans="1:47">
      <c r="A27" s="76">
        <v>21</v>
      </c>
      <c r="B27" s="79" t="s">
        <v>95</v>
      </c>
      <c r="C27" s="93">
        <f>C26/C9</f>
        <v>-0.11898015740205262</v>
      </c>
      <c r="D27" s="93">
        <f t="shared" ref="D27:S27" si="37">D26/D9</f>
        <v>-0.19167317151018362</v>
      </c>
      <c r="E27" s="93">
        <f t="shared" si="37"/>
        <v>-0.13060234848923044</v>
      </c>
      <c r="F27" s="93">
        <f t="shared" si="37"/>
        <v>1.3621537621292671E-3</v>
      </c>
      <c r="G27" s="93">
        <f t="shared" ref="G27:R27" si="38">G26/G9</f>
        <v>-5.8786398641695874E-2</v>
      </c>
      <c r="H27" s="93">
        <f t="shared" si="38"/>
        <v>-3.8392441660076368E-2</v>
      </c>
      <c r="I27" s="93" t="e">
        <f t="shared" si="38"/>
        <v>#DIV/0!</v>
      </c>
      <c r="J27" s="93" t="e">
        <f t="shared" si="38"/>
        <v>#DIV/0!</v>
      </c>
      <c r="K27" s="93" t="e">
        <f t="shared" si="38"/>
        <v>#DIV/0!</v>
      </c>
      <c r="L27" s="93" t="e">
        <f t="shared" si="38"/>
        <v>#DIV/0!</v>
      </c>
      <c r="M27" s="93">
        <f t="shared" si="38"/>
        <v>-6.8626122638827253E-2</v>
      </c>
      <c r="N27" s="93">
        <f t="shared" si="38"/>
        <v>-4.6125449360486473E-2</v>
      </c>
      <c r="O27" s="93">
        <f t="shared" si="38"/>
        <v>-6.8946196063237083E-2</v>
      </c>
      <c r="P27" s="93">
        <f t="shared" si="38"/>
        <v>-6.8946196063236875E-2</v>
      </c>
      <c r="Q27" s="93">
        <f t="shared" si="38"/>
        <v>-4.6527134512829721E-2</v>
      </c>
      <c r="R27" s="93">
        <f t="shared" si="38"/>
        <v>-4.6527134512830019E-2</v>
      </c>
      <c r="S27" s="93">
        <f t="shared" si="37"/>
        <v>-8.3007836067233276E-2</v>
      </c>
      <c r="T27" s="2"/>
      <c r="U27" s="2"/>
      <c r="V27" s="2"/>
      <c r="AS27" s="79" t="s">
        <v>94</v>
      </c>
      <c r="AT27" s="79" t="s">
        <v>95</v>
      </c>
    </row>
    <row r="28" spans="1:47">
      <c r="T28" s="2"/>
      <c r="U28" s="2"/>
      <c r="V28" s="2"/>
    </row>
    <row r="29" spans="1:47">
      <c r="A29" s="72" t="s">
        <v>96</v>
      </c>
      <c r="S29" s="75" t="s">
        <v>149</v>
      </c>
      <c r="T29" s="2"/>
      <c r="U29" s="2"/>
      <c r="V29" s="2"/>
      <c r="AS29" s="72" t="s">
        <v>96</v>
      </c>
    </row>
    <row r="30" spans="1:47">
      <c r="A30" s="79" t="s">
        <v>97</v>
      </c>
      <c r="B30" s="84" t="s">
        <v>98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S30" s="79" t="s">
        <v>99</v>
      </c>
      <c r="AT30" s="84" t="s">
        <v>98</v>
      </c>
    </row>
    <row r="31" spans="1:47">
      <c r="A31" s="76">
        <v>1</v>
      </c>
      <c r="B31" s="87" t="s">
        <v>100</v>
      </c>
      <c r="C31" s="94">
        <f>销量!C8</f>
        <v>1831.8584070796501</v>
      </c>
      <c r="D31" s="94">
        <f>销量!D8</f>
        <v>2296.4601769911501</v>
      </c>
      <c r="E31" s="94">
        <f>销量!E8</f>
        <v>579.64601769911496</v>
      </c>
      <c r="F31" s="94">
        <f>销量!F8</f>
        <v>58.504424778761098</v>
      </c>
      <c r="G31" s="94">
        <f>销量!G8</f>
        <v>2699.1150442477901</v>
      </c>
      <c r="H31" s="94">
        <f>销量!H8</f>
        <v>2234.5132743362801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2286.7256637168098</v>
      </c>
      <c r="N31" s="94">
        <f>销量!N8</f>
        <v>1822.12389380531</v>
      </c>
      <c r="O31" s="94">
        <f>销量!O8</f>
        <v>2286.7256637168098</v>
      </c>
      <c r="P31" s="94">
        <f>销量!P8</f>
        <v>2286.7256637168098</v>
      </c>
      <c r="Q31" s="94">
        <f>销量!Q8</f>
        <v>1822.12389380531</v>
      </c>
      <c r="R31" s="94">
        <f>销量!R8</f>
        <v>1822.12389380531</v>
      </c>
      <c r="S31" s="90"/>
      <c r="T31" s="2"/>
      <c r="U31" s="2"/>
      <c r="V31" s="2"/>
      <c r="X31" s="2"/>
      <c r="AS31" s="79" t="s">
        <v>55</v>
      </c>
      <c r="AT31" s="79" t="s">
        <v>100</v>
      </c>
    </row>
    <row r="32" spans="1:47">
      <c r="A32" s="76">
        <v>2</v>
      </c>
      <c r="B32" s="79" t="s">
        <v>150</v>
      </c>
      <c r="C32" s="82">
        <f>C9/C6</f>
        <v>1653.2522123893841</v>
      </c>
      <c r="D32" s="82">
        <f t="shared" ref="D32:F32" si="39">D9/D6</f>
        <v>2072.5553097345128</v>
      </c>
      <c r="E32" s="82">
        <f t="shared" si="39"/>
        <v>523.13053097345119</v>
      </c>
      <c r="F32" s="82">
        <f t="shared" si="39"/>
        <v>52.800243362831885</v>
      </c>
      <c r="G32" s="82">
        <f t="shared" ref="G32:R32" si="40">G9/G6</f>
        <v>2435.9513274336305</v>
      </c>
      <c r="H32" s="82">
        <f t="shared" si="40"/>
        <v>2016.6482300884929</v>
      </c>
      <c r="I32" s="82" t="e">
        <f t="shared" si="40"/>
        <v>#DIV/0!</v>
      </c>
      <c r="J32" s="82" t="e">
        <f t="shared" si="40"/>
        <v>#DIV/0!</v>
      </c>
      <c r="K32" s="82" t="e">
        <f t="shared" si="40"/>
        <v>#DIV/0!</v>
      </c>
      <c r="L32" s="82" t="e">
        <f t="shared" si="40"/>
        <v>#DIV/0!</v>
      </c>
      <c r="M32" s="82">
        <f t="shared" si="40"/>
        <v>2063.7699115044206</v>
      </c>
      <c r="N32" s="82">
        <f t="shared" si="40"/>
        <v>1644.4668141592924</v>
      </c>
      <c r="O32" s="82">
        <f t="shared" si="40"/>
        <v>2063.7699115044206</v>
      </c>
      <c r="P32" s="82">
        <f t="shared" si="40"/>
        <v>2063.7699115044211</v>
      </c>
      <c r="Q32" s="82">
        <f t="shared" si="40"/>
        <v>1644.4668141592924</v>
      </c>
      <c r="R32" s="82">
        <f t="shared" si="40"/>
        <v>1644.466814159292</v>
      </c>
      <c r="S32" s="90"/>
      <c r="T32" s="2"/>
      <c r="U32" s="2"/>
      <c r="V32" s="2"/>
      <c r="W32" s="2"/>
      <c r="X32" s="2"/>
      <c r="Y32" s="2"/>
      <c r="Z32" s="2"/>
      <c r="AS32" s="79"/>
      <c r="AT32" s="79"/>
    </row>
    <row r="33" spans="1:46">
      <c r="A33" s="76">
        <v>3</v>
      </c>
      <c r="B33" s="87" t="s">
        <v>101</v>
      </c>
      <c r="C33" s="82">
        <f>材料成本!D26</f>
        <v>1223.305824974557</v>
      </c>
      <c r="D33" s="82">
        <f>材料成本!E26</f>
        <v>1685.4256623264357</v>
      </c>
      <c r="E33" s="82">
        <f>材料成本!F26</f>
        <v>389.92811720948583</v>
      </c>
      <c r="F33" s="82">
        <f>材料成本!G26</f>
        <v>28.118710307142855</v>
      </c>
      <c r="G33" s="82">
        <f>材料成本!H26</f>
        <v>1658.0679090511208</v>
      </c>
      <c r="H33" s="82">
        <f>材料成本!I26</f>
        <v>1330.7203563072278</v>
      </c>
      <c r="I33" s="82">
        <f>材料成本!J26</f>
        <v>0</v>
      </c>
      <c r="J33" s="82">
        <f>材料成本!K26</f>
        <v>0</v>
      </c>
      <c r="K33" s="82">
        <f>材料成本!L26</f>
        <v>0</v>
      </c>
      <c r="L33" s="82">
        <f>材料成本!M26</f>
        <v>0</v>
      </c>
      <c r="M33" s="82">
        <f>材料成本!N26</f>
        <v>1424.320409051121</v>
      </c>
      <c r="N33" s="82">
        <f>材料成本!O26</f>
        <v>1096.9728563072279</v>
      </c>
      <c r="O33" s="82">
        <f>材料成本!P26</f>
        <v>1424.9809669538902</v>
      </c>
      <c r="P33" s="82">
        <f>材料成本!Q26</f>
        <v>1424.9809669538902</v>
      </c>
      <c r="Q33" s="82">
        <f>材料成本!R26</f>
        <v>1097.633414209997</v>
      </c>
      <c r="R33" s="82">
        <f>材料成本!S26</f>
        <v>1097.633414209997</v>
      </c>
      <c r="S33" s="90"/>
      <c r="U33" s="2"/>
      <c r="V33" s="2"/>
      <c r="W33" s="2"/>
      <c r="X33" s="2"/>
      <c r="Y33" s="2"/>
      <c r="Z33" s="2"/>
      <c r="AS33" s="79" t="s">
        <v>57</v>
      </c>
      <c r="AT33" s="79" t="s">
        <v>101</v>
      </c>
    </row>
    <row r="34" spans="1:46" ht="17.25" customHeight="1">
      <c r="A34" s="76">
        <v>4</v>
      </c>
      <c r="B34" s="79" t="s">
        <v>103</v>
      </c>
      <c r="C34" s="95">
        <f>C32-C33</f>
        <v>429.94638741482709</v>
      </c>
      <c r="D34" s="95">
        <f>D32-D33</f>
        <v>387.12964740807706</v>
      </c>
      <c r="E34" s="95">
        <f t="shared" ref="E34:F34" si="41">E32-E33</f>
        <v>133.20241376396535</v>
      </c>
      <c r="F34" s="95">
        <f t="shared" si="41"/>
        <v>24.68153305568903</v>
      </c>
      <c r="G34" s="95">
        <f t="shared" ref="G34:R34" si="42">G32-G33</f>
        <v>777.88341838250972</v>
      </c>
      <c r="H34" s="95">
        <f t="shared" si="42"/>
        <v>685.92787378126513</v>
      </c>
      <c r="I34" s="95" t="e">
        <f t="shared" si="42"/>
        <v>#DIV/0!</v>
      </c>
      <c r="J34" s="95" t="e">
        <f t="shared" si="42"/>
        <v>#DIV/0!</v>
      </c>
      <c r="K34" s="95" t="e">
        <f t="shared" si="42"/>
        <v>#DIV/0!</v>
      </c>
      <c r="L34" s="95" t="e">
        <f t="shared" si="42"/>
        <v>#DIV/0!</v>
      </c>
      <c r="M34" s="95">
        <f t="shared" si="42"/>
        <v>639.4495024532996</v>
      </c>
      <c r="N34" s="95">
        <f t="shared" si="42"/>
        <v>547.49395785206457</v>
      </c>
      <c r="O34" s="95">
        <f t="shared" si="42"/>
        <v>638.78894455053046</v>
      </c>
      <c r="P34" s="95">
        <f t="shared" si="42"/>
        <v>638.78894455053091</v>
      </c>
      <c r="Q34" s="95">
        <f t="shared" si="42"/>
        <v>546.83339994929543</v>
      </c>
      <c r="R34" s="95">
        <f t="shared" si="42"/>
        <v>546.83339994929497</v>
      </c>
      <c r="S34" s="90"/>
      <c r="U34" s="2"/>
      <c r="V34" s="2"/>
      <c r="W34" s="2"/>
      <c r="X34" s="2"/>
      <c r="Y34" s="2"/>
      <c r="Z34" s="2"/>
      <c r="AS34" s="79" t="s">
        <v>102</v>
      </c>
      <c r="AT34" s="79" t="s">
        <v>103</v>
      </c>
    </row>
    <row r="35" spans="1:46">
      <c r="A35" s="79" t="s">
        <v>99</v>
      </c>
      <c r="B35" s="84" t="s">
        <v>9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S35" s="79" t="s">
        <v>105</v>
      </c>
      <c r="AT35" s="84" t="s">
        <v>9</v>
      </c>
    </row>
    <row r="36" spans="1:46">
      <c r="A36" s="76">
        <v>1</v>
      </c>
      <c r="B36" s="79" t="s">
        <v>106</v>
      </c>
      <c r="C36" s="88">
        <f>'2025年'!C36</f>
        <v>127.13097345132772</v>
      </c>
      <c r="D36" s="88">
        <f>'2025年'!D36</f>
        <v>159.37433628318581</v>
      </c>
      <c r="E36" s="88">
        <f>'2025年'!E36</f>
        <v>40.227433628318579</v>
      </c>
      <c r="F36" s="88">
        <f>'2025年'!F36</f>
        <v>4.0602070796460206</v>
      </c>
      <c r="G36" s="88">
        <f>'2025年'!G36</f>
        <v>187.31858407079665</v>
      </c>
      <c r="H36" s="88">
        <f>'2025年'!H36</f>
        <v>155.07522123893784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158.69876106194661</v>
      </c>
      <c r="N36" s="88">
        <f>'2025年'!N36</f>
        <v>126.45539823008852</v>
      </c>
      <c r="O36" s="88">
        <f>'2025年'!O36</f>
        <v>158.69876106194661</v>
      </c>
      <c r="P36" s="88">
        <f>'2025年'!P36</f>
        <v>158.69876106194661</v>
      </c>
      <c r="Q36" s="88">
        <f>'2025年'!Q36</f>
        <v>126.45539823008852</v>
      </c>
      <c r="R36" s="88">
        <f>'2025年'!R36</f>
        <v>126.45539823008852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S36" s="79" t="s">
        <v>102</v>
      </c>
      <c r="AT36" s="79" t="s">
        <v>106</v>
      </c>
    </row>
    <row r="37" spans="1:46">
      <c r="A37" s="76">
        <v>2</v>
      </c>
      <c r="B37" s="79" t="s">
        <v>107</v>
      </c>
      <c r="C37" s="88">
        <f>'2025年'!C37</f>
        <v>79.502654867256808</v>
      </c>
      <c r="D37" s="88">
        <f>'2025年'!D37</f>
        <v>99.66637168141591</v>
      </c>
      <c r="E37" s="88">
        <f>'2025年'!E37</f>
        <v>25.156637168141589</v>
      </c>
      <c r="F37" s="88">
        <f>'2025年'!F37</f>
        <v>2.5390920353982316</v>
      </c>
      <c r="G37" s="88">
        <f>'2025年'!G37</f>
        <v>117.1415929203541</v>
      </c>
      <c r="H37" s="88">
        <f>'2025年'!H37</f>
        <v>96.977876106194557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99.24389380530954</v>
      </c>
      <c r="N37" s="88">
        <f>'2025年'!N37</f>
        <v>79.080176991150452</v>
      </c>
      <c r="O37" s="88">
        <f>'2025年'!O37</f>
        <v>99.24389380530954</v>
      </c>
      <c r="P37" s="88">
        <f>'2025年'!P37</f>
        <v>99.24389380530954</v>
      </c>
      <c r="Q37" s="88">
        <f>'2025年'!Q37</f>
        <v>79.080176991150452</v>
      </c>
      <c r="R37" s="88">
        <f>'2025年'!R37</f>
        <v>79.080176991150452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S37" s="79" t="s">
        <v>60</v>
      </c>
      <c r="AT37" s="79" t="s">
        <v>107</v>
      </c>
    </row>
    <row r="38" spans="1:46">
      <c r="A38" s="76">
        <v>3</v>
      </c>
      <c r="B38" s="79" t="s">
        <v>108</v>
      </c>
      <c r="C38" s="88">
        <f>'2025年'!C38</f>
        <v>119.25398230088523</v>
      </c>
      <c r="D38" s="88">
        <f>'2025年'!D38</f>
        <v>149.49955752212389</v>
      </c>
      <c r="E38" s="88">
        <f>'2025年'!E38</f>
        <v>37.734955752212386</v>
      </c>
      <c r="F38" s="88">
        <f>'2025年'!F38</f>
        <v>3.8086380530973476</v>
      </c>
      <c r="G38" s="88">
        <f>'2025年'!G38</f>
        <v>175.71238938053116</v>
      </c>
      <c r="H38" s="88">
        <f>'2025年'!H38</f>
        <v>145.46681415929186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148.86584070796434</v>
      </c>
      <c r="N38" s="88">
        <f>'2025年'!N38</f>
        <v>118.62026548672569</v>
      </c>
      <c r="O38" s="88">
        <f>'2025年'!O38</f>
        <v>148.86584070796434</v>
      </c>
      <c r="P38" s="88">
        <f>'2025年'!P38</f>
        <v>148.86584070796434</v>
      </c>
      <c r="Q38" s="88">
        <f>'2025年'!Q38</f>
        <v>118.62026548672569</v>
      </c>
      <c r="R38" s="88">
        <f>'2025年'!R38</f>
        <v>118.62026548672569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S38" s="79" t="s">
        <v>66</v>
      </c>
      <c r="AT38" s="79" t="s">
        <v>108</v>
      </c>
    </row>
    <row r="39" spans="1:46">
      <c r="A39" s="79" t="s">
        <v>105</v>
      </c>
      <c r="B39" s="84" t="s">
        <v>110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S39" s="79" t="s">
        <v>109</v>
      </c>
      <c r="AT39" s="84" t="s">
        <v>110</v>
      </c>
    </row>
    <row r="40" spans="1:46">
      <c r="A40" s="76">
        <v>1</v>
      </c>
      <c r="B40" s="79" t="s">
        <v>111</v>
      </c>
      <c r="C40" s="90">
        <f>C34-C36-C37-C38</f>
        <v>104.05877679535736</v>
      </c>
      <c r="D40" s="90">
        <f>D34-D36-D37-D38</f>
        <v>-21.410618078648554</v>
      </c>
      <c r="E40" s="90">
        <f t="shared" ref="E40:F40" si="43">E34-E36-E37-E38</f>
        <v>30.083387215292802</v>
      </c>
      <c r="F40" s="90">
        <f t="shared" si="43"/>
        <v>14.273595887547433</v>
      </c>
      <c r="G40" s="90">
        <f t="shared" ref="G40:R40" si="44">G34-G36-G37-G38</f>
        <v>297.71085201082781</v>
      </c>
      <c r="H40" s="90">
        <f t="shared" si="44"/>
        <v>288.40796227684086</v>
      </c>
      <c r="I40" s="90" t="e">
        <f t="shared" si="44"/>
        <v>#DIV/0!</v>
      </c>
      <c r="J40" s="90" t="e">
        <f t="shared" si="44"/>
        <v>#DIV/0!</v>
      </c>
      <c r="K40" s="90" t="e">
        <f t="shared" si="44"/>
        <v>#DIV/0!</v>
      </c>
      <c r="L40" s="90" t="e">
        <f t="shared" si="44"/>
        <v>#DIV/0!</v>
      </c>
      <c r="M40" s="90">
        <f t="shared" si="44"/>
        <v>232.64100687807914</v>
      </c>
      <c r="N40" s="90">
        <f t="shared" si="44"/>
        <v>223.33811714409993</v>
      </c>
      <c r="O40" s="90">
        <f t="shared" si="44"/>
        <v>231.98044897531</v>
      </c>
      <c r="P40" s="90">
        <f t="shared" si="44"/>
        <v>231.98044897531045</v>
      </c>
      <c r="Q40" s="90">
        <f t="shared" si="44"/>
        <v>222.67755924133078</v>
      </c>
      <c r="R40" s="90">
        <f t="shared" si="44"/>
        <v>222.67755924133033</v>
      </c>
      <c r="S40" s="90"/>
      <c r="AS40" s="79" t="s">
        <v>55</v>
      </c>
      <c r="AT40" s="79" t="s">
        <v>111</v>
      </c>
    </row>
    <row r="41" spans="1:46">
      <c r="A41" s="76">
        <v>2</v>
      </c>
      <c r="B41" s="79" t="s">
        <v>112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S41" s="79" t="s">
        <v>57</v>
      </c>
      <c r="AT41" s="79" t="s">
        <v>112</v>
      </c>
    </row>
    <row r="42" spans="1:46">
      <c r="A42" s="79" t="s">
        <v>109</v>
      </c>
      <c r="B42" s="84" t="s">
        <v>114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S42" s="79" t="s">
        <v>113</v>
      </c>
      <c r="AT42" s="84" t="s">
        <v>114</v>
      </c>
    </row>
    <row r="43" spans="1:46">
      <c r="A43" s="76">
        <v>1</v>
      </c>
      <c r="B43" s="91" t="s">
        <v>115</v>
      </c>
      <c r="C43" s="88">
        <f>'2025年'!C43</f>
        <v>151.12831858407114</v>
      </c>
      <c r="D43" s="88">
        <f>'2025年'!D43</f>
        <v>189.4579646017699</v>
      </c>
      <c r="E43" s="88">
        <f>'2025年'!E43</f>
        <v>47.820796460176986</v>
      </c>
      <c r="F43" s="88">
        <f>'2025年'!F43</f>
        <v>4.8266150442477906</v>
      </c>
      <c r="G43" s="88">
        <f>'2025年'!G43</f>
        <v>222.67699115044269</v>
      </c>
      <c r="H43" s="88">
        <f>'2025年'!H43</f>
        <v>184.34734513274313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188.65486725663681</v>
      </c>
      <c r="N43" s="88">
        <f>'2025年'!N43</f>
        <v>150.32522123893807</v>
      </c>
      <c r="O43" s="88">
        <f>'2025年'!O43</f>
        <v>188.65486725663681</v>
      </c>
      <c r="P43" s="88">
        <f>'2025年'!P43</f>
        <v>188.65486725663681</v>
      </c>
      <c r="Q43" s="88">
        <f>'2025年'!Q43</f>
        <v>150.32522123893807</v>
      </c>
      <c r="R43" s="88">
        <f>'2025年'!R43</f>
        <v>150.32522123893807</v>
      </c>
      <c r="S43" s="90"/>
      <c r="AS43" s="79" t="s">
        <v>55</v>
      </c>
      <c r="AT43" s="79" t="s">
        <v>115</v>
      </c>
    </row>
    <row r="44" spans="1:46">
      <c r="A44" s="76">
        <v>2</v>
      </c>
      <c r="B44" s="91" t="s">
        <v>116</v>
      </c>
      <c r="C44" s="88">
        <f>'2025年'!C44</f>
        <v>31.507964601769981</v>
      </c>
      <c r="D44" s="88">
        <f>'2025年'!D44</f>
        <v>39.49911504424778</v>
      </c>
      <c r="E44" s="88">
        <f>'2025年'!E44</f>
        <v>9.9699115044247772</v>
      </c>
      <c r="F44" s="88">
        <f>'2025年'!F44</f>
        <v>1.006276106194691</v>
      </c>
      <c r="G44" s="88">
        <f>'2025年'!G44</f>
        <v>46.424778761061994</v>
      </c>
      <c r="H44" s="88">
        <f>'2025年'!H44</f>
        <v>38.43362831858402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39.331681415929125</v>
      </c>
      <c r="N44" s="88">
        <f>'2025年'!N44</f>
        <v>31.340530973451333</v>
      </c>
      <c r="O44" s="88">
        <f>'2025年'!O44</f>
        <v>39.331681415929125</v>
      </c>
      <c r="P44" s="88">
        <f>'2025年'!P44</f>
        <v>39.331681415929125</v>
      </c>
      <c r="Q44" s="88">
        <f>'2025年'!Q44</f>
        <v>31.340530973451333</v>
      </c>
      <c r="R44" s="88">
        <f>'2025年'!R44</f>
        <v>31.340530973451333</v>
      </c>
      <c r="S44" s="90"/>
      <c r="AS44" s="79" t="s">
        <v>57</v>
      </c>
      <c r="AT44" s="79" t="s">
        <v>116</v>
      </c>
    </row>
    <row r="45" spans="1:46">
      <c r="A45" s="76">
        <v>3</v>
      </c>
      <c r="B45" s="91" t="s">
        <v>117</v>
      </c>
      <c r="C45" s="88">
        <f>'2025年'!C45</f>
        <v>48.361061946902758</v>
      </c>
      <c r="D45" s="88">
        <f>'2025年'!D45</f>
        <v>60.626548672566365</v>
      </c>
      <c r="E45" s="88">
        <f>'2025年'!E45</f>
        <v>15.302654867256635</v>
      </c>
      <c r="F45" s="88">
        <f>'2025年'!F45</f>
        <v>1.5445168141592931</v>
      </c>
      <c r="G45" s="88">
        <f>'2025年'!G45</f>
        <v>71.256637168141665</v>
      </c>
      <c r="H45" s="88">
        <f>'2025年'!H45</f>
        <v>58.991150442477796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60.369557522123777</v>
      </c>
      <c r="N45" s="88">
        <f>'2025年'!N45</f>
        <v>48.104070796460185</v>
      </c>
      <c r="O45" s="88">
        <f>'2025年'!O45</f>
        <v>60.369557522123777</v>
      </c>
      <c r="P45" s="88">
        <f>'2025年'!P45</f>
        <v>60.369557522123777</v>
      </c>
      <c r="Q45" s="88">
        <f>'2025年'!Q45</f>
        <v>48.104070796460185</v>
      </c>
      <c r="R45" s="88">
        <f>'2025年'!R45</f>
        <v>48.104070796460185</v>
      </c>
      <c r="S45" s="90"/>
      <c r="AS45" s="79" t="s">
        <v>102</v>
      </c>
      <c r="AT45" s="79" t="s">
        <v>117</v>
      </c>
    </row>
    <row r="46" spans="1:46" s="74" customFormat="1">
      <c r="A46" s="76">
        <v>4</v>
      </c>
      <c r="B46" s="91" t="s">
        <v>118</v>
      </c>
      <c r="C46" s="96">
        <f>C21/C6</f>
        <v>1.4159999999999999</v>
      </c>
      <c r="D46" s="96">
        <f>D21/D6</f>
        <v>1.4159999999999999</v>
      </c>
      <c r="E46" s="96">
        <f t="shared" ref="E46:F46" si="45">E21/E6</f>
        <v>1.4159999999999999</v>
      </c>
      <c r="F46" s="96">
        <f t="shared" si="45"/>
        <v>1.4159999999999999</v>
      </c>
      <c r="G46" s="96">
        <f t="shared" ref="G46:R46" si="46">G21/G6</f>
        <v>1.4159999999999999</v>
      </c>
      <c r="H46" s="96">
        <f t="shared" si="46"/>
        <v>1.4159999999999999</v>
      </c>
      <c r="I46" s="96" t="e">
        <f t="shared" si="46"/>
        <v>#DIV/0!</v>
      </c>
      <c r="J46" s="96" t="e">
        <f t="shared" si="46"/>
        <v>#DIV/0!</v>
      </c>
      <c r="K46" s="96" t="e">
        <f t="shared" si="46"/>
        <v>#DIV/0!</v>
      </c>
      <c r="L46" s="96" t="e">
        <f t="shared" si="46"/>
        <v>#DIV/0!</v>
      </c>
      <c r="M46" s="96">
        <f t="shared" si="46"/>
        <v>1.4159999999999999</v>
      </c>
      <c r="N46" s="96">
        <f t="shared" si="46"/>
        <v>1.4159999999999999</v>
      </c>
      <c r="O46" s="96">
        <f t="shared" si="46"/>
        <v>1.4159999999999999</v>
      </c>
      <c r="P46" s="96">
        <f t="shared" si="46"/>
        <v>1.4159999999999999</v>
      </c>
      <c r="Q46" s="96">
        <f t="shared" si="46"/>
        <v>1.4159999999999999</v>
      </c>
      <c r="R46" s="96">
        <f t="shared" si="46"/>
        <v>1.4159999999999999</v>
      </c>
      <c r="S46" s="96"/>
      <c r="AS46" s="91" t="s">
        <v>62</v>
      </c>
      <c r="AT46" s="91" t="s">
        <v>120</v>
      </c>
    </row>
    <row r="47" spans="1:46" s="74" customFormat="1">
      <c r="A47" s="76">
        <v>5</v>
      </c>
      <c r="B47" s="91" t="s">
        <v>120</v>
      </c>
      <c r="C47" s="88">
        <f>'2025年'!C47</f>
        <v>65.030973451327569</v>
      </c>
      <c r="D47" s="88">
        <f>'2025年'!D47</f>
        <v>81.524336283185818</v>
      </c>
      <c r="E47" s="88">
        <f>'2025年'!E47</f>
        <v>20.57743362831858</v>
      </c>
      <c r="F47" s="88">
        <f>'2025年'!F47</f>
        <v>2.0769070796460189</v>
      </c>
      <c r="G47" s="88">
        <f>'2025年'!G47</f>
        <v>95.818584070796547</v>
      </c>
      <c r="H47" s="88">
        <f>'2025年'!H47</f>
        <v>79.325221238937942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81.178761061946744</v>
      </c>
      <c r="N47" s="88">
        <f>'2025年'!N47</f>
        <v>64.685398230088495</v>
      </c>
      <c r="O47" s="88">
        <f>'2025年'!O47</f>
        <v>81.178761061946744</v>
      </c>
      <c r="P47" s="88">
        <f>'2025年'!P47</f>
        <v>81.178761061946744</v>
      </c>
      <c r="Q47" s="88">
        <f>'2025年'!Q47</f>
        <v>64.685398230088495</v>
      </c>
      <c r="R47" s="88">
        <f>'2025年'!R47</f>
        <v>64.685398230088495</v>
      </c>
      <c r="S47" s="96"/>
      <c r="AS47" s="91" t="s">
        <v>62</v>
      </c>
      <c r="AT47" s="91" t="s">
        <v>120</v>
      </c>
    </row>
    <row r="48" spans="1:46">
      <c r="A48" s="79" t="s">
        <v>113</v>
      </c>
      <c r="B48" s="84" t="s">
        <v>131</v>
      </c>
      <c r="C48" s="90">
        <f>C40-C43-C44-C45-C47-C46</f>
        <v>-193.38554178871408</v>
      </c>
      <c r="D48" s="90">
        <f>D40-D43-D44-D45-D47-D46</f>
        <v>-393.93458268041837</v>
      </c>
      <c r="E48" s="90">
        <f t="shared" ref="E48:F48" si="47">E40-E43-E44-E45-E47-E46</f>
        <v>-65.003409244884182</v>
      </c>
      <c r="F48" s="90">
        <f t="shared" si="47"/>
        <v>3.40328084329964</v>
      </c>
      <c r="G48" s="90">
        <f t="shared" ref="G48:R48" si="48">G40-G43-G44-G45-G47-G46</f>
        <v>-139.88213913961508</v>
      </c>
      <c r="H48" s="90">
        <f t="shared" si="48"/>
        <v>-74.105382855902036</v>
      </c>
      <c r="I48" s="90" t="e">
        <f t="shared" si="48"/>
        <v>#DIV/0!</v>
      </c>
      <c r="J48" s="90" t="e">
        <f t="shared" si="48"/>
        <v>#DIV/0!</v>
      </c>
      <c r="K48" s="90" t="e">
        <f t="shared" si="48"/>
        <v>#DIV/0!</v>
      </c>
      <c r="L48" s="90" t="e">
        <f t="shared" si="48"/>
        <v>#DIV/0!</v>
      </c>
      <c r="M48" s="90">
        <f t="shared" si="48"/>
        <v>-138.30986037855732</v>
      </c>
      <c r="N48" s="90">
        <f t="shared" si="48"/>
        <v>-72.533104094838166</v>
      </c>
      <c r="O48" s="90">
        <f t="shared" si="48"/>
        <v>-138.97041828132646</v>
      </c>
      <c r="P48" s="90">
        <f t="shared" si="48"/>
        <v>-138.970418281326</v>
      </c>
      <c r="Q48" s="90">
        <f t="shared" si="48"/>
        <v>-73.193661997607308</v>
      </c>
      <c r="R48" s="90">
        <f t="shared" si="48"/>
        <v>-73.193661997607762</v>
      </c>
      <c r="S48" s="90"/>
      <c r="AS48" s="79" t="s">
        <v>130</v>
      </c>
      <c r="AT48" s="84" t="s">
        <v>131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K8" activePane="bottomRight" state="frozen"/>
      <selection pane="topRight"/>
      <selection pane="bottomLeft"/>
      <selection pane="bottomRight" activeCell="F3" sqref="F3:R48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4" width="9" style="72"/>
    <col min="45" max="45" width="4.375" style="72" customWidth="1"/>
    <col min="46" max="46" width="13.875" style="72" customWidth="1"/>
    <col min="47" max="16384" width="9" style="72"/>
  </cols>
  <sheetData>
    <row r="1" spans="1:47">
      <c r="A1" s="215" t="s">
        <v>141</v>
      </c>
      <c r="B1" s="215"/>
      <c r="C1" s="219" t="s">
        <v>264</v>
      </c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1"/>
    </row>
    <row r="2" spans="1:47">
      <c r="A2" s="215" t="s">
        <v>142</v>
      </c>
      <c r="B2" s="215"/>
      <c r="C2" s="222" t="str">
        <f>'2025年'!$C$2</f>
        <v>北汽福田戴姆勒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47">
      <c r="A3" s="215" t="s">
        <v>143</v>
      </c>
      <c r="B3" s="215"/>
      <c r="C3" s="77" t="str">
        <f>'2025年'!C3</f>
        <v>驾驶员座椅总成</v>
      </c>
      <c r="D3" s="77" t="str">
        <f>'2025年'!D3</f>
        <v>驾驶员座椅总成</v>
      </c>
      <c r="E3" s="77" t="str">
        <f>'2025年'!E3</f>
        <v>副驾驶座椅总成</v>
      </c>
      <c r="F3" s="77" t="str">
        <f>'2025年'!F3</f>
        <v>副驾驶座椅安装支架</v>
      </c>
      <c r="G3" s="77" t="str">
        <f>'2025年'!G3</f>
        <v>驾驶员座椅总成</v>
      </c>
      <c r="H3" s="77" t="str">
        <f>'2025年'!H3</f>
        <v>驾驶员座椅总成</v>
      </c>
      <c r="I3" s="77" t="str">
        <f>'2025年'!I3</f>
        <v>副驾驶员座椅总成</v>
      </c>
      <c r="J3" s="77" t="str">
        <f>'2025年'!J3</f>
        <v>副驾驶员座椅总成</v>
      </c>
      <c r="K3" s="77" t="str">
        <f>'2025年'!K3</f>
        <v>副驾驶员座椅总成</v>
      </c>
      <c r="L3" s="77" t="str">
        <f>'2025年'!L3</f>
        <v>副驾驶员座椅总成</v>
      </c>
      <c r="M3" s="77" t="str">
        <f>'2025年'!M3</f>
        <v>驾驶员座椅总成</v>
      </c>
      <c r="N3" s="77" t="str">
        <f>'2025年'!N3</f>
        <v>驾驶员座椅总成</v>
      </c>
      <c r="O3" s="77" t="str">
        <f>'2025年'!O3</f>
        <v>驾驶员座椅总成</v>
      </c>
      <c r="P3" s="77" t="str">
        <f>'2025年'!P3</f>
        <v>驾驶员座椅总成</v>
      </c>
      <c r="Q3" s="77" t="str">
        <f>'2025年'!Q3</f>
        <v>驾驶员座椅总成</v>
      </c>
      <c r="R3" s="77" t="str">
        <f>'2025年'!R3</f>
        <v>驾驶员座椅总成</v>
      </c>
      <c r="S3" s="216" t="s">
        <v>51</v>
      </c>
    </row>
    <row r="4" spans="1:47">
      <c r="A4" s="215" t="s">
        <v>144</v>
      </c>
      <c r="B4" s="215"/>
      <c r="C4" s="77" t="str">
        <f>'2025年'!C4</f>
        <v>A668100000148</v>
      </c>
      <c r="D4" s="77" t="str">
        <f>'2025年'!D4</f>
        <v>A668100000149</v>
      </c>
      <c r="E4" s="77" t="str">
        <f>'2025年'!E4</f>
        <v>A668100000150</v>
      </c>
      <c r="F4" s="77" t="str">
        <f>'2025年'!F4</f>
        <v>A668100000147</v>
      </c>
      <c r="G4" s="77" t="str">
        <f>'2025年'!G4</f>
        <v>A668100000130</v>
      </c>
      <c r="H4" s="77" t="str">
        <f>'2025年'!H4</f>
        <v>A668100000131</v>
      </c>
      <c r="I4" s="77" t="str">
        <f>'2025年'!I4</f>
        <v>A668100000155</v>
      </c>
      <c r="J4" s="77" t="str">
        <f>'2025年'!J4</f>
        <v>A668100000154</v>
      </c>
      <c r="K4" s="77" t="str">
        <f>'2025年'!K4</f>
        <v>A668100000156</v>
      </c>
      <c r="L4" s="77" t="str">
        <f>'2025年'!L4</f>
        <v>A668100000158</v>
      </c>
      <c r="M4" s="77" t="str">
        <f>'2025年'!M4</f>
        <v>A668100000139</v>
      </c>
      <c r="N4" s="77" t="str">
        <f>'2025年'!N4</f>
        <v>A668100000138</v>
      </c>
      <c r="O4" s="77" t="str">
        <f>'2025年'!O4</f>
        <v>A668100000142</v>
      </c>
      <c r="P4" s="77" t="str">
        <f>'2025年'!P4</f>
        <v>A668100000143</v>
      </c>
      <c r="Q4" s="77" t="str">
        <f>'2025年'!Q4</f>
        <v>A668100000140</v>
      </c>
      <c r="R4" s="77" t="str">
        <f>'2025年'!R4</f>
        <v>A668100000141</v>
      </c>
      <c r="S4" s="217"/>
    </row>
    <row r="5" spans="1:47">
      <c r="A5" s="215" t="s">
        <v>145</v>
      </c>
      <c r="B5" s="215"/>
      <c r="C5" s="78" t="str">
        <f>'2025年'!C5</f>
        <v>匹配新能源车身</v>
      </c>
      <c r="D5" s="78" t="str">
        <f>'2025年'!D5</f>
        <v>匹配新能源车身</v>
      </c>
      <c r="E5" s="78" t="str">
        <f>'2025年'!E5</f>
        <v>匹配新能源车身</v>
      </c>
      <c r="F5" s="78" t="str">
        <f>'2025年'!F5</f>
        <v>匹配新能源车身</v>
      </c>
      <c r="G5" s="78" t="str">
        <f>'2025年'!G5</f>
        <v>增加振动提醒</v>
      </c>
      <c r="H5" s="78" t="str">
        <f>'2025年'!H5</f>
        <v>增加振动提醒</v>
      </c>
      <c r="I5" s="78" t="str">
        <f>'2025年'!I5</f>
        <v>旋转副驾</v>
      </c>
      <c r="J5" s="78" t="str">
        <f>'2025年'!J5</f>
        <v>旋转副驾</v>
      </c>
      <c r="K5" s="78" t="str">
        <f>'2025年'!K5</f>
        <v>旋转副驾</v>
      </c>
      <c r="L5" s="78" t="str">
        <f>'2025年'!L5</f>
        <v>旋转副驾</v>
      </c>
      <c r="M5" s="78" t="str">
        <f>'2025年'!M5</f>
        <v>更换斜切扶手</v>
      </c>
      <c r="N5" s="78" t="str">
        <f>'2025年'!N5</f>
        <v>更换斜切扶手</v>
      </c>
      <c r="O5" s="78" t="str">
        <f>'2025年'!O5</f>
        <v>更换斜切扶手</v>
      </c>
      <c r="P5" s="78" t="str">
        <f>'2025年'!P5</f>
        <v>更换斜切扶手</v>
      </c>
      <c r="Q5" s="78" t="str">
        <f>'2025年'!Q5</f>
        <v>更换斜切扶手</v>
      </c>
      <c r="R5" s="78" t="str">
        <f>'2025年'!R5</f>
        <v>更换斜切扶手</v>
      </c>
      <c r="S5" s="218"/>
      <c r="AU5" s="72" t="s">
        <v>52</v>
      </c>
    </row>
    <row r="6" spans="1:47" ht="17.25">
      <c r="A6" s="79" t="s">
        <v>18</v>
      </c>
      <c r="B6" s="80" t="s">
        <v>146</v>
      </c>
      <c r="C6" s="99">
        <f>销量!C12</f>
        <v>0</v>
      </c>
      <c r="D6" s="99">
        <f>销量!D12</f>
        <v>0</v>
      </c>
      <c r="E6" s="99">
        <f>销量!E12</f>
        <v>0</v>
      </c>
      <c r="F6" s="99">
        <f>销量!F12</f>
        <v>0</v>
      </c>
      <c r="G6" s="99">
        <f>销量!G12</f>
        <v>0</v>
      </c>
      <c r="H6" s="99">
        <f>销量!H12</f>
        <v>0</v>
      </c>
      <c r="I6" s="99">
        <f>销量!I12</f>
        <v>0</v>
      </c>
      <c r="J6" s="99">
        <f>销量!J12</f>
        <v>0</v>
      </c>
      <c r="K6" s="99">
        <f>销量!K12</f>
        <v>0</v>
      </c>
      <c r="L6" s="99">
        <f>销量!L12</f>
        <v>0</v>
      </c>
      <c r="M6" s="99">
        <f>销量!M12</f>
        <v>0</v>
      </c>
      <c r="N6" s="99">
        <f>销量!N12</f>
        <v>0</v>
      </c>
      <c r="O6" s="99">
        <f>销量!O12</f>
        <v>0</v>
      </c>
      <c r="P6" s="99">
        <f>销量!P12</f>
        <v>0</v>
      </c>
      <c r="Q6" s="99">
        <f>销量!Q12</f>
        <v>0</v>
      </c>
      <c r="R6" s="99">
        <f>销量!R12</f>
        <v>0</v>
      </c>
      <c r="S6" s="82">
        <f>+SUM(C6:R6)</f>
        <v>0</v>
      </c>
      <c r="AS6" s="79" t="s">
        <v>18</v>
      </c>
      <c r="AT6" s="80" t="s">
        <v>3</v>
      </c>
      <c r="AU6" s="72" t="s">
        <v>53</v>
      </c>
    </row>
    <row r="7" spans="1:47">
      <c r="A7" s="76">
        <v>1</v>
      </c>
      <c r="B7" s="80" t="s">
        <v>54</v>
      </c>
      <c r="C7" s="82">
        <f>C6*销量!C8</f>
        <v>0</v>
      </c>
      <c r="D7" s="82">
        <f>D6*销量!D8</f>
        <v>0</v>
      </c>
      <c r="E7" s="82">
        <f>E6*销量!E8</f>
        <v>0</v>
      </c>
      <c r="F7" s="82">
        <f>F6*销量!F8</f>
        <v>0</v>
      </c>
      <c r="G7" s="82">
        <f>G6*销量!G8</f>
        <v>0</v>
      </c>
      <c r="H7" s="82">
        <f>H6*销量!H8</f>
        <v>0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0</v>
      </c>
      <c r="N7" s="82">
        <f>N6*销量!N8</f>
        <v>0</v>
      </c>
      <c r="O7" s="82">
        <f>O6*销量!O8</f>
        <v>0</v>
      </c>
      <c r="P7" s="82">
        <f>P6*销量!P8</f>
        <v>0</v>
      </c>
      <c r="Q7" s="82">
        <f>Q6*销量!Q8</f>
        <v>0</v>
      </c>
      <c r="R7" s="82">
        <f>R6*销量!R8</f>
        <v>0</v>
      </c>
      <c r="S7" s="82">
        <f t="shared" ref="S7:S13" si="0">+SUM(C7:R7)</f>
        <v>0</v>
      </c>
      <c r="T7" s="75"/>
      <c r="AS7" s="79" t="s">
        <v>55</v>
      </c>
      <c r="AT7" s="80" t="s">
        <v>54</v>
      </c>
      <c r="AU7" s="72" t="s">
        <v>53</v>
      </c>
    </row>
    <row r="8" spans="1:47">
      <c r="A8" s="76">
        <v>2</v>
      </c>
      <c r="B8" s="76" t="s">
        <v>56</v>
      </c>
      <c r="C8" s="82">
        <f>C7*(1-销量!$V$9)</f>
        <v>0</v>
      </c>
      <c r="D8" s="82">
        <f>D7*(1-销量!$V$9)</f>
        <v>0</v>
      </c>
      <c r="E8" s="82">
        <f>E7*(1-销量!$V$9)</f>
        <v>0</v>
      </c>
      <c r="F8" s="82">
        <f>F7*(1-销量!$V$9)</f>
        <v>0</v>
      </c>
      <c r="G8" s="82">
        <f>G7*(1-销量!$V$9)</f>
        <v>0</v>
      </c>
      <c r="H8" s="82">
        <f>H7*(1-销量!$V$9)</f>
        <v>0</v>
      </c>
      <c r="I8" s="82">
        <f>I7*(1-销量!$V$9)</f>
        <v>0</v>
      </c>
      <c r="J8" s="82">
        <f>J7*(1-销量!$V$9)</f>
        <v>0</v>
      </c>
      <c r="K8" s="82">
        <f>K7*(1-销量!$V$9)</f>
        <v>0</v>
      </c>
      <c r="L8" s="82">
        <f>L7*(1-销量!$V$9)</f>
        <v>0</v>
      </c>
      <c r="M8" s="82">
        <f>M7*(1-销量!$V$9)</f>
        <v>0</v>
      </c>
      <c r="N8" s="82">
        <f>N7*(1-销量!$V$9)</f>
        <v>0</v>
      </c>
      <c r="O8" s="82">
        <f>O7*(1-销量!$V$9)</f>
        <v>0</v>
      </c>
      <c r="P8" s="82">
        <f>P7*(1-销量!$V$9)</f>
        <v>0</v>
      </c>
      <c r="Q8" s="82">
        <f>Q7*(1-销量!$V$9)</f>
        <v>0</v>
      </c>
      <c r="R8" s="82">
        <f>R7*(1-销量!$V$9)</f>
        <v>0</v>
      </c>
      <c r="S8" s="82">
        <f t="shared" si="0"/>
        <v>0</v>
      </c>
      <c r="T8" s="83"/>
      <c r="AS8" s="79" t="s">
        <v>57</v>
      </c>
      <c r="AT8" s="76" t="s">
        <v>58</v>
      </c>
      <c r="AU8" s="72" t="s">
        <v>53</v>
      </c>
    </row>
    <row r="9" spans="1:47">
      <c r="A9" s="76">
        <v>3</v>
      </c>
      <c r="B9" s="80" t="s">
        <v>59</v>
      </c>
      <c r="C9" s="82">
        <f>+C7-C8</f>
        <v>0</v>
      </c>
      <c r="D9" s="82">
        <f>+D7-D8</f>
        <v>0</v>
      </c>
      <c r="E9" s="82">
        <f t="shared" ref="E9:S9" si="1">+E7-E8</f>
        <v>0</v>
      </c>
      <c r="F9" s="82">
        <f t="shared" si="1"/>
        <v>0</v>
      </c>
      <c r="G9" s="82">
        <f t="shared" ref="G9:R9" si="2">+G7-G8</f>
        <v>0</v>
      </c>
      <c r="H9" s="82">
        <f t="shared" si="2"/>
        <v>0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0</v>
      </c>
      <c r="N9" s="82">
        <f t="shared" si="2"/>
        <v>0</v>
      </c>
      <c r="O9" s="82">
        <f t="shared" si="2"/>
        <v>0</v>
      </c>
      <c r="P9" s="82">
        <f t="shared" si="2"/>
        <v>0</v>
      </c>
      <c r="Q9" s="82">
        <f t="shared" si="2"/>
        <v>0</v>
      </c>
      <c r="R9" s="82">
        <f t="shared" si="2"/>
        <v>0</v>
      </c>
      <c r="S9" s="82">
        <f t="shared" si="1"/>
        <v>0</v>
      </c>
      <c r="AS9" s="79" t="s">
        <v>60</v>
      </c>
      <c r="AT9" s="80" t="s">
        <v>59</v>
      </c>
      <c r="AU9" s="72" t="s">
        <v>61</v>
      </c>
    </row>
    <row r="10" spans="1:47">
      <c r="A10" s="76">
        <v>4</v>
      </c>
      <c r="B10" s="79" t="s">
        <v>63</v>
      </c>
      <c r="C10" s="82">
        <f>C6*C33</f>
        <v>0</v>
      </c>
      <c r="D10" s="82">
        <f>D6*D33</f>
        <v>0</v>
      </c>
      <c r="E10" s="82">
        <f t="shared" ref="E10:F10" si="3">E6*E33</f>
        <v>0</v>
      </c>
      <c r="F10" s="82">
        <f t="shared" si="3"/>
        <v>0</v>
      </c>
      <c r="G10" s="82">
        <f t="shared" ref="G10:R10" si="4">G6*G33</f>
        <v>0</v>
      </c>
      <c r="H10" s="82">
        <f t="shared" si="4"/>
        <v>0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0</v>
      </c>
      <c r="N10" s="82">
        <f t="shared" si="4"/>
        <v>0</v>
      </c>
      <c r="O10" s="82">
        <f t="shared" si="4"/>
        <v>0</v>
      </c>
      <c r="P10" s="82">
        <f t="shared" si="4"/>
        <v>0</v>
      </c>
      <c r="Q10" s="82">
        <f t="shared" si="4"/>
        <v>0</v>
      </c>
      <c r="R10" s="82">
        <f t="shared" si="4"/>
        <v>0</v>
      </c>
      <c r="S10" s="82">
        <f t="shared" si="0"/>
        <v>0</v>
      </c>
      <c r="AS10" s="79" t="s">
        <v>62</v>
      </c>
      <c r="AT10" s="79" t="s">
        <v>63</v>
      </c>
      <c r="AU10" s="72" t="s">
        <v>64</v>
      </c>
    </row>
    <row r="11" spans="1:47">
      <c r="A11" s="76">
        <v>5</v>
      </c>
      <c r="B11" s="79" t="s">
        <v>65</v>
      </c>
      <c r="C11" s="82">
        <f>+C6*C36</f>
        <v>0</v>
      </c>
      <c r="D11" s="82">
        <f>+D6*D36</f>
        <v>0</v>
      </c>
      <c r="E11" s="82">
        <f t="shared" ref="E11:F11" si="5">+E6*E36</f>
        <v>0</v>
      </c>
      <c r="F11" s="82">
        <f t="shared" si="5"/>
        <v>0</v>
      </c>
      <c r="G11" s="82">
        <f t="shared" ref="G11:R11" si="6">+G6*G36</f>
        <v>0</v>
      </c>
      <c r="H11" s="82">
        <f t="shared" si="6"/>
        <v>0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0</v>
      </c>
      <c r="N11" s="82">
        <f t="shared" si="6"/>
        <v>0</v>
      </c>
      <c r="O11" s="82">
        <f t="shared" si="6"/>
        <v>0</v>
      </c>
      <c r="P11" s="82">
        <f t="shared" si="6"/>
        <v>0</v>
      </c>
      <c r="Q11" s="82">
        <f t="shared" si="6"/>
        <v>0</v>
      </c>
      <c r="R11" s="82">
        <f t="shared" si="6"/>
        <v>0</v>
      </c>
      <c r="S11" s="82">
        <f t="shared" si="0"/>
        <v>0</v>
      </c>
      <c r="AS11" s="79" t="s">
        <v>66</v>
      </c>
      <c r="AT11" s="79" t="s">
        <v>65</v>
      </c>
    </row>
    <row r="12" spans="1:47">
      <c r="A12" s="76">
        <v>6</v>
      </c>
      <c r="B12" s="79" t="s">
        <v>67</v>
      </c>
      <c r="C12" s="82">
        <f>+C6*C37</f>
        <v>0</v>
      </c>
      <c r="D12" s="82">
        <f>+D6*D37</f>
        <v>0</v>
      </c>
      <c r="E12" s="82">
        <f t="shared" ref="E12:F12" si="7">+E6*E37</f>
        <v>0</v>
      </c>
      <c r="F12" s="82">
        <f t="shared" si="7"/>
        <v>0</v>
      </c>
      <c r="G12" s="82">
        <f t="shared" ref="G12:R12" si="8">+G6*G37</f>
        <v>0</v>
      </c>
      <c r="H12" s="82">
        <f t="shared" si="8"/>
        <v>0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0</v>
      </c>
      <c r="N12" s="82">
        <f t="shared" si="8"/>
        <v>0</v>
      </c>
      <c r="O12" s="82">
        <f t="shared" si="8"/>
        <v>0</v>
      </c>
      <c r="P12" s="82">
        <f t="shared" si="8"/>
        <v>0</v>
      </c>
      <c r="Q12" s="82">
        <f t="shared" si="8"/>
        <v>0</v>
      </c>
      <c r="R12" s="82">
        <f t="shared" si="8"/>
        <v>0</v>
      </c>
      <c r="S12" s="82">
        <f t="shared" si="0"/>
        <v>0</v>
      </c>
      <c r="AS12" s="79" t="s">
        <v>68</v>
      </c>
      <c r="AT12" s="79" t="s">
        <v>67</v>
      </c>
    </row>
    <row r="13" spans="1:47">
      <c r="A13" s="76">
        <v>7</v>
      </c>
      <c r="B13" s="79" t="s">
        <v>69</v>
      </c>
      <c r="C13" s="82">
        <f>+C6*C38</f>
        <v>0</v>
      </c>
      <c r="D13" s="82">
        <f>+D6*D38</f>
        <v>0</v>
      </c>
      <c r="E13" s="82">
        <f t="shared" ref="E13:F13" si="9">+E6*E38</f>
        <v>0</v>
      </c>
      <c r="F13" s="82">
        <f t="shared" si="9"/>
        <v>0</v>
      </c>
      <c r="G13" s="82">
        <f t="shared" ref="G13:R13" si="10">+G6*G38</f>
        <v>0</v>
      </c>
      <c r="H13" s="82">
        <f t="shared" si="10"/>
        <v>0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0</v>
      </c>
      <c r="N13" s="82">
        <f t="shared" si="10"/>
        <v>0</v>
      </c>
      <c r="O13" s="82">
        <f t="shared" si="10"/>
        <v>0</v>
      </c>
      <c r="P13" s="82">
        <f t="shared" si="10"/>
        <v>0</v>
      </c>
      <c r="Q13" s="82">
        <f t="shared" si="10"/>
        <v>0</v>
      </c>
      <c r="R13" s="82">
        <f t="shared" si="10"/>
        <v>0</v>
      </c>
      <c r="S13" s="82">
        <f t="shared" si="0"/>
        <v>0</v>
      </c>
      <c r="AS13" s="79" t="s">
        <v>70</v>
      </c>
      <c r="AT13" s="79" t="s">
        <v>69</v>
      </c>
      <c r="AU13" s="72" t="s">
        <v>53</v>
      </c>
    </row>
    <row r="14" spans="1:47">
      <c r="A14" s="76">
        <v>8</v>
      </c>
      <c r="B14" s="84" t="s">
        <v>71</v>
      </c>
      <c r="C14" s="82">
        <f>SUM(C11:C13)</f>
        <v>0</v>
      </c>
      <c r="D14" s="82">
        <f>SUM(D11:D13)</f>
        <v>0</v>
      </c>
      <c r="E14" s="82">
        <f t="shared" ref="E14:S14" si="11">SUM(E11:E13)</f>
        <v>0</v>
      </c>
      <c r="F14" s="82">
        <f t="shared" si="11"/>
        <v>0</v>
      </c>
      <c r="G14" s="82">
        <f t="shared" ref="G14:R14" si="12">SUM(G11:G13)</f>
        <v>0</v>
      </c>
      <c r="H14" s="82">
        <f t="shared" si="12"/>
        <v>0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0</v>
      </c>
      <c r="N14" s="82">
        <f t="shared" si="12"/>
        <v>0</v>
      </c>
      <c r="O14" s="82">
        <f t="shared" si="12"/>
        <v>0</v>
      </c>
      <c r="P14" s="82">
        <f t="shared" si="12"/>
        <v>0</v>
      </c>
      <c r="Q14" s="82">
        <f t="shared" si="12"/>
        <v>0</v>
      </c>
      <c r="R14" s="82">
        <f t="shared" si="12"/>
        <v>0</v>
      </c>
      <c r="S14" s="82">
        <f t="shared" si="11"/>
        <v>0</v>
      </c>
      <c r="AS14" s="79" t="s">
        <v>72</v>
      </c>
      <c r="AT14" s="84" t="s">
        <v>71</v>
      </c>
    </row>
    <row r="15" spans="1:47">
      <c r="A15" s="76">
        <v>9</v>
      </c>
      <c r="B15" s="84" t="s">
        <v>73</v>
      </c>
      <c r="C15" s="82">
        <f>+C9-C10-C14</f>
        <v>0</v>
      </c>
      <c r="D15" s="82">
        <f>+D9-D10-D14</f>
        <v>0</v>
      </c>
      <c r="E15" s="82">
        <f t="shared" ref="E15:S15" si="13">+E9-E10-E14</f>
        <v>0</v>
      </c>
      <c r="F15" s="82">
        <f t="shared" si="13"/>
        <v>0</v>
      </c>
      <c r="G15" s="82">
        <f t="shared" ref="G15:R15" si="14">+G9-G10-G14</f>
        <v>0</v>
      </c>
      <c r="H15" s="82">
        <f t="shared" si="14"/>
        <v>0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0</v>
      </c>
      <c r="N15" s="82">
        <f t="shared" si="14"/>
        <v>0</v>
      </c>
      <c r="O15" s="82">
        <f t="shared" si="14"/>
        <v>0</v>
      </c>
      <c r="P15" s="82">
        <f t="shared" si="14"/>
        <v>0</v>
      </c>
      <c r="Q15" s="82">
        <f t="shared" si="14"/>
        <v>0</v>
      </c>
      <c r="R15" s="82">
        <f t="shared" si="14"/>
        <v>0</v>
      </c>
      <c r="S15" s="82">
        <f t="shared" si="13"/>
        <v>0</v>
      </c>
      <c r="AS15" s="79" t="s">
        <v>74</v>
      </c>
      <c r="AT15" s="84" t="s">
        <v>73</v>
      </c>
    </row>
    <row r="16" spans="1:47">
      <c r="A16" s="76">
        <v>10</v>
      </c>
      <c r="B16" s="79" t="s">
        <v>75</v>
      </c>
      <c r="C16" s="85" t="e">
        <f>+C15/C9</f>
        <v>#DIV/0!</v>
      </c>
      <c r="D16" s="85" t="e">
        <f>+D15/D9</f>
        <v>#DIV/0!</v>
      </c>
      <c r="E16" s="85" t="e">
        <f t="shared" ref="E16:F16" si="15">+E15/E9</f>
        <v>#DIV/0!</v>
      </c>
      <c r="F16" s="85" t="e">
        <f t="shared" si="15"/>
        <v>#DIV/0!</v>
      </c>
      <c r="G16" s="85" t="e">
        <f t="shared" ref="G16:R16" si="16">+G15/G9</f>
        <v>#DIV/0!</v>
      </c>
      <c r="H16" s="85" t="e">
        <f t="shared" si="16"/>
        <v>#DIV/0!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 t="e">
        <f t="shared" si="16"/>
        <v>#DIV/0!</v>
      </c>
      <c r="N16" s="85" t="e">
        <f t="shared" si="16"/>
        <v>#DIV/0!</v>
      </c>
      <c r="O16" s="85" t="e">
        <f t="shared" si="16"/>
        <v>#DIV/0!</v>
      </c>
      <c r="P16" s="85" t="e">
        <f t="shared" si="16"/>
        <v>#DIV/0!</v>
      </c>
      <c r="Q16" s="85" t="e">
        <f t="shared" si="16"/>
        <v>#DIV/0!</v>
      </c>
      <c r="R16" s="85" t="e">
        <f t="shared" si="16"/>
        <v>#DIV/0!</v>
      </c>
      <c r="S16" s="85" t="e">
        <f>+S15/S9</f>
        <v>#DIV/0!</v>
      </c>
      <c r="T16" s="86"/>
      <c r="U16" s="86"/>
      <c r="V16" s="86"/>
      <c r="AS16" s="79" t="s">
        <v>76</v>
      </c>
      <c r="AT16" s="79" t="s">
        <v>75</v>
      </c>
    </row>
    <row r="17" spans="1:47">
      <c r="A17" s="76">
        <v>11</v>
      </c>
      <c r="B17" s="79" t="s">
        <v>77</v>
      </c>
      <c r="C17" s="82" t="e">
        <f>C6*C43+C18</f>
        <v>#DIV/0!</v>
      </c>
      <c r="D17" s="82" t="e">
        <f>D6*D43+D18</f>
        <v>#DIV/0!</v>
      </c>
      <c r="E17" s="82" t="e">
        <f t="shared" ref="E17:F17" si="17">E6*E43+E18</f>
        <v>#DIV/0!</v>
      </c>
      <c r="F17" s="82" t="e">
        <f t="shared" si="17"/>
        <v>#DIV/0!</v>
      </c>
      <c r="G17" s="82" t="e">
        <f t="shared" ref="G17:R17" si="18">G6*G43+G18</f>
        <v>#DIV/0!</v>
      </c>
      <c r="H17" s="82" t="e">
        <f t="shared" si="18"/>
        <v>#DIV/0!</v>
      </c>
      <c r="I17" s="82" t="e">
        <f t="shared" si="18"/>
        <v>#DIV/0!</v>
      </c>
      <c r="J17" s="82" t="e">
        <f t="shared" si="18"/>
        <v>#DIV/0!</v>
      </c>
      <c r="K17" s="82" t="e">
        <f t="shared" si="18"/>
        <v>#DIV/0!</v>
      </c>
      <c r="L17" s="82" t="e">
        <f t="shared" si="18"/>
        <v>#DIV/0!</v>
      </c>
      <c r="M17" s="82" t="e">
        <f t="shared" si="18"/>
        <v>#DIV/0!</v>
      </c>
      <c r="N17" s="82" t="e">
        <f t="shared" si="18"/>
        <v>#DIV/0!</v>
      </c>
      <c r="O17" s="82" t="e">
        <f t="shared" si="18"/>
        <v>#DIV/0!</v>
      </c>
      <c r="P17" s="82" t="e">
        <f t="shared" si="18"/>
        <v>#DIV/0!</v>
      </c>
      <c r="Q17" s="82" t="e">
        <f t="shared" si="18"/>
        <v>#DIV/0!</v>
      </c>
      <c r="R17" s="82" t="e">
        <f t="shared" si="18"/>
        <v>#DIV/0!</v>
      </c>
      <c r="S17" s="82" t="e">
        <f>+SUM(C17:R17)</f>
        <v>#DIV/0!</v>
      </c>
      <c r="T17" s="83"/>
      <c r="AS17" s="79" t="s">
        <v>78</v>
      </c>
      <c r="AT17" s="79" t="s">
        <v>77</v>
      </c>
    </row>
    <row r="18" spans="1:47" s="73" customFormat="1">
      <c r="A18" s="76">
        <v>12</v>
      </c>
      <c r="B18" s="87" t="s">
        <v>147</v>
      </c>
      <c r="C18" s="88" t="e">
        <f>$S$18/$S$6*C6</f>
        <v>#DIV/0!</v>
      </c>
      <c r="D18" s="88" t="e">
        <f>$S$18/$S$6*D6</f>
        <v>#DIV/0!</v>
      </c>
      <c r="E18" s="88" t="e">
        <f>$S$18/$S$6*E6</f>
        <v>#DIV/0!</v>
      </c>
      <c r="F18" s="88" t="e">
        <f>$S$18/$S$6*F6</f>
        <v>#DIV/0!</v>
      </c>
      <c r="G18" s="88" t="e">
        <f t="shared" ref="G18:R18" si="19">$S$18/$S$6*G6</f>
        <v>#DIV/0!</v>
      </c>
      <c r="H18" s="88" t="e">
        <f t="shared" si="19"/>
        <v>#DIV/0!</v>
      </c>
      <c r="I18" s="88" t="e">
        <f t="shared" si="19"/>
        <v>#DIV/0!</v>
      </c>
      <c r="J18" s="88" t="e">
        <f t="shared" si="19"/>
        <v>#DIV/0!</v>
      </c>
      <c r="K18" s="88" t="e">
        <f t="shared" si="19"/>
        <v>#DIV/0!</v>
      </c>
      <c r="L18" s="88" t="e">
        <f t="shared" si="19"/>
        <v>#DIV/0!</v>
      </c>
      <c r="M18" s="88" t="e">
        <f t="shared" si="19"/>
        <v>#DIV/0!</v>
      </c>
      <c r="N18" s="88" t="e">
        <f t="shared" si="19"/>
        <v>#DIV/0!</v>
      </c>
      <c r="O18" s="88" t="e">
        <f t="shared" si="19"/>
        <v>#DIV/0!</v>
      </c>
      <c r="P18" s="88" t="e">
        <f t="shared" si="19"/>
        <v>#DIV/0!</v>
      </c>
      <c r="Q18" s="88" t="e">
        <f t="shared" si="19"/>
        <v>#DIV/0!</v>
      </c>
      <c r="R18" s="88" t="e">
        <f t="shared" si="19"/>
        <v>#DIV/0!</v>
      </c>
      <c r="S18" s="82">
        <f>项目投资!G26</f>
        <v>0</v>
      </c>
      <c r="T18" s="89" t="s">
        <v>148</v>
      </c>
      <c r="U18" s="89"/>
      <c r="V18" s="89"/>
    </row>
    <row r="19" spans="1:47">
      <c r="A19" s="76">
        <v>13</v>
      </c>
      <c r="B19" s="79" t="s">
        <v>79</v>
      </c>
      <c r="C19" s="82">
        <f>C6*C44</f>
        <v>0</v>
      </c>
      <c r="D19" s="82">
        <f>D6*D44</f>
        <v>0</v>
      </c>
      <c r="E19" s="82">
        <f t="shared" ref="E19:F19" si="20">E6*E44</f>
        <v>0</v>
      </c>
      <c r="F19" s="82">
        <f t="shared" si="20"/>
        <v>0</v>
      </c>
      <c r="G19" s="82">
        <f t="shared" ref="G19:R19" si="21">G6*G44</f>
        <v>0</v>
      </c>
      <c r="H19" s="82">
        <f t="shared" si="21"/>
        <v>0</v>
      </c>
      <c r="I19" s="82">
        <f t="shared" si="21"/>
        <v>0</v>
      </c>
      <c r="J19" s="82">
        <f t="shared" si="21"/>
        <v>0</v>
      </c>
      <c r="K19" s="82">
        <f t="shared" si="21"/>
        <v>0</v>
      </c>
      <c r="L19" s="82">
        <f t="shared" si="21"/>
        <v>0</v>
      </c>
      <c r="M19" s="82">
        <f t="shared" si="21"/>
        <v>0</v>
      </c>
      <c r="N19" s="82">
        <f t="shared" si="21"/>
        <v>0</v>
      </c>
      <c r="O19" s="82">
        <f t="shared" si="21"/>
        <v>0</v>
      </c>
      <c r="P19" s="82">
        <f t="shared" si="21"/>
        <v>0</v>
      </c>
      <c r="Q19" s="82">
        <f t="shared" si="21"/>
        <v>0</v>
      </c>
      <c r="R19" s="82">
        <f t="shared" si="21"/>
        <v>0</v>
      </c>
      <c r="S19" s="82">
        <f t="shared" ref="S19:S20" si="22">+SUM(C19:R19)</f>
        <v>0</v>
      </c>
      <c r="T19" s="73"/>
      <c r="AS19" s="79" t="s">
        <v>80</v>
      </c>
      <c r="AT19" s="79" t="s">
        <v>79</v>
      </c>
      <c r="AU19" s="72" t="s">
        <v>53</v>
      </c>
    </row>
    <row r="20" spans="1:47">
      <c r="A20" s="76">
        <v>14</v>
      </c>
      <c r="B20" s="79" t="s">
        <v>81</v>
      </c>
      <c r="C20" s="82">
        <f>C6*C45</f>
        <v>0</v>
      </c>
      <c r="D20" s="82">
        <f>D6*D45</f>
        <v>0</v>
      </c>
      <c r="E20" s="82">
        <f t="shared" ref="E20:F20" si="23">E6*E45</f>
        <v>0</v>
      </c>
      <c r="F20" s="82">
        <f t="shared" si="23"/>
        <v>0</v>
      </c>
      <c r="G20" s="82">
        <f t="shared" ref="G20:R20" si="24">G6*G45</f>
        <v>0</v>
      </c>
      <c r="H20" s="82">
        <f t="shared" si="24"/>
        <v>0</v>
      </c>
      <c r="I20" s="82">
        <f t="shared" si="24"/>
        <v>0</v>
      </c>
      <c r="J20" s="82">
        <f t="shared" si="24"/>
        <v>0</v>
      </c>
      <c r="K20" s="82">
        <f t="shared" si="24"/>
        <v>0</v>
      </c>
      <c r="L20" s="82">
        <f t="shared" si="24"/>
        <v>0</v>
      </c>
      <c r="M20" s="82">
        <f t="shared" si="24"/>
        <v>0</v>
      </c>
      <c r="N20" s="82">
        <f t="shared" si="24"/>
        <v>0</v>
      </c>
      <c r="O20" s="82">
        <f t="shared" si="24"/>
        <v>0</v>
      </c>
      <c r="P20" s="82">
        <f t="shared" si="24"/>
        <v>0</v>
      </c>
      <c r="Q20" s="82">
        <f t="shared" si="24"/>
        <v>0</v>
      </c>
      <c r="R20" s="82">
        <f t="shared" si="24"/>
        <v>0</v>
      </c>
      <c r="S20" s="82">
        <f t="shared" si="22"/>
        <v>0</v>
      </c>
      <c r="AS20" s="79" t="s">
        <v>82</v>
      </c>
      <c r="AT20" s="79" t="s">
        <v>81</v>
      </c>
    </row>
    <row r="21" spans="1:47">
      <c r="A21" s="76">
        <v>15</v>
      </c>
      <c r="B21" s="79" t="s">
        <v>83</v>
      </c>
      <c r="C21" s="90" t="e">
        <f>$S$21/$S$6*C6</f>
        <v>#DIV/0!</v>
      </c>
      <c r="D21" s="90" t="e">
        <f>$S$21/$S$6*D6</f>
        <v>#DIV/0!</v>
      </c>
      <c r="E21" s="90" t="e">
        <f t="shared" ref="E21:F21" si="25">$S$21/$S$6*E6</f>
        <v>#DIV/0!</v>
      </c>
      <c r="F21" s="90" t="e">
        <f t="shared" si="25"/>
        <v>#DIV/0!</v>
      </c>
      <c r="G21" s="90" t="e">
        <f t="shared" ref="G21:R21" si="26">$S$21/$S$6*G6</f>
        <v>#DIV/0!</v>
      </c>
      <c r="H21" s="90" t="e">
        <f t="shared" si="26"/>
        <v>#DIV/0!</v>
      </c>
      <c r="I21" s="90" t="e">
        <f t="shared" si="26"/>
        <v>#DIV/0!</v>
      </c>
      <c r="J21" s="90" t="e">
        <f t="shared" si="26"/>
        <v>#DIV/0!</v>
      </c>
      <c r="K21" s="90" t="e">
        <f t="shared" si="26"/>
        <v>#DIV/0!</v>
      </c>
      <c r="L21" s="90" t="e">
        <f t="shared" si="26"/>
        <v>#DIV/0!</v>
      </c>
      <c r="M21" s="90" t="e">
        <f t="shared" si="26"/>
        <v>#DIV/0!</v>
      </c>
      <c r="N21" s="90" t="e">
        <f t="shared" si="26"/>
        <v>#DIV/0!</v>
      </c>
      <c r="O21" s="90" t="e">
        <f t="shared" si="26"/>
        <v>#DIV/0!</v>
      </c>
      <c r="P21" s="90" t="e">
        <f t="shared" si="26"/>
        <v>#DIV/0!</v>
      </c>
      <c r="Q21" s="90" t="e">
        <f t="shared" si="26"/>
        <v>#DIV/0!</v>
      </c>
      <c r="R21" s="90" t="e">
        <f t="shared" si="26"/>
        <v>#DIV/0!</v>
      </c>
      <c r="S21" s="82">
        <f>项目投资!G27</f>
        <v>0</v>
      </c>
      <c r="AS21" s="79"/>
      <c r="AT21" s="79"/>
    </row>
    <row r="22" spans="1:47">
      <c r="A22" s="76">
        <v>16</v>
      </c>
      <c r="B22" s="79" t="s">
        <v>84</v>
      </c>
      <c r="C22" s="82">
        <f>C6*C47</f>
        <v>0</v>
      </c>
      <c r="D22" s="82">
        <f>D6*D47</f>
        <v>0</v>
      </c>
      <c r="E22" s="82">
        <f t="shared" ref="E22:F22" si="27">E6*E47</f>
        <v>0</v>
      </c>
      <c r="F22" s="82">
        <f t="shared" si="27"/>
        <v>0</v>
      </c>
      <c r="G22" s="82">
        <f t="shared" ref="G22:R22" si="28">G6*G47</f>
        <v>0</v>
      </c>
      <c r="H22" s="82">
        <f t="shared" si="28"/>
        <v>0</v>
      </c>
      <c r="I22" s="82">
        <f t="shared" si="28"/>
        <v>0</v>
      </c>
      <c r="J22" s="82">
        <f t="shared" si="28"/>
        <v>0</v>
      </c>
      <c r="K22" s="82">
        <f t="shared" si="28"/>
        <v>0</v>
      </c>
      <c r="L22" s="82">
        <f t="shared" si="28"/>
        <v>0</v>
      </c>
      <c r="M22" s="82">
        <f t="shared" si="28"/>
        <v>0</v>
      </c>
      <c r="N22" s="82">
        <f t="shared" si="28"/>
        <v>0</v>
      </c>
      <c r="O22" s="82">
        <f t="shared" si="28"/>
        <v>0</v>
      </c>
      <c r="P22" s="82">
        <f t="shared" si="28"/>
        <v>0</v>
      </c>
      <c r="Q22" s="82">
        <f t="shared" si="28"/>
        <v>0</v>
      </c>
      <c r="R22" s="82">
        <f t="shared" si="28"/>
        <v>0</v>
      </c>
      <c r="S22" s="82">
        <f>+SUM(C22:R22)</f>
        <v>0</v>
      </c>
      <c r="AS22" s="79" t="s">
        <v>85</v>
      </c>
      <c r="AT22" s="79" t="s">
        <v>84</v>
      </c>
    </row>
    <row r="23" spans="1:47">
      <c r="A23" s="76">
        <v>17</v>
      </c>
      <c r="B23" s="84" t="s">
        <v>86</v>
      </c>
      <c r="C23" s="90" t="e">
        <f>+C22+C21+C20+C19+C17</f>
        <v>#DIV/0!</v>
      </c>
      <c r="D23" s="90" t="e">
        <f>+D22+D21+D20+D19+D17</f>
        <v>#DIV/0!</v>
      </c>
      <c r="E23" s="90" t="e">
        <f t="shared" ref="E23:F23" si="29">+E22+E21+E20+E19+E17</f>
        <v>#DIV/0!</v>
      </c>
      <c r="F23" s="90" t="e">
        <f t="shared" si="29"/>
        <v>#DIV/0!</v>
      </c>
      <c r="G23" s="90" t="e">
        <f t="shared" ref="G23:R23" si="30">+G22+G21+G20+G19+G17</f>
        <v>#DIV/0!</v>
      </c>
      <c r="H23" s="90" t="e">
        <f t="shared" si="30"/>
        <v>#DIV/0!</v>
      </c>
      <c r="I23" s="90" t="e">
        <f t="shared" si="30"/>
        <v>#DIV/0!</v>
      </c>
      <c r="J23" s="90" t="e">
        <f t="shared" si="30"/>
        <v>#DIV/0!</v>
      </c>
      <c r="K23" s="90" t="e">
        <f t="shared" si="30"/>
        <v>#DIV/0!</v>
      </c>
      <c r="L23" s="90" t="e">
        <f t="shared" si="30"/>
        <v>#DIV/0!</v>
      </c>
      <c r="M23" s="90" t="e">
        <f t="shared" si="30"/>
        <v>#DIV/0!</v>
      </c>
      <c r="N23" s="90" t="e">
        <f t="shared" si="30"/>
        <v>#DIV/0!</v>
      </c>
      <c r="O23" s="90" t="e">
        <f t="shared" si="30"/>
        <v>#DIV/0!</v>
      </c>
      <c r="P23" s="90" t="e">
        <f t="shared" si="30"/>
        <v>#DIV/0!</v>
      </c>
      <c r="Q23" s="90" t="e">
        <f t="shared" si="30"/>
        <v>#DIV/0!</v>
      </c>
      <c r="R23" s="90" t="e">
        <f t="shared" si="30"/>
        <v>#DIV/0!</v>
      </c>
      <c r="S23" s="90" t="e">
        <f>+S22+S21+S20+S19+S17</f>
        <v>#DIV/0!</v>
      </c>
      <c r="AS23" s="79" t="s">
        <v>87</v>
      </c>
      <c r="AT23" s="84" t="s">
        <v>86</v>
      </c>
    </row>
    <row r="24" spans="1:47">
      <c r="A24" s="76">
        <v>18</v>
      </c>
      <c r="B24" s="91" t="s">
        <v>88</v>
      </c>
      <c r="C24" s="90" t="e">
        <f>+C15-C23</f>
        <v>#DIV/0!</v>
      </c>
      <c r="D24" s="90" t="e">
        <f>+D15-D23</f>
        <v>#DIV/0!</v>
      </c>
      <c r="E24" s="90" t="e">
        <f t="shared" ref="E24:F24" si="31">+E15-E23</f>
        <v>#DIV/0!</v>
      </c>
      <c r="F24" s="90" t="e">
        <f t="shared" si="31"/>
        <v>#DIV/0!</v>
      </c>
      <c r="G24" s="90" t="e">
        <f t="shared" ref="G24:R24" si="32">+G15-G23</f>
        <v>#DIV/0!</v>
      </c>
      <c r="H24" s="90" t="e">
        <f t="shared" si="32"/>
        <v>#DIV/0!</v>
      </c>
      <c r="I24" s="90" t="e">
        <f t="shared" si="32"/>
        <v>#DIV/0!</v>
      </c>
      <c r="J24" s="90" t="e">
        <f t="shared" si="32"/>
        <v>#DIV/0!</v>
      </c>
      <c r="K24" s="90" t="e">
        <f t="shared" si="32"/>
        <v>#DIV/0!</v>
      </c>
      <c r="L24" s="90" t="e">
        <f t="shared" si="32"/>
        <v>#DIV/0!</v>
      </c>
      <c r="M24" s="90" t="e">
        <f t="shared" si="32"/>
        <v>#DIV/0!</v>
      </c>
      <c r="N24" s="90" t="e">
        <f t="shared" si="32"/>
        <v>#DIV/0!</v>
      </c>
      <c r="O24" s="90" t="e">
        <f t="shared" si="32"/>
        <v>#DIV/0!</v>
      </c>
      <c r="P24" s="90" t="e">
        <f t="shared" si="32"/>
        <v>#DIV/0!</v>
      </c>
      <c r="Q24" s="90" t="e">
        <f t="shared" si="32"/>
        <v>#DIV/0!</v>
      </c>
      <c r="R24" s="90" t="e">
        <f t="shared" si="32"/>
        <v>#DIV/0!</v>
      </c>
      <c r="S24" s="90" t="e">
        <f>+S15-S23</f>
        <v>#DIV/0!</v>
      </c>
      <c r="U24" s="92"/>
      <c r="AS24" s="79" t="s">
        <v>89</v>
      </c>
      <c r="AT24" s="79" t="s">
        <v>88</v>
      </c>
    </row>
    <row r="25" spans="1:47">
      <c r="A25" s="76">
        <v>19</v>
      </c>
      <c r="B25" s="79" t="s">
        <v>277</v>
      </c>
      <c r="C25" s="90" t="e">
        <f>IF(C24&lt;0,0,C24*0.15)</f>
        <v>#DIV/0!</v>
      </c>
      <c r="D25" s="90" t="e">
        <f t="shared" ref="D25:S25" si="33">IF(D24&lt;0,0,D24*0.15)</f>
        <v>#DIV/0!</v>
      </c>
      <c r="E25" s="90" t="e">
        <f t="shared" ref="E25:F25" si="34">IF(E24&lt;0,0,E24*0.15)</f>
        <v>#DIV/0!</v>
      </c>
      <c r="F25" s="90" t="e">
        <f t="shared" si="34"/>
        <v>#DIV/0!</v>
      </c>
      <c r="G25" s="90" t="e">
        <f t="shared" ref="G25:R25" si="35">IF(G24&lt;0,0,G24*0.15)</f>
        <v>#DIV/0!</v>
      </c>
      <c r="H25" s="90" t="e">
        <f t="shared" si="35"/>
        <v>#DIV/0!</v>
      </c>
      <c r="I25" s="90" t="e">
        <f t="shared" si="35"/>
        <v>#DIV/0!</v>
      </c>
      <c r="J25" s="90" t="e">
        <f t="shared" si="35"/>
        <v>#DIV/0!</v>
      </c>
      <c r="K25" s="90" t="e">
        <f t="shared" si="35"/>
        <v>#DIV/0!</v>
      </c>
      <c r="L25" s="90" t="e">
        <f t="shared" si="35"/>
        <v>#DIV/0!</v>
      </c>
      <c r="M25" s="90" t="e">
        <f t="shared" si="35"/>
        <v>#DIV/0!</v>
      </c>
      <c r="N25" s="90" t="e">
        <f t="shared" si="35"/>
        <v>#DIV/0!</v>
      </c>
      <c r="O25" s="90" t="e">
        <f t="shared" si="35"/>
        <v>#DIV/0!</v>
      </c>
      <c r="P25" s="90" t="e">
        <f t="shared" si="35"/>
        <v>#DIV/0!</v>
      </c>
      <c r="Q25" s="90" t="e">
        <f t="shared" si="35"/>
        <v>#DIV/0!</v>
      </c>
      <c r="R25" s="90" t="e">
        <f t="shared" si="35"/>
        <v>#DIV/0!</v>
      </c>
      <c r="S25" s="90" t="e">
        <f t="shared" si="33"/>
        <v>#DIV/0!</v>
      </c>
      <c r="T25" s="2"/>
      <c r="U25" s="2"/>
      <c r="V25" s="2"/>
      <c r="AS25" s="79" t="s">
        <v>90</v>
      </c>
      <c r="AT25" s="79" t="s">
        <v>35</v>
      </c>
    </row>
    <row r="26" spans="1:47">
      <c r="A26" s="76">
        <v>20</v>
      </c>
      <c r="B26" s="79" t="s">
        <v>91</v>
      </c>
      <c r="C26" s="90" t="e">
        <f>C24-C25</f>
        <v>#DIV/0!</v>
      </c>
      <c r="D26" s="90" t="e">
        <f>D24-D25</f>
        <v>#DIV/0!</v>
      </c>
      <c r="E26" s="90" t="e">
        <f t="shared" ref="E26:S26" si="36">E24-E25</f>
        <v>#DIV/0!</v>
      </c>
      <c r="F26" s="90" t="e">
        <f t="shared" si="36"/>
        <v>#DIV/0!</v>
      </c>
      <c r="G26" s="90" t="e">
        <f t="shared" ref="G26:R26" si="37">G24-G25</f>
        <v>#DIV/0!</v>
      </c>
      <c r="H26" s="90" t="e">
        <f t="shared" si="37"/>
        <v>#DIV/0!</v>
      </c>
      <c r="I26" s="90" t="e">
        <f t="shared" si="37"/>
        <v>#DIV/0!</v>
      </c>
      <c r="J26" s="90" t="e">
        <f t="shared" si="37"/>
        <v>#DIV/0!</v>
      </c>
      <c r="K26" s="90" t="e">
        <f t="shared" si="37"/>
        <v>#DIV/0!</v>
      </c>
      <c r="L26" s="90" t="e">
        <f t="shared" si="37"/>
        <v>#DIV/0!</v>
      </c>
      <c r="M26" s="90" t="e">
        <f t="shared" si="37"/>
        <v>#DIV/0!</v>
      </c>
      <c r="N26" s="90" t="e">
        <f t="shared" si="37"/>
        <v>#DIV/0!</v>
      </c>
      <c r="O26" s="90" t="e">
        <f t="shared" si="37"/>
        <v>#DIV/0!</v>
      </c>
      <c r="P26" s="90" t="e">
        <f t="shared" si="37"/>
        <v>#DIV/0!</v>
      </c>
      <c r="Q26" s="90" t="e">
        <f t="shared" si="37"/>
        <v>#DIV/0!</v>
      </c>
      <c r="R26" s="90" t="e">
        <f t="shared" si="37"/>
        <v>#DIV/0!</v>
      </c>
      <c r="S26" s="90" t="e">
        <f t="shared" si="36"/>
        <v>#DIV/0!</v>
      </c>
      <c r="T26" s="2"/>
      <c r="U26" s="2"/>
      <c r="V26" s="2"/>
      <c r="AS26" s="79" t="s">
        <v>92</v>
      </c>
      <c r="AT26" s="79" t="s">
        <v>91</v>
      </c>
    </row>
    <row r="27" spans="1:47">
      <c r="A27" s="76">
        <v>21</v>
      </c>
      <c r="B27" s="79" t="s">
        <v>95</v>
      </c>
      <c r="C27" s="93" t="e">
        <f>C26/C9</f>
        <v>#DIV/0!</v>
      </c>
      <c r="D27" s="93" t="e">
        <f t="shared" ref="D27:S27" si="38">D26/D9</f>
        <v>#DIV/0!</v>
      </c>
      <c r="E27" s="93" t="e">
        <f t="shared" si="38"/>
        <v>#DIV/0!</v>
      </c>
      <c r="F27" s="93" t="e">
        <f t="shared" si="38"/>
        <v>#DIV/0!</v>
      </c>
      <c r="G27" s="93" t="e">
        <f t="shared" ref="G27:R27" si="39">G26/G9</f>
        <v>#DIV/0!</v>
      </c>
      <c r="H27" s="93" t="e">
        <f t="shared" si="39"/>
        <v>#DIV/0!</v>
      </c>
      <c r="I27" s="93" t="e">
        <f t="shared" si="39"/>
        <v>#DIV/0!</v>
      </c>
      <c r="J27" s="93" t="e">
        <f t="shared" si="39"/>
        <v>#DIV/0!</v>
      </c>
      <c r="K27" s="93" t="e">
        <f t="shared" si="39"/>
        <v>#DIV/0!</v>
      </c>
      <c r="L27" s="93" t="e">
        <f t="shared" si="39"/>
        <v>#DIV/0!</v>
      </c>
      <c r="M27" s="93" t="e">
        <f t="shared" si="39"/>
        <v>#DIV/0!</v>
      </c>
      <c r="N27" s="93" t="e">
        <f t="shared" si="39"/>
        <v>#DIV/0!</v>
      </c>
      <c r="O27" s="93" t="e">
        <f t="shared" si="39"/>
        <v>#DIV/0!</v>
      </c>
      <c r="P27" s="93" t="e">
        <f t="shared" si="39"/>
        <v>#DIV/0!</v>
      </c>
      <c r="Q27" s="93" t="e">
        <f t="shared" si="39"/>
        <v>#DIV/0!</v>
      </c>
      <c r="R27" s="93" t="e">
        <f t="shared" si="39"/>
        <v>#DIV/0!</v>
      </c>
      <c r="S27" s="93" t="e">
        <f t="shared" si="38"/>
        <v>#DIV/0!</v>
      </c>
      <c r="T27" s="2"/>
      <c r="U27" s="2"/>
      <c r="V27" s="2"/>
      <c r="AS27" s="79" t="s">
        <v>94</v>
      </c>
      <c r="AT27" s="79" t="s">
        <v>95</v>
      </c>
    </row>
    <row r="28" spans="1:47">
      <c r="T28" s="2"/>
      <c r="U28" s="2"/>
      <c r="V28" s="2"/>
    </row>
    <row r="29" spans="1:47">
      <c r="A29" s="72" t="s">
        <v>96</v>
      </c>
      <c r="S29" s="75" t="s">
        <v>149</v>
      </c>
      <c r="T29" s="2"/>
      <c r="U29" s="2"/>
      <c r="V29" s="2"/>
      <c r="AS29" s="72" t="s">
        <v>96</v>
      </c>
    </row>
    <row r="30" spans="1:47">
      <c r="A30" s="79" t="s">
        <v>97</v>
      </c>
      <c r="B30" s="84" t="s">
        <v>98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S30" s="79" t="s">
        <v>99</v>
      </c>
      <c r="AT30" s="84" t="s">
        <v>98</v>
      </c>
    </row>
    <row r="31" spans="1:47">
      <c r="A31" s="76">
        <v>1</v>
      </c>
      <c r="B31" s="87" t="s">
        <v>100</v>
      </c>
      <c r="C31" s="94">
        <f>销量!C8</f>
        <v>1831.8584070796501</v>
      </c>
      <c r="D31" s="94">
        <f>销量!D8</f>
        <v>2296.4601769911501</v>
      </c>
      <c r="E31" s="94">
        <f>销量!E8</f>
        <v>579.64601769911496</v>
      </c>
      <c r="F31" s="94">
        <f>销量!F8</f>
        <v>58.504424778761098</v>
      </c>
      <c r="G31" s="94">
        <f>销量!G8</f>
        <v>2699.1150442477901</v>
      </c>
      <c r="H31" s="94">
        <f>销量!H8</f>
        <v>2234.5132743362801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2286.7256637168098</v>
      </c>
      <c r="N31" s="94">
        <f>销量!N8</f>
        <v>1822.12389380531</v>
      </c>
      <c r="O31" s="94">
        <f>销量!O8</f>
        <v>2286.7256637168098</v>
      </c>
      <c r="P31" s="94">
        <f>销量!P8</f>
        <v>2286.7256637168098</v>
      </c>
      <c r="Q31" s="94">
        <f>销量!Q8</f>
        <v>1822.12389380531</v>
      </c>
      <c r="R31" s="94">
        <f>销量!R8</f>
        <v>1822.12389380531</v>
      </c>
      <c r="S31" s="90"/>
      <c r="T31" s="2"/>
      <c r="U31" s="2"/>
      <c r="V31" s="2"/>
      <c r="X31" s="2"/>
      <c r="AS31" s="79" t="s">
        <v>55</v>
      </c>
      <c r="AT31" s="79" t="s">
        <v>100</v>
      </c>
    </row>
    <row r="32" spans="1:47">
      <c r="A32" s="76">
        <v>2</v>
      </c>
      <c r="B32" s="79" t="s">
        <v>150</v>
      </c>
      <c r="C32" s="82" t="e">
        <f>C9/C6</f>
        <v>#DIV/0!</v>
      </c>
      <c r="D32" s="82" t="e">
        <f t="shared" ref="D32:F32" si="40">D9/D6</f>
        <v>#DIV/0!</v>
      </c>
      <c r="E32" s="82" t="e">
        <f t="shared" si="40"/>
        <v>#DIV/0!</v>
      </c>
      <c r="F32" s="82" t="e">
        <f t="shared" si="40"/>
        <v>#DIV/0!</v>
      </c>
      <c r="G32" s="82" t="e">
        <f t="shared" ref="G32:R32" si="41">G9/G6</f>
        <v>#DIV/0!</v>
      </c>
      <c r="H32" s="82" t="e">
        <f t="shared" si="41"/>
        <v>#DIV/0!</v>
      </c>
      <c r="I32" s="82" t="e">
        <f t="shared" si="41"/>
        <v>#DIV/0!</v>
      </c>
      <c r="J32" s="82" t="e">
        <f t="shared" si="41"/>
        <v>#DIV/0!</v>
      </c>
      <c r="K32" s="82" t="e">
        <f t="shared" si="41"/>
        <v>#DIV/0!</v>
      </c>
      <c r="L32" s="82" t="e">
        <f t="shared" si="41"/>
        <v>#DIV/0!</v>
      </c>
      <c r="M32" s="82" t="e">
        <f t="shared" si="41"/>
        <v>#DIV/0!</v>
      </c>
      <c r="N32" s="82" t="e">
        <f t="shared" si="41"/>
        <v>#DIV/0!</v>
      </c>
      <c r="O32" s="82" t="e">
        <f t="shared" si="41"/>
        <v>#DIV/0!</v>
      </c>
      <c r="P32" s="82" t="e">
        <f t="shared" si="41"/>
        <v>#DIV/0!</v>
      </c>
      <c r="Q32" s="82" t="e">
        <f t="shared" si="41"/>
        <v>#DIV/0!</v>
      </c>
      <c r="R32" s="82" t="e">
        <f t="shared" si="41"/>
        <v>#DIV/0!</v>
      </c>
      <c r="S32" s="90"/>
      <c r="T32" s="2"/>
      <c r="U32" s="2"/>
      <c r="V32" s="2"/>
      <c r="W32" s="2"/>
      <c r="X32" s="2"/>
      <c r="Y32" s="2"/>
      <c r="Z32" s="2"/>
      <c r="AS32" s="79"/>
      <c r="AT32" s="79"/>
    </row>
    <row r="33" spans="1:46">
      <c r="A33" s="76">
        <v>3</v>
      </c>
      <c r="B33" s="87" t="s">
        <v>101</v>
      </c>
      <c r="C33" s="82">
        <f>材料成本!D27</f>
        <v>1162.1405337258291</v>
      </c>
      <c r="D33" s="82">
        <f>材料成本!E27</f>
        <v>1601.1543792101138</v>
      </c>
      <c r="E33" s="82">
        <f>材料成本!F27</f>
        <v>370.43171134901155</v>
      </c>
      <c r="F33" s="82">
        <f>材料成本!G27</f>
        <v>26.712774791785712</v>
      </c>
      <c r="G33" s="82">
        <f>材料成本!H27</f>
        <v>1575.1645135985646</v>
      </c>
      <c r="H33" s="82">
        <f>材料成本!I27</f>
        <v>1264.1843384918664</v>
      </c>
      <c r="I33" s="82">
        <f>材料成本!J27</f>
        <v>0</v>
      </c>
      <c r="J33" s="82">
        <f>材料成本!K27</f>
        <v>0</v>
      </c>
      <c r="K33" s="82">
        <f>材料成本!L27</f>
        <v>0</v>
      </c>
      <c r="L33" s="82">
        <f>材料成本!M27</f>
        <v>0</v>
      </c>
      <c r="M33" s="82">
        <f>材料成本!N27</f>
        <v>1353.1043885985648</v>
      </c>
      <c r="N33" s="82">
        <f>材料成本!O27</f>
        <v>1042.1242134918664</v>
      </c>
      <c r="O33" s="82">
        <f>材料成本!P27</f>
        <v>1353.7319186061957</v>
      </c>
      <c r="P33" s="82">
        <f>材料成本!Q27</f>
        <v>1353.7319186061957</v>
      </c>
      <c r="Q33" s="82">
        <f>材料成本!R27</f>
        <v>1042.751743499497</v>
      </c>
      <c r="R33" s="82">
        <f>材料成本!S27</f>
        <v>1042.751743499497</v>
      </c>
      <c r="S33" s="90"/>
      <c r="U33" s="2"/>
      <c r="V33" s="2"/>
      <c r="W33" s="2"/>
      <c r="X33" s="2"/>
      <c r="Y33" s="2"/>
      <c r="Z33" s="2"/>
      <c r="AS33" s="79" t="s">
        <v>57</v>
      </c>
      <c r="AT33" s="79" t="s">
        <v>101</v>
      </c>
    </row>
    <row r="34" spans="1:46" ht="17.25" customHeight="1">
      <c r="A34" s="76">
        <v>4</v>
      </c>
      <c r="B34" s="79" t="s">
        <v>103</v>
      </c>
      <c r="C34" s="95" t="e">
        <f>C32-C33</f>
        <v>#DIV/0!</v>
      </c>
      <c r="D34" s="95" t="e">
        <f>D32-D33</f>
        <v>#DIV/0!</v>
      </c>
      <c r="E34" s="95" t="e">
        <f t="shared" ref="E34:F34" si="42">E32-E33</f>
        <v>#DIV/0!</v>
      </c>
      <c r="F34" s="95" t="e">
        <f t="shared" si="42"/>
        <v>#DIV/0!</v>
      </c>
      <c r="G34" s="95" t="e">
        <f t="shared" ref="G34:R34" si="43">G32-G33</f>
        <v>#DIV/0!</v>
      </c>
      <c r="H34" s="95" t="e">
        <f t="shared" si="43"/>
        <v>#DIV/0!</v>
      </c>
      <c r="I34" s="95" t="e">
        <f t="shared" si="43"/>
        <v>#DIV/0!</v>
      </c>
      <c r="J34" s="95" t="e">
        <f t="shared" si="43"/>
        <v>#DIV/0!</v>
      </c>
      <c r="K34" s="95" t="e">
        <f t="shared" si="43"/>
        <v>#DIV/0!</v>
      </c>
      <c r="L34" s="95" t="e">
        <f t="shared" si="43"/>
        <v>#DIV/0!</v>
      </c>
      <c r="M34" s="95" t="e">
        <f t="shared" si="43"/>
        <v>#DIV/0!</v>
      </c>
      <c r="N34" s="95" t="e">
        <f t="shared" si="43"/>
        <v>#DIV/0!</v>
      </c>
      <c r="O34" s="95" t="e">
        <f t="shared" si="43"/>
        <v>#DIV/0!</v>
      </c>
      <c r="P34" s="95" t="e">
        <f t="shared" si="43"/>
        <v>#DIV/0!</v>
      </c>
      <c r="Q34" s="95" t="e">
        <f t="shared" si="43"/>
        <v>#DIV/0!</v>
      </c>
      <c r="R34" s="95" t="e">
        <f t="shared" si="43"/>
        <v>#DIV/0!</v>
      </c>
      <c r="S34" s="90"/>
      <c r="U34" s="2"/>
      <c r="V34" s="2"/>
      <c r="W34" s="2"/>
      <c r="X34" s="2"/>
      <c r="Y34" s="2"/>
      <c r="Z34" s="2"/>
      <c r="AS34" s="79" t="s">
        <v>102</v>
      </c>
      <c r="AT34" s="79" t="s">
        <v>103</v>
      </c>
    </row>
    <row r="35" spans="1:46">
      <c r="A35" s="79" t="s">
        <v>99</v>
      </c>
      <c r="B35" s="84" t="s">
        <v>9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S35" s="79" t="s">
        <v>105</v>
      </c>
      <c r="AT35" s="84" t="s">
        <v>9</v>
      </c>
    </row>
    <row r="36" spans="1:46">
      <c r="A36" s="76">
        <v>1</v>
      </c>
      <c r="B36" s="79" t="s">
        <v>106</v>
      </c>
      <c r="C36" s="88">
        <f>'2025年'!C36</f>
        <v>127.13097345132772</v>
      </c>
      <c r="D36" s="88">
        <f>'2025年'!D36</f>
        <v>159.37433628318581</v>
      </c>
      <c r="E36" s="88">
        <f>'2025年'!E36</f>
        <v>40.227433628318579</v>
      </c>
      <c r="F36" s="88">
        <f>'2025年'!F36</f>
        <v>4.0602070796460206</v>
      </c>
      <c r="G36" s="88">
        <f>'2025年'!G36</f>
        <v>187.31858407079665</v>
      </c>
      <c r="H36" s="88">
        <f>'2025年'!H36</f>
        <v>155.07522123893784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158.69876106194661</v>
      </c>
      <c r="N36" s="88">
        <f>'2025年'!N36</f>
        <v>126.45539823008852</v>
      </c>
      <c r="O36" s="88">
        <f>'2025年'!O36</f>
        <v>158.69876106194661</v>
      </c>
      <c r="P36" s="88">
        <f>'2025年'!P36</f>
        <v>158.69876106194661</v>
      </c>
      <c r="Q36" s="88">
        <f>'2025年'!Q36</f>
        <v>126.45539823008852</v>
      </c>
      <c r="R36" s="88">
        <f>'2025年'!R36</f>
        <v>126.45539823008852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S36" s="79" t="s">
        <v>102</v>
      </c>
      <c r="AT36" s="79" t="s">
        <v>106</v>
      </c>
    </row>
    <row r="37" spans="1:46">
      <c r="A37" s="76">
        <v>2</v>
      </c>
      <c r="B37" s="79" t="s">
        <v>107</v>
      </c>
      <c r="C37" s="88">
        <f>'2025年'!C37</f>
        <v>79.502654867256808</v>
      </c>
      <c r="D37" s="88">
        <f>'2025年'!D37</f>
        <v>99.66637168141591</v>
      </c>
      <c r="E37" s="88">
        <f>'2025年'!E37</f>
        <v>25.156637168141589</v>
      </c>
      <c r="F37" s="88">
        <f>'2025年'!F37</f>
        <v>2.5390920353982316</v>
      </c>
      <c r="G37" s="88">
        <f>'2025年'!G37</f>
        <v>117.1415929203541</v>
      </c>
      <c r="H37" s="88">
        <f>'2025年'!H37</f>
        <v>96.977876106194557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99.24389380530954</v>
      </c>
      <c r="N37" s="88">
        <f>'2025年'!N37</f>
        <v>79.080176991150452</v>
      </c>
      <c r="O37" s="88">
        <f>'2025年'!O37</f>
        <v>99.24389380530954</v>
      </c>
      <c r="P37" s="88">
        <f>'2025年'!P37</f>
        <v>99.24389380530954</v>
      </c>
      <c r="Q37" s="88">
        <f>'2025年'!Q37</f>
        <v>79.080176991150452</v>
      </c>
      <c r="R37" s="88">
        <f>'2025年'!R37</f>
        <v>79.080176991150452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S37" s="79" t="s">
        <v>60</v>
      </c>
      <c r="AT37" s="79" t="s">
        <v>107</v>
      </c>
    </row>
    <row r="38" spans="1:46">
      <c r="A38" s="76">
        <v>3</v>
      </c>
      <c r="B38" s="79" t="s">
        <v>108</v>
      </c>
      <c r="C38" s="88">
        <f>'2025年'!C38</f>
        <v>119.25398230088523</v>
      </c>
      <c r="D38" s="88">
        <f>'2025年'!D38</f>
        <v>149.49955752212389</v>
      </c>
      <c r="E38" s="88">
        <f>'2025年'!E38</f>
        <v>37.734955752212386</v>
      </c>
      <c r="F38" s="88">
        <f>'2025年'!F38</f>
        <v>3.8086380530973476</v>
      </c>
      <c r="G38" s="88">
        <f>'2025年'!G38</f>
        <v>175.71238938053116</v>
      </c>
      <c r="H38" s="88">
        <f>'2025年'!H38</f>
        <v>145.46681415929186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148.86584070796434</v>
      </c>
      <c r="N38" s="88">
        <f>'2025年'!N38</f>
        <v>118.62026548672569</v>
      </c>
      <c r="O38" s="88">
        <f>'2025年'!O38</f>
        <v>148.86584070796434</v>
      </c>
      <c r="P38" s="88">
        <f>'2025年'!P38</f>
        <v>148.86584070796434</v>
      </c>
      <c r="Q38" s="88">
        <f>'2025年'!Q38</f>
        <v>118.62026548672569</v>
      </c>
      <c r="R38" s="88">
        <f>'2025年'!R38</f>
        <v>118.62026548672569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S38" s="79" t="s">
        <v>66</v>
      </c>
      <c r="AT38" s="79" t="s">
        <v>108</v>
      </c>
    </row>
    <row r="39" spans="1:46">
      <c r="A39" s="79" t="s">
        <v>105</v>
      </c>
      <c r="B39" s="84" t="s">
        <v>110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S39" s="79" t="s">
        <v>109</v>
      </c>
      <c r="AT39" s="84" t="s">
        <v>110</v>
      </c>
    </row>
    <row r="40" spans="1:46">
      <c r="A40" s="76">
        <v>1</v>
      </c>
      <c r="B40" s="79" t="s">
        <v>111</v>
      </c>
      <c r="C40" s="90" t="e">
        <f>C34-C36-C37-C38</f>
        <v>#DIV/0!</v>
      </c>
      <c r="D40" s="90" t="e">
        <f>D34-D36-D37-D38</f>
        <v>#DIV/0!</v>
      </c>
      <c r="E40" s="90" t="e">
        <f t="shared" ref="E40:F40" si="44">E34-E36-E37-E38</f>
        <v>#DIV/0!</v>
      </c>
      <c r="F40" s="90" t="e">
        <f t="shared" si="44"/>
        <v>#DIV/0!</v>
      </c>
      <c r="G40" s="90" t="e">
        <f t="shared" ref="G40:R40" si="45">G34-G36-G37-G38</f>
        <v>#DIV/0!</v>
      </c>
      <c r="H40" s="90" t="e">
        <f t="shared" si="45"/>
        <v>#DIV/0!</v>
      </c>
      <c r="I40" s="90" t="e">
        <f t="shared" si="45"/>
        <v>#DIV/0!</v>
      </c>
      <c r="J40" s="90" t="e">
        <f t="shared" si="45"/>
        <v>#DIV/0!</v>
      </c>
      <c r="K40" s="90" t="e">
        <f t="shared" si="45"/>
        <v>#DIV/0!</v>
      </c>
      <c r="L40" s="90" t="e">
        <f t="shared" si="45"/>
        <v>#DIV/0!</v>
      </c>
      <c r="M40" s="90" t="e">
        <f t="shared" si="45"/>
        <v>#DIV/0!</v>
      </c>
      <c r="N40" s="90" t="e">
        <f t="shared" si="45"/>
        <v>#DIV/0!</v>
      </c>
      <c r="O40" s="90" t="e">
        <f t="shared" si="45"/>
        <v>#DIV/0!</v>
      </c>
      <c r="P40" s="90" t="e">
        <f t="shared" si="45"/>
        <v>#DIV/0!</v>
      </c>
      <c r="Q40" s="90" t="e">
        <f t="shared" si="45"/>
        <v>#DIV/0!</v>
      </c>
      <c r="R40" s="90" t="e">
        <f t="shared" si="45"/>
        <v>#DIV/0!</v>
      </c>
      <c r="S40" s="90"/>
      <c r="AS40" s="79" t="s">
        <v>55</v>
      </c>
      <c r="AT40" s="79" t="s">
        <v>111</v>
      </c>
    </row>
    <row r="41" spans="1:46">
      <c r="A41" s="76">
        <v>2</v>
      </c>
      <c r="B41" s="79" t="s">
        <v>112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S41" s="79" t="s">
        <v>57</v>
      </c>
      <c r="AT41" s="79" t="s">
        <v>112</v>
      </c>
    </row>
    <row r="42" spans="1:46">
      <c r="A42" s="79" t="s">
        <v>109</v>
      </c>
      <c r="B42" s="84" t="s">
        <v>114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S42" s="79" t="s">
        <v>113</v>
      </c>
      <c r="AT42" s="84" t="s">
        <v>114</v>
      </c>
    </row>
    <row r="43" spans="1:46">
      <c r="A43" s="76">
        <v>1</v>
      </c>
      <c r="B43" s="91" t="s">
        <v>115</v>
      </c>
      <c r="C43" s="88">
        <f>'2025年'!C43</f>
        <v>151.12831858407114</v>
      </c>
      <c r="D43" s="88">
        <f>'2025年'!D43</f>
        <v>189.4579646017699</v>
      </c>
      <c r="E43" s="88">
        <f>'2025年'!E43</f>
        <v>47.820796460176986</v>
      </c>
      <c r="F43" s="88">
        <f>'2025年'!F43</f>
        <v>4.8266150442477906</v>
      </c>
      <c r="G43" s="88">
        <f>'2025年'!G43</f>
        <v>222.67699115044269</v>
      </c>
      <c r="H43" s="88">
        <f>'2025年'!H43</f>
        <v>184.34734513274313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188.65486725663681</v>
      </c>
      <c r="N43" s="88">
        <f>'2025年'!N43</f>
        <v>150.32522123893807</v>
      </c>
      <c r="O43" s="88">
        <f>'2025年'!O43</f>
        <v>188.65486725663681</v>
      </c>
      <c r="P43" s="88">
        <f>'2025年'!P43</f>
        <v>188.65486725663681</v>
      </c>
      <c r="Q43" s="88">
        <f>'2025年'!Q43</f>
        <v>150.32522123893807</v>
      </c>
      <c r="R43" s="88">
        <f>'2025年'!R43</f>
        <v>150.32522123893807</v>
      </c>
      <c r="S43" s="90"/>
      <c r="AS43" s="79" t="s">
        <v>55</v>
      </c>
      <c r="AT43" s="79" t="s">
        <v>115</v>
      </c>
    </row>
    <row r="44" spans="1:46">
      <c r="A44" s="76">
        <v>2</v>
      </c>
      <c r="B44" s="91" t="s">
        <v>116</v>
      </c>
      <c r="C44" s="88">
        <f>'2025年'!C44</f>
        <v>31.507964601769981</v>
      </c>
      <c r="D44" s="88">
        <f>'2025年'!D44</f>
        <v>39.49911504424778</v>
      </c>
      <c r="E44" s="88">
        <f>'2025年'!E44</f>
        <v>9.9699115044247772</v>
      </c>
      <c r="F44" s="88">
        <f>'2025年'!F44</f>
        <v>1.006276106194691</v>
      </c>
      <c r="G44" s="88">
        <f>'2025年'!G44</f>
        <v>46.424778761061994</v>
      </c>
      <c r="H44" s="88">
        <f>'2025年'!H44</f>
        <v>38.43362831858402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39.331681415929125</v>
      </c>
      <c r="N44" s="88">
        <f>'2025年'!N44</f>
        <v>31.340530973451333</v>
      </c>
      <c r="O44" s="88">
        <f>'2025年'!O44</f>
        <v>39.331681415929125</v>
      </c>
      <c r="P44" s="88">
        <f>'2025年'!P44</f>
        <v>39.331681415929125</v>
      </c>
      <c r="Q44" s="88">
        <f>'2025年'!Q44</f>
        <v>31.340530973451333</v>
      </c>
      <c r="R44" s="88">
        <f>'2025年'!R44</f>
        <v>31.340530973451333</v>
      </c>
      <c r="S44" s="90"/>
      <c r="AS44" s="79" t="s">
        <v>57</v>
      </c>
      <c r="AT44" s="79" t="s">
        <v>116</v>
      </c>
    </row>
    <row r="45" spans="1:46">
      <c r="A45" s="76">
        <v>3</v>
      </c>
      <c r="B45" s="91" t="s">
        <v>117</v>
      </c>
      <c r="C45" s="88">
        <f>'2025年'!C45</f>
        <v>48.361061946902758</v>
      </c>
      <c r="D45" s="88">
        <f>'2025年'!D45</f>
        <v>60.626548672566365</v>
      </c>
      <c r="E45" s="88">
        <f>'2025年'!E45</f>
        <v>15.302654867256635</v>
      </c>
      <c r="F45" s="88">
        <f>'2025年'!F45</f>
        <v>1.5445168141592931</v>
      </c>
      <c r="G45" s="88">
        <f>'2025年'!G45</f>
        <v>71.256637168141665</v>
      </c>
      <c r="H45" s="88">
        <f>'2025年'!H45</f>
        <v>58.991150442477796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60.369557522123777</v>
      </c>
      <c r="N45" s="88">
        <f>'2025年'!N45</f>
        <v>48.104070796460185</v>
      </c>
      <c r="O45" s="88">
        <f>'2025年'!O45</f>
        <v>60.369557522123777</v>
      </c>
      <c r="P45" s="88">
        <f>'2025年'!P45</f>
        <v>60.369557522123777</v>
      </c>
      <c r="Q45" s="88">
        <f>'2025年'!Q45</f>
        <v>48.104070796460185</v>
      </c>
      <c r="R45" s="88">
        <f>'2025年'!R45</f>
        <v>48.104070796460185</v>
      </c>
      <c r="S45" s="90"/>
      <c r="AS45" s="79" t="s">
        <v>102</v>
      </c>
      <c r="AT45" s="79" t="s">
        <v>117</v>
      </c>
    </row>
    <row r="46" spans="1:46" s="74" customFormat="1">
      <c r="A46" s="76">
        <v>4</v>
      </c>
      <c r="B46" s="91" t="s">
        <v>118</v>
      </c>
      <c r="C46" s="96" t="e">
        <f>C21/C6</f>
        <v>#DIV/0!</v>
      </c>
      <c r="D46" s="96" t="e">
        <f>D21/D6</f>
        <v>#DIV/0!</v>
      </c>
      <c r="E46" s="96" t="e">
        <f t="shared" ref="E46:F46" si="46">E21/E6</f>
        <v>#DIV/0!</v>
      </c>
      <c r="F46" s="96" t="e">
        <f t="shared" si="46"/>
        <v>#DIV/0!</v>
      </c>
      <c r="G46" s="96" t="e">
        <f t="shared" ref="G46:R46" si="47">G21/G6</f>
        <v>#DIV/0!</v>
      </c>
      <c r="H46" s="96" t="e">
        <f t="shared" si="47"/>
        <v>#DIV/0!</v>
      </c>
      <c r="I46" s="96" t="e">
        <f t="shared" si="47"/>
        <v>#DIV/0!</v>
      </c>
      <c r="J46" s="96" t="e">
        <f t="shared" si="47"/>
        <v>#DIV/0!</v>
      </c>
      <c r="K46" s="96" t="e">
        <f t="shared" si="47"/>
        <v>#DIV/0!</v>
      </c>
      <c r="L46" s="96" t="e">
        <f t="shared" si="47"/>
        <v>#DIV/0!</v>
      </c>
      <c r="M46" s="96" t="e">
        <f t="shared" si="47"/>
        <v>#DIV/0!</v>
      </c>
      <c r="N46" s="96" t="e">
        <f t="shared" si="47"/>
        <v>#DIV/0!</v>
      </c>
      <c r="O46" s="96" t="e">
        <f t="shared" si="47"/>
        <v>#DIV/0!</v>
      </c>
      <c r="P46" s="96" t="e">
        <f t="shared" si="47"/>
        <v>#DIV/0!</v>
      </c>
      <c r="Q46" s="96" t="e">
        <f t="shared" si="47"/>
        <v>#DIV/0!</v>
      </c>
      <c r="R46" s="96" t="e">
        <f t="shared" si="47"/>
        <v>#DIV/0!</v>
      </c>
      <c r="S46" s="96"/>
      <c r="AS46" s="91" t="s">
        <v>62</v>
      </c>
      <c r="AT46" s="91" t="s">
        <v>120</v>
      </c>
    </row>
    <row r="47" spans="1:46" s="74" customFormat="1">
      <c r="A47" s="76">
        <v>5</v>
      </c>
      <c r="B47" s="91" t="s">
        <v>120</v>
      </c>
      <c r="C47" s="88">
        <f>'2025年'!C47</f>
        <v>65.030973451327569</v>
      </c>
      <c r="D47" s="88">
        <f>'2025年'!D47</f>
        <v>81.524336283185818</v>
      </c>
      <c r="E47" s="88">
        <f>'2025年'!E47</f>
        <v>20.57743362831858</v>
      </c>
      <c r="F47" s="88">
        <f>'2025年'!F47</f>
        <v>2.0769070796460189</v>
      </c>
      <c r="G47" s="88">
        <f>'2025年'!G47</f>
        <v>95.818584070796547</v>
      </c>
      <c r="H47" s="88">
        <f>'2025年'!H47</f>
        <v>79.325221238937942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81.178761061946744</v>
      </c>
      <c r="N47" s="88">
        <f>'2025年'!N47</f>
        <v>64.685398230088495</v>
      </c>
      <c r="O47" s="88">
        <f>'2025年'!O47</f>
        <v>81.178761061946744</v>
      </c>
      <c r="P47" s="88">
        <f>'2025年'!P47</f>
        <v>81.178761061946744</v>
      </c>
      <c r="Q47" s="88">
        <f>'2025年'!Q47</f>
        <v>64.685398230088495</v>
      </c>
      <c r="R47" s="88">
        <f>'2025年'!R47</f>
        <v>64.685398230088495</v>
      </c>
      <c r="S47" s="96"/>
      <c r="AS47" s="91" t="s">
        <v>62</v>
      </c>
      <c r="AT47" s="91" t="s">
        <v>120</v>
      </c>
    </row>
    <row r="48" spans="1:46">
      <c r="A48" s="79" t="s">
        <v>113</v>
      </c>
      <c r="B48" s="84" t="s">
        <v>131</v>
      </c>
      <c r="C48" s="90" t="e">
        <f>C40-C43-C44-C45-C47-C46</f>
        <v>#DIV/0!</v>
      </c>
      <c r="D48" s="90" t="e">
        <f>D40-D43-D44-D45-D47-D46</f>
        <v>#DIV/0!</v>
      </c>
      <c r="E48" s="90" t="e">
        <f t="shared" ref="E48:F48" si="48">E40-E43-E44-E45-E47-E46</f>
        <v>#DIV/0!</v>
      </c>
      <c r="F48" s="90" t="e">
        <f t="shared" si="48"/>
        <v>#DIV/0!</v>
      </c>
      <c r="G48" s="90" t="e">
        <f t="shared" ref="G48:R48" si="49">G40-G43-G44-G45-G47-G46</f>
        <v>#DIV/0!</v>
      </c>
      <c r="H48" s="90" t="e">
        <f t="shared" si="49"/>
        <v>#DIV/0!</v>
      </c>
      <c r="I48" s="90" t="e">
        <f t="shared" si="49"/>
        <v>#DIV/0!</v>
      </c>
      <c r="J48" s="90" t="e">
        <f t="shared" si="49"/>
        <v>#DIV/0!</v>
      </c>
      <c r="K48" s="90" t="e">
        <f t="shared" si="49"/>
        <v>#DIV/0!</v>
      </c>
      <c r="L48" s="90" t="e">
        <f t="shared" si="49"/>
        <v>#DIV/0!</v>
      </c>
      <c r="M48" s="90" t="e">
        <f t="shared" si="49"/>
        <v>#DIV/0!</v>
      </c>
      <c r="N48" s="90" t="e">
        <f t="shared" si="49"/>
        <v>#DIV/0!</v>
      </c>
      <c r="O48" s="90" t="e">
        <f t="shared" si="49"/>
        <v>#DIV/0!</v>
      </c>
      <c r="P48" s="90" t="e">
        <f t="shared" si="49"/>
        <v>#DIV/0!</v>
      </c>
      <c r="Q48" s="90" t="e">
        <f t="shared" si="49"/>
        <v>#DIV/0!</v>
      </c>
      <c r="R48" s="90" t="e">
        <f t="shared" si="49"/>
        <v>#DIV/0!</v>
      </c>
      <c r="S48" s="90"/>
      <c r="AS48" s="79" t="s">
        <v>130</v>
      </c>
      <c r="AT48" s="84" t="s">
        <v>131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90" zoomScaleNormal="90" workbookViewId="0">
      <selection activeCell="L11" sqref="L11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4" width="9" style="72"/>
    <col min="45" max="45" width="4.375" style="72" customWidth="1"/>
    <col min="46" max="46" width="13.875" style="72" customWidth="1"/>
    <col min="47" max="16384" width="9" style="72"/>
  </cols>
  <sheetData>
    <row r="1" spans="1:47">
      <c r="A1" s="215" t="s">
        <v>141</v>
      </c>
      <c r="B1" s="215"/>
      <c r="C1" s="219" t="s">
        <v>263</v>
      </c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1"/>
    </row>
    <row r="2" spans="1:47">
      <c r="A2" s="215" t="s">
        <v>142</v>
      </c>
      <c r="B2" s="215"/>
      <c r="C2" s="222" t="str">
        <f>'2025年'!$C$2</f>
        <v>北汽福田戴姆勒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47">
      <c r="A3" s="215" t="s">
        <v>143</v>
      </c>
      <c r="B3" s="215"/>
      <c r="C3" s="77" t="str">
        <f>'2025年'!C3</f>
        <v>驾驶员座椅总成</v>
      </c>
      <c r="D3" s="77" t="str">
        <f>'2025年'!D3</f>
        <v>驾驶员座椅总成</v>
      </c>
      <c r="E3" s="77" t="str">
        <f>'2025年'!E3</f>
        <v>副驾驶座椅总成</v>
      </c>
      <c r="F3" s="77" t="str">
        <f>'2025年'!F3</f>
        <v>副驾驶座椅安装支架</v>
      </c>
      <c r="G3" s="77" t="str">
        <f>'2025年'!G3</f>
        <v>驾驶员座椅总成</v>
      </c>
      <c r="H3" s="77" t="str">
        <f>'2025年'!H3</f>
        <v>驾驶员座椅总成</v>
      </c>
      <c r="I3" s="77" t="str">
        <f>'2025年'!I3</f>
        <v>副驾驶员座椅总成</v>
      </c>
      <c r="J3" s="77" t="str">
        <f>'2025年'!J3</f>
        <v>副驾驶员座椅总成</v>
      </c>
      <c r="K3" s="77" t="str">
        <f>'2025年'!K3</f>
        <v>副驾驶员座椅总成</v>
      </c>
      <c r="L3" s="77" t="str">
        <f>'2025年'!L3</f>
        <v>副驾驶员座椅总成</v>
      </c>
      <c r="M3" s="77" t="str">
        <f>'2025年'!M3</f>
        <v>驾驶员座椅总成</v>
      </c>
      <c r="N3" s="77" t="str">
        <f>'2025年'!N3</f>
        <v>驾驶员座椅总成</v>
      </c>
      <c r="O3" s="77" t="str">
        <f>'2025年'!O3</f>
        <v>驾驶员座椅总成</v>
      </c>
      <c r="P3" s="77" t="str">
        <f>'2025年'!P3</f>
        <v>驾驶员座椅总成</v>
      </c>
      <c r="Q3" s="77" t="str">
        <f>'2025年'!Q3</f>
        <v>驾驶员座椅总成</v>
      </c>
      <c r="R3" s="77" t="str">
        <f>'2025年'!R3</f>
        <v>驾驶员座椅总成</v>
      </c>
      <c r="S3" s="216" t="s">
        <v>51</v>
      </c>
    </row>
    <row r="4" spans="1:47">
      <c r="A4" s="215" t="s">
        <v>144</v>
      </c>
      <c r="B4" s="215"/>
      <c r="C4" s="77" t="str">
        <f>'2025年'!C4</f>
        <v>A668100000148</v>
      </c>
      <c r="D4" s="77" t="str">
        <f>'2025年'!D4</f>
        <v>A668100000149</v>
      </c>
      <c r="E4" s="77" t="str">
        <f>'2025年'!E4</f>
        <v>A668100000150</v>
      </c>
      <c r="F4" s="77" t="str">
        <f>'2025年'!F4</f>
        <v>A668100000147</v>
      </c>
      <c r="G4" s="77" t="str">
        <f>'2025年'!G4</f>
        <v>A668100000130</v>
      </c>
      <c r="H4" s="77" t="str">
        <f>'2025年'!H4</f>
        <v>A668100000131</v>
      </c>
      <c r="I4" s="77" t="str">
        <f>'2025年'!I4</f>
        <v>A668100000155</v>
      </c>
      <c r="J4" s="77" t="str">
        <f>'2025年'!J4</f>
        <v>A668100000154</v>
      </c>
      <c r="K4" s="77" t="str">
        <f>'2025年'!K4</f>
        <v>A668100000156</v>
      </c>
      <c r="L4" s="77" t="str">
        <f>'2025年'!L4</f>
        <v>A668100000158</v>
      </c>
      <c r="M4" s="77" t="str">
        <f>'2025年'!M4</f>
        <v>A668100000139</v>
      </c>
      <c r="N4" s="77" t="str">
        <f>'2025年'!N4</f>
        <v>A668100000138</v>
      </c>
      <c r="O4" s="77" t="str">
        <f>'2025年'!O4</f>
        <v>A668100000142</v>
      </c>
      <c r="P4" s="77" t="str">
        <f>'2025年'!P4</f>
        <v>A668100000143</v>
      </c>
      <c r="Q4" s="77" t="str">
        <f>'2025年'!Q4</f>
        <v>A668100000140</v>
      </c>
      <c r="R4" s="77" t="str">
        <f>'2025年'!R4</f>
        <v>A668100000141</v>
      </c>
      <c r="S4" s="217"/>
    </row>
    <row r="5" spans="1:47">
      <c r="A5" s="215" t="s">
        <v>145</v>
      </c>
      <c r="B5" s="215"/>
      <c r="C5" s="78" t="str">
        <f>'2025年'!C5</f>
        <v>匹配新能源车身</v>
      </c>
      <c r="D5" s="78" t="str">
        <f>'2025年'!D5</f>
        <v>匹配新能源车身</v>
      </c>
      <c r="E5" s="78" t="str">
        <f>'2025年'!E5</f>
        <v>匹配新能源车身</v>
      </c>
      <c r="F5" s="78" t="str">
        <f>'2025年'!F5</f>
        <v>匹配新能源车身</v>
      </c>
      <c r="G5" s="78" t="str">
        <f>'2025年'!G5</f>
        <v>增加振动提醒</v>
      </c>
      <c r="H5" s="78" t="str">
        <f>'2025年'!H5</f>
        <v>增加振动提醒</v>
      </c>
      <c r="I5" s="78" t="str">
        <f>'2025年'!I5</f>
        <v>旋转副驾</v>
      </c>
      <c r="J5" s="78" t="str">
        <f>'2025年'!J5</f>
        <v>旋转副驾</v>
      </c>
      <c r="K5" s="78" t="str">
        <f>'2025年'!K5</f>
        <v>旋转副驾</v>
      </c>
      <c r="L5" s="78" t="str">
        <f>'2025年'!L5</f>
        <v>旋转副驾</v>
      </c>
      <c r="M5" s="78" t="str">
        <f>'2025年'!M5</f>
        <v>更换斜切扶手</v>
      </c>
      <c r="N5" s="78" t="str">
        <f>'2025年'!N5</f>
        <v>更换斜切扶手</v>
      </c>
      <c r="O5" s="78" t="str">
        <f>'2025年'!O5</f>
        <v>更换斜切扶手</v>
      </c>
      <c r="P5" s="78" t="str">
        <f>'2025年'!P5</f>
        <v>更换斜切扶手</v>
      </c>
      <c r="Q5" s="78" t="str">
        <f>'2025年'!Q5</f>
        <v>更换斜切扶手</v>
      </c>
      <c r="R5" s="78" t="str">
        <f>'2025年'!R5</f>
        <v>更换斜切扶手</v>
      </c>
      <c r="S5" s="218"/>
      <c r="AU5" s="72" t="s">
        <v>52</v>
      </c>
    </row>
    <row r="6" spans="1:47">
      <c r="A6" s="79" t="s">
        <v>18</v>
      </c>
      <c r="B6" s="80" t="s">
        <v>146</v>
      </c>
      <c r="C6" s="81">
        <f>销量!C13</f>
        <v>0</v>
      </c>
      <c r="D6" s="81">
        <f>销量!D13</f>
        <v>0</v>
      </c>
      <c r="E6" s="81">
        <f>销量!E13</f>
        <v>0</v>
      </c>
      <c r="F6" s="81">
        <f>销量!F13</f>
        <v>0</v>
      </c>
      <c r="G6" s="81">
        <f>销量!G13</f>
        <v>0</v>
      </c>
      <c r="H6" s="81">
        <f>销量!H13</f>
        <v>0</v>
      </c>
      <c r="I6" s="81">
        <f>销量!I13</f>
        <v>0</v>
      </c>
      <c r="J6" s="81">
        <f>销量!J13</f>
        <v>0</v>
      </c>
      <c r="K6" s="81">
        <f>销量!K13</f>
        <v>0</v>
      </c>
      <c r="L6" s="81">
        <f>销量!L13</f>
        <v>0</v>
      </c>
      <c r="M6" s="81">
        <f>销量!M13</f>
        <v>0</v>
      </c>
      <c r="N6" s="81">
        <f>销量!N13</f>
        <v>0</v>
      </c>
      <c r="O6" s="81">
        <f>销量!O13</f>
        <v>0</v>
      </c>
      <c r="P6" s="81">
        <f>销量!P13</f>
        <v>0</v>
      </c>
      <c r="Q6" s="81">
        <f>销量!Q13</f>
        <v>0</v>
      </c>
      <c r="R6" s="81">
        <f>销量!R13</f>
        <v>0</v>
      </c>
      <c r="S6" s="82">
        <f>+SUM(C6:R6)</f>
        <v>0</v>
      </c>
      <c r="AS6" s="79" t="s">
        <v>18</v>
      </c>
      <c r="AT6" s="80" t="s">
        <v>3</v>
      </c>
      <c r="AU6" s="72" t="s">
        <v>53</v>
      </c>
    </row>
    <row r="7" spans="1:47">
      <c r="A7" s="76">
        <v>1</v>
      </c>
      <c r="B7" s="80" t="s">
        <v>54</v>
      </c>
      <c r="C7" s="82">
        <f>C6*销量!C8</f>
        <v>0</v>
      </c>
      <c r="D7" s="82">
        <f>D6*销量!D8</f>
        <v>0</v>
      </c>
      <c r="E7" s="82">
        <f>E6*销量!E8</f>
        <v>0</v>
      </c>
      <c r="F7" s="82">
        <f>F6*销量!F8</f>
        <v>0</v>
      </c>
      <c r="G7" s="82">
        <f>G6*销量!G8</f>
        <v>0</v>
      </c>
      <c r="H7" s="82">
        <f>H6*销量!H8</f>
        <v>0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0</v>
      </c>
      <c r="N7" s="82">
        <f>N6*销量!N8</f>
        <v>0</v>
      </c>
      <c r="O7" s="82">
        <f>O6*销量!O8</f>
        <v>0</v>
      </c>
      <c r="P7" s="82">
        <f>P6*销量!P8</f>
        <v>0</v>
      </c>
      <c r="Q7" s="82">
        <f>Q6*销量!Q8</f>
        <v>0</v>
      </c>
      <c r="R7" s="82">
        <f>R6*销量!R8</f>
        <v>0</v>
      </c>
      <c r="S7" s="82">
        <f t="shared" ref="S7:S13" si="0">+SUM(C7:R7)</f>
        <v>0</v>
      </c>
      <c r="T7" s="75"/>
      <c r="AS7" s="79" t="s">
        <v>55</v>
      </c>
      <c r="AT7" s="80" t="s">
        <v>54</v>
      </c>
      <c r="AU7" s="72" t="s">
        <v>53</v>
      </c>
    </row>
    <row r="8" spans="1:47">
      <c r="A8" s="76">
        <v>2</v>
      </c>
      <c r="B8" s="76" t="s">
        <v>56</v>
      </c>
      <c r="C8" s="82">
        <f>C7*(1-销量!$V$10)</f>
        <v>0</v>
      </c>
      <c r="D8" s="82">
        <f>D7*(1-销量!$V$10)</f>
        <v>0</v>
      </c>
      <c r="E8" s="82">
        <f>E7*(1-销量!$V$10)</f>
        <v>0</v>
      </c>
      <c r="F8" s="82">
        <f>F7*(1-销量!$V$10)</f>
        <v>0</v>
      </c>
      <c r="G8" s="82">
        <f>G7*(1-销量!$V$10)</f>
        <v>0</v>
      </c>
      <c r="H8" s="82">
        <f>H7*(1-销量!$V$10)</f>
        <v>0</v>
      </c>
      <c r="I8" s="82">
        <f>I7*(1-销量!$V$10)</f>
        <v>0</v>
      </c>
      <c r="J8" s="82">
        <f>J7*(1-销量!$V$10)</f>
        <v>0</v>
      </c>
      <c r="K8" s="82">
        <f>K7*(1-销量!$V$10)</f>
        <v>0</v>
      </c>
      <c r="L8" s="82">
        <f>L7*(1-销量!$V$10)</f>
        <v>0</v>
      </c>
      <c r="M8" s="82">
        <f>M7*(1-销量!$V$10)</f>
        <v>0</v>
      </c>
      <c r="N8" s="82">
        <f>N7*(1-销量!$V$10)</f>
        <v>0</v>
      </c>
      <c r="O8" s="82">
        <f>O7*(1-销量!$V$10)</f>
        <v>0</v>
      </c>
      <c r="P8" s="82">
        <f>P7*(1-销量!$V$10)</f>
        <v>0</v>
      </c>
      <c r="Q8" s="82">
        <f>Q7*(1-销量!$V$10)</f>
        <v>0</v>
      </c>
      <c r="R8" s="82">
        <f>R7*(1-销量!$V$10)</f>
        <v>0</v>
      </c>
      <c r="S8" s="82">
        <f t="shared" si="0"/>
        <v>0</v>
      </c>
      <c r="T8" s="83"/>
      <c r="AS8" s="79" t="s">
        <v>57</v>
      </c>
      <c r="AT8" s="76" t="s">
        <v>58</v>
      </c>
      <c r="AU8" s="72" t="s">
        <v>53</v>
      </c>
    </row>
    <row r="9" spans="1:47">
      <c r="A9" s="76">
        <v>3</v>
      </c>
      <c r="B9" s="80" t="s">
        <v>59</v>
      </c>
      <c r="C9" s="82">
        <f>+C7-C8</f>
        <v>0</v>
      </c>
      <c r="D9" s="82">
        <f>+D7-D8</f>
        <v>0</v>
      </c>
      <c r="E9" s="82">
        <f t="shared" ref="E9:S9" si="1">+E7-E8</f>
        <v>0</v>
      </c>
      <c r="F9" s="82">
        <f t="shared" si="1"/>
        <v>0</v>
      </c>
      <c r="G9" s="82">
        <f t="shared" ref="G9:R9" si="2">+G7-G8</f>
        <v>0</v>
      </c>
      <c r="H9" s="82">
        <f t="shared" si="2"/>
        <v>0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0</v>
      </c>
      <c r="N9" s="82">
        <f t="shared" si="2"/>
        <v>0</v>
      </c>
      <c r="O9" s="82">
        <f t="shared" si="2"/>
        <v>0</v>
      </c>
      <c r="P9" s="82">
        <f t="shared" si="2"/>
        <v>0</v>
      </c>
      <c r="Q9" s="82">
        <f t="shared" si="2"/>
        <v>0</v>
      </c>
      <c r="R9" s="82">
        <f t="shared" si="2"/>
        <v>0</v>
      </c>
      <c r="S9" s="82">
        <f t="shared" si="1"/>
        <v>0</v>
      </c>
      <c r="AS9" s="79" t="s">
        <v>60</v>
      </c>
      <c r="AT9" s="80" t="s">
        <v>59</v>
      </c>
      <c r="AU9" s="72" t="s">
        <v>61</v>
      </c>
    </row>
    <row r="10" spans="1:47">
      <c r="A10" s="76">
        <v>4</v>
      </c>
      <c r="B10" s="79" t="s">
        <v>63</v>
      </c>
      <c r="C10" s="82">
        <f>C6*C33</f>
        <v>0</v>
      </c>
      <c r="D10" s="82">
        <f>D6*D33</f>
        <v>0</v>
      </c>
      <c r="E10" s="82">
        <f t="shared" ref="E10:F10" si="3">E6*E33</f>
        <v>0</v>
      </c>
      <c r="F10" s="82">
        <f t="shared" si="3"/>
        <v>0</v>
      </c>
      <c r="G10" s="82">
        <f t="shared" ref="G10:R10" si="4">G6*G33</f>
        <v>0</v>
      </c>
      <c r="H10" s="82">
        <f t="shared" si="4"/>
        <v>0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0</v>
      </c>
      <c r="N10" s="82">
        <f t="shared" si="4"/>
        <v>0</v>
      </c>
      <c r="O10" s="82">
        <f t="shared" si="4"/>
        <v>0</v>
      </c>
      <c r="P10" s="82">
        <f t="shared" si="4"/>
        <v>0</v>
      </c>
      <c r="Q10" s="82">
        <f t="shared" si="4"/>
        <v>0</v>
      </c>
      <c r="R10" s="82">
        <f t="shared" si="4"/>
        <v>0</v>
      </c>
      <c r="S10" s="82">
        <f t="shared" si="0"/>
        <v>0</v>
      </c>
      <c r="AS10" s="79" t="s">
        <v>62</v>
      </c>
      <c r="AT10" s="79" t="s">
        <v>63</v>
      </c>
      <c r="AU10" s="72" t="s">
        <v>64</v>
      </c>
    </row>
    <row r="11" spans="1:47">
      <c r="A11" s="76">
        <v>5</v>
      </c>
      <c r="B11" s="79" t="s">
        <v>65</v>
      </c>
      <c r="C11" s="82">
        <f>+C6*C36</f>
        <v>0</v>
      </c>
      <c r="D11" s="82">
        <f>+D6*D36</f>
        <v>0</v>
      </c>
      <c r="E11" s="82">
        <f t="shared" ref="E11:F11" si="5">+E6*E36</f>
        <v>0</v>
      </c>
      <c r="F11" s="82">
        <f t="shared" si="5"/>
        <v>0</v>
      </c>
      <c r="G11" s="82">
        <f t="shared" ref="G11:R11" si="6">+G6*G36</f>
        <v>0</v>
      </c>
      <c r="H11" s="82">
        <f t="shared" si="6"/>
        <v>0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0</v>
      </c>
      <c r="N11" s="82">
        <f t="shared" si="6"/>
        <v>0</v>
      </c>
      <c r="O11" s="82">
        <f t="shared" si="6"/>
        <v>0</v>
      </c>
      <c r="P11" s="82">
        <f t="shared" si="6"/>
        <v>0</v>
      </c>
      <c r="Q11" s="82">
        <f t="shared" si="6"/>
        <v>0</v>
      </c>
      <c r="R11" s="82">
        <f t="shared" si="6"/>
        <v>0</v>
      </c>
      <c r="S11" s="82">
        <f t="shared" si="0"/>
        <v>0</v>
      </c>
      <c r="AS11" s="79" t="s">
        <v>66</v>
      </c>
      <c r="AT11" s="79" t="s">
        <v>65</v>
      </c>
    </row>
    <row r="12" spans="1:47">
      <c r="A12" s="76">
        <v>6</v>
      </c>
      <c r="B12" s="79" t="s">
        <v>67</v>
      </c>
      <c r="C12" s="82">
        <f>+C6*C37</f>
        <v>0</v>
      </c>
      <c r="D12" s="82">
        <f>+D6*D37</f>
        <v>0</v>
      </c>
      <c r="E12" s="82">
        <f t="shared" ref="E12:F12" si="7">+E6*E37</f>
        <v>0</v>
      </c>
      <c r="F12" s="82">
        <f t="shared" si="7"/>
        <v>0</v>
      </c>
      <c r="G12" s="82">
        <f t="shared" ref="G12:R12" si="8">+G6*G37</f>
        <v>0</v>
      </c>
      <c r="H12" s="82">
        <f t="shared" si="8"/>
        <v>0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0</v>
      </c>
      <c r="N12" s="82">
        <f t="shared" si="8"/>
        <v>0</v>
      </c>
      <c r="O12" s="82">
        <f t="shared" si="8"/>
        <v>0</v>
      </c>
      <c r="P12" s="82">
        <f t="shared" si="8"/>
        <v>0</v>
      </c>
      <c r="Q12" s="82">
        <f t="shared" si="8"/>
        <v>0</v>
      </c>
      <c r="R12" s="82">
        <f t="shared" si="8"/>
        <v>0</v>
      </c>
      <c r="S12" s="82">
        <f t="shared" si="0"/>
        <v>0</v>
      </c>
      <c r="AS12" s="79" t="s">
        <v>68</v>
      </c>
      <c r="AT12" s="79" t="s">
        <v>67</v>
      </c>
    </row>
    <row r="13" spans="1:47">
      <c r="A13" s="76">
        <v>7</v>
      </c>
      <c r="B13" s="79" t="s">
        <v>69</v>
      </c>
      <c r="C13" s="82">
        <f>+C6*C38</f>
        <v>0</v>
      </c>
      <c r="D13" s="82">
        <f>+D6*D38</f>
        <v>0</v>
      </c>
      <c r="E13" s="82">
        <f t="shared" ref="E13:F13" si="9">+E6*E38</f>
        <v>0</v>
      </c>
      <c r="F13" s="82">
        <f t="shared" si="9"/>
        <v>0</v>
      </c>
      <c r="G13" s="82">
        <f t="shared" ref="G13:R13" si="10">+G6*G38</f>
        <v>0</v>
      </c>
      <c r="H13" s="82">
        <f t="shared" si="10"/>
        <v>0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0</v>
      </c>
      <c r="N13" s="82">
        <f t="shared" si="10"/>
        <v>0</v>
      </c>
      <c r="O13" s="82">
        <f t="shared" si="10"/>
        <v>0</v>
      </c>
      <c r="P13" s="82">
        <f t="shared" si="10"/>
        <v>0</v>
      </c>
      <c r="Q13" s="82">
        <f t="shared" si="10"/>
        <v>0</v>
      </c>
      <c r="R13" s="82">
        <f t="shared" si="10"/>
        <v>0</v>
      </c>
      <c r="S13" s="82">
        <f t="shared" si="0"/>
        <v>0</v>
      </c>
      <c r="AS13" s="79" t="s">
        <v>70</v>
      </c>
      <c r="AT13" s="79" t="s">
        <v>69</v>
      </c>
      <c r="AU13" s="72" t="s">
        <v>53</v>
      </c>
    </row>
    <row r="14" spans="1:47">
      <c r="A14" s="76">
        <v>8</v>
      </c>
      <c r="B14" s="84" t="s">
        <v>71</v>
      </c>
      <c r="C14" s="82">
        <f>SUM(C11:C13)</f>
        <v>0</v>
      </c>
      <c r="D14" s="82">
        <f>SUM(D11:D13)</f>
        <v>0</v>
      </c>
      <c r="E14" s="82">
        <f t="shared" ref="E14:S14" si="11">SUM(E11:E13)</f>
        <v>0</v>
      </c>
      <c r="F14" s="82">
        <f t="shared" si="11"/>
        <v>0</v>
      </c>
      <c r="G14" s="82">
        <f t="shared" ref="G14:R14" si="12">SUM(G11:G13)</f>
        <v>0</v>
      </c>
      <c r="H14" s="82">
        <f t="shared" si="12"/>
        <v>0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0</v>
      </c>
      <c r="N14" s="82">
        <f t="shared" si="12"/>
        <v>0</v>
      </c>
      <c r="O14" s="82">
        <f t="shared" si="12"/>
        <v>0</v>
      </c>
      <c r="P14" s="82">
        <f t="shared" si="12"/>
        <v>0</v>
      </c>
      <c r="Q14" s="82">
        <f t="shared" si="12"/>
        <v>0</v>
      </c>
      <c r="R14" s="82">
        <f t="shared" si="12"/>
        <v>0</v>
      </c>
      <c r="S14" s="82">
        <f t="shared" si="11"/>
        <v>0</v>
      </c>
      <c r="AS14" s="79" t="s">
        <v>72</v>
      </c>
      <c r="AT14" s="84" t="s">
        <v>71</v>
      </c>
    </row>
    <row r="15" spans="1:47">
      <c r="A15" s="76">
        <v>9</v>
      </c>
      <c r="B15" s="84" t="s">
        <v>73</v>
      </c>
      <c r="C15" s="82">
        <f>+C9-C10-C14</f>
        <v>0</v>
      </c>
      <c r="D15" s="82">
        <f>+D9-D10-D14</f>
        <v>0</v>
      </c>
      <c r="E15" s="82">
        <f t="shared" ref="E15:S15" si="13">+E9-E10-E14</f>
        <v>0</v>
      </c>
      <c r="F15" s="82">
        <f t="shared" si="13"/>
        <v>0</v>
      </c>
      <c r="G15" s="82">
        <f t="shared" ref="G15:R15" si="14">+G9-G10-G14</f>
        <v>0</v>
      </c>
      <c r="H15" s="82">
        <f t="shared" si="14"/>
        <v>0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0</v>
      </c>
      <c r="N15" s="82">
        <f t="shared" si="14"/>
        <v>0</v>
      </c>
      <c r="O15" s="82">
        <f t="shared" si="14"/>
        <v>0</v>
      </c>
      <c r="P15" s="82">
        <f t="shared" si="14"/>
        <v>0</v>
      </c>
      <c r="Q15" s="82">
        <f t="shared" si="14"/>
        <v>0</v>
      </c>
      <c r="R15" s="82">
        <f t="shared" si="14"/>
        <v>0</v>
      </c>
      <c r="S15" s="82">
        <f t="shared" si="13"/>
        <v>0</v>
      </c>
      <c r="AS15" s="79" t="s">
        <v>74</v>
      </c>
      <c r="AT15" s="84" t="s">
        <v>73</v>
      </c>
    </row>
    <row r="16" spans="1:47">
      <c r="A16" s="76">
        <v>10</v>
      </c>
      <c r="B16" s="79" t="s">
        <v>75</v>
      </c>
      <c r="C16" s="85" t="e">
        <f>+C15/C9</f>
        <v>#DIV/0!</v>
      </c>
      <c r="D16" s="85" t="e">
        <f>+D15/D9</f>
        <v>#DIV/0!</v>
      </c>
      <c r="E16" s="85" t="e">
        <f t="shared" ref="E16:F16" si="15">+E15/E9</f>
        <v>#DIV/0!</v>
      </c>
      <c r="F16" s="85" t="e">
        <f t="shared" si="15"/>
        <v>#DIV/0!</v>
      </c>
      <c r="G16" s="85" t="e">
        <f t="shared" ref="G16:R16" si="16">+G15/G9</f>
        <v>#DIV/0!</v>
      </c>
      <c r="H16" s="85" t="e">
        <f t="shared" si="16"/>
        <v>#DIV/0!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 t="e">
        <f t="shared" si="16"/>
        <v>#DIV/0!</v>
      </c>
      <c r="N16" s="85" t="e">
        <f t="shared" si="16"/>
        <v>#DIV/0!</v>
      </c>
      <c r="O16" s="85" t="e">
        <f t="shared" si="16"/>
        <v>#DIV/0!</v>
      </c>
      <c r="P16" s="85" t="e">
        <f t="shared" si="16"/>
        <v>#DIV/0!</v>
      </c>
      <c r="Q16" s="85" t="e">
        <f t="shared" si="16"/>
        <v>#DIV/0!</v>
      </c>
      <c r="R16" s="85" t="e">
        <f t="shared" si="16"/>
        <v>#DIV/0!</v>
      </c>
      <c r="S16" s="85" t="e">
        <f>+S15/S9</f>
        <v>#DIV/0!</v>
      </c>
      <c r="T16" s="86"/>
      <c r="U16" s="86"/>
      <c r="V16" s="86"/>
      <c r="AS16" s="79" t="s">
        <v>76</v>
      </c>
      <c r="AT16" s="79" t="s">
        <v>75</v>
      </c>
    </row>
    <row r="17" spans="1:47">
      <c r="A17" s="76">
        <v>11</v>
      </c>
      <c r="B17" s="79" t="s">
        <v>77</v>
      </c>
      <c r="C17" s="82" t="e">
        <f>C6*C43+C18</f>
        <v>#DIV/0!</v>
      </c>
      <c r="D17" s="82" t="e">
        <f>D6*D43+D18</f>
        <v>#DIV/0!</v>
      </c>
      <c r="E17" s="82" t="e">
        <f t="shared" ref="E17:F17" si="17">E6*E43+E18</f>
        <v>#DIV/0!</v>
      </c>
      <c r="F17" s="82" t="e">
        <f t="shared" si="17"/>
        <v>#DIV/0!</v>
      </c>
      <c r="G17" s="82" t="e">
        <f t="shared" ref="G17:R17" si="18">G6*G43+G18</f>
        <v>#DIV/0!</v>
      </c>
      <c r="H17" s="82" t="e">
        <f t="shared" si="18"/>
        <v>#DIV/0!</v>
      </c>
      <c r="I17" s="82" t="e">
        <f t="shared" si="18"/>
        <v>#DIV/0!</v>
      </c>
      <c r="J17" s="82" t="e">
        <f t="shared" si="18"/>
        <v>#DIV/0!</v>
      </c>
      <c r="K17" s="82" t="e">
        <f t="shared" si="18"/>
        <v>#DIV/0!</v>
      </c>
      <c r="L17" s="82" t="e">
        <f t="shared" si="18"/>
        <v>#DIV/0!</v>
      </c>
      <c r="M17" s="82" t="e">
        <f t="shared" si="18"/>
        <v>#DIV/0!</v>
      </c>
      <c r="N17" s="82" t="e">
        <f t="shared" si="18"/>
        <v>#DIV/0!</v>
      </c>
      <c r="O17" s="82" t="e">
        <f t="shared" si="18"/>
        <v>#DIV/0!</v>
      </c>
      <c r="P17" s="82" t="e">
        <f t="shared" si="18"/>
        <v>#DIV/0!</v>
      </c>
      <c r="Q17" s="82" t="e">
        <f t="shared" si="18"/>
        <v>#DIV/0!</v>
      </c>
      <c r="R17" s="82" t="e">
        <f t="shared" si="18"/>
        <v>#DIV/0!</v>
      </c>
      <c r="S17" s="82" t="e">
        <f t="shared" ref="S17" si="19">+SUM(C17:R17)</f>
        <v>#DIV/0!</v>
      </c>
      <c r="T17" s="83"/>
      <c r="AS17" s="79" t="s">
        <v>78</v>
      </c>
      <c r="AT17" s="79" t="s">
        <v>77</v>
      </c>
    </row>
    <row r="18" spans="1:47" s="73" customFormat="1">
      <c r="A18" s="76">
        <v>12</v>
      </c>
      <c r="B18" s="87" t="s">
        <v>147</v>
      </c>
      <c r="C18" s="88" t="e">
        <f>$S$18/$S$6*C6</f>
        <v>#DIV/0!</v>
      </c>
      <c r="D18" s="88" t="e">
        <f>$S$18/$S$6*D6</f>
        <v>#DIV/0!</v>
      </c>
      <c r="E18" s="88" t="e">
        <f>$S$18/$S$6*E6</f>
        <v>#DIV/0!</v>
      </c>
      <c r="F18" s="88" t="e">
        <f>$S$18/$S$6*F6</f>
        <v>#DIV/0!</v>
      </c>
      <c r="G18" s="88" t="e">
        <f t="shared" ref="G18:R18" si="20">$S$18/$S$6*G6</f>
        <v>#DIV/0!</v>
      </c>
      <c r="H18" s="88" t="e">
        <f t="shared" si="20"/>
        <v>#DIV/0!</v>
      </c>
      <c r="I18" s="88" t="e">
        <f t="shared" si="20"/>
        <v>#DIV/0!</v>
      </c>
      <c r="J18" s="88" t="e">
        <f t="shared" si="20"/>
        <v>#DIV/0!</v>
      </c>
      <c r="K18" s="88" t="e">
        <f t="shared" si="20"/>
        <v>#DIV/0!</v>
      </c>
      <c r="L18" s="88" t="e">
        <f t="shared" si="20"/>
        <v>#DIV/0!</v>
      </c>
      <c r="M18" s="88" t="e">
        <f t="shared" si="20"/>
        <v>#DIV/0!</v>
      </c>
      <c r="N18" s="88" t="e">
        <f t="shared" si="20"/>
        <v>#DIV/0!</v>
      </c>
      <c r="O18" s="88" t="e">
        <f t="shared" si="20"/>
        <v>#DIV/0!</v>
      </c>
      <c r="P18" s="88" t="e">
        <f t="shared" si="20"/>
        <v>#DIV/0!</v>
      </c>
      <c r="Q18" s="88" t="e">
        <f t="shared" si="20"/>
        <v>#DIV/0!</v>
      </c>
      <c r="R18" s="88" t="e">
        <f t="shared" si="20"/>
        <v>#DIV/0!</v>
      </c>
      <c r="S18" s="82">
        <f>项目投资!H26</f>
        <v>0</v>
      </c>
      <c r="T18" s="89" t="s">
        <v>148</v>
      </c>
      <c r="U18" s="89"/>
      <c r="V18" s="89"/>
    </row>
    <row r="19" spans="1:47">
      <c r="A19" s="76">
        <v>13</v>
      </c>
      <c r="B19" s="79" t="s">
        <v>79</v>
      </c>
      <c r="C19" s="82">
        <f>C6*C44</f>
        <v>0</v>
      </c>
      <c r="D19" s="82">
        <f>D6*D44</f>
        <v>0</v>
      </c>
      <c r="E19" s="82">
        <f t="shared" ref="E19:F19" si="21">E6*E44</f>
        <v>0</v>
      </c>
      <c r="F19" s="82">
        <f t="shared" si="21"/>
        <v>0</v>
      </c>
      <c r="G19" s="82">
        <f t="shared" ref="G19:R19" si="22">G6*G44</f>
        <v>0</v>
      </c>
      <c r="H19" s="82">
        <f t="shared" si="22"/>
        <v>0</v>
      </c>
      <c r="I19" s="82">
        <f t="shared" si="22"/>
        <v>0</v>
      </c>
      <c r="J19" s="82">
        <f t="shared" si="22"/>
        <v>0</v>
      </c>
      <c r="K19" s="82">
        <f t="shared" si="22"/>
        <v>0</v>
      </c>
      <c r="L19" s="82">
        <f t="shared" si="22"/>
        <v>0</v>
      </c>
      <c r="M19" s="82">
        <f t="shared" si="22"/>
        <v>0</v>
      </c>
      <c r="N19" s="82">
        <f t="shared" si="22"/>
        <v>0</v>
      </c>
      <c r="O19" s="82">
        <f t="shared" si="22"/>
        <v>0</v>
      </c>
      <c r="P19" s="82">
        <f t="shared" si="22"/>
        <v>0</v>
      </c>
      <c r="Q19" s="82">
        <f t="shared" si="22"/>
        <v>0</v>
      </c>
      <c r="R19" s="82">
        <f t="shared" si="22"/>
        <v>0</v>
      </c>
      <c r="S19" s="82">
        <f t="shared" ref="S19:S20" si="23">+SUM(C19:R19)</f>
        <v>0</v>
      </c>
      <c r="T19" s="73"/>
      <c r="AS19" s="79" t="s">
        <v>80</v>
      </c>
      <c r="AT19" s="79" t="s">
        <v>79</v>
      </c>
      <c r="AU19" s="72" t="s">
        <v>53</v>
      </c>
    </row>
    <row r="20" spans="1:47">
      <c r="A20" s="76">
        <v>14</v>
      </c>
      <c r="B20" s="79" t="s">
        <v>81</v>
      </c>
      <c r="C20" s="82">
        <f>C6*C45</f>
        <v>0</v>
      </c>
      <c r="D20" s="82">
        <f>D6*D45</f>
        <v>0</v>
      </c>
      <c r="E20" s="82">
        <f t="shared" ref="E20:F20" si="24">E6*E45</f>
        <v>0</v>
      </c>
      <c r="F20" s="82">
        <f t="shared" si="24"/>
        <v>0</v>
      </c>
      <c r="G20" s="82">
        <f t="shared" ref="G20:R20" si="25">G6*G45</f>
        <v>0</v>
      </c>
      <c r="H20" s="82">
        <f t="shared" si="25"/>
        <v>0</v>
      </c>
      <c r="I20" s="82">
        <f t="shared" si="25"/>
        <v>0</v>
      </c>
      <c r="J20" s="82">
        <f t="shared" si="25"/>
        <v>0</v>
      </c>
      <c r="K20" s="82">
        <f t="shared" si="25"/>
        <v>0</v>
      </c>
      <c r="L20" s="82">
        <f t="shared" si="25"/>
        <v>0</v>
      </c>
      <c r="M20" s="82">
        <f t="shared" si="25"/>
        <v>0</v>
      </c>
      <c r="N20" s="82">
        <f t="shared" si="25"/>
        <v>0</v>
      </c>
      <c r="O20" s="82">
        <f t="shared" si="25"/>
        <v>0</v>
      </c>
      <c r="P20" s="82">
        <f t="shared" si="25"/>
        <v>0</v>
      </c>
      <c r="Q20" s="82">
        <f t="shared" si="25"/>
        <v>0</v>
      </c>
      <c r="R20" s="82">
        <f t="shared" si="25"/>
        <v>0</v>
      </c>
      <c r="S20" s="82">
        <f t="shared" si="23"/>
        <v>0</v>
      </c>
      <c r="AS20" s="79" t="s">
        <v>82</v>
      </c>
      <c r="AT20" s="79" t="s">
        <v>81</v>
      </c>
    </row>
    <row r="21" spans="1:47">
      <c r="A21" s="76">
        <v>15</v>
      </c>
      <c r="B21" s="79" t="s">
        <v>83</v>
      </c>
      <c r="C21" s="90" t="e">
        <f>$S$21/$S$6*C6</f>
        <v>#DIV/0!</v>
      </c>
      <c r="D21" s="90" t="e">
        <f>$S$21/$S$6*D6</f>
        <v>#DIV/0!</v>
      </c>
      <c r="E21" s="90" t="e">
        <f>$S$21/$S$6*E6</f>
        <v>#DIV/0!</v>
      </c>
      <c r="F21" s="90" t="e">
        <f>$S$21/$S$6*F6</f>
        <v>#DIV/0!</v>
      </c>
      <c r="G21" s="90" t="e">
        <f t="shared" ref="G21:R21" si="26">$S$21/$S$6*G6</f>
        <v>#DIV/0!</v>
      </c>
      <c r="H21" s="90" t="e">
        <f t="shared" si="26"/>
        <v>#DIV/0!</v>
      </c>
      <c r="I21" s="90" t="e">
        <f t="shared" si="26"/>
        <v>#DIV/0!</v>
      </c>
      <c r="J21" s="90" t="e">
        <f t="shared" si="26"/>
        <v>#DIV/0!</v>
      </c>
      <c r="K21" s="90" t="e">
        <f t="shared" si="26"/>
        <v>#DIV/0!</v>
      </c>
      <c r="L21" s="90" t="e">
        <f t="shared" si="26"/>
        <v>#DIV/0!</v>
      </c>
      <c r="M21" s="90" t="e">
        <f t="shared" si="26"/>
        <v>#DIV/0!</v>
      </c>
      <c r="N21" s="90" t="e">
        <f t="shared" si="26"/>
        <v>#DIV/0!</v>
      </c>
      <c r="O21" s="90" t="e">
        <f t="shared" si="26"/>
        <v>#DIV/0!</v>
      </c>
      <c r="P21" s="90" t="e">
        <f t="shared" si="26"/>
        <v>#DIV/0!</v>
      </c>
      <c r="Q21" s="90" t="e">
        <f t="shared" si="26"/>
        <v>#DIV/0!</v>
      </c>
      <c r="R21" s="90" t="e">
        <f t="shared" si="26"/>
        <v>#DIV/0!</v>
      </c>
      <c r="S21" s="82">
        <f>项目投资!H27</f>
        <v>0</v>
      </c>
      <c r="AS21" s="79"/>
      <c r="AT21" s="79"/>
    </row>
    <row r="22" spans="1:47">
      <c r="A22" s="76">
        <v>16</v>
      </c>
      <c r="B22" s="79" t="s">
        <v>84</v>
      </c>
      <c r="C22" s="82">
        <f>C6*C47</f>
        <v>0</v>
      </c>
      <c r="D22" s="82">
        <f>D6*D47</f>
        <v>0</v>
      </c>
      <c r="E22" s="82">
        <f t="shared" ref="E22:F22" si="27">E6*E47</f>
        <v>0</v>
      </c>
      <c r="F22" s="82">
        <f t="shared" si="27"/>
        <v>0</v>
      </c>
      <c r="G22" s="82">
        <f t="shared" ref="G22:R22" si="28">G6*G47</f>
        <v>0</v>
      </c>
      <c r="H22" s="82">
        <f t="shared" si="28"/>
        <v>0</v>
      </c>
      <c r="I22" s="82">
        <f t="shared" si="28"/>
        <v>0</v>
      </c>
      <c r="J22" s="82">
        <f t="shared" si="28"/>
        <v>0</v>
      </c>
      <c r="K22" s="82">
        <f t="shared" si="28"/>
        <v>0</v>
      </c>
      <c r="L22" s="82">
        <f t="shared" si="28"/>
        <v>0</v>
      </c>
      <c r="M22" s="82">
        <f t="shared" si="28"/>
        <v>0</v>
      </c>
      <c r="N22" s="82">
        <f t="shared" si="28"/>
        <v>0</v>
      </c>
      <c r="O22" s="82">
        <f t="shared" si="28"/>
        <v>0</v>
      </c>
      <c r="P22" s="82">
        <f t="shared" si="28"/>
        <v>0</v>
      </c>
      <c r="Q22" s="82">
        <f t="shared" si="28"/>
        <v>0</v>
      </c>
      <c r="R22" s="82">
        <f t="shared" si="28"/>
        <v>0</v>
      </c>
      <c r="S22" s="82">
        <f t="shared" ref="S22" si="29">+SUM(C22:R22)</f>
        <v>0</v>
      </c>
      <c r="AS22" s="79" t="s">
        <v>85</v>
      </c>
      <c r="AT22" s="79" t="s">
        <v>84</v>
      </c>
    </row>
    <row r="23" spans="1:47">
      <c r="A23" s="76">
        <v>17</v>
      </c>
      <c r="B23" s="84" t="s">
        <v>86</v>
      </c>
      <c r="C23" s="90" t="e">
        <f>+C22+C21+C20+C19+C17</f>
        <v>#DIV/0!</v>
      </c>
      <c r="D23" s="90" t="e">
        <f>+D22+D21+D20+D19+D17</f>
        <v>#DIV/0!</v>
      </c>
      <c r="E23" s="90" t="e">
        <f t="shared" ref="E23:F23" si="30">+E22+E21+E20+E19+E17</f>
        <v>#DIV/0!</v>
      </c>
      <c r="F23" s="90" t="e">
        <f t="shared" si="30"/>
        <v>#DIV/0!</v>
      </c>
      <c r="G23" s="90" t="e">
        <f t="shared" ref="G23:R23" si="31">+G22+G21+G20+G19+G17</f>
        <v>#DIV/0!</v>
      </c>
      <c r="H23" s="90" t="e">
        <f t="shared" si="31"/>
        <v>#DIV/0!</v>
      </c>
      <c r="I23" s="90" t="e">
        <f t="shared" si="31"/>
        <v>#DIV/0!</v>
      </c>
      <c r="J23" s="90" t="e">
        <f t="shared" si="31"/>
        <v>#DIV/0!</v>
      </c>
      <c r="K23" s="90" t="e">
        <f t="shared" si="31"/>
        <v>#DIV/0!</v>
      </c>
      <c r="L23" s="90" t="e">
        <f t="shared" si="31"/>
        <v>#DIV/0!</v>
      </c>
      <c r="M23" s="90" t="e">
        <f t="shared" si="31"/>
        <v>#DIV/0!</v>
      </c>
      <c r="N23" s="90" t="e">
        <f t="shared" si="31"/>
        <v>#DIV/0!</v>
      </c>
      <c r="O23" s="90" t="e">
        <f t="shared" si="31"/>
        <v>#DIV/0!</v>
      </c>
      <c r="P23" s="90" t="e">
        <f t="shared" si="31"/>
        <v>#DIV/0!</v>
      </c>
      <c r="Q23" s="90" t="e">
        <f t="shared" si="31"/>
        <v>#DIV/0!</v>
      </c>
      <c r="R23" s="90" t="e">
        <f t="shared" si="31"/>
        <v>#DIV/0!</v>
      </c>
      <c r="S23" s="90" t="e">
        <f>+S22+S21+S20+S19+S17</f>
        <v>#DIV/0!</v>
      </c>
      <c r="AS23" s="79" t="s">
        <v>87</v>
      </c>
      <c r="AT23" s="84" t="s">
        <v>86</v>
      </c>
    </row>
    <row r="24" spans="1:47">
      <c r="A24" s="76">
        <v>18</v>
      </c>
      <c r="B24" s="91" t="s">
        <v>88</v>
      </c>
      <c r="C24" s="90" t="e">
        <f>+C15-C23</f>
        <v>#DIV/0!</v>
      </c>
      <c r="D24" s="90" t="e">
        <f>+D15-D23</f>
        <v>#DIV/0!</v>
      </c>
      <c r="E24" s="90" t="e">
        <f t="shared" ref="E24:F24" si="32">+E15-E23</f>
        <v>#DIV/0!</v>
      </c>
      <c r="F24" s="90" t="e">
        <f t="shared" si="32"/>
        <v>#DIV/0!</v>
      </c>
      <c r="G24" s="90" t="e">
        <f t="shared" ref="G24:R24" si="33">+G15-G23</f>
        <v>#DIV/0!</v>
      </c>
      <c r="H24" s="90" t="e">
        <f t="shared" si="33"/>
        <v>#DIV/0!</v>
      </c>
      <c r="I24" s="90" t="e">
        <f t="shared" si="33"/>
        <v>#DIV/0!</v>
      </c>
      <c r="J24" s="90" t="e">
        <f t="shared" si="33"/>
        <v>#DIV/0!</v>
      </c>
      <c r="K24" s="90" t="e">
        <f t="shared" si="33"/>
        <v>#DIV/0!</v>
      </c>
      <c r="L24" s="90" t="e">
        <f t="shared" si="33"/>
        <v>#DIV/0!</v>
      </c>
      <c r="M24" s="90" t="e">
        <f t="shared" si="33"/>
        <v>#DIV/0!</v>
      </c>
      <c r="N24" s="90" t="e">
        <f t="shared" si="33"/>
        <v>#DIV/0!</v>
      </c>
      <c r="O24" s="90" t="e">
        <f t="shared" si="33"/>
        <v>#DIV/0!</v>
      </c>
      <c r="P24" s="90" t="e">
        <f t="shared" si="33"/>
        <v>#DIV/0!</v>
      </c>
      <c r="Q24" s="90" t="e">
        <f t="shared" si="33"/>
        <v>#DIV/0!</v>
      </c>
      <c r="R24" s="90" t="e">
        <f t="shared" si="33"/>
        <v>#DIV/0!</v>
      </c>
      <c r="S24" s="90" t="e">
        <f>+S15-S23</f>
        <v>#DIV/0!</v>
      </c>
      <c r="U24" s="92"/>
      <c r="AS24" s="79" t="s">
        <v>89</v>
      </c>
      <c r="AT24" s="79" t="s">
        <v>88</v>
      </c>
    </row>
    <row r="25" spans="1:47">
      <c r="A25" s="76">
        <v>19</v>
      </c>
      <c r="B25" s="79" t="s">
        <v>277</v>
      </c>
      <c r="C25" s="90" t="e">
        <f>IF(C24&lt;0,0,C24*0.15)</f>
        <v>#DIV/0!</v>
      </c>
      <c r="D25" s="90" t="e">
        <f t="shared" ref="D25:S25" si="34">IF(D24&lt;0,0,D24*0.15)</f>
        <v>#DIV/0!</v>
      </c>
      <c r="E25" s="90" t="e">
        <f t="shared" ref="E25:F25" si="35">IF(E24&lt;0,0,E24*0.15)</f>
        <v>#DIV/0!</v>
      </c>
      <c r="F25" s="90" t="e">
        <f t="shared" si="35"/>
        <v>#DIV/0!</v>
      </c>
      <c r="G25" s="90" t="e">
        <f t="shared" ref="G25:R25" si="36">IF(G24&lt;0,0,G24*0.15)</f>
        <v>#DIV/0!</v>
      </c>
      <c r="H25" s="90" t="e">
        <f t="shared" si="36"/>
        <v>#DIV/0!</v>
      </c>
      <c r="I25" s="90" t="e">
        <f t="shared" si="36"/>
        <v>#DIV/0!</v>
      </c>
      <c r="J25" s="90" t="e">
        <f t="shared" si="36"/>
        <v>#DIV/0!</v>
      </c>
      <c r="K25" s="90" t="e">
        <f t="shared" si="36"/>
        <v>#DIV/0!</v>
      </c>
      <c r="L25" s="90" t="e">
        <f t="shared" si="36"/>
        <v>#DIV/0!</v>
      </c>
      <c r="M25" s="90" t="e">
        <f t="shared" si="36"/>
        <v>#DIV/0!</v>
      </c>
      <c r="N25" s="90" t="e">
        <f t="shared" si="36"/>
        <v>#DIV/0!</v>
      </c>
      <c r="O25" s="90" t="e">
        <f t="shared" si="36"/>
        <v>#DIV/0!</v>
      </c>
      <c r="P25" s="90" t="e">
        <f t="shared" si="36"/>
        <v>#DIV/0!</v>
      </c>
      <c r="Q25" s="90" t="e">
        <f t="shared" si="36"/>
        <v>#DIV/0!</v>
      </c>
      <c r="R25" s="90" t="e">
        <f t="shared" si="36"/>
        <v>#DIV/0!</v>
      </c>
      <c r="S25" s="90" t="e">
        <f t="shared" si="34"/>
        <v>#DIV/0!</v>
      </c>
      <c r="T25" s="2"/>
      <c r="U25" s="2"/>
      <c r="V25" s="2"/>
      <c r="AS25" s="79" t="s">
        <v>90</v>
      </c>
      <c r="AT25" s="79" t="s">
        <v>35</v>
      </c>
    </row>
    <row r="26" spans="1:47">
      <c r="A26" s="76">
        <v>20</v>
      </c>
      <c r="B26" s="79" t="s">
        <v>91</v>
      </c>
      <c r="C26" s="90" t="e">
        <f>C24-C25</f>
        <v>#DIV/0!</v>
      </c>
      <c r="D26" s="90" t="e">
        <f>D24-D25</f>
        <v>#DIV/0!</v>
      </c>
      <c r="E26" s="90" t="e">
        <f t="shared" ref="E26:S26" si="37">E24-E25</f>
        <v>#DIV/0!</v>
      </c>
      <c r="F26" s="90" t="e">
        <f t="shared" si="37"/>
        <v>#DIV/0!</v>
      </c>
      <c r="G26" s="90" t="e">
        <f t="shared" ref="G26:R26" si="38">G24-G25</f>
        <v>#DIV/0!</v>
      </c>
      <c r="H26" s="90" t="e">
        <f t="shared" si="38"/>
        <v>#DIV/0!</v>
      </c>
      <c r="I26" s="90" t="e">
        <f t="shared" si="38"/>
        <v>#DIV/0!</v>
      </c>
      <c r="J26" s="90" t="e">
        <f t="shared" si="38"/>
        <v>#DIV/0!</v>
      </c>
      <c r="K26" s="90" t="e">
        <f t="shared" si="38"/>
        <v>#DIV/0!</v>
      </c>
      <c r="L26" s="90" t="e">
        <f t="shared" si="38"/>
        <v>#DIV/0!</v>
      </c>
      <c r="M26" s="90" t="e">
        <f t="shared" si="38"/>
        <v>#DIV/0!</v>
      </c>
      <c r="N26" s="90" t="e">
        <f t="shared" si="38"/>
        <v>#DIV/0!</v>
      </c>
      <c r="O26" s="90" t="e">
        <f t="shared" si="38"/>
        <v>#DIV/0!</v>
      </c>
      <c r="P26" s="90" t="e">
        <f t="shared" si="38"/>
        <v>#DIV/0!</v>
      </c>
      <c r="Q26" s="90" t="e">
        <f t="shared" si="38"/>
        <v>#DIV/0!</v>
      </c>
      <c r="R26" s="90" t="e">
        <f t="shared" si="38"/>
        <v>#DIV/0!</v>
      </c>
      <c r="S26" s="90" t="e">
        <f t="shared" si="37"/>
        <v>#DIV/0!</v>
      </c>
      <c r="T26" s="2"/>
      <c r="U26" s="2"/>
      <c r="V26" s="2"/>
      <c r="AS26" s="79" t="s">
        <v>92</v>
      </c>
      <c r="AT26" s="79" t="s">
        <v>91</v>
      </c>
    </row>
    <row r="27" spans="1:47">
      <c r="A27" s="76">
        <v>21</v>
      </c>
      <c r="B27" s="79" t="s">
        <v>95</v>
      </c>
      <c r="C27" s="93" t="e">
        <f>C26/C9</f>
        <v>#DIV/0!</v>
      </c>
      <c r="D27" s="93" t="e">
        <f t="shared" ref="D27:S27" si="39">D26/D9</f>
        <v>#DIV/0!</v>
      </c>
      <c r="E27" s="93" t="e">
        <f t="shared" si="39"/>
        <v>#DIV/0!</v>
      </c>
      <c r="F27" s="93" t="e">
        <f t="shared" si="39"/>
        <v>#DIV/0!</v>
      </c>
      <c r="G27" s="93" t="e">
        <f t="shared" ref="G27:R27" si="40">G26/G9</f>
        <v>#DIV/0!</v>
      </c>
      <c r="H27" s="93" t="e">
        <f t="shared" si="40"/>
        <v>#DIV/0!</v>
      </c>
      <c r="I27" s="93" t="e">
        <f t="shared" si="40"/>
        <v>#DIV/0!</v>
      </c>
      <c r="J27" s="93" t="e">
        <f t="shared" si="40"/>
        <v>#DIV/0!</v>
      </c>
      <c r="K27" s="93" t="e">
        <f t="shared" si="40"/>
        <v>#DIV/0!</v>
      </c>
      <c r="L27" s="93" t="e">
        <f t="shared" si="40"/>
        <v>#DIV/0!</v>
      </c>
      <c r="M27" s="93" t="e">
        <f t="shared" si="40"/>
        <v>#DIV/0!</v>
      </c>
      <c r="N27" s="93" t="e">
        <f t="shared" si="40"/>
        <v>#DIV/0!</v>
      </c>
      <c r="O27" s="93" t="e">
        <f t="shared" si="40"/>
        <v>#DIV/0!</v>
      </c>
      <c r="P27" s="93" t="e">
        <f t="shared" si="40"/>
        <v>#DIV/0!</v>
      </c>
      <c r="Q27" s="93" t="e">
        <f t="shared" si="40"/>
        <v>#DIV/0!</v>
      </c>
      <c r="R27" s="93" t="e">
        <f t="shared" si="40"/>
        <v>#DIV/0!</v>
      </c>
      <c r="S27" s="93" t="e">
        <f t="shared" si="39"/>
        <v>#DIV/0!</v>
      </c>
      <c r="T27" s="2"/>
      <c r="U27" s="2"/>
      <c r="V27" s="2"/>
      <c r="AS27" s="79" t="s">
        <v>94</v>
      </c>
      <c r="AT27" s="79" t="s">
        <v>95</v>
      </c>
    </row>
    <row r="28" spans="1:47">
      <c r="T28" s="2"/>
      <c r="U28" s="2"/>
      <c r="V28" s="2"/>
    </row>
    <row r="29" spans="1:47">
      <c r="A29" s="72" t="s">
        <v>96</v>
      </c>
      <c r="S29" s="75" t="s">
        <v>149</v>
      </c>
      <c r="T29" s="2"/>
      <c r="U29" s="2"/>
      <c r="V29" s="2"/>
      <c r="AS29" s="72" t="s">
        <v>96</v>
      </c>
    </row>
    <row r="30" spans="1:47" ht="21" customHeight="1">
      <c r="A30" s="79" t="s">
        <v>97</v>
      </c>
      <c r="B30" s="84" t="s">
        <v>98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S30" s="79" t="s">
        <v>99</v>
      </c>
      <c r="AT30" s="84" t="s">
        <v>98</v>
      </c>
    </row>
    <row r="31" spans="1:47">
      <c r="A31" s="76">
        <v>1</v>
      </c>
      <c r="B31" s="87" t="s">
        <v>100</v>
      </c>
      <c r="C31" s="94">
        <f>销量!C8</f>
        <v>1831.8584070796501</v>
      </c>
      <c r="D31" s="94">
        <f>销量!D8</f>
        <v>2296.4601769911501</v>
      </c>
      <c r="E31" s="94">
        <f>销量!E8</f>
        <v>579.64601769911496</v>
      </c>
      <c r="F31" s="94">
        <f>销量!F8</f>
        <v>58.504424778761098</v>
      </c>
      <c r="G31" s="94">
        <f>销量!G8</f>
        <v>2699.1150442477901</v>
      </c>
      <c r="H31" s="94">
        <f>销量!H8</f>
        <v>2234.5132743362801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2286.7256637168098</v>
      </c>
      <c r="N31" s="94">
        <f>销量!N8</f>
        <v>1822.12389380531</v>
      </c>
      <c r="O31" s="94">
        <f>销量!O8</f>
        <v>2286.7256637168098</v>
      </c>
      <c r="P31" s="94">
        <f>销量!P8</f>
        <v>2286.7256637168098</v>
      </c>
      <c r="Q31" s="94">
        <f>销量!Q8</f>
        <v>1822.12389380531</v>
      </c>
      <c r="R31" s="94">
        <f>销量!R8</f>
        <v>1822.12389380531</v>
      </c>
      <c r="S31" s="90"/>
      <c r="T31" s="2"/>
      <c r="U31" s="2"/>
      <c r="V31" s="2"/>
      <c r="X31" s="2"/>
      <c r="AS31" s="79" t="s">
        <v>55</v>
      </c>
      <c r="AT31" s="79" t="s">
        <v>100</v>
      </c>
    </row>
    <row r="32" spans="1:47">
      <c r="A32" s="76">
        <v>2</v>
      </c>
      <c r="B32" s="79" t="s">
        <v>150</v>
      </c>
      <c r="C32" s="82" t="e">
        <f>C9/C6</f>
        <v>#DIV/0!</v>
      </c>
      <c r="D32" s="82" t="e">
        <f t="shared" ref="D32:F32" si="41">D9/D6</f>
        <v>#DIV/0!</v>
      </c>
      <c r="E32" s="82" t="e">
        <f t="shared" si="41"/>
        <v>#DIV/0!</v>
      </c>
      <c r="F32" s="82" t="e">
        <f t="shared" si="41"/>
        <v>#DIV/0!</v>
      </c>
      <c r="G32" s="82" t="e">
        <f t="shared" ref="G32:R32" si="42">G9/G6</f>
        <v>#DIV/0!</v>
      </c>
      <c r="H32" s="82" t="e">
        <f t="shared" si="42"/>
        <v>#DIV/0!</v>
      </c>
      <c r="I32" s="82" t="e">
        <f t="shared" si="42"/>
        <v>#DIV/0!</v>
      </c>
      <c r="J32" s="82" t="e">
        <f t="shared" si="42"/>
        <v>#DIV/0!</v>
      </c>
      <c r="K32" s="82" t="e">
        <f t="shared" si="42"/>
        <v>#DIV/0!</v>
      </c>
      <c r="L32" s="82" t="e">
        <f t="shared" si="42"/>
        <v>#DIV/0!</v>
      </c>
      <c r="M32" s="82" t="e">
        <f t="shared" si="42"/>
        <v>#DIV/0!</v>
      </c>
      <c r="N32" s="82" t="e">
        <f t="shared" si="42"/>
        <v>#DIV/0!</v>
      </c>
      <c r="O32" s="82" t="e">
        <f t="shared" si="42"/>
        <v>#DIV/0!</v>
      </c>
      <c r="P32" s="82" t="e">
        <f t="shared" si="42"/>
        <v>#DIV/0!</v>
      </c>
      <c r="Q32" s="82" t="e">
        <f t="shared" si="42"/>
        <v>#DIV/0!</v>
      </c>
      <c r="R32" s="82" t="e">
        <f t="shared" si="42"/>
        <v>#DIV/0!</v>
      </c>
      <c r="S32" s="90"/>
      <c r="T32" s="2"/>
      <c r="U32" s="2"/>
      <c r="V32" s="2"/>
      <c r="W32" s="2"/>
      <c r="X32" s="2"/>
      <c r="Y32" s="2"/>
      <c r="Z32" s="2"/>
      <c r="AS32" s="79"/>
      <c r="AT32" s="79"/>
    </row>
    <row r="33" spans="1:46">
      <c r="A33" s="76">
        <v>3</v>
      </c>
      <c r="B33" s="87" t="s">
        <v>101</v>
      </c>
      <c r="C33" s="82">
        <f>材料成本!D28</f>
        <v>1104.0335070395377</v>
      </c>
      <c r="D33" s="82">
        <f>材料成本!E28</f>
        <v>1521.096660249608</v>
      </c>
      <c r="E33" s="82">
        <f>材料成本!F28</f>
        <v>351.91012578156096</v>
      </c>
      <c r="F33" s="82">
        <f>材料成本!G28</f>
        <v>25.377136052196427</v>
      </c>
      <c r="G33" s="82">
        <f>材料成本!H28</f>
        <v>1496.4062879186363</v>
      </c>
      <c r="H33" s="82">
        <f>材料成本!I28</f>
        <v>1200.9751215672729</v>
      </c>
      <c r="I33" s="82">
        <f>材料成本!J28</f>
        <v>0</v>
      </c>
      <c r="J33" s="82">
        <f>材料成本!K28</f>
        <v>0</v>
      </c>
      <c r="K33" s="82">
        <f>材料成本!L28</f>
        <v>0</v>
      </c>
      <c r="L33" s="82">
        <f>材料成本!M28</f>
        <v>0</v>
      </c>
      <c r="M33" s="82">
        <f>材料成本!N28</f>
        <v>1285.4491691686364</v>
      </c>
      <c r="N33" s="82">
        <f>材料成本!O28</f>
        <v>990.01800281727299</v>
      </c>
      <c r="O33" s="82">
        <f>材料成本!P28</f>
        <v>1286.0453226758859</v>
      </c>
      <c r="P33" s="82">
        <f>材料成本!Q28</f>
        <v>1286.0453226758859</v>
      </c>
      <c r="Q33" s="82">
        <f>材料成本!R28</f>
        <v>990.61415632452213</v>
      </c>
      <c r="R33" s="82">
        <f>材料成本!S28</f>
        <v>990.61415632452213</v>
      </c>
      <c r="S33" s="90"/>
      <c r="U33" s="2"/>
      <c r="V33" s="2"/>
      <c r="W33" s="2"/>
      <c r="X33" s="2"/>
      <c r="Y33" s="2"/>
      <c r="Z33" s="2"/>
      <c r="AS33" s="79" t="s">
        <v>57</v>
      </c>
      <c r="AT33" s="79" t="s">
        <v>101</v>
      </c>
    </row>
    <row r="34" spans="1:46" ht="17.25" customHeight="1">
      <c r="A34" s="76">
        <v>4</v>
      </c>
      <c r="B34" s="79" t="s">
        <v>103</v>
      </c>
      <c r="C34" s="95" t="e">
        <f>C32-C33</f>
        <v>#DIV/0!</v>
      </c>
      <c r="D34" s="95" t="e">
        <f>D32-D33</f>
        <v>#DIV/0!</v>
      </c>
      <c r="E34" s="95" t="e">
        <f t="shared" ref="E34:F34" si="43">E32-E33</f>
        <v>#DIV/0!</v>
      </c>
      <c r="F34" s="95" t="e">
        <f t="shared" si="43"/>
        <v>#DIV/0!</v>
      </c>
      <c r="G34" s="95" t="e">
        <f t="shared" ref="G34:R34" si="44">G32-G33</f>
        <v>#DIV/0!</v>
      </c>
      <c r="H34" s="95" t="e">
        <f t="shared" si="44"/>
        <v>#DIV/0!</v>
      </c>
      <c r="I34" s="95" t="e">
        <f t="shared" si="44"/>
        <v>#DIV/0!</v>
      </c>
      <c r="J34" s="95" t="e">
        <f t="shared" si="44"/>
        <v>#DIV/0!</v>
      </c>
      <c r="K34" s="95" t="e">
        <f t="shared" si="44"/>
        <v>#DIV/0!</v>
      </c>
      <c r="L34" s="95" t="e">
        <f t="shared" si="44"/>
        <v>#DIV/0!</v>
      </c>
      <c r="M34" s="95" t="e">
        <f t="shared" si="44"/>
        <v>#DIV/0!</v>
      </c>
      <c r="N34" s="95" t="e">
        <f t="shared" si="44"/>
        <v>#DIV/0!</v>
      </c>
      <c r="O34" s="95" t="e">
        <f t="shared" si="44"/>
        <v>#DIV/0!</v>
      </c>
      <c r="P34" s="95" t="e">
        <f t="shared" si="44"/>
        <v>#DIV/0!</v>
      </c>
      <c r="Q34" s="95" t="e">
        <f t="shared" si="44"/>
        <v>#DIV/0!</v>
      </c>
      <c r="R34" s="95" t="e">
        <f t="shared" si="44"/>
        <v>#DIV/0!</v>
      </c>
      <c r="S34" s="90"/>
      <c r="U34" s="2"/>
      <c r="V34" s="2"/>
      <c r="W34" s="2"/>
      <c r="X34" s="2"/>
      <c r="Y34" s="2"/>
      <c r="Z34" s="2"/>
      <c r="AS34" s="79" t="s">
        <v>102</v>
      </c>
      <c r="AT34" s="79" t="s">
        <v>103</v>
      </c>
    </row>
    <row r="35" spans="1:46">
      <c r="A35" s="79" t="s">
        <v>99</v>
      </c>
      <c r="B35" s="84" t="s">
        <v>9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S35" s="79" t="s">
        <v>105</v>
      </c>
      <c r="AT35" s="84" t="s">
        <v>9</v>
      </c>
    </row>
    <row r="36" spans="1:46">
      <c r="A36" s="76">
        <v>1</v>
      </c>
      <c r="B36" s="79" t="s">
        <v>106</v>
      </c>
      <c r="C36" s="88">
        <f>'2025年'!C36</f>
        <v>127.13097345132772</v>
      </c>
      <c r="D36" s="88">
        <f>'2025年'!D36</f>
        <v>159.37433628318581</v>
      </c>
      <c r="E36" s="88">
        <f>'2025年'!E36</f>
        <v>40.227433628318579</v>
      </c>
      <c r="F36" s="88">
        <f>'2025年'!F36</f>
        <v>4.0602070796460206</v>
      </c>
      <c r="G36" s="88">
        <f>'2025年'!G36</f>
        <v>187.31858407079665</v>
      </c>
      <c r="H36" s="88">
        <f>'2025年'!H36</f>
        <v>155.07522123893784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158.69876106194661</v>
      </c>
      <c r="N36" s="88">
        <f>'2025年'!N36</f>
        <v>126.45539823008852</v>
      </c>
      <c r="O36" s="88">
        <f>'2025年'!O36</f>
        <v>158.69876106194661</v>
      </c>
      <c r="P36" s="88">
        <f>'2025年'!P36</f>
        <v>158.69876106194661</v>
      </c>
      <c r="Q36" s="88">
        <f>'2025年'!Q36</f>
        <v>126.45539823008852</v>
      </c>
      <c r="R36" s="88">
        <f>'2025年'!R36</f>
        <v>126.45539823008852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S36" s="79" t="s">
        <v>102</v>
      </c>
      <c r="AT36" s="79" t="s">
        <v>106</v>
      </c>
    </row>
    <row r="37" spans="1:46">
      <c r="A37" s="76">
        <v>2</v>
      </c>
      <c r="B37" s="79" t="s">
        <v>107</v>
      </c>
      <c r="C37" s="88">
        <f>'2025年'!C37</f>
        <v>79.502654867256808</v>
      </c>
      <c r="D37" s="88">
        <f>'2025年'!D37</f>
        <v>99.66637168141591</v>
      </c>
      <c r="E37" s="88">
        <f>'2025年'!E37</f>
        <v>25.156637168141589</v>
      </c>
      <c r="F37" s="88">
        <f>'2025年'!F37</f>
        <v>2.5390920353982316</v>
      </c>
      <c r="G37" s="88">
        <f>'2025年'!G37</f>
        <v>117.1415929203541</v>
      </c>
      <c r="H37" s="88">
        <f>'2025年'!H37</f>
        <v>96.977876106194557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99.24389380530954</v>
      </c>
      <c r="N37" s="88">
        <f>'2025年'!N37</f>
        <v>79.080176991150452</v>
      </c>
      <c r="O37" s="88">
        <f>'2025年'!O37</f>
        <v>99.24389380530954</v>
      </c>
      <c r="P37" s="88">
        <f>'2025年'!P37</f>
        <v>99.24389380530954</v>
      </c>
      <c r="Q37" s="88">
        <f>'2025年'!Q37</f>
        <v>79.080176991150452</v>
      </c>
      <c r="R37" s="88">
        <f>'2025年'!R37</f>
        <v>79.080176991150452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S37" s="79" t="s">
        <v>60</v>
      </c>
      <c r="AT37" s="79" t="s">
        <v>107</v>
      </c>
    </row>
    <row r="38" spans="1:46">
      <c r="A38" s="76">
        <v>3</v>
      </c>
      <c r="B38" s="79" t="s">
        <v>108</v>
      </c>
      <c r="C38" s="88">
        <f>'2025年'!C38</f>
        <v>119.25398230088523</v>
      </c>
      <c r="D38" s="88">
        <f>'2025年'!D38</f>
        <v>149.49955752212389</v>
      </c>
      <c r="E38" s="88">
        <f>'2025年'!E38</f>
        <v>37.734955752212386</v>
      </c>
      <c r="F38" s="88">
        <f>'2025年'!F38</f>
        <v>3.8086380530973476</v>
      </c>
      <c r="G38" s="88">
        <f>'2025年'!G38</f>
        <v>175.71238938053116</v>
      </c>
      <c r="H38" s="88">
        <f>'2025年'!H38</f>
        <v>145.46681415929186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148.86584070796434</v>
      </c>
      <c r="N38" s="88">
        <f>'2025年'!N38</f>
        <v>118.62026548672569</v>
      </c>
      <c r="O38" s="88">
        <f>'2025年'!O38</f>
        <v>148.86584070796434</v>
      </c>
      <c r="P38" s="88">
        <f>'2025年'!P38</f>
        <v>148.86584070796434</v>
      </c>
      <c r="Q38" s="88">
        <f>'2025年'!Q38</f>
        <v>118.62026548672569</v>
      </c>
      <c r="R38" s="88">
        <f>'2025年'!R38</f>
        <v>118.62026548672569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S38" s="79" t="s">
        <v>66</v>
      </c>
      <c r="AT38" s="79" t="s">
        <v>108</v>
      </c>
    </row>
    <row r="39" spans="1:46">
      <c r="A39" s="79" t="s">
        <v>105</v>
      </c>
      <c r="B39" s="84" t="s">
        <v>110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S39" s="79" t="s">
        <v>109</v>
      </c>
      <c r="AT39" s="84" t="s">
        <v>110</v>
      </c>
    </row>
    <row r="40" spans="1:46">
      <c r="A40" s="76">
        <v>1</v>
      </c>
      <c r="B40" s="79" t="s">
        <v>111</v>
      </c>
      <c r="C40" s="90" t="e">
        <f>C34-C36-C37-C38</f>
        <v>#DIV/0!</v>
      </c>
      <c r="D40" s="90" t="e">
        <f>D34-D36-D37-D38</f>
        <v>#DIV/0!</v>
      </c>
      <c r="E40" s="90" t="e">
        <f t="shared" ref="E40:F40" si="45">E34-E36-E37-E38</f>
        <v>#DIV/0!</v>
      </c>
      <c r="F40" s="90" t="e">
        <f t="shared" si="45"/>
        <v>#DIV/0!</v>
      </c>
      <c r="G40" s="90" t="e">
        <f t="shared" ref="G40:R40" si="46">G34-G36-G37-G38</f>
        <v>#DIV/0!</v>
      </c>
      <c r="H40" s="90" t="e">
        <f t="shared" si="46"/>
        <v>#DIV/0!</v>
      </c>
      <c r="I40" s="90" t="e">
        <f t="shared" si="46"/>
        <v>#DIV/0!</v>
      </c>
      <c r="J40" s="90" t="e">
        <f t="shared" si="46"/>
        <v>#DIV/0!</v>
      </c>
      <c r="K40" s="90" t="e">
        <f t="shared" si="46"/>
        <v>#DIV/0!</v>
      </c>
      <c r="L40" s="90" t="e">
        <f t="shared" si="46"/>
        <v>#DIV/0!</v>
      </c>
      <c r="M40" s="90" t="e">
        <f t="shared" si="46"/>
        <v>#DIV/0!</v>
      </c>
      <c r="N40" s="90" t="e">
        <f t="shared" si="46"/>
        <v>#DIV/0!</v>
      </c>
      <c r="O40" s="90" t="e">
        <f t="shared" si="46"/>
        <v>#DIV/0!</v>
      </c>
      <c r="P40" s="90" t="e">
        <f t="shared" si="46"/>
        <v>#DIV/0!</v>
      </c>
      <c r="Q40" s="90" t="e">
        <f t="shared" si="46"/>
        <v>#DIV/0!</v>
      </c>
      <c r="R40" s="90" t="e">
        <f t="shared" si="46"/>
        <v>#DIV/0!</v>
      </c>
      <c r="S40" s="90"/>
      <c r="AS40" s="79" t="s">
        <v>55</v>
      </c>
      <c r="AT40" s="79" t="s">
        <v>111</v>
      </c>
    </row>
    <row r="41" spans="1:46">
      <c r="A41" s="76">
        <v>2</v>
      </c>
      <c r="B41" s="79" t="s">
        <v>112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S41" s="79" t="s">
        <v>57</v>
      </c>
      <c r="AT41" s="79" t="s">
        <v>112</v>
      </c>
    </row>
    <row r="42" spans="1:46">
      <c r="A42" s="79" t="s">
        <v>109</v>
      </c>
      <c r="B42" s="84" t="s">
        <v>114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S42" s="79" t="s">
        <v>113</v>
      </c>
      <c r="AT42" s="84" t="s">
        <v>114</v>
      </c>
    </row>
    <row r="43" spans="1:46">
      <c r="A43" s="76">
        <v>1</v>
      </c>
      <c r="B43" s="91" t="s">
        <v>115</v>
      </c>
      <c r="C43" s="88">
        <f>'2025年'!C43</f>
        <v>151.12831858407114</v>
      </c>
      <c r="D43" s="88">
        <f>'2025年'!D43</f>
        <v>189.4579646017699</v>
      </c>
      <c r="E43" s="88">
        <f>'2025年'!E43</f>
        <v>47.820796460176986</v>
      </c>
      <c r="F43" s="88">
        <f>'2025年'!F43</f>
        <v>4.8266150442477906</v>
      </c>
      <c r="G43" s="88">
        <f>'2025年'!G43</f>
        <v>222.67699115044269</v>
      </c>
      <c r="H43" s="88">
        <f>'2025年'!H43</f>
        <v>184.34734513274313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188.65486725663681</v>
      </c>
      <c r="N43" s="88">
        <f>'2025年'!N43</f>
        <v>150.32522123893807</v>
      </c>
      <c r="O43" s="88">
        <f>'2025年'!O43</f>
        <v>188.65486725663681</v>
      </c>
      <c r="P43" s="88">
        <f>'2025年'!P43</f>
        <v>188.65486725663681</v>
      </c>
      <c r="Q43" s="88">
        <f>'2025年'!Q43</f>
        <v>150.32522123893807</v>
      </c>
      <c r="R43" s="88">
        <f>'2025年'!R43</f>
        <v>150.32522123893807</v>
      </c>
      <c r="S43" s="90"/>
      <c r="AS43" s="79" t="s">
        <v>55</v>
      </c>
      <c r="AT43" s="79" t="s">
        <v>115</v>
      </c>
    </row>
    <row r="44" spans="1:46">
      <c r="A44" s="76">
        <v>2</v>
      </c>
      <c r="B44" s="91" t="s">
        <v>116</v>
      </c>
      <c r="C44" s="88">
        <f>'2025年'!C44</f>
        <v>31.507964601769981</v>
      </c>
      <c r="D44" s="88">
        <f>'2025年'!D44</f>
        <v>39.49911504424778</v>
      </c>
      <c r="E44" s="88">
        <f>'2025年'!E44</f>
        <v>9.9699115044247772</v>
      </c>
      <c r="F44" s="88">
        <f>'2025年'!F44</f>
        <v>1.006276106194691</v>
      </c>
      <c r="G44" s="88">
        <f>'2025年'!G44</f>
        <v>46.424778761061994</v>
      </c>
      <c r="H44" s="88">
        <f>'2025年'!H44</f>
        <v>38.43362831858402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39.331681415929125</v>
      </c>
      <c r="N44" s="88">
        <f>'2025年'!N44</f>
        <v>31.340530973451333</v>
      </c>
      <c r="O44" s="88">
        <f>'2025年'!O44</f>
        <v>39.331681415929125</v>
      </c>
      <c r="P44" s="88">
        <f>'2025年'!P44</f>
        <v>39.331681415929125</v>
      </c>
      <c r="Q44" s="88">
        <f>'2025年'!Q44</f>
        <v>31.340530973451333</v>
      </c>
      <c r="R44" s="88">
        <f>'2025年'!R44</f>
        <v>31.340530973451333</v>
      </c>
      <c r="S44" s="90"/>
      <c r="AS44" s="79" t="s">
        <v>57</v>
      </c>
      <c r="AT44" s="79" t="s">
        <v>116</v>
      </c>
    </row>
    <row r="45" spans="1:46">
      <c r="A45" s="76">
        <v>3</v>
      </c>
      <c r="B45" s="91" t="s">
        <v>117</v>
      </c>
      <c r="C45" s="88">
        <f>'2025年'!C45</f>
        <v>48.361061946902758</v>
      </c>
      <c r="D45" s="88">
        <f>'2025年'!D45</f>
        <v>60.626548672566365</v>
      </c>
      <c r="E45" s="88">
        <f>'2025年'!E45</f>
        <v>15.302654867256635</v>
      </c>
      <c r="F45" s="88">
        <f>'2025年'!F45</f>
        <v>1.5445168141592931</v>
      </c>
      <c r="G45" s="88">
        <f>'2025年'!G45</f>
        <v>71.256637168141665</v>
      </c>
      <c r="H45" s="88">
        <f>'2025年'!H45</f>
        <v>58.991150442477796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60.369557522123777</v>
      </c>
      <c r="N45" s="88">
        <f>'2025年'!N45</f>
        <v>48.104070796460185</v>
      </c>
      <c r="O45" s="88">
        <f>'2025年'!O45</f>
        <v>60.369557522123777</v>
      </c>
      <c r="P45" s="88">
        <f>'2025年'!P45</f>
        <v>60.369557522123777</v>
      </c>
      <c r="Q45" s="88">
        <f>'2025年'!Q45</f>
        <v>48.104070796460185</v>
      </c>
      <c r="R45" s="88">
        <f>'2025年'!R45</f>
        <v>48.104070796460185</v>
      </c>
      <c r="S45" s="90"/>
      <c r="AS45" s="79" t="s">
        <v>102</v>
      </c>
      <c r="AT45" s="79" t="s">
        <v>117</v>
      </c>
    </row>
    <row r="46" spans="1:46" s="74" customFormat="1">
      <c r="A46" s="76">
        <v>4</v>
      </c>
      <c r="B46" s="91" t="s">
        <v>118</v>
      </c>
      <c r="C46" s="96" t="e">
        <f>C21/C6</f>
        <v>#DIV/0!</v>
      </c>
      <c r="D46" s="96" t="e">
        <f>D21/D6</f>
        <v>#DIV/0!</v>
      </c>
      <c r="E46" s="96" t="e">
        <f t="shared" ref="E46:F46" si="47">E21/E6</f>
        <v>#DIV/0!</v>
      </c>
      <c r="F46" s="96" t="e">
        <f t="shared" si="47"/>
        <v>#DIV/0!</v>
      </c>
      <c r="G46" s="96" t="e">
        <f t="shared" ref="G46:R46" si="48">G21/G6</f>
        <v>#DIV/0!</v>
      </c>
      <c r="H46" s="96" t="e">
        <f t="shared" si="48"/>
        <v>#DIV/0!</v>
      </c>
      <c r="I46" s="96" t="e">
        <f t="shared" si="48"/>
        <v>#DIV/0!</v>
      </c>
      <c r="J46" s="96" t="e">
        <f t="shared" si="48"/>
        <v>#DIV/0!</v>
      </c>
      <c r="K46" s="96" t="e">
        <f t="shared" si="48"/>
        <v>#DIV/0!</v>
      </c>
      <c r="L46" s="96" t="e">
        <f t="shared" si="48"/>
        <v>#DIV/0!</v>
      </c>
      <c r="M46" s="96" t="e">
        <f t="shared" si="48"/>
        <v>#DIV/0!</v>
      </c>
      <c r="N46" s="96" t="e">
        <f t="shared" si="48"/>
        <v>#DIV/0!</v>
      </c>
      <c r="O46" s="96" t="e">
        <f t="shared" si="48"/>
        <v>#DIV/0!</v>
      </c>
      <c r="P46" s="96" t="e">
        <f t="shared" si="48"/>
        <v>#DIV/0!</v>
      </c>
      <c r="Q46" s="96" t="e">
        <f t="shared" si="48"/>
        <v>#DIV/0!</v>
      </c>
      <c r="R46" s="96" t="e">
        <f t="shared" si="48"/>
        <v>#DIV/0!</v>
      </c>
      <c r="S46" s="96"/>
      <c r="AS46" s="91" t="s">
        <v>62</v>
      </c>
      <c r="AT46" s="91" t="s">
        <v>120</v>
      </c>
    </row>
    <row r="47" spans="1:46" s="74" customFormat="1">
      <c r="A47" s="76">
        <v>5</v>
      </c>
      <c r="B47" s="91" t="s">
        <v>120</v>
      </c>
      <c r="C47" s="88">
        <f>'2025年'!C47</f>
        <v>65.030973451327569</v>
      </c>
      <c r="D47" s="88">
        <f>'2025年'!D47</f>
        <v>81.524336283185818</v>
      </c>
      <c r="E47" s="88">
        <f>'2025年'!E47</f>
        <v>20.57743362831858</v>
      </c>
      <c r="F47" s="88">
        <f>'2025年'!F47</f>
        <v>2.0769070796460189</v>
      </c>
      <c r="G47" s="88">
        <f>'2025年'!G47</f>
        <v>95.818584070796547</v>
      </c>
      <c r="H47" s="88">
        <f>'2025年'!H47</f>
        <v>79.325221238937942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81.178761061946744</v>
      </c>
      <c r="N47" s="88">
        <f>'2025年'!N47</f>
        <v>64.685398230088495</v>
      </c>
      <c r="O47" s="88">
        <f>'2025年'!O47</f>
        <v>81.178761061946744</v>
      </c>
      <c r="P47" s="88">
        <f>'2025年'!P47</f>
        <v>81.178761061946744</v>
      </c>
      <c r="Q47" s="88">
        <f>'2025年'!Q47</f>
        <v>64.685398230088495</v>
      </c>
      <c r="R47" s="88">
        <f>'2025年'!R47</f>
        <v>64.685398230088495</v>
      </c>
      <c r="S47" s="96"/>
      <c r="AS47" s="91" t="s">
        <v>62</v>
      </c>
      <c r="AT47" s="91" t="s">
        <v>120</v>
      </c>
    </row>
    <row r="48" spans="1:46">
      <c r="A48" s="79" t="s">
        <v>113</v>
      </c>
      <c r="B48" s="84" t="s">
        <v>131</v>
      </c>
      <c r="C48" s="90" t="e">
        <f>C40-C43-C44-C45-C47-C46</f>
        <v>#DIV/0!</v>
      </c>
      <c r="D48" s="90" t="e">
        <f>D40-D43-D44-D45-D47-D46</f>
        <v>#DIV/0!</v>
      </c>
      <c r="E48" s="90" t="e">
        <f t="shared" ref="E48:F48" si="49">E40-E43-E44-E45-E47-E46</f>
        <v>#DIV/0!</v>
      </c>
      <c r="F48" s="90" t="e">
        <f t="shared" si="49"/>
        <v>#DIV/0!</v>
      </c>
      <c r="G48" s="90" t="e">
        <f t="shared" ref="G48:R48" si="50">G40-G43-G44-G45-G47-G46</f>
        <v>#DIV/0!</v>
      </c>
      <c r="H48" s="90" t="e">
        <f t="shared" si="50"/>
        <v>#DIV/0!</v>
      </c>
      <c r="I48" s="90" t="e">
        <f t="shared" si="50"/>
        <v>#DIV/0!</v>
      </c>
      <c r="J48" s="90" t="e">
        <f t="shared" si="50"/>
        <v>#DIV/0!</v>
      </c>
      <c r="K48" s="90" t="e">
        <f t="shared" si="50"/>
        <v>#DIV/0!</v>
      </c>
      <c r="L48" s="90" t="e">
        <f t="shared" si="50"/>
        <v>#DIV/0!</v>
      </c>
      <c r="M48" s="90" t="e">
        <f t="shared" si="50"/>
        <v>#DIV/0!</v>
      </c>
      <c r="N48" s="90" t="e">
        <f t="shared" si="50"/>
        <v>#DIV/0!</v>
      </c>
      <c r="O48" s="90" t="e">
        <f t="shared" si="50"/>
        <v>#DIV/0!</v>
      </c>
      <c r="P48" s="90" t="e">
        <f t="shared" si="50"/>
        <v>#DIV/0!</v>
      </c>
      <c r="Q48" s="90" t="e">
        <f t="shared" si="50"/>
        <v>#DIV/0!</v>
      </c>
      <c r="R48" s="90" t="e">
        <f t="shared" si="50"/>
        <v>#DIV/0!</v>
      </c>
      <c r="S48" s="90"/>
      <c r="AS48" s="79" t="s">
        <v>130</v>
      </c>
      <c r="AT48" s="84" t="s">
        <v>131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B18" sqref="B18"/>
    </sheetView>
  </sheetViews>
  <sheetFormatPr defaultColWidth="9" defaultRowHeight="13.5"/>
  <cols>
    <col min="1" max="1" width="19.5" customWidth="1"/>
    <col min="2" max="2" width="14.875" style="45" customWidth="1"/>
    <col min="3" max="3" width="9.2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13" customWidth="1"/>
    <col min="9" max="9" width="14.875" customWidth="1"/>
    <col min="10" max="10" width="13" customWidth="1"/>
    <col min="11" max="11" width="15.625"/>
    <col min="12" max="12" width="12.5"/>
  </cols>
  <sheetData>
    <row r="1" spans="1:10" ht="41.25" customHeight="1">
      <c r="A1" s="223" t="s">
        <v>151</v>
      </c>
      <c r="B1" s="223"/>
      <c r="C1" s="223"/>
      <c r="E1" s="224" t="s">
        <v>260</v>
      </c>
      <c r="F1" s="225"/>
      <c r="G1" s="225"/>
      <c r="H1" s="226"/>
    </row>
    <row r="2" spans="1:10" ht="23.45" customHeight="1">
      <c r="A2" s="46" t="s">
        <v>1</v>
      </c>
      <c r="B2" s="47" t="s">
        <v>152</v>
      </c>
      <c r="C2" s="48" t="s">
        <v>153</v>
      </c>
      <c r="E2" s="49" t="s">
        <v>154</v>
      </c>
      <c r="F2" s="49" t="s">
        <v>1</v>
      </c>
      <c r="G2" s="50" t="s">
        <v>155</v>
      </c>
      <c r="H2" s="49" t="s">
        <v>153</v>
      </c>
    </row>
    <row r="3" spans="1:10" ht="15.75" customHeight="1">
      <c r="A3" s="51" t="s">
        <v>156</v>
      </c>
      <c r="B3" s="52"/>
      <c r="C3" s="53"/>
      <c r="E3" s="231" t="s">
        <v>157</v>
      </c>
      <c r="F3" s="54" t="s">
        <v>158</v>
      </c>
      <c r="G3" s="55"/>
      <c r="H3" s="54"/>
    </row>
    <row r="4" spans="1:10" ht="15.75" customHeight="1">
      <c r="A4" s="51" t="s">
        <v>159</v>
      </c>
      <c r="B4" s="52"/>
      <c r="C4" s="56"/>
      <c r="E4" s="232"/>
      <c r="F4" s="54" t="s">
        <v>160</v>
      </c>
      <c r="G4" s="55"/>
      <c r="H4" s="54"/>
    </row>
    <row r="5" spans="1:10" ht="15.75" customHeight="1">
      <c r="A5" s="51" t="s">
        <v>161</v>
      </c>
      <c r="B5" s="57">
        <f>SUM(G3:G4)</f>
        <v>0</v>
      </c>
      <c r="C5" s="53"/>
      <c r="E5" s="233" t="s">
        <v>162</v>
      </c>
      <c r="F5" s="58" t="s">
        <v>163</v>
      </c>
      <c r="G5" s="55">
        <v>30</v>
      </c>
      <c r="H5" s="58"/>
    </row>
    <row r="6" spans="1:10" ht="15.75" customHeight="1">
      <c r="A6" s="51" t="s">
        <v>164</v>
      </c>
      <c r="B6" s="52"/>
      <c r="C6" s="53"/>
      <c r="E6" s="234"/>
      <c r="F6" s="58" t="s">
        <v>165</v>
      </c>
      <c r="G6" s="55">
        <v>25</v>
      </c>
      <c r="H6" s="174"/>
      <c r="J6">
        <v>10000</v>
      </c>
    </row>
    <row r="7" spans="1:10" ht="15.75" customHeight="1">
      <c r="A7" s="59" t="s">
        <v>166</v>
      </c>
      <c r="B7" s="57">
        <f>SUM(B3:B6)</f>
        <v>0</v>
      </c>
      <c r="C7" s="53"/>
      <c r="E7" s="234"/>
      <c r="F7" s="58" t="s">
        <v>167</v>
      </c>
      <c r="G7" s="55">
        <v>8</v>
      </c>
      <c r="H7" s="174"/>
    </row>
    <row r="8" spans="1:10" ht="15.75" customHeight="1">
      <c r="A8" s="60" t="s">
        <v>168</v>
      </c>
      <c r="B8" s="57">
        <f>SUM(G5:G12)</f>
        <v>65.5</v>
      </c>
      <c r="C8" s="61"/>
      <c r="E8" s="234"/>
      <c r="F8" s="58" t="s">
        <v>169</v>
      </c>
      <c r="G8" s="55">
        <v>0</v>
      </c>
      <c r="H8" s="174"/>
    </row>
    <row r="9" spans="1:10" ht="15.75" customHeight="1">
      <c r="A9" s="51" t="s">
        <v>170</v>
      </c>
      <c r="B9" s="57">
        <f>SUM(G13:G21)</f>
        <v>26.55</v>
      </c>
      <c r="C9" s="53"/>
      <c r="E9" s="234"/>
      <c r="F9" s="54" t="s">
        <v>171</v>
      </c>
      <c r="G9" s="55">
        <v>2.5</v>
      </c>
      <c r="H9" s="174"/>
    </row>
    <row r="10" spans="1:10" ht="15.75" customHeight="1">
      <c r="A10" s="56" t="s">
        <v>51</v>
      </c>
      <c r="B10" s="57">
        <f>B7+B8+B9</f>
        <v>92.05</v>
      </c>
      <c r="C10" s="53"/>
      <c r="E10" s="234"/>
      <c r="F10" s="54" t="s">
        <v>172</v>
      </c>
      <c r="G10" s="62">
        <v>0</v>
      </c>
      <c r="H10" s="174"/>
    </row>
    <row r="11" spans="1:10" ht="15.75" customHeight="1">
      <c r="E11" s="234"/>
      <c r="F11" s="54" t="s">
        <v>173</v>
      </c>
      <c r="G11" s="62">
        <v>0</v>
      </c>
      <c r="H11" s="174"/>
    </row>
    <row r="12" spans="1:10" ht="15.75" customHeight="1">
      <c r="E12" s="235"/>
      <c r="F12" s="54" t="s">
        <v>174</v>
      </c>
      <c r="G12" s="55">
        <v>0</v>
      </c>
      <c r="H12" s="174"/>
    </row>
    <row r="13" spans="1:10" ht="15.75" customHeight="1">
      <c r="E13" s="231" t="s">
        <v>83</v>
      </c>
      <c r="F13" s="54" t="s">
        <v>175</v>
      </c>
      <c r="G13" s="55">
        <v>17.850000000000001</v>
      </c>
      <c r="H13" s="175"/>
    </row>
    <row r="14" spans="1:10" ht="15.75" customHeight="1">
      <c r="E14" s="232"/>
      <c r="F14" s="54" t="s">
        <v>176</v>
      </c>
      <c r="G14" s="55">
        <v>1.55</v>
      </c>
      <c r="H14" s="177"/>
    </row>
    <row r="15" spans="1:10" ht="15.75" customHeight="1">
      <c r="E15" s="232"/>
      <c r="F15" s="54" t="s">
        <v>177</v>
      </c>
      <c r="G15" s="55">
        <v>0.5</v>
      </c>
      <c r="H15" s="177"/>
    </row>
    <row r="16" spans="1:10" ht="15.75" customHeight="1">
      <c r="E16" s="232"/>
      <c r="F16" s="54" t="s">
        <v>178</v>
      </c>
      <c r="G16" s="55">
        <v>0.4</v>
      </c>
      <c r="H16" s="177"/>
    </row>
    <row r="17" spans="1:12" ht="15.75" customHeight="1">
      <c r="E17" s="232"/>
      <c r="F17" s="54" t="s">
        <v>179</v>
      </c>
      <c r="G17" s="55">
        <v>0</v>
      </c>
      <c r="H17" s="175"/>
    </row>
    <row r="18" spans="1:12" ht="15.75" customHeight="1">
      <c r="E18" s="232"/>
      <c r="F18" s="54" t="s">
        <v>180</v>
      </c>
      <c r="G18" s="55">
        <v>0.75</v>
      </c>
      <c r="H18" s="176"/>
    </row>
    <row r="19" spans="1:12" ht="15.75" customHeight="1">
      <c r="E19" s="232"/>
      <c r="F19" s="54" t="s">
        <v>181</v>
      </c>
      <c r="G19" s="55">
        <v>5.5</v>
      </c>
      <c r="H19" s="176"/>
      <c r="I19" s="178"/>
    </row>
    <row r="20" spans="1:12" ht="15.75" customHeight="1">
      <c r="E20" s="232"/>
      <c r="F20" s="54" t="s">
        <v>182</v>
      </c>
      <c r="G20" s="55"/>
      <c r="H20" s="54"/>
    </row>
    <row r="21" spans="1:12" ht="15.75" customHeight="1">
      <c r="E21" s="236"/>
      <c r="F21" s="54" t="s">
        <v>36</v>
      </c>
      <c r="G21" s="55">
        <v>0</v>
      </c>
      <c r="H21" s="54"/>
    </row>
    <row r="22" spans="1:12" ht="21.75" customHeight="1">
      <c r="E22" s="49" t="s">
        <v>51</v>
      </c>
      <c r="F22" s="54"/>
      <c r="G22" s="50">
        <f>SUM(G3:G21)</f>
        <v>92.05</v>
      </c>
      <c r="H22" s="63"/>
    </row>
    <row r="23" spans="1:12" ht="30.75" customHeight="1">
      <c r="E23" s="227" t="s">
        <v>183</v>
      </c>
      <c r="F23" s="227"/>
      <c r="G23" s="227"/>
      <c r="H23" s="227"/>
    </row>
    <row r="25" spans="1:12" ht="17.25">
      <c r="A25" s="64" t="s">
        <v>1</v>
      </c>
      <c r="B25" s="64" t="s">
        <v>152</v>
      </c>
      <c r="C25" s="64" t="s">
        <v>184</v>
      </c>
      <c r="D25" s="65" t="s">
        <v>275</v>
      </c>
      <c r="E25" s="65" t="s">
        <v>49</v>
      </c>
      <c r="F25" s="65" t="s">
        <v>50</v>
      </c>
      <c r="G25" s="65" t="s">
        <v>185</v>
      </c>
      <c r="H25" s="65" t="s">
        <v>186</v>
      </c>
      <c r="I25" s="65" t="s">
        <v>187</v>
      </c>
      <c r="J25" s="65" t="s">
        <v>262</v>
      </c>
      <c r="K25" s="65" t="s">
        <v>51</v>
      </c>
      <c r="L25" s="70" t="s">
        <v>188</v>
      </c>
    </row>
    <row r="26" spans="1:12" ht="16.5">
      <c r="A26" s="66" t="s">
        <v>147</v>
      </c>
      <c r="B26" s="67">
        <f>(B5+B8)*10000</f>
        <v>655000</v>
      </c>
      <c r="C26" s="68">
        <v>0.05</v>
      </c>
      <c r="D26" s="69">
        <f>B26*(1-C26)/3</f>
        <v>207416.66666666666</v>
      </c>
      <c r="E26" s="69">
        <f t="shared" ref="E26:F26" si="0">D26</f>
        <v>207416.66666666666</v>
      </c>
      <c r="F26" s="69">
        <f t="shared" si="0"/>
        <v>207416.66666666666</v>
      </c>
      <c r="G26" s="69"/>
      <c r="H26" s="69"/>
      <c r="I26" s="69"/>
      <c r="J26" s="69"/>
      <c r="K26" s="69">
        <f>SUM(D26:J26)</f>
        <v>622250</v>
      </c>
      <c r="L26" s="69">
        <f>B26*0.05</f>
        <v>32750</v>
      </c>
    </row>
    <row r="27" spans="1:12" ht="16.5">
      <c r="A27" s="66" t="s">
        <v>189</v>
      </c>
      <c r="B27" s="67">
        <f>B9*10000</f>
        <v>265500</v>
      </c>
      <c r="C27" s="69"/>
      <c r="D27" s="69">
        <f>B27/3</f>
        <v>88500</v>
      </c>
      <c r="E27" s="69">
        <f t="shared" ref="E27:F27" si="1">D27</f>
        <v>88500</v>
      </c>
      <c r="F27" s="69">
        <f t="shared" si="1"/>
        <v>88500</v>
      </c>
      <c r="G27" s="69"/>
      <c r="H27" s="69"/>
      <c r="I27" s="69"/>
      <c r="J27" s="69"/>
      <c r="K27" s="69">
        <f>SUM(D27:J27)</f>
        <v>265500</v>
      </c>
      <c r="L27" s="69"/>
    </row>
    <row r="28" spans="1:12" ht="16.5">
      <c r="A28" s="228" t="s">
        <v>139</v>
      </c>
      <c r="B28" s="229"/>
      <c r="C28" s="230"/>
      <c r="D28" s="69">
        <f>SUM(D26:D27)</f>
        <v>295916.66666666663</v>
      </c>
      <c r="E28" s="69">
        <f t="shared" ref="E28:K28" si="2">SUM(E26:E27)</f>
        <v>295916.66666666663</v>
      </c>
      <c r="F28" s="69">
        <f t="shared" si="2"/>
        <v>295916.66666666663</v>
      </c>
      <c r="G28" s="69">
        <f t="shared" si="2"/>
        <v>0</v>
      </c>
      <c r="H28" s="69">
        <f t="shared" si="2"/>
        <v>0</v>
      </c>
      <c r="I28" s="69">
        <f t="shared" si="2"/>
        <v>0</v>
      </c>
      <c r="J28" s="69">
        <f t="shared" si="2"/>
        <v>0</v>
      </c>
      <c r="K28" s="69">
        <f t="shared" si="2"/>
        <v>887750</v>
      </c>
      <c r="L28" s="71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2025-04-14T03:30:38Z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