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120" windowWidth="18525" windowHeight="6570" tabRatio="810" activeTab="1"/>
  </bookViews>
  <sheets>
    <sheet name="假设条件" sheetId="34" r:id="rId1"/>
    <sheet name="损益表" sheetId="2" r:id="rId2"/>
    <sheet name="现金" sheetId="36" state="hidden" r:id="rId3"/>
    <sheet name="2021年" sheetId="43" r:id="rId4"/>
    <sheet name="2022年" sheetId="56" r:id="rId5"/>
    <sheet name="2023年" sheetId="57" r:id="rId6"/>
    <sheet name="2024年" sheetId="58" r:id="rId7"/>
    <sheet name="2025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'2021年'!$A$1:$L$48</definedName>
    <definedName name="_xlnm.Print_Area" localSheetId="4">'2022年'!$A$1:$L$48</definedName>
    <definedName name="_xlnm.Print_Area" localSheetId="5">'2023年'!$A$1:$L$48</definedName>
    <definedName name="_xlnm.Print_Area" localSheetId="6">'2024年'!$A$1:$L$48</definedName>
    <definedName name="_xlnm.Print_Area" localSheetId="7">'2025年'!$A$1:$L$48</definedName>
    <definedName name="_xlnm.Print_Area" localSheetId="1">损益表!$A$1:$H$64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5" i="50" l="1"/>
  <c r="I10" i="50"/>
  <c r="I8" i="50"/>
  <c r="E8" i="50" s="1"/>
  <c r="I7" i="50"/>
  <c r="D31" i="58" l="1"/>
  <c r="E31" i="58"/>
  <c r="F31" i="58"/>
  <c r="G31" i="58"/>
  <c r="H31" i="58"/>
  <c r="I31" i="58"/>
  <c r="J31" i="58"/>
  <c r="K31" i="58"/>
  <c r="C31" i="58"/>
  <c r="C43" i="58"/>
  <c r="L21" i="58"/>
  <c r="D16" i="58"/>
  <c r="E16" i="58"/>
  <c r="F16" i="58"/>
  <c r="G16" i="58"/>
  <c r="D31" i="57"/>
  <c r="E31" i="57"/>
  <c r="F31" i="57"/>
  <c r="G31" i="57"/>
  <c r="H31" i="57"/>
  <c r="I31" i="57"/>
  <c r="J31" i="57"/>
  <c r="K31" i="57"/>
  <c r="D33" i="56"/>
  <c r="D31" i="56"/>
  <c r="E31" i="56"/>
  <c r="F31" i="56"/>
  <c r="G31" i="56"/>
  <c r="H31" i="56"/>
  <c r="I31" i="56"/>
  <c r="J31" i="56"/>
  <c r="K31" i="56"/>
  <c r="D20" i="43"/>
  <c r="F13" i="43"/>
  <c r="G11" i="43"/>
  <c r="D7" i="43"/>
  <c r="D9" i="43" s="1"/>
  <c r="E32" i="43"/>
  <c r="K33" i="43"/>
  <c r="J33" i="43"/>
  <c r="I33" i="43"/>
  <c r="H33" i="43"/>
  <c r="G33" i="43"/>
  <c r="F33" i="43"/>
  <c r="E33" i="43"/>
  <c r="D33" i="43"/>
  <c r="E31" i="43"/>
  <c r="F31" i="43"/>
  <c r="F32" i="43" s="1"/>
  <c r="F34" i="43" s="1"/>
  <c r="F40" i="43" s="1"/>
  <c r="G31" i="43"/>
  <c r="G32" i="43" s="1"/>
  <c r="G34" i="43" s="1"/>
  <c r="G40" i="43" s="1"/>
  <c r="H31" i="43"/>
  <c r="I31" i="43"/>
  <c r="J31" i="43"/>
  <c r="K31" i="43"/>
  <c r="D31" i="43"/>
  <c r="D32" i="43" s="1"/>
  <c r="D34" i="43" s="1"/>
  <c r="D40" i="43" s="1"/>
  <c r="E6" i="59"/>
  <c r="F6" i="59"/>
  <c r="G6" i="59"/>
  <c r="H6" i="59"/>
  <c r="I6" i="59"/>
  <c r="J6" i="59"/>
  <c r="K6" i="59"/>
  <c r="D6" i="59"/>
  <c r="E6" i="58"/>
  <c r="E17" i="58" s="1"/>
  <c r="F6" i="58"/>
  <c r="F17" i="58" s="1"/>
  <c r="G6" i="58"/>
  <c r="G17" i="58" s="1"/>
  <c r="H6" i="58"/>
  <c r="I6" i="58"/>
  <c r="J6" i="58"/>
  <c r="K6" i="58"/>
  <c r="D6" i="58"/>
  <c r="D17" i="58" s="1"/>
  <c r="E6" i="57"/>
  <c r="F6" i="57"/>
  <c r="F20" i="57" s="1"/>
  <c r="G6" i="57"/>
  <c r="G7" i="57" s="1"/>
  <c r="H6" i="57"/>
  <c r="I6" i="57"/>
  <c r="I20" i="57" s="1"/>
  <c r="J6" i="57"/>
  <c r="J20" i="57" s="1"/>
  <c r="K6" i="57"/>
  <c r="D6" i="57"/>
  <c r="E6" i="56"/>
  <c r="E7" i="56" s="1"/>
  <c r="F6" i="56"/>
  <c r="G6" i="56"/>
  <c r="G7" i="56" s="1"/>
  <c r="H6" i="56"/>
  <c r="H7" i="56" s="1"/>
  <c r="I6" i="56"/>
  <c r="J6" i="56"/>
  <c r="K6" i="56"/>
  <c r="K7" i="56" s="1"/>
  <c r="D6" i="56"/>
  <c r="E6" i="43"/>
  <c r="E19" i="43" s="1"/>
  <c r="F6" i="43"/>
  <c r="G6" i="43"/>
  <c r="H6" i="43"/>
  <c r="I6" i="43"/>
  <c r="I7" i="43" s="1"/>
  <c r="I9" i="43" s="1"/>
  <c r="J6" i="43"/>
  <c r="J10" i="43" s="1"/>
  <c r="K6" i="43"/>
  <c r="D6" i="43"/>
  <c r="D11" i="43" s="1"/>
  <c r="C33" i="43"/>
  <c r="I41" i="53"/>
  <c r="E33" i="56" s="1"/>
  <c r="I42" i="53"/>
  <c r="F33" i="56" s="1"/>
  <c r="J42" i="53"/>
  <c r="F33" i="57" s="1"/>
  <c r="F10" i="57" s="1"/>
  <c r="I43" i="53"/>
  <c r="G33" i="56" s="1"/>
  <c r="I44" i="53"/>
  <c r="H33" i="56" s="1"/>
  <c r="H10" i="56" s="1"/>
  <c r="I45" i="53"/>
  <c r="I33" i="56" s="1"/>
  <c r="J45" i="53"/>
  <c r="I33" i="57" s="1"/>
  <c r="I10" i="57" s="1"/>
  <c r="I46" i="53"/>
  <c r="J33" i="56" s="1"/>
  <c r="I47" i="53"/>
  <c r="K33" i="56" s="1"/>
  <c r="I40" i="53"/>
  <c r="J40" i="53"/>
  <c r="D33" i="57" s="1"/>
  <c r="J39" i="53"/>
  <c r="I39" i="53"/>
  <c r="D19" i="55"/>
  <c r="E19" i="55"/>
  <c r="F19" i="55"/>
  <c r="G19" i="55"/>
  <c r="H19" i="55"/>
  <c r="I19" i="55"/>
  <c r="J19" i="55"/>
  <c r="K19" i="55"/>
  <c r="C19" i="55"/>
  <c r="F14" i="55"/>
  <c r="G14" i="55"/>
  <c r="H14" i="55"/>
  <c r="I14" i="55"/>
  <c r="D14" i="43" l="1"/>
  <c r="D15" i="43" s="1"/>
  <c r="H7" i="43"/>
  <c r="H9" i="43" s="1"/>
  <c r="H10" i="43"/>
  <c r="J10" i="56"/>
  <c r="D10" i="57"/>
  <c r="D7" i="57"/>
  <c r="J7" i="56"/>
  <c r="F7" i="57"/>
  <c r="D20" i="57"/>
  <c r="J46" i="53"/>
  <c r="J33" i="57" s="1"/>
  <c r="J43" i="53"/>
  <c r="G33" i="57" s="1"/>
  <c r="G10" i="57" s="1"/>
  <c r="G13" i="43"/>
  <c r="G10" i="43"/>
  <c r="G22" i="43"/>
  <c r="G19" i="43"/>
  <c r="G12" i="43"/>
  <c r="G14" i="43" s="1"/>
  <c r="G15" i="43" s="1"/>
  <c r="D10" i="56"/>
  <c r="I10" i="56"/>
  <c r="I7" i="56"/>
  <c r="F10" i="56"/>
  <c r="F7" i="56"/>
  <c r="K20" i="57"/>
  <c r="K7" i="57"/>
  <c r="H20" i="57"/>
  <c r="H7" i="57"/>
  <c r="E20" i="57"/>
  <c r="E7" i="57"/>
  <c r="J7" i="43"/>
  <c r="J9" i="43" s="1"/>
  <c r="I10" i="43"/>
  <c r="E10" i="56"/>
  <c r="K7" i="43"/>
  <c r="K9" i="43" s="1"/>
  <c r="K10" i="43"/>
  <c r="E20" i="43"/>
  <c r="E11" i="43"/>
  <c r="E7" i="43"/>
  <c r="E9" i="43" s="1"/>
  <c r="E13" i="43"/>
  <c r="E10" i="43"/>
  <c r="G10" i="56"/>
  <c r="E34" i="43"/>
  <c r="E40" i="43" s="1"/>
  <c r="J47" i="53"/>
  <c r="K33" i="57" s="1"/>
  <c r="K10" i="57" s="1"/>
  <c r="J44" i="53"/>
  <c r="H33" i="57" s="1"/>
  <c r="H10" i="57" s="1"/>
  <c r="J41" i="53"/>
  <c r="E33" i="57" s="1"/>
  <c r="E10" i="57" s="1"/>
  <c r="D13" i="43"/>
  <c r="D10" i="43"/>
  <c r="D22" i="43"/>
  <c r="D19" i="43"/>
  <c r="D12" i="43"/>
  <c r="F22" i="43"/>
  <c r="F19" i="43"/>
  <c r="F12" i="43"/>
  <c r="F20" i="43"/>
  <c r="F11" i="43"/>
  <c r="F14" i="43" s="1"/>
  <c r="F7" i="43"/>
  <c r="F9" i="43" s="1"/>
  <c r="J7" i="57"/>
  <c r="J10" i="57"/>
  <c r="G7" i="43"/>
  <c r="G9" i="43" s="1"/>
  <c r="F10" i="43"/>
  <c r="E12" i="43"/>
  <c r="G20" i="43"/>
  <c r="E22" i="43"/>
  <c r="D7" i="56"/>
  <c r="K10" i="56"/>
  <c r="I7" i="57"/>
  <c r="G20" i="57"/>
  <c r="D16" i="43"/>
  <c r="D20" i="56"/>
  <c r="L18" i="58"/>
  <c r="G16" i="43" l="1"/>
  <c r="F15" i="43"/>
  <c r="E14" i="43"/>
  <c r="E15" i="43" s="1"/>
  <c r="E20" i="56"/>
  <c r="H33" i="59"/>
  <c r="F16" i="43" l="1"/>
  <c r="E16" i="43"/>
  <c r="F20" i="56"/>
  <c r="H33" i="58"/>
  <c r="G20" i="56" l="1"/>
  <c r="C33" i="56"/>
  <c r="O7" i="55"/>
  <c r="P7" i="55" s="1"/>
  <c r="G8" i="56" l="1"/>
  <c r="G9" i="56" s="1"/>
  <c r="G32" i="56" s="1"/>
  <c r="G34" i="56" s="1"/>
  <c r="K8" i="56"/>
  <c r="K9" i="56" s="1"/>
  <c r="K32" i="56" s="1"/>
  <c r="K34" i="56" s="1"/>
  <c r="E8" i="56"/>
  <c r="E9" i="56" s="1"/>
  <c r="E32" i="56" s="1"/>
  <c r="E34" i="56" s="1"/>
  <c r="H8" i="56"/>
  <c r="H9" i="56" s="1"/>
  <c r="H32" i="56" s="1"/>
  <c r="H34" i="56" s="1"/>
  <c r="I8" i="56"/>
  <c r="I9" i="56" s="1"/>
  <c r="I32" i="56" s="1"/>
  <c r="I34" i="56" s="1"/>
  <c r="F8" i="56"/>
  <c r="F9" i="56" s="1"/>
  <c r="F32" i="56" s="1"/>
  <c r="F34" i="56" s="1"/>
  <c r="J8" i="56"/>
  <c r="J9" i="56" s="1"/>
  <c r="J32" i="56" s="1"/>
  <c r="J34" i="56" s="1"/>
  <c r="D8" i="56"/>
  <c r="D9" i="56" s="1"/>
  <c r="D32" i="56" s="1"/>
  <c r="D34" i="56" s="1"/>
  <c r="H20" i="56"/>
  <c r="O8" i="55"/>
  <c r="C33" i="57"/>
  <c r="H43" i="58"/>
  <c r="E6" i="50"/>
  <c r="E7" i="50"/>
  <c r="E9" i="50"/>
  <c r="E10" i="50"/>
  <c r="E11" i="50"/>
  <c r="C47" i="59" s="1"/>
  <c r="H47" i="59" s="1"/>
  <c r="I47" i="59" s="1"/>
  <c r="J47" i="59" s="1"/>
  <c r="E4" i="50"/>
  <c r="C36" i="58" s="1"/>
  <c r="H36" i="58" s="1"/>
  <c r="C6" i="59"/>
  <c r="H7" i="59"/>
  <c r="H45" i="59"/>
  <c r="I45" i="59" s="1"/>
  <c r="J45" i="59" s="1"/>
  <c r="C43" i="59"/>
  <c r="H43" i="59" s="1"/>
  <c r="I43" i="59" s="1"/>
  <c r="J43" i="59" s="1"/>
  <c r="K31" i="59"/>
  <c r="K32" i="59" s="1"/>
  <c r="J31" i="59"/>
  <c r="J32" i="59" s="1"/>
  <c r="I31" i="59"/>
  <c r="I32" i="59" s="1"/>
  <c r="H31" i="59"/>
  <c r="C31" i="59"/>
  <c r="J7" i="59"/>
  <c r="J9" i="59" s="1"/>
  <c r="C6" i="58"/>
  <c r="H10" i="58"/>
  <c r="H45" i="58"/>
  <c r="I45" i="58" s="1"/>
  <c r="J45" i="58" s="1"/>
  <c r="K45" i="58" s="1"/>
  <c r="K32" i="58"/>
  <c r="J32" i="58"/>
  <c r="I32" i="58"/>
  <c r="K7" i="58"/>
  <c r="K9" i="58" s="1"/>
  <c r="J7" i="58"/>
  <c r="J9" i="58" s="1"/>
  <c r="C6" i="57"/>
  <c r="C31" i="57"/>
  <c r="C6" i="56"/>
  <c r="C31" i="56"/>
  <c r="C36" i="59" l="1"/>
  <c r="H36" i="59" s="1"/>
  <c r="I36" i="59" s="1"/>
  <c r="J36" i="59" s="1"/>
  <c r="I20" i="56"/>
  <c r="D19" i="57"/>
  <c r="D11" i="56"/>
  <c r="D11" i="57"/>
  <c r="D22" i="56"/>
  <c r="C37" i="59"/>
  <c r="H37" i="59" s="1"/>
  <c r="I37" i="59" s="1"/>
  <c r="J37" i="59" s="1"/>
  <c r="K37" i="59" s="1"/>
  <c r="K12" i="59" s="1"/>
  <c r="C37" i="58"/>
  <c r="H37" i="58" s="1"/>
  <c r="H12" i="58" s="1"/>
  <c r="C38" i="58"/>
  <c r="H38" i="58" s="1"/>
  <c r="C44" i="59"/>
  <c r="H44" i="59" s="1"/>
  <c r="I44" i="59" s="1"/>
  <c r="J44" i="59" s="1"/>
  <c r="K44" i="59" s="1"/>
  <c r="K19" i="59" s="1"/>
  <c r="C44" i="58"/>
  <c r="H44" i="58" s="1"/>
  <c r="H7" i="58"/>
  <c r="K20" i="58"/>
  <c r="P8" i="55"/>
  <c r="O9" i="55"/>
  <c r="C38" i="59"/>
  <c r="H38" i="59" s="1"/>
  <c r="I38" i="59" s="1"/>
  <c r="J38" i="59" s="1"/>
  <c r="K38" i="59" s="1"/>
  <c r="K13" i="59" s="1"/>
  <c r="L6" i="58"/>
  <c r="F3" i="2" s="1"/>
  <c r="C33" i="59"/>
  <c r="C10" i="59" s="1"/>
  <c r="C33" i="58"/>
  <c r="C10" i="58" s="1"/>
  <c r="H20" i="58"/>
  <c r="C47" i="58"/>
  <c r="H47" i="58" s="1"/>
  <c r="H22" i="58" s="1"/>
  <c r="C20" i="59"/>
  <c r="C7" i="58"/>
  <c r="C7" i="57"/>
  <c r="C10" i="57"/>
  <c r="C7" i="56"/>
  <c r="C8" i="56" s="1"/>
  <c r="L8" i="56" s="1"/>
  <c r="D5" i="2" s="1"/>
  <c r="C10" i="56"/>
  <c r="I22" i="59"/>
  <c r="D40" i="56"/>
  <c r="C22" i="59"/>
  <c r="C11" i="59"/>
  <c r="C7" i="59"/>
  <c r="K36" i="59"/>
  <c r="K11" i="59" s="1"/>
  <c r="J11" i="59"/>
  <c r="K43" i="59"/>
  <c r="K45" i="59"/>
  <c r="K20" i="59" s="1"/>
  <c r="J20" i="59"/>
  <c r="K47" i="59"/>
  <c r="K22" i="59" s="1"/>
  <c r="J22" i="59"/>
  <c r="K7" i="59"/>
  <c r="K9" i="59" s="1"/>
  <c r="L6" i="59"/>
  <c r="G3" i="2" s="1"/>
  <c r="I7" i="59"/>
  <c r="I9" i="59" s="1"/>
  <c r="H10" i="59"/>
  <c r="H11" i="59"/>
  <c r="H19" i="59"/>
  <c r="H20" i="59"/>
  <c r="H22" i="59"/>
  <c r="I11" i="59"/>
  <c r="I20" i="59"/>
  <c r="I36" i="58"/>
  <c r="J36" i="58" s="1"/>
  <c r="K36" i="58" s="1"/>
  <c r="K11" i="58" s="1"/>
  <c r="H11" i="58"/>
  <c r="I43" i="58"/>
  <c r="I7" i="58"/>
  <c r="I9" i="58" s="1"/>
  <c r="C11" i="58"/>
  <c r="C20" i="58"/>
  <c r="J20" i="58"/>
  <c r="I20" i="58"/>
  <c r="C11" i="57"/>
  <c r="C13" i="57"/>
  <c r="C19" i="57"/>
  <c r="C20" i="57"/>
  <c r="C22" i="57"/>
  <c r="L6" i="57"/>
  <c r="E3" i="2" s="1"/>
  <c r="L6" i="56"/>
  <c r="D3" i="2" s="1"/>
  <c r="C20" i="56"/>
  <c r="C13" i="56"/>
  <c r="C11" i="56"/>
  <c r="C22" i="56"/>
  <c r="C13" i="58" l="1"/>
  <c r="G8" i="57"/>
  <c r="G9" i="57" s="1"/>
  <c r="G32" i="57" s="1"/>
  <c r="G34" i="57" s="1"/>
  <c r="D8" i="57"/>
  <c r="D9" i="57" s="1"/>
  <c r="D32" i="57" s="1"/>
  <c r="D34" i="57" s="1"/>
  <c r="D40" i="57" s="1"/>
  <c r="I8" i="57"/>
  <c r="I9" i="57" s="1"/>
  <c r="I32" i="57" s="1"/>
  <c r="I34" i="57" s="1"/>
  <c r="F8" i="57"/>
  <c r="F9" i="57" s="1"/>
  <c r="F32" i="57" s="1"/>
  <c r="F34" i="57" s="1"/>
  <c r="J8" i="57"/>
  <c r="J9" i="57" s="1"/>
  <c r="J32" i="57" s="1"/>
  <c r="J34" i="57" s="1"/>
  <c r="H8" i="57"/>
  <c r="H9" i="57" s="1"/>
  <c r="H32" i="57" s="1"/>
  <c r="H34" i="57" s="1"/>
  <c r="K8" i="57"/>
  <c r="K9" i="57" s="1"/>
  <c r="K32" i="57" s="1"/>
  <c r="K34" i="57" s="1"/>
  <c r="E8" i="57"/>
  <c r="E9" i="57" s="1"/>
  <c r="E32" i="57" s="1"/>
  <c r="E34" i="57" s="1"/>
  <c r="C12" i="59"/>
  <c r="H12" i="59"/>
  <c r="J12" i="59"/>
  <c r="I12" i="59"/>
  <c r="J19" i="59"/>
  <c r="C19" i="59"/>
  <c r="I19" i="59"/>
  <c r="K20" i="56"/>
  <c r="L20" i="56" s="1"/>
  <c r="D17" i="2" s="1"/>
  <c r="D43" i="2" s="1"/>
  <c r="J20" i="56"/>
  <c r="I38" i="58"/>
  <c r="H13" i="58"/>
  <c r="H14" i="58" s="1"/>
  <c r="D19" i="56"/>
  <c r="D12" i="57"/>
  <c r="D14" i="57" s="1"/>
  <c r="D15" i="57" s="1"/>
  <c r="D22" i="57"/>
  <c r="D13" i="57"/>
  <c r="E11" i="57"/>
  <c r="D12" i="56"/>
  <c r="D13" i="56"/>
  <c r="E22" i="56"/>
  <c r="E40" i="56"/>
  <c r="E11" i="56"/>
  <c r="E19" i="57"/>
  <c r="J43" i="58"/>
  <c r="J13" i="59"/>
  <c r="C19" i="58"/>
  <c r="C13" i="59"/>
  <c r="C22" i="58"/>
  <c r="I37" i="58"/>
  <c r="J37" i="58" s="1"/>
  <c r="K37" i="58" s="1"/>
  <c r="K12" i="58" s="1"/>
  <c r="C8" i="57"/>
  <c r="C9" i="57" s="1"/>
  <c r="C32" i="57" s="1"/>
  <c r="L7" i="57"/>
  <c r="E4" i="2" s="1"/>
  <c r="L20" i="59"/>
  <c r="G17" i="2" s="1"/>
  <c r="G43" i="2" s="1"/>
  <c r="I11" i="58"/>
  <c r="C19" i="56"/>
  <c r="C12" i="58"/>
  <c r="C14" i="58" s="1"/>
  <c r="I47" i="58"/>
  <c r="J47" i="58" s="1"/>
  <c r="K47" i="58" s="1"/>
  <c r="K22" i="58" s="1"/>
  <c r="I13" i="59"/>
  <c r="I14" i="59" s="1"/>
  <c r="H13" i="59"/>
  <c r="P9" i="55"/>
  <c r="H8" i="58" s="1"/>
  <c r="H9" i="58" s="1"/>
  <c r="H32" i="58" s="1"/>
  <c r="H34" i="58" s="1"/>
  <c r="H40" i="58" s="1"/>
  <c r="O10" i="55"/>
  <c r="P10" i="55" s="1"/>
  <c r="H8" i="59" s="1"/>
  <c r="H9" i="59" s="1"/>
  <c r="H32" i="59" s="1"/>
  <c r="H34" i="59" s="1"/>
  <c r="H40" i="59" s="1"/>
  <c r="C12" i="57"/>
  <c r="C14" i="57" s="1"/>
  <c r="L11" i="59"/>
  <c r="G8" i="2" s="1"/>
  <c r="G34" i="2" s="1"/>
  <c r="C14" i="59"/>
  <c r="C12" i="56"/>
  <c r="C14" i="56" s="1"/>
  <c r="I44" i="58"/>
  <c r="H19" i="58"/>
  <c r="J11" i="58"/>
  <c r="L7" i="59"/>
  <c r="G4" i="2" s="1"/>
  <c r="L22" i="59"/>
  <c r="G19" i="2" s="1"/>
  <c r="K14" i="59"/>
  <c r="L20" i="58"/>
  <c r="F17" i="2" s="1"/>
  <c r="F43" i="2" s="1"/>
  <c r="L7" i="58"/>
  <c r="F4" i="2" s="1"/>
  <c r="L20" i="57"/>
  <c r="E17" i="2" s="1"/>
  <c r="E43" i="2" s="1"/>
  <c r="L7" i="56"/>
  <c r="D4" i="2" s="1"/>
  <c r="C9" i="56"/>
  <c r="C32" i="56" s="1"/>
  <c r="D14" i="56" l="1"/>
  <c r="D15" i="56" s="1"/>
  <c r="D16" i="56" s="1"/>
  <c r="L19" i="59"/>
  <c r="G16" i="2" s="1"/>
  <c r="G42" i="2" s="1"/>
  <c r="L12" i="59"/>
  <c r="G9" i="2" s="1"/>
  <c r="G35" i="2" s="1"/>
  <c r="J14" i="59"/>
  <c r="D16" i="57"/>
  <c r="E12" i="56"/>
  <c r="F11" i="57"/>
  <c r="E19" i="56"/>
  <c r="F19" i="57"/>
  <c r="F11" i="56"/>
  <c r="E13" i="57"/>
  <c r="E14" i="57" s="1"/>
  <c r="E15" i="57" s="1"/>
  <c r="E12" i="57"/>
  <c r="F22" i="56"/>
  <c r="E13" i="56"/>
  <c r="E14" i="56" s="1"/>
  <c r="E15" i="56" s="1"/>
  <c r="E16" i="56" s="1"/>
  <c r="E40" i="57"/>
  <c r="E22" i="57"/>
  <c r="J38" i="58"/>
  <c r="I13" i="58"/>
  <c r="K43" i="58"/>
  <c r="L13" i="59"/>
  <c r="G10" i="2" s="1"/>
  <c r="G36" i="2" s="1"/>
  <c r="I12" i="58"/>
  <c r="J12" i="58"/>
  <c r="L8" i="57"/>
  <c r="E5" i="2" s="1"/>
  <c r="C8" i="59"/>
  <c r="L8" i="59" s="1"/>
  <c r="G5" i="2" s="1"/>
  <c r="C8" i="58"/>
  <c r="C9" i="58" s="1"/>
  <c r="C32" i="58" s="1"/>
  <c r="H14" i="59"/>
  <c r="L14" i="59" s="1"/>
  <c r="G11" i="2" s="1"/>
  <c r="I22" i="58"/>
  <c r="J22" i="58"/>
  <c r="L9" i="57"/>
  <c r="E6" i="2" s="1"/>
  <c r="E29" i="2" s="1"/>
  <c r="H15" i="58"/>
  <c r="H16" i="58" s="1"/>
  <c r="J44" i="58"/>
  <c r="I19" i="58"/>
  <c r="L11" i="58"/>
  <c r="F8" i="2" s="1"/>
  <c r="F34" i="2" s="1"/>
  <c r="L9" i="56"/>
  <c r="D6" i="2" s="1"/>
  <c r="G22" i="56" l="1"/>
  <c r="F19" i="56"/>
  <c r="F12" i="56"/>
  <c r="F12" i="57"/>
  <c r="K38" i="58"/>
  <c r="K13" i="58" s="1"/>
  <c r="K14" i="58" s="1"/>
  <c r="J13" i="58"/>
  <c r="J14" i="58" s="1"/>
  <c r="F13" i="56"/>
  <c r="E16" i="57"/>
  <c r="F40" i="56"/>
  <c r="G19" i="57"/>
  <c r="F40" i="57"/>
  <c r="I14" i="58"/>
  <c r="F22" i="57"/>
  <c r="G40" i="57"/>
  <c r="F13" i="57"/>
  <c r="G40" i="56"/>
  <c r="G11" i="56"/>
  <c r="G11" i="57"/>
  <c r="C9" i="59"/>
  <c r="L9" i="59" s="1"/>
  <c r="G6" i="2" s="1"/>
  <c r="L12" i="58"/>
  <c r="F9" i="2" s="1"/>
  <c r="F35" i="2" s="1"/>
  <c r="L9" i="58"/>
  <c r="F6" i="2" s="1"/>
  <c r="F29" i="2" s="1"/>
  <c r="L8" i="58"/>
  <c r="F5" i="2" s="1"/>
  <c r="H15" i="59"/>
  <c r="H16" i="59" s="1"/>
  <c r="L22" i="58"/>
  <c r="F19" i="2" s="1"/>
  <c r="F51" i="2" s="1"/>
  <c r="C32" i="59"/>
  <c r="E49" i="2"/>
  <c r="D49" i="2"/>
  <c r="D29" i="2"/>
  <c r="K44" i="58"/>
  <c r="J19" i="58"/>
  <c r="F14" i="56" l="1"/>
  <c r="F15" i="56" s="1"/>
  <c r="L14" i="58"/>
  <c r="F11" i="2" s="1"/>
  <c r="F14" i="57"/>
  <c r="F15" i="57" s="1"/>
  <c r="L13" i="58"/>
  <c r="F10" i="2" s="1"/>
  <c r="F36" i="2" s="1"/>
  <c r="G12" i="57"/>
  <c r="H22" i="56"/>
  <c r="G19" i="56"/>
  <c r="G22" i="57"/>
  <c r="G12" i="56"/>
  <c r="G13" i="57"/>
  <c r="G14" i="57" s="1"/>
  <c r="G15" i="57" s="1"/>
  <c r="H11" i="57"/>
  <c r="H11" i="56"/>
  <c r="H19" i="57"/>
  <c r="G13" i="56"/>
  <c r="F49" i="2"/>
  <c r="G49" i="2"/>
  <c r="G29" i="2"/>
  <c r="G47" i="2"/>
  <c r="G51" i="2"/>
  <c r="K19" i="58"/>
  <c r="L19" i="58" s="1"/>
  <c r="F16" i="56" l="1"/>
  <c r="H40" i="57"/>
  <c r="H40" i="56"/>
  <c r="G14" i="56"/>
  <c r="G15" i="56" s="1"/>
  <c r="G16" i="56" s="1"/>
  <c r="I11" i="57"/>
  <c r="H12" i="56"/>
  <c r="G16" i="57"/>
  <c r="I11" i="56"/>
  <c r="H13" i="57"/>
  <c r="F16" i="57"/>
  <c r="H13" i="56"/>
  <c r="I19" i="57"/>
  <c r="H22" i="57"/>
  <c r="H19" i="56"/>
  <c r="I22" i="56"/>
  <c r="H12" i="57"/>
  <c r="F16" i="2"/>
  <c r="H14" i="56" l="1"/>
  <c r="H15" i="56"/>
  <c r="H16" i="56" s="1"/>
  <c r="H14" i="57"/>
  <c r="J11" i="57"/>
  <c r="I13" i="56"/>
  <c r="I12" i="57"/>
  <c r="I19" i="56"/>
  <c r="J19" i="57"/>
  <c r="K19" i="57"/>
  <c r="I40" i="57"/>
  <c r="J22" i="56"/>
  <c r="K22" i="56"/>
  <c r="I22" i="57"/>
  <c r="I40" i="56"/>
  <c r="J40" i="56"/>
  <c r="I12" i="56"/>
  <c r="I14" i="56" s="1"/>
  <c r="I13" i="57"/>
  <c r="J11" i="56"/>
  <c r="F42" i="2"/>
  <c r="F47" i="2"/>
  <c r="J40" i="57" l="1"/>
  <c r="L22" i="56"/>
  <c r="D19" i="2" s="1"/>
  <c r="D51" i="2" s="1"/>
  <c r="L19" i="57"/>
  <c r="E16" i="2" s="1"/>
  <c r="E42" i="2" s="1"/>
  <c r="I15" i="56"/>
  <c r="I16" i="56" s="1"/>
  <c r="I14" i="57"/>
  <c r="I15" i="57" s="1"/>
  <c r="K11" i="56"/>
  <c r="L11" i="56" s="1"/>
  <c r="D8" i="2" s="1"/>
  <c r="D34" i="2" s="1"/>
  <c r="J22" i="57"/>
  <c r="K22" i="57"/>
  <c r="K19" i="56"/>
  <c r="J19" i="56"/>
  <c r="K13" i="56"/>
  <c r="J13" i="56"/>
  <c r="H15" i="57"/>
  <c r="J13" i="57"/>
  <c r="K13" i="57"/>
  <c r="K11" i="57"/>
  <c r="K12" i="56"/>
  <c r="J12" i="56"/>
  <c r="K12" i="57"/>
  <c r="J12" i="57"/>
  <c r="B5" i="51"/>
  <c r="J14" i="57" l="1"/>
  <c r="J15" i="57" s="1"/>
  <c r="J16" i="57" s="1"/>
  <c r="L19" i="56"/>
  <c r="D16" i="2" s="1"/>
  <c r="D42" i="2" s="1"/>
  <c r="L13" i="57"/>
  <c r="E10" i="2" s="1"/>
  <c r="E36" i="2" s="1"/>
  <c r="L12" i="57"/>
  <c r="E9" i="2" s="1"/>
  <c r="E35" i="2" s="1"/>
  <c r="J14" i="56"/>
  <c r="J15" i="56" s="1"/>
  <c r="K14" i="57"/>
  <c r="K15" i="57" s="1"/>
  <c r="L11" i="57"/>
  <c r="E8" i="2" s="1"/>
  <c r="E34" i="2" s="1"/>
  <c r="H16" i="57"/>
  <c r="L12" i="56"/>
  <c r="D9" i="2" s="1"/>
  <c r="D35" i="2" s="1"/>
  <c r="L13" i="56"/>
  <c r="D10" i="2" s="1"/>
  <c r="L22" i="57"/>
  <c r="E19" i="2" s="1"/>
  <c r="E51" i="2" s="1"/>
  <c r="K14" i="56"/>
  <c r="K15" i="56" s="1"/>
  <c r="K16" i="56" s="1"/>
  <c r="I16" i="57"/>
  <c r="K40" i="57"/>
  <c r="K40" i="56"/>
  <c r="H8" i="50"/>
  <c r="L14" i="57" l="1"/>
  <c r="E11" i="2" s="1"/>
  <c r="E47" i="2"/>
  <c r="J16" i="56"/>
  <c r="L14" i="56"/>
  <c r="D11" i="2" s="1"/>
  <c r="D36" i="2"/>
  <c r="D47" i="2"/>
  <c r="K16" i="57"/>
  <c r="H7" i="50"/>
  <c r="L14" i="55"/>
  <c r="K14" i="55"/>
  <c r="J14" i="55"/>
  <c r="E14" i="55"/>
  <c r="D14" i="55"/>
  <c r="C14" i="55"/>
  <c r="M13" i="55"/>
  <c r="M12" i="55"/>
  <c r="M11" i="55"/>
  <c r="M10" i="55"/>
  <c r="M9" i="55"/>
  <c r="G22" i="51"/>
  <c r="B9" i="51"/>
  <c r="B27" i="51" s="1"/>
  <c r="B8" i="51"/>
  <c r="B26" i="51" s="1"/>
  <c r="D26" i="51" s="1"/>
  <c r="B7" i="51"/>
  <c r="H19" i="43"/>
  <c r="H13" i="43"/>
  <c r="K32" i="43"/>
  <c r="K34" i="43" s="1"/>
  <c r="J32" i="43"/>
  <c r="J34" i="43" s="1"/>
  <c r="I32" i="43"/>
  <c r="I34" i="43" s="1"/>
  <c r="H32" i="43"/>
  <c r="H34" i="43" s="1"/>
  <c r="C31" i="43"/>
  <c r="C32" i="43" s="1"/>
  <c r="L8" i="43"/>
  <c r="C5" i="2" s="1"/>
  <c r="H5" i="2" s="1"/>
  <c r="C6" i="43"/>
  <c r="C10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G5" i="36" s="1"/>
  <c r="E6" i="36"/>
  <c r="E5" i="36" s="1"/>
  <c r="K5" i="36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M6" i="36" l="1"/>
  <c r="E10" i="36"/>
  <c r="E17" i="36" s="1"/>
  <c r="E19" i="36" s="1"/>
  <c r="K10" i="36"/>
  <c r="J10" i="36"/>
  <c r="J17" i="36" s="1"/>
  <c r="J19" i="36" s="1"/>
  <c r="M15" i="36"/>
  <c r="H20" i="43"/>
  <c r="G10" i="36"/>
  <c r="C10" i="36"/>
  <c r="H12" i="43"/>
  <c r="H22" i="43"/>
  <c r="H11" i="43"/>
  <c r="H40" i="43"/>
  <c r="I33" i="59"/>
  <c r="I34" i="59" s="1"/>
  <c r="I40" i="59" s="1"/>
  <c r="I33" i="58"/>
  <c r="I34" i="58" s="1"/>
  <c r="I40" i="58" s="1"/>
  <c r="I10" i="59"/>
  <c r="I15" i="59" s="1"/>
  <c r="I16" i="59" s="1"/>
  <c r="I10" i="58"/>
  <c r="I15" i="58" s="1"/>
  <c r="I16" i="58" s="1"/>
  <c r="J33" i="58"/>
  <c r="J34" i="58" s="1"/>
  <c r="J40" i="58" s="1"/>
  <c r="J33" i="59"/>
  <c r="J34" i="59" s="1"/>
  <c r="J40" i="59" s="1"/>
  <c r="J10" i="59"/>
  <c r="J15" i="59" s="1"/>
  <c r="J16" i="59" s="1"/>
  <c r="J10" i="58"/>
  <c r="J15" i="58" s="1"/>
  <c r="J16" i="58" s="1"/>
  <c r="K33" i="58"/>
  <c r="K34" i="58" s="1"/>
  <c r="K40" i="58" s="1"/>
  <c r="K10" i="58"/>
  <c r="K15" i="58" s="1"/>
  <c r="K16" i="58" s="1"/>
  <c r="K33" i="59"/>
  <c r="K34" i="59" s="1"/>
  <c r="K40" i="59" s="1"/>
  <c r="K10" i="59"/>
  <c r="K15" i="59" s="1"/>
  <c r="K16" i="59" s="1"/>
  <c r="C56" i="2"/>
  <c r="D27" i="51"/>
  <c r="C7" i="43"/>
  <c r="C9" i="43" s="1"/>
  <c r="L9" i="43" s="1"/>
  <c r="C34" i="43"/>
  <c r="C40" i="43" s="1"/>
  <c r="C34" i="57"/>
  <c r="C40" i="57" s="1"/>
  <c r="C34" i="59"/>
  <c r="C40" i="59" s="1"/>
  <c r="C34" i="58"/>
  <c r="C40" i="58" s="1"/>
  <c r="C34" i="56"/>
  <c r="C40" i="56" s="1"/>
  <c r="L18" i="56"/>
  <c r="L18" i="57"/>
  <c r="H5" i="36"/>
  <c r="B10" i="51"/>
  <c r="C57" i="2"/>
  <c r="C55" i="2" s="1"/>
  <c r="J26" i="51"/>
  <c r="M14" i="55"/>
  <c r="C17" i="36"/>
  <c r="C19" i="36" s="1"/>
  <c r="G17" i="36"/>
  <c r="G19" i="36" s="1"/>
  <c r="M7" i="36"/>
  <c r="M12" i="36"/>
  <c r="H10" i="36"/>
  <c r="D10" i="36"/>
  <c r="D17" i="36" s="1"/>
  <c r="C18" i="36"/>
  <c r="E26" i="51"/>
  <c r="L18" i="43"/>
  <c r="M5" i="36"/>
  <c r="M11" i="36"/>
  <c r="F10" i="36"/>
  <c r="I10" i="36"/>
  <c r="I17" i="36" s="1"/>
  <c r="I19" i="36" s="1"/>
  <c r="L10" i="36"/>
  <c r="L6" i="43"/>
  <c r="C3" i="2" s="1"/>
  <c r="H3" i="2" s="1"/>
  <c r="M13" i="36"/>
  <c r="K17" i="36"/>
  <c r="K19" i="36" s="1"/>
  <c r="M14" i="36"/>
  <c r="C11" i="43"/>
  <c r="C12" i="43"/>
  <c r="C13" i="43"/>
  <c r="C19" i="43"/>
  <c r="C20" i="43"/>
  <c r="C22" i="43"/>
  <c r="E18" i="56" l="1"/>
  <c r="E17" i="56" s="1"/>
  <c r="H18" i="56"/>
  <c r="H17" i="56" s="1"/>
  <c r="K18" i="56"/>
  <c r="K17" i="56" s="1"/>
  <c r="F18" i="56"/>
  <c r="F17" i="56" s="1"/>
  <c r="I18" i="56"/>
  <c r="I17" i="56" s="1"/>
  <c r="J18" i="56"/>
  <c r="J17" i="56" s="1"/>
  <c r="D18" i="56"/>
  <c r="D17" i="56" s="1"/>
  <c r="G18" i="56"/>
  <c r="G17" i="56" s="1"/>
  <c r="L7" i="43"/>
  <c r="C4" i="2" s="1"/>
  <c r="H4" i="2" s="1"/>
  <c r="D18" i="43"/>
  <c r="D17" i="43" s="1"/>
  <c r="G18" i="43"/>
  <c r="G17" i="43" s="1"/>
  <c r="J18" i="43"/>
  <c r="E18" i="43"/>
  <c r="E17" i="43" s="1"/>
  <c r="H18" i="43"/>
  <c r="H17" i="43" s="1"/>
  <c r="K18" i="43"/>
  <c r="F18" i="43"/>
  <c r="F17" i="43" s="1"/>
  <c r="I18" i="43"/>
  <c r="F18" i="57"/>
  <c r="F17" i="57" s="1"/>
  <c r="I18" i="57"/>
  <c r="I17" i="57" s="1"/>
  <c r="D18" i="57"/>
  <c r="D17" i="57" s="1"/>
  <c r="G18" i="57"/>
  <c r="G17" i="57" s="1"/>
  <c r="J18" i="57"/>
  <c r="J17" i="57" s="1"/>
  <c r="H18" i="57"/>
  <c r="H17" i="57" s="1"/>
  <c r="K18" i="57"/>
  <c r="K17" i="57" s="1"/>
  <c r="E18" i="57"/>
  <c r="E17" i="57" s="1"/>
  <c r="D19" i="36"/>
  <c r="E22" i="36"/>
  <c r="D18" i="36"/>
  <c r="E18" i="36" s="1"/>
  <c r="M10" i="36"/>
  <c r="I20" i="43"/>
  <c r="I17" i="43"/>
  <c r="E23" i="36"/>
  <c r="H17" i="36"/>
  <c r="H19" i="36" s="1"/>
  <c r="I11" i="43"/>
  <c r="I40" i="43"/>
  <c r="I13" i="43"/>
  <c r="I22" i="43"/>
  <c r="I19" i="43"/>
  <c r="H14" i="43"/>
  <c r="H15" i="43" s="1"/>
  <c r="I12" i="43"/>
  <c r="L21" i="57"/>
  <c r="L21" i="56"/>
  <c r="L10" i="57"/>
  <c r="E7" i="2" s="1"/>
  <c r="E30" i="2" s="1"/>
  <c r="E31" i="2" s="1"/>
  <c r="E32" i="2" s="1"/>
  <c r="C15" i="57"/>
  <c r="L10" i="56"/>
  <c r="D7" i="2" s="1"/>
  <c r="C15" i="56"/>
  <c r="L10" i="58"/>
  <c r="F7" i="2" s="1"/>
  <c r="F30" i="2" s="1"/>
  <c r="F31" i="2" s="1"/>
  <c r="F32" i="2" s="1"/>
  <c r="C15" i="58"/>
  <c r="L10" i="59"/>
  <c r="G7" i="2" s="1"/>
  <c r="G30" i="2" s="1"/>
  <c r="G31" i="2" s="1"/>
  <c r="G32" i="2" s="1"/>
  <c r="C15" i="59"/>
  <c r="D60" i="2"/>
  <c r="C18" i="56"/>
  <c r="C17" i="56" s="1"/>
  <c r="E60" i="2"/>
  <c r="C18" i="57"/>
  <c r="C17" i="57" s="1"/>
  <c r="F60" i="2"/>
  <c r="H18" i="58"/>
  <c r="H17" i="58" s="1"/>
  <c r="I18" i="58"/>
  <c r="I17" i="58" s="1"/>
  <c r="J18" i="58"/>
  <c r="J17" i="58" s="1"/>
  <c r="K18" i="58"/>
  <c r="K17" i="58" s="1"/>
  <c r="C18" i="58"/>
  <c r="C17" i="58" s="1"/>
  <c r="L10" i="43"/>
  <c r="C7" i="2" s="1"/>
  <c r="C30" i="2" s="1"/>
  <c r="L21" i="43"/>
  <c r="E27" i="51"/>
  <c r="F27" i="51" s="1"/>
  <c r="H27" i="51" s="1"/>
  <c r="L21" i="59" s="1"/>
  <c r="D28" i="51"/>
  <c r="F26" i="51"/>
  <c r="M17" i="36"/>
  <c r="C14" i="43"/>
  <c r="L6" i="36"/>
  <c r="L5" i="36" s="1"/>
  <c r="L17" i="36" s="1"/>
  <c r="L19" i="36" s="1"/>
  <c r="F6" i="36"/>
  <c r="F5" i="36" s="1"/>
  <c r="F17" i="36" s="1"/>
  <c r="F19" i="36" s="1"/>
  <c r="C6" i="2"/>
  <c r="H6" i="2" s="1"/>
  <c r="C18" i="43"/>
  <c r="C17" i="43" s="1"/>
  <c r="C60" i="2"/>
  <c r="I22" i="36"/>
  <c r="M19" i="36"/>
  <c r="C20" i="36"/>
  <c r="I23" i="36"/>
  <c r="D20" i="36" l="1"/>
  <c r="E20" i="36" s="1"/>
  <c r="D21" i="56"/>
  <c r="G21" i="56"/>
  <c r="J21" i="56"/>
  <c r="E21" i="56"/>
  <c r="H21" i="56"/>
  <c r="K21" i="56"/>
  <c r="F21" i="56"/>
  <c r="I21" i="56"/>
  <c r="D23" i="43"/>
  <c r="D24" i="43" s="1"/>
  <c r="D25" i="43" s="1"/>
  <c r="D26" i="43" s="1"/>
  <c r="D27" i="43" s="1"/>
  <c r="E21" i="43"/>
  <c r="H21" i="43"/>
  <c r="K21" i="43"/>
  <c r="K46" i="43" s="1"/>
  <c r="F21" i="43"/>
  <c r="F46" i="43" s="1"/>
  <c r="F48" i="43" s="1"/>
  <c r="I21" i="43"/>
  <c r="I46" i="43" s="1"/>
  <c r="J21" i="43"/>
  <c r="J46" i="43" s="1"/>
  <c r="D21" i="43"/>
  <c r="D46" i="43" s="1"/>
  <c r="D48" i="43" s="1"/>
  <c r="G21" i="43"/>
  <c r="G46" i="43" s="1"/>
  <c r="G48" i="43" s="1"/>
  <c r="D21" i="57"/>
  <c r="G21" i="57"/>
  <c r="J21" i="57"/>
  <c r="E21" i="57"/>
  <c r="H21" i="57"/>
  <c r="K21" i="57"/>
  <c r="F21" i="57"/>
  <c r="I21" i="57"/>
  <c r="I48" i="43"/>
  <c r="K20" i="43"/>
  <c r="J20" i="43"/>
  <c r="K17" i="43"/>
  <c r="J17" i="43"/>
  <c r="L17" i="43" s="1"/>
  <c r="C14" i="2" s="1"/>
  <c r="I23" i="43"/>
  <c r="K19" i="43"/>
  <c r="J19" i="43"/>
  <c r="L19" i="43" s="1"/>
  <c r="C16" i="2" s="1"/>
  <c r="H16" i="2" s="1"/>
  <c r="H42" i="2" s="1"/>
  <c r="K13" i="43"/>
  <c r="L13" i="43" s="1"/>
  <c r="C10" i="2" s="1"/>
  <c r="J13" i="43"/>
  <c r="K12" i="43"/>
  <c r="J12" i="43"/>
  <c r="H16" i="43"/>
  <c r="K22" i="43"/>
  <c r="J22" i="43"/>
  <c r="I14" i="43"/>
  <c r="I15" i="43" s="1"/>
  <c r="J11" i="43"/>
  <c r="J40" i="43"/>
  <c r="D30" i="2"/>
  <c r="D31" i="2" s="1"/>
  <c r="D32" i="2" s="1"/>
  <c r="H7" i="2"/>
  <c r="H30" i="2" s="1"/>
  <c r="D18" i="2"/>
  <c r="D50" i="2" s="1"/>
  <c r="C21" i="56"/>
  <c r="C46" i="56" s="1"/>
  <c r="C48" i="56" s="1"/>
  <c r="E18" i="2"/>
  <c r="E50" i="2" s="1"/>
  <c r="C21" i="57"/>
  <c r="C46" i="57" s="1"/>
  <c r="C48" i="57" s="1"/>
  <c r="F18" i="2"/>
  <c r="F50" i="2" s="1"/>
  <c r="H21" i="58"/>
  <c r="H46" i="58" s="1"/>
  <c r="H48" i="58" s="1"/>
  <c r="J21" i="58"/>
  <c r="J46" i="58" s="1"/>
  <c r="J48" i="58" s="1"/>
  <c r="K21" i="58"/>
  <c r="K46" i="58" s="1"/>
  <c r="K48" i="58" s="1"/>
  <c r="I21" i="58"/>
  <c r="I46" i="58" s="1"/>
  <c r="I48" i="58" s="1"/>
  <c r="C21" i="58"/>
  <c r="C46" i="58" s="1"/>
  <c r="C48" i="58" s="1"/>
  <c r="G18" i="2"/>
  <c r="G50" i="2" s="1"/>
  <c r="H21" i="59"/>
  <c r="H46" i="59" s="1"/>
  <c r="H48" i="59" s="1"/>
  <c r="I21" i="59"/>
  <c r="I46" i="59" s="1"/>
  <c r="I48" i="59" s="1"/>
  <c r="C21" i="59"/>
  <c r="C46" i="59" s="1"/>
  <c r="C48" i="59" s="1"/>
  <c r="J21" i="59"/>
  <c r="J46" i="59" s="1"/>
  <c r="J48" i="59" s="1"/>
  <c r="K21" i="59"/>
  <c r="K46" i="59" s="1"/>
  <c r="K48" i="59" s="1"/>
  <c r="C16" i="58"/>
  <c r="L15" i="58"/>
  <c r="C16" i="59"/>
  <c r="L15" i="59"/>
  <c r="L15" i="57"/>
  <c r="C16" i="57"/>
  <c r="C16" i="56"/>
  <c r="L15" i="56"/>
  <c r="L17" i="58"/>
  <c r="L17" i="57"/>
  <c r="L17" i="56"/>
  <c r="F20" i="36"/>
  <c r="G20" i="36" s="1"/>
  <c r="H20" i="36" s="1"/>
  <c r="I24" i="36" s="1"/>
  <c r="C15" i="43"/>
  <c r="C16" i="43" s="1"/>
  <c r="F18" i="36"/>
  <c r="G18" i="36" s="1"/>
  <c r="H18" i="36" s="1"/>
  <c r="E28" i="51"/>
  <c r="I27" i="51"/>
  <c r="C29" i="2"/>
  <c r="C31" i="2" s="1"/>
  <c r="C32" i="2" s="1"/>
  <c r="F28" i="51"/>
  <c r="C21" i="43"/>
  <c r="C18" i="2"/>
  <c r="E46" i="57" l="1"/>
  <c r="E48" i="57" s="1"/>
  <c r="E23" i="57"/>
  <c r="E24" i="57" s="1"/>
  <c r="E25" i="57" s="1"/>
  <c r="E26" i="57" s="1"/>
  <c r="E27" i="57" s="1"/>
  <c r="F46" i="56"/>
  <c r="F48" i="56" s="1"/>
  <c r="F23" i="56"/>
  <c r="F24" i="56" s="1"/>
  <c r="F25" i="56" s="1"/>
  <c r="F26" i="56" s="1"/>
  <c r="F27" i="56" s="1"/>
  <c r="E46" i="56"/>
  <c r="E48" i="56" s="1"/>
  <c r="E23" i="56"/>
  <c r="E24" i="56" s="1"/>
  <c r="E25" i="56" s="1"/>
  <c r="E26" i="56" s="1"/>
  <c r="E27" i="56" s="1"/>
  <c r="D46" i="56"/>
  <c r="D48" i="56" s="1"/>
  <c r="D23" i="56"/>
  <c r="D24" i="56" s="1"/>
  <c r="D25" i="56" s="1"/>
  <c r="D26" i="56" s="1"/>
  <c r="D27" i="56" s="1"/>
  <c r="J48" i="43"/>
  <c r="K46" i="57"/>
  <c r="K48" i="57" s="1"/>
  <c r="K23" i="57"/>
  <c r="K24" i="57" s="1"/>
  <c r="K25" i="57" s="1"/>
  <c r="K26" i="57" s="1"/>
  <c r="K27" i="57" s="1"/>
  <c r="J46" i="57"/>
  <c r="J48" i="57" s="1"/>
  <c r="J23" i="57"/>
  <c r="J24" i="57" s="1"/>
  <c r="J25" i="57" s="1"/>
  <c r="J26" i="57" s="1"/>
  <c r="J27" i="57" s="1"/>
  <c r="H46" i="43"/>
  <c r="H48" i="43" s="1"/>
  <c r="H23" i="43"/>
  <c r="H24" i="43" s="1"/>
  <c r="H25" i="43" s="1"/>
  <c r="H26" i="43" s="1"/>
  <c r="F23" i="43"/>
  <c r="F24" i="43" s="1"/>
  <c r="F25" i="43" s="1"/>
  <c r="F26" i="43" s="1"/>
  <c r="F27" i="43" s="1"/>
  <c r="K46" i="56"/>
  <c r="K48" i="56" s="1"/>
  <c r="K23" i="56"/>
  <c r="K24" i="56" s="1"/>
  <c r="K25" i="56" s="1"/>
  <c r="K26" i="56" s="1"/>
  <c r="K27" i="56" s="1"/>
  <c r="J46" i="56"/>
  <c r="J48" i="56" s="1"/>
  <c r="J23" i="56"/>
  <c r="J24" i="56" s="1"/>
  <c r="J25" i="56" s="1"/>
  <c r="J26" i="56" s="1"/>
  <c r="J27" i="56" s="1"/>
  <c r="F46" i="57"/>
  <c r="F48" i="57" s="1"/>
  <c r="F23" i="57"/>
  <c r="F24" i="57" s="1"/>
  <c r="F25" i="57" s="1"/>
  <c r="F26" i="57" s="1"/>
  <c r="F27" i="57" s="1"/>
  <c r="D46" i="57"/>
  <c r="D48" i="57" s="1"/>
  <c r="D23" i="57"/>
  <c r="D24" i="57" s="1"/>
  <c r="D25" i="57" s="1"/>
  <c r="D26" i="57" s="1"/>
  <c r="D27" i="57" s="1"/>
  <c r="L20" i="43"/>
  <c r="C17" i="2" s="1"/>
  <c r="H17" i="2" s="1"/>
  <c r="H43" i="2" s="1"/>
  <c r="I46" i="57"/>
  <c r="I48" i="57" s="1"/>
  <c r="I23" i="57"/>
  <c r="I24" i="57" s="1"/>
  <c r="I25" i="57" s="1"/>
  <c r="I26" i="57" s="1"/>
  <c r="I27" i="57" s="1"/>
  <c r="H46" i="57"/>
  <c r="H48" i="57" s="1"/>
  <c r="H23" i="57"/>
  <c r="H24" i="57" s="1"/>
  <c r="H25" i="57" s="1"/>
  <c r="H26" i="57" s="1"/>
  <c r="H27" i="57" s="1"/>
  <c r="G46" i="57"/>
  <c r="G48" i="57" s="1"/>
  <c r="G23" i="57"/>
  <c r="G24" i="57" s="1"/>
  <c r="G25" i="57" s="1"/>
  <c r="G26" i="57" s="1"/>
  <c r="G27" i="57" s="1"/>
  <c r="E46" i="43"/>
  <c r="E48" i="43" s="1"/>
  <c r="E23" i="43"/>
  <c r="E24" i="43" s="1"/>
  <c r="E25" i="43" s="1"/>
  <c r="E26" i="43" s="1"/>
  <c r="E27" i="43" s="1"/>
  <c r="I46" i="56"/>
  <c r="I48" i="56" s="1"/>
  <c r="I23" i="56"/>
  <c r="I24" i="56" s="1"/>
  <c r="I25" i="56" s="1"/>
  <c r="I26" i="56" s="1"/>
  <c r="I27" i="56" s="1"/>
  <c r="H46" i="56"/>
  <c r="H48" i="56" s="1"/>
  <c r="H23" i="56"/>
  <c r="H24" i="56" s="1"/>
  <c r="H25" i="56" s="1"/>
  <c r="H26" i="56" s="1"/>
  <c r="H27" i="56" s="1"/>
  <c r="G46" i="56"/>
  <c r="G48" i="56" s="1"/>
  <c r="G23" i="56"/>
  <c r="G24" i="56" s="1"/>
  <c r="G25" i="56" s="1"/>
  <c r="G26" i="56" s="1"/>
  <c r="G27" i="56" s="1"/>
  <c r="G23" i="43"/>
  <c r="G24" i="43" s="1"/>
  <c r="G25" i="43" s="1"/>
  <c r="G26" i="43" s="1"/>
  <c r="G27" i="43" s="1"/>
  <c r="K23" i="43"/>
  <c r="C49" i="2"/>
  <c r="C42" i="2"/>
  <c r="C43" i="2"/>
  <c r="L12" i="43"/>
  <c r="C9" i="2" s="1"/>
  <c r="C35" i="2" s="1"/>
  <c r="K11" i="43"/>
  <c r="K40" i="43"/>
  <c r="K48" i="43" s="1"/>
  <c r="I24" i="43"/>
  <c r="I16" i="43"/>
  <c r="J23" i="43"/>
  <c r="L22" i="43"/>
  <c r="C19" i="2" s="1"/>
  <c r="H19" i="2" s="1"/>
  <c r="H51" i="2" s="1"/>
  <c r="J14" i="43"/>
  <c r="J15" i="43" s="1"/>
  <c r="C23" i="56"/>
  <c r="C24" i="56" s="1"/>
  <c r="C25" i="56" s="1"/>
  <c r="C26" i="56" s="1"/>
  <c r="C27" i="56" s="1"/>
  <c r="C23" i="58"/>
  <c r="C24" i="58" s="1"/>
  <c r="C25" i="58" s="1"/>
  <c r="C26" i="58" s="1"/>
  <c r="C27" i="58" s="1"/>
  <c r="I23" i="58"/>
  <c r="I24" i="58" s="1"/>
  <c r="I25" i="58" s="1"/>
  <c r="I26" i="58" s="1"/>
  <c r="I27" i="58" s="1"/>
  <c r="H18" i="2"/>
  <c r="H50" i="2" s="1"/>
  <c r="H10" i="2"/>
  <c r="H36" i="2" s="1"/>
  <c r="C23" i="57"/>
  <c r="C24" i="57" s="1"/>
  <c r="C25" i="57" s="1"/>
  <c r="C26" i="57" s="1"/>
  <c r="C27" i="57" s="1"/>
  <c r="J23" i="58"/>
  <c r="J24" i="58" s="1"/>
  <c r="J25" i="58" s="1"/>
  <c r="J26" i="58" s="1"/>
  <c r="J27" i="58" s="1"/>
  <c r="K23" i="58"/>
  <c r="K24" i="58" s="1"/>
  <c r="K25" i="58" s="1"/>
  <c r="K26" i="58" s="1"/>
  <c r="K27" i="58" s="1"/>
  <c r="H23" i="58"/>
  <c r="H24" i="58" s="1"/>
  <c r="H25" i="58" s="1"/>
  <c r="H26" i="58" s="1"/>
  <c r="H27" i="58" s="1"/>
  <c r="D12" i="2"/>
  <c r="D38" i="2" s="1"/>
  <c r="L16" i="56"/>
  <c r="D13" i="2" s="1"/>
  <c r="E12" i="2"/>
  <c r="E38" i="2" s="1"/>
  <c r="L16" i="57"/>
  <c r="E13" i="2" s="1"/>
  <c r="F12" i="2"/>
  <c r="F38" i="2" s="1"/>
  <c r="L16" i="58"/>
  <c r="F13" i="2" s="1"/>
  <c r="G12" i="2"/>
  <c r="G38" i="2" s="1"/>
  <c r="L16" i="59"/>
  <c r="G13" i="2" s="1"/>
  <c r="L23" i="56"/>
  <c r="D14" i="2"/>
  <c r="F14" i="2"/>
  <c r="L23" i="58"/>
  <c r="E14" i="2"/>
  <c r="L23" i="57"/>
  <c r="C47" i="2"/>
  <c r="C36" i="2"/>
  <c r="I20" i="36"/>
  <c r="J20" i="36" s="1"/>
  <c r="K20" i="36" s="1"/>
  <c r="L20" i="36" s="1"/>
  <c r="C41" i="2"/>
  <c r="C46" i="43"/>
  <c r="C48" i="43" s="1"/>
  <c r="C23" i="43"/>
  <c r="C24" i="43" s="1"/>
  <c r="C50" i="2"/>
  <c r="H26" i="51"/>
  <c r="L18" i="59" s="1"/>
  <c r="G28" i="51"/>
  <c r="H29" i="2"/>
  <c r="H31" i="2" s="1"/>
  <c r="H32" i="2" s="1"/>
  <c r="H49" i="2"/>
  <c r="E24" i="36"/>
  <c r="I18" i="36"/>
  <c r="J18" i="36" s="1"/>
  <c r="K18" i="36" s="1"/>
  <c r="L18" i="36" s="1"/>
  <c r="J18" i="59" l="1"/>
  <c r="J17" i="59" s="1"/>
  <c r="J23" i="59" s="1"/>
  <c r="J24" i="59" s="1"/>
  <c r="J25" i="59" s="1"/>
  <c r="J26" i="59" s="1"/>
  <c r="J27" i="59" s="1"/>
  <c r="C18" i="59"/>
  <c r="C17" i="59" s="1"/>
  <c r="G60" i="2"/>
  <c r="K18" i="59"/>
  <c r="K17" i="59" s="1"/>
  <c r="K23" i="59" s="1"/>
  <c r="K24" i="59" s="1"/>
  <c r="K25" i="59" s="1"/>
  <c r="K26" i="59" s="1"/>
  <c r="K27" i="59" s="1"/>
  <c r="H18" i="59"/>
  <c r="H17" i="59" s="1"/>
  <c r="H23" i="59" s="1"/>
  <c r="H24" i="59" s="1"/>
  <c r="H25" i="59" s="1"/>
  <c r="H26" i="59" s="1"/>
  <c r="H27" i="59" s="1"/>
  <c r="I18" i="59"/>
  <c r="I17" i="59" s="1"/>
  <c r="I23" i="59" s="1"/>
  <c r="I24" i="59" s="1"/>
  <c r="I25" i="59" s="1"/>
  <c r="I26" i="59" s="1"/>
  <c r="I27" i="59" s="1"/>
  <c r="C51" i="2"/>
  <c r="C20" i="2"/>
  <c r="L23" i="43"/>
  <c r="H9" i="2"/>
  <c r="H35" i="2" s="1"/>
  <c r="H14" i="2"/>
  <c r="H41" i="2" s="1"/>
  <c r="I25" i="43"/>
  <c r="I26" i="43" s="1"/>
  <c r="I27" i="43" s="1"/>
  <c r="J24" i="43"/>
  <c r="J16" i="43"/>
  <c r="K14" i="43"/>
  <c r="L11" i="43"/>
  <c r="C8" i="2" s="1"/>
  <c r="L26" i="58"/>
  <c r="L27" i="58" s="1"/>
  <c r="F24" i="2" s="1"/>
  <c r="L26" i="56"/>
  <c r="L27" i="56" s="1"/>
  <c r="H47" i="2"/>
  <c r="L26" i="57"/>
  <c r="L27" i="57" s="1"/>
  <c r="F41" i="2"/>
  <c r="F48" i="2"/>
  <c r="D48" i="2"/>
  <c r="D41" i="2"/>
  <c r="E20" i="2"/>
  <c r="E39" i="2" s="1"/>
  <c r="L24" i="57"/>
  <c r="D20" i="2"/>
  <c r="L24" i="56"/>
  <c r="E41" i="2"/>
  <c r="E48" i="2"/>
  <c r="F20" i="2"/>
  <c r="F39" i="2" s="1"/>
  <c r="L24" i="58"/>
  <c r="C25" i="43"/>
  <c r="C26" i="43" s="1"/>
  <c r="H28" i="51"/>
  <c r="I26" i="51"/>
  <c r="H60" i="2" s="1"/>
  <c r="H27" i="43"/>
  <c r="L17" i="59" l="1"/>
  <c r="C23" i="59"/>
  <c r="C24" i="59" s="1"/>
  <c r="C25" i="59" s="1"/>
  <c r="C26" i="59" s="1"/>
  <c r="J25" i="43"/>
  <c r="J26" i="43" s="1"/>
  <c r="J27" i="43" s="1"/>
  <c r="D39" i="2"/>
  <c r="H20" i="2"/>
  <c r="H8" i="2"/>
  <c r="H34" i="2" s="1"/>
  <c r="C48" i="2"/>
  <c r="C34" i="2"/>
  <c r="K15" i="43"/>
  <c r="L14" i="43"/>
  <c r="C11" i="2" s="1"/>
  <c r="H11" i="2" s="1"/>
  <c r="H12" i="2" s="1"/>
  <c r="H13" i="2" s="1"/>
  <c r="F23" i="2"/>
  <c r="F52" i="2" s="1"/>
  <c r="L25" i="58"/>
  <c r="F22" i="2" s="1"/>
  <c r="F21" i="2"/>
  <c r="F53" i="2" s="1"/>
  <c r="L25" i="56"/>
  <c r="D22" i="2" s="1"/>
  <c r="D21" i="2"/>
  <c r="L25" i="57"/>
  <c r="E22" i="2" s="1"/>
  <c r="E21" i="2"/>
  <c r="C27" i="43"/>
  <c r="C27" i="59" l="1"/>
  <c r="L26" i="59"/>
  <c r="L23" i="59"/>
  <c r="G14" i="2"/>
  <c r="M25" i="57"/>
  <c r="E53" i="2"/>
  <c r="E23" i="2"/>
  <c r="E52" i="2" s="1"/>
  <c r="N25" i="56"/>
  <c r="D53" i="2"/>
  <c r="D23" i="2"/>
  <c r="D59" i="2" s="1"/>
  <c r="D58" i="2" s="1"/>
  <c r="H21" i="2"/>
  <c r="H53" i="2" s="1"/>
  <c r="H48" i="2"/>
  <c r="H38" i="2"/>
  <c r="K24" i="43"/>
  <c r="K16" i="43"/>
  <c r="L15" i="43"/>
  <c r="F59" i="2"/>
  <c r="F58" i="2" s="1"/>
  <c r="H39" i="2"/>
  <c r="L24" i="59" l="1"/>
  <c r="G20" i="2"/>
  <c r="G39" i="2" s="1"/>
  <c r="L27" i="59"/>
  <c r="G24" i="2" s="1"/>
  <c r="G23" i="2"/>
  <c r="G41" i="2"/>
  <c r="G48" i="2"/>
  <c r="E24" i="2"/>
  <c r="E59" i="2"/>
  <c r="E58" i="2" s="1"/>
  <c r="D24" i="2"/>
  <c r="D52" i="2"/>
  <c r="H22" i="2"/>
  <c r="H23" i="2" s="1"/>
  <c r="H52" i="2" s="1"/>
  <c r="L16" i="43"/>
  <c r="C12" i="2"/>
  <c r="L24" i="43"/>
  <c r="L25" i="43" s="1"/>
  <c r="K25" i="43"/>
  <c r="K26" i="43" s="1"/>
  <c r="G59" i="2" l="1"/>
  <c r="G58" i="2" s="1"/>
  <c r="G52" i="2"/>
  <c r="L25" i="59"/>
  <c r="G22" i="2" s="1"/>
  <c r="G21" i="2"/>
  <c r="G53" i="2" s="1"/>
  <c r="H59" i="2"/>
  <c r="H58" i="2" s="1"/>
  <c r="H24" i="2"/>
  <c r="K27" i="43"/>
  <c r="L26" i="43"/>
  <c r="L27" i="43" s="1"/>
  <c r="C38" i="2"/>
  <c r="C39" i="2" s="1"/>
  <c r="C21" i="2"/>
  <c r="C13" i="2"/>
  <c r="C22" i="2" l="1"/>
  <c r="C23" i="2" s="1"/>
  <c r="C53" i="2"/>
  <c r="C59" i="2" l="1"/>
  <c r="C58" i="2" s="1"/>
  <c r="C52" i="2"/>
  <c r="C24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<sst xmlns="http://schemas.openxmlformats.org/spreadsheetml/2006/main" count="1453" uniqueCount="299">
  <si>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</si>
  <si>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</si>
  <si>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</si>
  <si>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</si>
  <si>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</si>
  <si>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</si>
  <si>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</si>
  <si>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</si>
  <si>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</si>
  <si>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</si>
  <si>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</si>
  <si>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</si>
  <si>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</si>
  <si>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</si>
  <si>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</si>
  <si>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</si>
  <si>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</si>
  <si>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</si>
  <si>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</si>
  <si>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</si>
  <si>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</si>
  <si>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</si>
  <si>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</si>
  <si>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</si>
  <si>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</si>
  <si>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</si>
  <si>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</si>
  <si>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</si>
  <si>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</si>
  <si>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</si>
  <si>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</si>
  <si>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</si>
  <si>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</si>
  <si>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</si>
  <si>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</si>
  <si>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</si>
  <si>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</si>
  <si>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</si>
  <si>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</si>
  <si>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</si>
  <si>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</si>
  <si>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</si>
  <si>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</si>
  <si>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</si>
  <si>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</si>
  <si>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</si>
  <si>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</si>
  <si>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</si>
  <si>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</si>
  <si>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</si>
  <si>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</si>
  <si>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</si>
  <si>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</si>
  <si>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</si>
  <si>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</si>
  <si>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</si>
  <si>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</si>
  <si>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</si>
  <si>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</si>
  <si>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</si>
  <si>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</si>
  <si>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</si>
  <si>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</si>
  <si>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</si>
  <si>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</si>
  <si>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</si>
  <si>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</si>
  <si>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</si>
  <si>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</si>
  <si>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</si>
  <si>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</si>
  <si>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</si>
  <si>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</si>
  <si>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</si>
  <si>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</si>
  <si>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</si>
  <si>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</si>
  <si>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</si>
  <si>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</si>
  <si>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</si>
  <si>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</si>
  <si>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</si>
  <si>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</si>
  <si>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</si>
  <si>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</si>
  <si>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</si>
  <si>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</si>
  <si>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</si>
  <si>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</si>
  <si>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</si>
  <si>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</si>
  <si>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</si>
  <si>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</si>
  <si>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</si>
  <si>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</si>
  <si>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</si>
  <si>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</si>
  <si>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</si>
  <si>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</si>
  <si>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</si>
  <si>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</si>
  <si>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</si>
  <si>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</si>
  <si>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</si>
  <si>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</si>
  <si>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</si>
  <si>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</si>
  <si>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</si>
  <si>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</si>
  <si>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</si>
  <si>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</si>
  <si>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</si>
  <si>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</si>
  <si>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</si>
  <si>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</si>
  <si>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</si>
  <si>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</si>
  <si>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</si>
  <si>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</si>
  <si>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</si>
  <si>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</si>
  <si>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</si>
  <si>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</si>
  <si>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</si>
  <si>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</si>
  <si>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</si>
  <si>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</si>
  <si>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</si>
  <si>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</si>
  <si>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</si>
  <si>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</si>
  <si>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</si>
  <si>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</si>
  <si>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</si>
  <si>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</si>
  <si>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</si>
  <si>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</si>
  <si>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</si>
  <si>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</si>
  <si>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</si>
  <si>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</si>
  <si>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</si>
  <si>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</si>
  <si>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</si>
  <si>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</si>
  <si>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</si>
  <si>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</si>
  <si>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</si>
  <si>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</si>
  <si>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</si>
  <si>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</si>
  <si>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</si>
  <si>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2021年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</si>
  <si>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</si>
  <si>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</si>
  <si>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</si>
  <si>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</si>
  <si>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</si>
  <si>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</si>
  <si>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</si>
  <si>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</si>
  <si>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</si>
  <si>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</si>
  <si>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</si>
  <si>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</si>
  <si>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</si>
  <si>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</si>
  <si>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</si>
  <si>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</si>
  <si>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</si>
  <si>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</si>
  <si>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</si>
  <si>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</si>
  <si>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</si>
  <si>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</si>
  <si>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</si>
  <si>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</si>
  <si>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</si>
  <si>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</si>
  <si>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</si>
  <si>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</si>
  <si>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</si>
  <si>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</si>
  <si>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</si>
  <si>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</si>
  <si>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</si>
  <si>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</si>
  <si>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</si>
  <si>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</si>
  <si>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</si>
  <si>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</si>
  <si>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</si>
  <si>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</si>
  <si>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</si>
  <si>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</si>
  <si>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</si>
  <si>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</si>
  <si>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</si>
  <si>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</si>
  <si>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</si>
  <si>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</si>
  <si>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</si>
  <si>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</si>
  <si>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</si>
  <si>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</si>
  <si>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</si>
  <si>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</si>
  <si>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</si>
  <si>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</si>
  <si>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</si>
  <si>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</si>
  <si>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</si>
  <si>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</si>
  <si>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</si>
  <si>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</si>
  <si>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</si>
  <si>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</si>
  <si>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</si>
  <si>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</si>
  <si>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</si>
  <si>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</si>
  <si>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</si>
  <si>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</si>
  <si>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</si>
  <si>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</si>
  <si>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</si>
  <si>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</si>
  <si>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</si>
  <si>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</si>
  <si>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</si>
  <si>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</si>
  <si>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</si>
  <si>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</si>
  <si>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</si>
  <si>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</si>
  <si>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</si>
  <si>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</si>
  <si>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</si>
  <si>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</si>
  <si>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</si>
  <si>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</si>
  <si>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</si>
  <si>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</si>
  <si>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</si>
  <si>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</si>
  <si>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</si>
  <si>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</si>
  <si>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</si>
  <si>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</si>
  <si>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</si>
  <si>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</si>
  <si>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</si>
  <si>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</si>
  <si>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</si>
  <si>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</si>
  <si>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</si>
  <si>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</si>
  <si>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</si>
  <si>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</si>
  <si>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</si>
  <si>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</si>
  <si>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</si>
  <si>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</si>
  <si>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焊台</t>
    <phoneticPr fontId="39" type="noConversion"/>
  </si>
  <si>
    <t>包装膜</t>
    <phoneticPr fontId="39" type="noConversion"/>
  </si>
  <si>
    <t>采购</t>
    <phoneticPr fontId="39" type="noConversion"/>
  </si>
  <si>
    <t>济南卡车+济南商用车</t>
    <phoneticPr fontId="39" type="noConversion"/>
  </si>
  <si>
    <t>上线工装</t>
    <phoneticPr fontId="39" type="noConversion"/>
  </si>
  <si>
    <t xml:space="preserve">    年</t>
    <phoneticPr fontId="39" type="noConversion"/>
  </si>
  <si>
    <t>材料成本年降（可与售价年降率相同）</t>
    <phoneticPr fontId="39" type="noConversion"/>
  </si>
  <si>
    <t xml:space="preserve">X6000副驾驶员座椅项目研发费用预算表 </t>
    <phoneticPr fontId="39" type="noConversion"/>
  </si>
  <si>
    <t>西安黄骅</t>
    <phoneticPr fontId="39" type="noConversion"/>
  </si>
  <si>
    <t>陕汽</t>
    <phoneticPr fontId="39" type="noConversion"/>
  </si>
  <si>
    <t>C7驾驶员座椅（通风加热、安全带报警、右扶手、超纤+PVC）</t>
  </si>
  <si>
    <t>C7右空气悬挂座椅（左扶手、超纤+PVC）</t>
  </si>
  <si>
    <t>C7空气悬挂左座椅（安全带报警、右扶手、超纤+PVC）</t>
  </si>
  <si>
    <t>滑动式轻量化右座椅（集成安全带）(超纤+PVC、左扶手)</t>
  </si>
  <si>
    <t>滑动式轻量化右旋转座椅（集成安全带）(超纤+PVC、左扶手)</t>
  </si>
  <si>
    <t>C7右空气悬挂旋转座椅（左扶手、超纤+PVC）</t>
  </si>
  <si>
    <t>C7机械减震右座椅总成（气弹簧）(左扶手、PVC+超纤)</t>
  </si>
  <si>
    <t>C7双锁止空气悬挂左座椅总成(含报警功能安全带、右扶手、PVC+织物)</t>
  </si>
  <si>
    <t>C7H双锁止轻量化滑动式右座椅（含安全带报警、左扶手、PVC+织物）</t>
  </si>
  <si>
    <t>AZ16D251000020</t>
  </si>
  <si>
    <t>AZ16D251000021</t>
  </si>
  <si>
    <t>AZ16D251000022</t>
  </si>
  <si>
    <t>AZ16D251000008</t>
  </si>
  <si>
    <t>AZ16D251000009</t>
  </si>
  <si>
    <t>AZ16D251000010</t>
  </si>
  <si>
    <t>AZ16D251000023</t>
  </si>
  <si>
    <t>AZ16D251000012</t>
  </si>
  <si>
    <t>AZ16D251000013</t>
  </si>
  <si>
    <t>供应商年降：       年2 %</t>
    <phoneticPr fontId="39" type="noConversion"/>
  </si>
  <si>
    <t>成本</t>
    <phoneticPr fontId="39" type="noConversion"/>
  </si>
  <si>
    <t xml:space="preserve">2022年  </t>
    <phoneticPr fontId="39" type="noConversion"/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</si>
  <si>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</si>
  <si>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</si>
  <si>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</si>
  <si>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r>
      <t xml:space="preserve">汕德卡驾驶员座椅项目可行性分析                  </t>
    </r>
    <r>
      <rPr>
        <sz val="10"/>
        <color theme="1"/>
        <rFont val="微软雅黑"/>
        <family val="2"/>
        <charset val="134"/>
      </rPr>
      <t>单位：万元</t>
    </r>
    <phoneticPr fontId="39" type="noConversion"/>
  </si>
  <si>
    <t xml:space="preserve"> 本项目年初年度预算为60.15万元（费用性支出28.15万元，资本性投入22万元），现立项申请研发费用为182.7万元（费用性支出38万元，资本性投入144.7万元），增加了122.55万元。 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</si>
</sst>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4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 readingOrder="1"/>
    </xf>
    <xf numFmtId="0" fontId="40" fillId="3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17" fillId="0" borderId="7" xfId="1" applyFont="1" applyFill="1" applyBorder="1">
      <alignment vertical="center"/>
    </xf>
    <xf numFmtId="43" fontId="0" fillId="0" borderId="0" xfId="0" applyNumberForma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9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1" sqref="C11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6" customFormat="1" ht="35.25" customHeight="1">
      <c r="A2" s="147" t="s">
        <v>0</v>
      </c>
      <c r="B2" s="147" t="s">
        <v>1</v>
      </c>
      <c r="C2" s="147" t="s">
        <v>2</v>
      </c>
      <c r="D2" s="148"/>
    </row>
    <row r="3" spans="1:4" s="146" customFormat="1" ht="33.75" customHeight="1">
      <c r="A3" s="149">
        <v>1</v>
      </c>
      <c r="B3" s="149" t="s">
        <v>3</v>
      </c>
      <c r="C3" s="150" t="s">
        <v>4</v>
      </c>
      <c r="D3" s="148"/>
    </row>
    <row r="4" spans="1:4" s="146" customFormat="1" ht="33.75" customHeight="1">
      <c r="A4" s="149">
        <v>2</v>
      </c>
      <c r="B4" s="149" t="s">
        <v>5</v>
      </c>
      <c r="C4" s="150" t="s">
        <v>6</v>
      </c>
    </row>
    <row r="5" spans="1:4" s="146" customFormat="1" ht="33.75" customHeight="1">
      <c r="A5" s="149">
        <v>3</v>
      </c>
      <c r="B5" s="186" t="s">
        <v>7</v>
      </c>
      <c r="C5" s="151" t="s">
        <v>8</v>
      </c>
    </row>
    <row r="6" spans="1:4" s="146" customFormat="1" ht="33.75" customHeight="1">
      <c r="A6" s="149">
        <v>4</v>
      </c>
      <c r="B6" s="187"/>
      <c r="C6" s="150" t="s">
        <v>9</v>
      </c>
    </row>
    <row r="7" spans="1:4" s="146" customFormat="1" ht="33.75" customHeight="1">
      <c r="A7" s="149">
        <v>5</v>
      </c>
      <c r="B7" s="152" t="s">
        <v>10</v>
      </c>
      <c r="C7" s="150" t="s">
        <v>11</v>
      </c>
    </row>
    <row r="8" spans="1:4" s="146" customFormat="1" ht="33.75" customHeight="1">
      <c r="A8" s="149">
        <v>6</v>
      </c>
      <c r="B8" s="186" t="s">
        <v>12</v>
      </c>
      <c r="C8" s="150" t="s">
        <v>13</v>
      </c>
    </row>
    <row r="9" spans="1:4" s="146" customFormat="1" ht="33.75" customHeight="1">
      <c r="A9" s="149">
        <v>7</v>
      </c>
      <c r="B9" s="187"/>
      <c r="C9" s="150" t="s">
        <v>14</v>
      </c>
    </row>
    <row r="10" spans="1:4" s="146" customFormat="1" ht="33.75" customHeight="1">
      <c r="A10" s="149">
        <v>8</v>
      </c>
      <c r="B10" s="187"/>
      <c r="C10" s="151" t="s">
        <v>15</v>
      </c>
    </row>
    <row r="11" spans="1:4" s="146" customFormat="1" ht="33.75" customHeight="1">
      <c r="A11" s="149">
        <v>9</v>
      </c>
      <c r="B11" s="187"/>
      <c r="C11" s="150" t="s">
        <v>16</v>
      </c>
    </row>
    <row r="12" spans="1:4" s="146" customFormat="1" ht="33.75" customHeight="1">
      <c r="A12" s="149">
        <v>10</v>
      </c>
      <c r="B12" s="152" t="s">
        <v>17</v>
      </c>
      <c r="C12" s="150" t="s">
        <v>18</v>
      </c>
    </row>
    <row r="13" spans="1:4" ht="33.75" customHeight="1"/>
    <row r="14" spans="1:4" ht="33.75" customHeight="1"/>
    <row r="15" spans="1:4" ht="33.75" customHeight="1">
      <c r="C15" s="153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4" workbookViewId="0">
      <selection activeCell="M9" sqref="M9"/>
    </sheetView>
  </sheetViews>
  <sheetFormatPr defaultColWidth="9" defaultRowHeight="16.5"/>
  <cols>
    <col min="1" max="1" width="14" style="7" customWidth="1"/>
    <col min="2" max="2" width="14.125" style="7" customWidth="1"/>
    <col min="3" max="11" width="11.125" style="7" customWidth="1"/>
    <col min="12" max="12" width="12.125" style="7" customWidth="1"/>
    <col min="13" max="13" width="11.625" style="7" customWidth="1"/>
    <col min="14" max="14" width="9.25" style="7" customWidth="1"/>
    <col min="15" max="15" width="9.125" style="7" customWidth="1"/>
    <col min="16" max="16384" width="9" style="7"/>
  </cols>
  <sheetData>
    <row r="1" spans="1:16" ht="29.25" customHeight="1">
      <c r="A1" s="19" t="s">
        <v>202</v>
      </c>
      <c r="E1" s="20"/>
      <c r="F1" s="20"/>
      <c r="G1" s="20"/>
      <c r="H1" s="20"/>
      <c r="I1" s="20"/>
      <c r="J1" s="20"/>
      <c r="K1" s="20"/>
      <c r="L1" s="20"/>
      <c r="M1" s="20"/>
    </row>
    <row r="2" spans="1:16" ht="24" customHeight="1">
      <c r="A2" s="21" t="s">
        <v>203</v>
      </c>
      <c r="E2" s="20"/>
      <c r="F2" s="20"/>
      <c r="G2" s="20"/>
      <c r="H2" s="20"/>
      <c r="I2" s="20"/>
      <c r="J2" s="20"/>
      <c r="K2" s="20"/>
      <c r="L2" s="20"/>
      <c r="M2" s="20"/>
    </row>
    <row r="3" spans="1:16">
      <c r="C3" s="7" t="s">
        <v>204</v>
      </c>
      <c r="D3" s="10" t="s">
        <v>268</v>
      </c>
      <c r="E3" s="174">
        <v>0.02</v>
      </c>
      <c r="F3" s="174"/>
      <c r="G3" s="174"/>
      <c r="H3" s="174"/>
      <c r="I3" s="174"/>
    </row>
    <row r="5" spans="1:16" s="248" customFormat="1" ht="45" customHeight="1">
      <c r="A5" s="216" t="s">
        <v>205</v>
      </c>
      <c r="B5" s="185" t="s">
        <v>154</v>
      </c>
      <c r="C5" s="245" t="s">
        <v>273</v>
      </c>
      <c r="D5" s="246" t="s">
        <v>274</v>
      </c>
      <c r="E5" s="245" t="s">
        <v>275</v>
      </c>
      <c r="F5" s="245" t="s">
        <v>276</v>
      </c>
      <c r="G5" s="245" t="s">
        <v>277</v>
      </c>
      <c r="H5" s="245" t="s">
        <v>278</v>
      </c>
      <c r="I5" s="245" t="s">
        <v>279</v>
      </c>
      <c r="J5" s="245" t="s">
        <v>280</v>
      </c>
      <c r="K5" s="245" t="s">
        <v>281</v>
      </c>
      <c r="L5" s="247"/>
      <c r="M5" s="215" t="s">
        <v>25</v>
      </c>
    </row>
    <row r="6" spans="1:16" s="248" customFormat="1" ht="31.5" customHeight="1">
      <c r="A6" s="216"/>
      <c r="B6" s="185" t="s">
        <v>155</v>
      </c>
      <c r="C6" s="245" t="s">
        <v>282</v>
      </c>
      <c r="D6" s="246" t="s">
        <v>283</v>
      </c>
      <c r="E6" s="245" t="s">
        <v>284</v>
      </c>
      <c r="F6" s="245" t="s">
        <v>285</v>
      </c>
      <c r="G6" s="245" t="s">
        <v>286</v>
      </c>
      <c r="H6" s="245" t="s">
        <v>287</v>
      </c>
      <c r="I6" s="245" t="s">
        <v>288</v>
      </c>
      <c r="J6" s="245" t="s">
        <v>289</v>
      </c>
      <c r="K6" s="245" t="s">
        <v>290</v>
      </c>
      <c r="L6" s="247"/>
      <c r="M6" s="215"/>
      <c r="O6" s="248">
        <v>100</v>
      </c>
    </row>
    <row r="7" spans="1:16" ht="16.5" customHeight="1">
      <c r="A7" s="216"/>
      <c r="B7" s="25" t="s">
        <v>206</v>
      </c>
      <c r="C7" s="23"/>
      <c r="D7" s="23"/>
      <c r="E7" s="23"/>
      <c r="F7" s="23"/>
      <c r="G7" s="23"/>
      <c r="H7" s="23"/>
      <c r="I7" s="23"/>
      <c r="J7" s="23"/>
      <c r="K7" s="23"/>
      <c r="L7" s="24"/>
      <c r="M7" s="215"/>
      <c r="O7" s="7">
        <f>O6*(1-$E$3)</f>
        <v>98</v>
      </c>
      <c r="P7" s="7">
        <f>O7/$O$6</f>
        <v>0.98</v>
      </c>
    </row>
    <row r="8" spans="1:16" s="244" customFormat="1" ht="33">
      <c r="A8" s="216"/>
      <c r="B8" s="25" t="s">
        <v>207</v>
      </c>
      <c r="C8" s="242">
        <v>2840</v>
      </c>
      <c r="D8" s="179">
        <v>2140</v>
      </c>
      <c r="E8" s="242">
        <v>2140</v>
      </c>
      <c r="F8" s="242">
        <v>950</v>
      </c>
      <c r="G8" s="242">
        <v>1230</v>
      </c>
      <c r="H8" s="242">
        <v>2440</v>
      </c>
      <c r="I8" s="242">
        <v>1410</v>
      </c>
      <c r="J8" s="242">
        <v>2180</v>
      </c>
      <c r="K8" s="242">
        <v>920</v>
      </c>
      <c r="L8" s="243"/>
      <c r="M8" s="215"/>
      <c r="O8" s="244">
        <f t="shared" ref="O8:O10" si="0">O7*(1-$E$3)</f>
        <v>96.039999999999992</v>
      </c>
      <c r="P8" s="244">
        <f t="shared" ref="P8:P10" si="1">O8/$O$6</f>
        <v>0.96039999999999992</v>
      </c>
    </row>
    <row r="9" spans="1:16" ht="18.75">
      <c r="A9" s="216" t="s">
        <v>208</v>
      </c>
      <c r="B9" s="26" t="s">
        <v>20</v>
      </c>
      <c r="C9" s="180">
        <v>2000</v>
      </c>
      <c r="D9" s="180">
        <v>500</v>
      </c>
      <c r="E9" s="180">
        <v>3000</v>
      </c>
      <c r="F9" s="180">
        <v>4000</v>
      </c>
      <c r="G9" s="180">
        <v>500</v>
      </c>
      <c r="H9" s="180">
        <v>200</v>
      </c>
      <c r="I9" s="180">
        <v>300</v>
      </c>
      <c r="J9" s="180">
        <v>1500</v>
      </c>
      <c r="K9" s="180">
        <v>1500</v>
      </c>
      <c r="L9" s="28"/>
      <c r="M9" s="31">
        <f>SUM(C9:L9)</f>
        <v>13500</v>
      </c>
      <c r="O9" s="7">
        <f t="shared" si="0"/>
        <v>94.119199999999992</v>
      </c>
      <c r="P9" s="7">
        <f t="shared" si="1"/>
        <v>0.94119199999999992</v>
      </c>
    </row>
    <row r="10" spans="1:16" ht="18.75">
      <c r="A10" s="216"/>
      <c r="B10" s="22" t="s">
        <v>21</v>
      </c>
      <c r="C10" s="181">
        <v>5000</v>
      </c>
      <c r="D10" s="181">
        <v>2000</v>
      </c>
      <c r="E10" s="181">
        <v>8000</v>
      </c>
      <c r="F10" s="181">
        <v>9000</v>
      </c>
      <c r="G10" s="181">
        <v>1000</v>
      </c>
      <c r="H10" s="181">
        <v>600</v>
      </c>
      <c r="I10" s="181">
        <v>1500</v>
      </c>
      <c r="J10" s="181">
        <v>11000</v>
      </c>
      <c r="K10" s="181">
        <v>11000</v>
      </c>
      <c r="L10" s="28"/>
      <c r="M10" s="31">
        <f>SUM(C10:L10)</f>
        <v>49100</v>
      </c>
      <c r="O10" s="7">
        <f t="shared" si="0"/>
        <v>92.23681599999999</v>
      </c>
      <c r="P10" s="7">
        <f t="shared" si="1"/>
        <v>0.92236815999999988</v>
      </c>
    </row>
    <row r="11" spans="1:16" ht="18.75">
      <c r="A11" s="216"/>
      <c r="B11" s="22" t="s">
        <v>197</v>
      </c>
      <c r="C11" s="181">
        <v>5500</v>
      </c>
      <c r="D11" s="181">
        <v>2000</v>
      </c>
      <c r="E11" s="181">
        <v>8000</v>
      </c>
      <c r="F11" s="181">
        <v>9500</v>
      </c>
      <c r="G11" s="181">
        <v>1200</v>
      </c>
      <c r="H11" s="181">
        <v>800</v>
      </c>
      <c r="I11" s="181">
        <v>1500</v>
      </c>
      <c r="J11" s="181">
        <v>10000</v>
      </c>
      <c r="K11" s="181">
        <v>10000</v>
      </c>
      <c r="L11" s="28"/>
      <c r="M11" s="31">
        <f>SUM(C11:L11)</f>
        <v>48500</v>
      </c>
    </row>
    <row r="12" spans="1:16" ht="18.75">
      <c r="A12" s="216"/>
      <c r="B12" s="22" t="s">
        <v>198</v>
      </c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31">
        <f>SUM(C12:L12)</f>
        <v>0</v>
      </c>
    </row>
    <row r="13" spans="1:16" ht="18.75">
      <c r="A13" s="216"/>
      <c r="B13" s="22" t="s">
        <v>199</v>
      </c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31">
        <f>SUM(C13:L13)</f>
        <v>0</v>
      </c>
    </row>
    <row r="14" spans="1:16" ht="17.25">
      <c r="A14" s="215" t="s">
        <v>25</v>
      </c>
      <c r="B14" s="215"/>
      <c r="C14" s="29">
        <f t="shared" ref="C14:M14" si="2">SUM(C9:C13)</f>
        <v>12500</v>
      </c>
      <c r="D14" s="29">
        <f t="shared" si="2"/>
        <v>4500</v>
      </c>
      <c r="E14" s="29">
        <f t="shared" si="2"/>
        <v>19000</v>
      </c>
      <c r="F14" s="29">
        <f t="shared" si="2"/>
        <v>22500</v>
      </c>
      <c r="G14" s="29">
        <f t="shared" si="2"/>
        <v>2700</v>
      </c>
      <c r="H14" s="29">
        <f t="shared" si="2"/>
        <v>1600</v>
      </c>
      <c r="I14" s="29">
        <f t="shared" si="2"/>
        <v>3300</v>
      </c>
      <c r="J14" s="29">
        <f t="shared" si="2"/>
        <v>22500</v>
      </c>
      <c r="K14" s="29">
        <f t="shared" si="2"/>
        <v>22500</v>
      </c>
      <c r="L14" s="29">
        <f t="shared" si="2"/>
        <v>0</v>
      </c>
      <c r="M14" s="29">
        <f t="shared" si="2"/>
        <v>111100</v>
      </c>
    </row>
    <row r="15" spans="1:16">
      <c r="A15" s="30"/>
      <c r="B15" s="30"/>
      <c r="C15" s="30"/>
    </row>
    <row r="19" spans="3:15">
      <c r="C19" s="7">
        <f>C8*0.7</f>
        <v>1987.9999999999998</v>
      </c>
      <c r="D19" s="7">
        <f t="shared" ref="D19:K19" si="3">D8*0.7</f>
        <v>1498</v>
      </c>
      <c r="E19" s="7">
        <f t="shared" si="3"/>
        <v>1498</v>
      </c>
      <c r="F19" s="7">
        <f t="shared" si="3"/>
        <v>665</v>
      </c>
      <c r="G19" s="7">
        <f t="shared" si="3"/>
        <v>861</v>
      </c>
      <c r="H19" s="7">
        <f t="shared" si="3"/>
        <v>1708</v>
      </c>
      <c r="I19" s="7">
        <f t="shared" si="3"/>
        <v>986.99999999999989</v>
      </c>
      <c r="J19" s="7">
        <f t="shared" si="3"/>
        <v>1526</v>
      </c>
      <c r="K19" s="7">
        <f t="shared" si="3"/>
        <v>644</v>
      </c>
    </row>
    <row r="21" spans="3:15">
      <c r="O21" s="7">
        <v>16078.56</v>
      </c>
    </row>
  </sheetData>
  <mergeCells count="4">
    <mergeCell ref="A14:B14"/>
    <mergeCell ref="A5:A8"/>
    <mergeCell ref="A9:A13"/>
    <mergeCell ref="M5:M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workbookViewId="0">
      <pane xSplit="3" ySplit="5" topLeftCell="E30" activePane="bottomRight" state="frozen"/>
      <selection pane="topRight"/>
      <selection pane="bottomLeft"/>
      <selection pane="bottomRight" activeCell="G33" sqref="G33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12" width="14.375" style="7" customWidth="1"/>
    <col min="13" max="13" width="17.375" style="7" customWidth="1"/>
    <col min="14" max="14" width="12.25" style="7" customWidth="1"/>
    <col min="15" max="15" width="13.25" style="7" customWidth="1"/>
    <col min="16" max="16" width="16" style="7" customWidth="1"/>
    <col min="17" max="16384" width="9" style="7"/>
  </cols>
  <sheetData>
    <row r="1" spans="1:16" s="6" customFormat="1" ht="28.5" customHeight="1">
      <c r="A1" s="217" t="s">
        <v>7</v>
      </c>
      <c r="B1" s="217"/>
      <c r="C1" s="8"/>
      <c r="P1" s="16"/>
    </row>
    <row r="2" spans="1:16">
      <c r="A2" s="218" t="s">
        <v>209</v>
      </c>
      <c r="B2" s="218"/>
      <c r="C2" s="219"/>
      <c r="D2" s="182"/>
      <c r="E2" s="182"/>
      <c r="F2" s="182"/>
      <c r="G2" s="182"/>
      <c r="H2" s="182"/>
      <c r="I2" s="220" t="s">
        <v>291</v>
      </c>
      <c r="J2" s="221"/>
      <c r="K2" s="221"/>
      <c r="L2" s="221"/>
      <c r="M2" s="222"/>
    </row>
    <row r="3" spans="1:16">
      <c r="A3" s="233" t="s">
        <v>19</v>
      </c>
      <c r="B3" s="233" t="s">
        <v>210</v>
      </c>
      <c r="C3" s="9" t="s">
        <v>211</v>
      </c>
      <c r="D3" s="168"/>
      <c r="E3" s="168"/>
      <c r="F3" s="168"/>
      <c r="G3" s="168"/>
      <c r="H3" s="168"/>
      <c r="I3" s="168"/>
      <c r="J3" s="9" t="s">
        <v>212</v>
      </c>
      <c r="K3" s="223"/>
      <c r="L3" s="224"/>
      <c r="M3" s="225" t="s">
        <v>165</v>
      </c>
    </row>
    <row r="4" spans="1:16" ht="57">
      <c r="A4" s="233"/>
      <c r="B4" s="233"/>
      <c r="C4" s="9" t="s">
        <v>154</v>
      </c>
      <c r="D4" s="168" t="s">
        <v>273</v>
      </c>
      <c r="E4" s="168" t="s">
        <v>274</v>
      </c>
      <c r="F4" s="168" t="s">
        <v>275</v>
      </c>
      <c r="G4" s="168" t="s">
        <v>276</v>
      </c>
      <c r="H4" s="168" t="s">
        <v>277</v>
      </c>
      <c r="I4" s="168" t="s">
        <v>278</v>
      </c>
      <c r="J4" s="11" t="s">
        <v>279</v>
      </c>
      <c r="K4" s="11" t="s">
        <v>280</v>
      </c>
      <c r="L4" s="12" t="s">
        <v>281</v>
      </c>
      <c r="M4" s="226"/>
    </row>
    <row r="5" spans="1:16" ht="33">
      <c r="A5" s="233"/>
      <c r="B5" s="233"/>
      <c r="C5" s="9" t="s">
        <v>155</v>
      </c>
      <c r="D5" s="23" t="s">
        <v>282</v>
      </c>
      <c r="E5" s="23" t="s">
        <v>283</v>
      </c>
      <c r="F5" s="23" t="s">
        <v>284</v>
      </c>
      <c r="G5" s="23" t="s">
        <v>285</v>
      </c>
      <c r="H5" s="23" t="s">
        <v>286</v>
      </c>
      <c r="I5" s="23" t="s">
        <v>287</v>
      </c>
      <c r="J5" s="11" t="s">
        <v>288</v>
      </c>
      <c r="K5" s="11" t="s">
        <v>289</v>
      </c>
      <c r="L5" s="12" t="s">
        <v>290</v>
      </c>
      <c r="M5" s="227"/>
    </row>
    <row r="6" spans="1:16">
      <c r="A6" s="13">
        <v>1</v>
      </c>
      <c r="B6" s="228" t="s">
        <v>213</v>
      </c>
      <c r="C6" s="229"/>
      <c r="D6" s="14"/>
      <c r="E6" s="14"/>
      <c r="F6" s="14"/>
      <c r="G6" s="14"/>
      <c r="H6" s="14"/>
      <c r="I6" s="12"/>
      <c r="J6" s="12"/>
      <c r="K6" s="12"/>
      <c r="L6" s="12"/>
      <c r="M6" s="17"/>
    </row>
    <row r="7" spans="1:16">
      <c r="A7" s="13">
        <v>2</v>
      </c>
      <c r="B7" s="228" t="s">
        <v>214</v>
      </c>
      <c r="C7" s="229"/>
      <c r="D7" s="14"/>
      <c r="E7" s="14"/>
      <c r="F7" s="14"/>
      <c r="G7" s="14"/>
      <c r="H7" s="14"/>
      <c r="I7" s="12"/>
      <c r="J7" s="12"/>
      <c r="K7" s="12"/>
      <c r="L7" s="12"/>
      <c r="M7" s="17"/>
    </row>
    <row r="8" spans="1:16">
      <c r="A8" s="13">
        <v>3</v>
      </c>
      <c r="B8" s="228" t="s">
        <v>215</v>
      </c>
      <c r="C8" s="229"/>
      <c r="D8" s="14"/>
      <c r="E8" s="14"/>
      <c r="F8" s="14"/>
      <c r="G8" s="14"/>
      <c r="H8" s="14"/>
      <c r="I8" s="14"/>
      <c r="J8" s="14"/>
      <c r="K8" s="14"/>
      <c r="L8" s="14"/>
      <c r="M8" s="17"/>
    </row>
    <row r="9" spans="1:16">
      <c r="A9" s="13">
        <v>4</v>
      </c>
      <c r="B9" s="228" t="s">
        <v>216</v>
      </c>
      <c r="C9" s="229"/>
      <c r="D9" s="14"/>
      <c r="E9" s="14"/>
      <c r="F9" s="14"/>
      <c r="G9" s="14"/>
      <c r="H9" s="14"/>
      <c r="I9" s="12"/>
      <c r="J9" s="12"/>
      <c r="K9" s="12"/>
      <c r="L9" s="12"/>
      <c r="M9" s="17"/>
    </row>
    <row r="10" spans="1:16">
      <c r="A10" s="13">
        <v>5</v>
      </c>
      <c r="B10" s="228" t="s">
        <v>217</v>
      </c>
      <c r="C10" s="229"/>
      <c r="D10" s="14"/>
      <c r="E10" s="14"/>
      <c r="F10" s="14"/>
      <c r="G10" s="14"/>
      <c r="H10" s="14"/>
      <c r="I10" s="12"/>
      <c r="J10" s="12"/>
      <c r="K10" s="12"/>
      <c r="L10" s="12"/>
      <c r="M10" s="17"/>
    </row>
    <row r="11" spans="1:16">
      <c r="A11" s="13">
        <v>6</v>
      </c>
      <c r="B11" s="228" t="s">
        <v>218</v>
      </c>
      <c r="C11" s="229"/>
      <c r="D11" s="14"/>
      <c r="E11" s="14"/>
      <c r="F11" s="14"/>
      <c r="G11" s="14"/>
      <c r="H11" s="14"/>
      <c r="I11" s="12"/>
      <c r="J11" s="12"/>
      <c r="K11" s="12"/>
      <c r="L11" s="12"/>
      <c r="M11" s="17"/>
    </row>
    <row r="12" spans="1:16">
      <c r="A12" s="13">
        <v>7</v>
      </c>
      <c r="B12" s="228" t="s">
        <v>219</v>
      </c>
      <c r="C12" s="229"/>
      <c r="D12" s="14"/>
      <c r="E12" s="14"/>
      <c r="F12" s="14"/>
      <c r="G12" s="14"/>
      <c r="H12" s="14"/>
      <c r="I12" s="12"/>
      <c r="J12" s="12"/>
      <c r="K12" s="12"/>
      <c r="L12" s="12"/>
      <c r="M12" s="17"/>
    </row>
    <row r="13" spans="1:16">
      <c r="A13" s="13">
        <v>8</v>
      </c>
      <c r="B13" s="228" t="s">
        <v>220</v>
      </c>
      <c r="C13" s="229"/>
      <c r="D13" s="14"/>
      <c r="E13" s="14"/>
      <c r="F13" s="14"/>
      <c r="G13" s="14"/>
      <c r="H13" s="14"/>
      <c r="I13" s="12"/>
      <c r="J13" s="12"/>
      <c r="K13" s="12"/>
      <c r="L13" s="12"/>
      <c r="M13" s="17"/>
    </row>
    <row r="14" spans="1:16">
      <c r="A14" s="13">
        <v>9</v>
      </c>
      <c r="B14" s="228" t="s">
        <v>221</v>
      </c>
      <c r="C14" s="229"/>
      <c r="D14" s="14"/>
      <c r="E14" s="14"/>
      <c r="F14" s="14"/>
      <c r="G14" s="14"/>
      <c r="H14" s="14"/>
      <c r="I14" s="12"/>
      <c r="J14" s="12"/>
      <c r="K14" s="12"/>
      <c r="L14" s="12"/>
      <c r="M14" s="17"/>
    </row>
    <row r="15" spans="1:16">
      <c r="A15" s="13">
        <v>10</v>
      </c>
      <c r="B15" s="228" t="s">
        <v>222</v>
      </c>
      <c r="C15" s="229"/>
      <c r="D15" s="14"/>
      <c r="E15" s="14"/>
      <c r="F15" s="14"/>
      <c r="G15" s="14"/>
      <c r="H15" s="14"/>
      <c r="I15" s="12"/>
      <c r="J15" s="12"/>
      <c r="K15" s="12"/>
      <c r="L15" s="12"/>
      <c r="M15" s="17"/>
    </row>
    <row r="16" spans="1:16">
      <c r="A16" s="13">
        <v>11</v>
      </c>
      <c r="B16" s="228" t="s">
        <v>223</v>
      </c>
      <c r="C16" s="229"/>
      <c r="D16" s="14"/>
      <c r="E16" s="14"/>
      <c r="F16" s="14"/>
      <c r="G16" s="14"/>
      <c r="H16" s="14"/>
      <c r="I16" s="12"/>
      <c r="J16" s="12"/>
      <c r="K16" s="12"/>
      <c r="L16" s="12"/>
      <c r="M16" s="17"/>
      <c r="N16" s="18"/>
    </row>
    <row r="17" spans="1:13">
      <c r="A17" s="13">
        <v>12</v>
      </c>
      <c r="B17" s="228" t="s">
        <v>224</v>
      </c>
      <c r="C17" s="229"/>
      <c r="D17" s="14"/>
      <c r="E17" s="14"/>
      <c r="F17" s="14"/>
      <c r="G17" s="14"/>
      <c r="H17" s="14"/>
      <c r="I17" s="12"/>
      <c r="J17" s="12"/>
      <c r="K17" s="12"/>
      <c r="L17" s="12"/>
      <c r="M17" s="17"/>
    </row>
    <row r="18" spans="1:13">
      <c r="A18" s="13">
        <v>13</v>
      </c>
      <c r="B18" s="228" t="s">
        <v>264</v>
      </c>
      <c r="C18" s="229"/>
      <c r="D18" s="14"/>
      <c r="E18" s="14"/>
      <c r="F18" s="14"/>
      <c r="G18" s="14"/>
      <c r="H18" s="14"/>
      <c r="I18" s="12"/>
      <c r="J18" s="12"/>
      <c r="K18" s="12"/>
      <c r="L18" s="12"/>
      <c r="M18" s="17"/>
    </row>
    <row r="19" spans="1:13">
      <c r="A19" s="13">
        <v>14</v>
      </c>
      <c r="B19" s="228" t="s">
        <v>225</v>
      </c>
      <c r="C19" s="229"/>
      <c r="D19" s="14"/>
      <c r="E19" s="14"/>
      <c r="F19" s="14"/>
      <c r="G19" s="14"/>
      <c r="H19" s="14"/>
      <c r="I19" s="12"/>
      <c r="J19" s="12"/>
      <c r="K19" s="12"/>
      <c r="L19" s="12"/>
      <c r="M19" s="17"/>
    </row>
    <row r="20" spans="1:13">
      <c r="A20" s="13">
        <v>15</v>
      </c>
      <c r="B20" s="228" t="s">
        <v>226</v>
      </c>
      <c r="C20" s="229"/>
      <c r="D20" s="14"/>
      <c r="E20" s="14"/>
      <c r="F20" s="14"/>
      <c r="G20" s="14"/>
      <c r="H20" s="14"/>
      <c r="I20" s="12"/>
      <c r="J20" s="12"/>
      <c r="K20" s="12"/>
      <c r="L20" s="12"/>
      <c r="M20" s="17"/>
    </row>
    <row r="21" spans="1:13">
      <c r="A21" s="13">
        <v>16</v>
      </c>
      <c r="B21" s="228" t="s">
        <v>227</v>
      </c>
      <c r="C21" s="229"/>
      <c r="D21" s="14"/>
      <c r="E21" s="14"/>
      <c r="F21" s="14"/>
      <c r="G21" s="14"/>
      <c r="H21" s="14"/>
      <c r="I21" s="12"/>
      <c r="J21" s="12"/>
      <c r="K21" s="12"/>
      <c r="L21" s="12"/>
      <c r="M21" s="17"/>
    </row>
    <row r="22" spans="1:13">
      <c r="A22" s="13">
        <v>17</v>
      </c>
      <c r="B22" s="228" t="s">
        <v>228</v>
      </c>
      <c r="C22" s="229"/>
      <c r="D22" s="14"/>
      <c r="E22" s="14"/>
      <c r="F22" s="14"/>
      <c r="G22" s="14"/>
      <c r="H22" s="14"/>
      <c r="I22" s="12"/>
      <c r="J22" s="12"/>
      <c r="K22" s="12"/>
      <c r="L22" s="12"/>
      <c r="M22" s="17"/>
    </row>
    <row r="23" spans="1:13">
      <c r="A23" s="13">
        <v>18</v>
      </c>
      <c r="B23" s="228" t="s">
        <v>229</v>
      </c>
      <c r="C23" s="229"/>
      <c r="D23" s="14"/>
      <c r="E23" s="14"/>
      <c r="F23" s="14"/>
      <c r="G23" s="14"/>
      <c r="H23" s="14"/>
      <c r="I23" s="12"/>
      <c r="J23" s="12"/>
      <c r="K23" s="12"/>
      <c r="L23" s="12"/>
      <c r="M23" s="17"/>
    </row>
    <row r="24" spans="1:13">
      <c r="A24" s="13">
        <v>19</v>
      </c>
      <c r="B24" s="228" t="s">
        <v>230</v>
      </c>
      <c r="C24" s="229"/>
      <c r="D24" s="14"/>
      <c r="E24" s="14"/>
      <c r="F24" s="14"/>
      <c r="G24" s="14"/>
      <c r="H24" s="14"/>
      <c r="I24" s="12"/>
      <c r="J24" s="12"/>
      <c r="K24" s="12"/>
      <c r="L24" s="12"/>
      <c r="M24" s="17"/>
    </row>
    <row r="25" spans="1:13">
      <c r="A25" s="13">
        <v>20</v>
      </c>
      <c r="B25" s="228"/>
      <c r="C25" s="229"/>
      <c r="D25" s="14"/>
      <c r="E25" s="14"/>
      <c r="F25" s="14"/>
      <c r="G25" s="14"/>
      <c r="H25" s="14"/>
      <c r="I25" s="12"/>
      <c r="J25" s="12"/>
      <c r="K25" s="12"/>
      <c r="L25" s="12"/>
      <c r="M25" s="17"/>
    </row>
    <row r="26" spans="1:13">
      <c r="A26" s="13">
        <v>21</v>
      </c>
      <c r="B26" s="228"/>
      <c r="C26" s="229"/>
      <c r="D26" s="14"/>
      <c r="E26" s="14"/>
      <c r="F26" s="14"/>
      <c r="G26" s="14"/>
      <c r="H26" s="14"/>
      <c r="I26" s="12"/>
      <c r="J26" s="12"/>
      <c r="K26" s="12"/>
      <c r="L26" s="12"/>
      <c r="M26" s="17"/>
    </row>
    <row r="27" spans="1:13">
      <c r="A27" s="13">
        <v>22</v>
      </c>
      <c r="B27" s="228"/>
      <c r="C27" s="229"/>
      <c r="D27" s="14"/>
      <c r="E27" s="14"/>
      <c r="F27" s="14"/>
      <c r="G27" s="14"/>
      <c r="H27" s="14"/>
      <c r="I27" s="12"/>
      <c r="J27" s="12"/>
      <c r="K27" s="12"/>
      <c r="L27" s="12"/>
      <c r="M27" s="17"/>
    </row>
    <row r="28" spans="1:13">
      <c r="A28" s="13">
        <v>23</v>
      </c>
      <c r="B28" s="228"/>
      <c r="C28" s="229"/>
      <c r="D28" s="14"/>
      <c r="E28" s="14"/>
      <c r="F28" s="14"/>
      <c r="G28" s="14"/>
      <c r="H28" s="14"/>
      <c r="I28" s="12"/>
      <c r="J28" s="12"/>
      <c r="K28" s="12"/>
      <c r="L28" s="12"/>
      <c r="M28" s="17"/>
    </row>
    <row r="29" spans="1:13">
      <c r="A29" s="13">
        <v>24</v>
      </c>
      <c r="B29" s="228"/>
      <c r="C29" s="229"/>
      <c r="D29" s="14"/>
      <c r="E29" s="14"/>
      <c r="F29" s="14"/>
      <c r="G29" s="14"/>
      <c r="H29" s="14"/>
      <c r="I29" s="12"/>
      <c r="J29" s="12"/>
      <c r="K29" s="12"/>
      <c r="L29" s="12"/>
      <c r="M29" s="17"/>
    </row>
    <row r="30" spans="1:13">
      <c r="A30" s="13">
        <v>25</v>
      </c>
      <c r="B30" s="228"/>
      <c r="C30" s="229"/>
      <c r="D30" s="14"/>
      <c r="E30" s="14"/>
      <c r="F30" s="14"/>
      <c r="G30" s="14"/>
      <c r="H30" s="14"/>
      <c r="I30" s="12"/>
      <c r="J30" s="12"/>
      <c r="K30" s="12"/>
      <c r="L30" s="12"/>
      <c r="M30" s="17"/>
    </row>
    <row r="31" spans="1:13">
      <c r="A31" s="13">
        <v>26</v>
      </c>
      <c r="B31" s="228"/>
      <c r="C31" s="229"/>
      <c r="D31" s="14"/>
      <c r="E31" s="14"/>
      <c r="F31" s="14"/>
      <c r="G31" s="14"/>
      <c r="H31" s="14"/>
      <c r="I31" s="12"/>
      <c r="J31" s="12"/>
      <c r="K31" s="12"/>
      <c r="L31" s="12"/>
      <c r="M31" s="17"/>
    </row>
    <row r="32" spans="1:13">
      <c r="A32" s="13">
        <v>27</v>
      </c>
      <c r="B32" s="228" t="s">
        <v>139</v>
      </c>
      <c r="C32" s="229"/>
      <c r="D32" s="14"/>
      <c r="E32" s="14"/>
      <c r="F32" s="14"/>
      <c r="G32" s="14"/>
      <c r="H32" s="14"/>
      <c r="I32" s="12"/>
      <c r="J32" s="12"/>
      <c r="K32" s="12"/>
      <c r="L32" s="12"/>
      <c r="M32" s="17"/>
    </row>
    <row r="33" spans="1:13" ht="31.5" customHeight="1">
      <c r="A33" s="230" t="s">
        <v>231</v>
      </c>
      <c r="B33" s="231"/>
      <c r="C33" s="232"/>
      <c r="D33" s="15">
        <v>1987.9999999999998</v>
      </c>
      <c r="E33" s="15">
        <v>1498</v>
      </c>
      <c r="F33" s="15">
        <v>1498</v>
      </c>
      <c r="G33" s="15">
        <v>665</v>
      </c>
      <c r="H33" s="15">
        <v>861</v>
      </c>
      <c r="I33" s="15">
        <v>1708</v>
      </c>
      <c r="J33" s="15">
        <v>986.99999999999989</v>
      </c>
      <c r="K33" s="15">
        <v>1526</v>
      </c>
      <c r="L33" s="15">
        <v>644</v>
      </c>
      <c r="M33" s="17"/>
    </row>
    <row r="37" spans="1:13">
      <c r="J37" s="7" t="s">
        <v>269</v>
      </c>
    </row>
    <row r="38" spans="1:13">
      <c r="H38" s="7" t="s">
        <v>292</v>
      </c>
      <c r="I38" s="7">
        <v>2</v>
      </c>
      <c r="J38" s="7">
        <v>3</v>
      </c>
      <c r="K38" s="7">
        <v>4</v>
      </c>
      <c r="L38" s="7">
        <v>5</v>
      </c>
    </row>
    <row r="39" spans="1:13">
      <c r="D39" s="175"/>
      <c r="E39" s="175"/>
      <c r="F39" s="175"/>
      <c r="G39" s="175"/>
      <c r="H39" s="15">
        <v>1987.9999999999998</v>
      </c>
      <c r="I39" s="7">
        <f>H39*(1-0.02)</f>
        <v>1948.2399999999998</v>
      </c>
      <c r="J39" s="176">
        <f>I39*(1-2%)</f>
        <v>1909.2751999999998</v>
      </c>
      <c r="K39" s="176"/>
      <c r="L39" s="176"/>
    </row>
    <row r="40" spans="1:13">
      <c r="H40" s="15">
        <v>1498</v>
      </c>
      <c r="I40" s="7">
        <f>H40*(1-0.02)</f>
        <v>1468.04</v>
      </c>
      <c r="J40" s="176">
        <f>I40*(1-2%)</f>
        <v>1438.6792</v>
      </c>
      <c r="K40" s="176"/>
      <c r="L40" s="176"/>
    </row>
    <row r="41" spans="1:13">
      <c r="H41" s="15">
        <v>1498</v>
      </c>
      <c r="I41" s="7">
        <f t="shared" ref="I41:I47" si="0">H41*(1-0.02)</f>
        <v>1468.04</v>
      </c>
      <c r="J41" s="176">
        <f t="shared" ref="J41" si="1">I41*(1-2%)</f>
        <v>1438.6792</v>
      </c>
      <c r="K41" s="176"/>
      <c r="L41" s="176"/>
    </row>
    <row r="42" spans="1:13">
      <c r="H42" s="15">
        <v>665</v>
      </c>
      <c r="I42" s="7">
        <f t="shared" si="0"/>
        <v>651.69999999999993</v>
      </c>
      <c r="J42" s="176">
        <f t="shared" ref="J42" si="2">I42*(1-2%)</f>
        <v>638.66599999999994</v>
      </c>
      <c r="K42" s="176"/>
      <c r="L42" s="176"/>
    </row>
    <row r="43" spans="1:13">
      <c r="H43" s="15">
        <v>861</v>
      </c>
      <c r="I43" s="7">
        <f t="shared" si="0"/>
        <v>843.78</v>
      </c>
      <c r="J43" s="176">
        <f t="shared" ref="J43" si="3">I43*(1-2%)</f>
        <v>826.90440000000001</v>
      </c>
      <c r="K43" s="176"/>
      <c r="L43" s="176"/>
    </row>
    <row r="44" spans="1:13">
      <c r="H44" s="15">
        <v>1708</v>
      </c>
      <c r="I44" s="7">
        <f t="shared" si="0"/>
        <v>1673.84</v>
      </c>
      <c r="J44" s="176">
        <f t="shared" ref="J44" si="4">I44*(1-2%)</f>
        <v>1640.3631999999998</v>
      </c>
      <c r="K44" s="176"/>
      <c r="L44" s="176"/>
    </row>
    <row r="45" spans="1:13">
      <c r="H45" s="15">
        <v>986.99999999999989</v>
      </c>
      <c r="I45" s="7">
        <f t="shared" si="0"/>
        <v>967.25999999999988</v>
      </c>
      <c r="J45" s="176">
        <f t="shared" ref="J45" si="5">I45*(1-2%)</f>
        <v>947.9147999999999</v>
      </c>
      <c r="K45" s="176"/>
      <c r="L45" s="176"/>
    </row>
    <row r="46" spans="1:13">
      <c r="H46" s="15">
        <v>1526</v>
      </c>
      <c r="I46" s="7">
        <f t="shared" si="0"/>
        <v>1495.48</v>
      </c>
      <c r="J46" s="176">
        <f t="shared" ref="J46" si="6">I46*(1-2%)</f>
        <v>1465.5704000000001</v>
      </c>
      <c r="K46" s="176"/>
      <c r="L46" s="176"/>
    </row>
    <row r="47" spans="1:13">
      <c r="H47" s="15">
        <v>644</v>
      </c>
      <c r="I47" s="7">
        <f t="shared" si="0"/>
        <v>631.12</v>
      </c>
      <c r="J47" s="176">
        <f t="shared" ref="J47" si="7">I47*(1-2%)</f>
        <v>618.49760000000003</v>
      </c>
      <c r="K47" s="176"/>
      <c r="L47" s="176"/>
    </row>
  </sheetData>
  <mergeCells count="35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C2"/>
    <mergeCell ref="I2:M2"/>
    <mergeCell ref="K3:L3"/>
    <mergeCell ref="M3:M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232</v>
      </c>
      <c r="C1" s="1" t="s">
        <v>233</v>
      </c>
      <c r="D1" s="1" t="s">
        <v>234</v>
      </c>
      <c r="E1" s="1" t="s">
        <v>235</v>
      </c>
    </row>
    <row r="2" spans="1:6" ht="19.5" customHeight="1">
      <c r="A2" s="1">
        <v>1</v>
      </c>
      <c r="B2" s="1" t="s">
        <v>236</v>
      </c>
      <c r="C2" s="171" t="s">
        <v>271</v>
      </c>
      <c r="D2" s="1"/>
      <c r="E2" s="1"/>
    </row>
    <row r="3" spans="1:6" ht="19.5" customHeight="1">
      <c r="A3" s="1">
        <v>2</v>
      </c>
      <c r="B3" s="1" t="s">
        <v>237</v>
      </c>
      <c r="C3" s="171" t="s">
        <v>272</v>
      </c>
      <c r="D3" s="1"/>
      <c r="E3" s="1"/>
    </row>
    <row r="4" spans="1:6" ht="19.5" customHeight="1">
      <c r="A4" s="1">
        <v>3</v>
      </c>
      <c r="B4" s="1" t="s">
        <v>238</v>
      </c>
      <c r="C4" s="171"/>
      <c r="D4" s="1"/>
      <c r="E4" s="1"/>
    </row>
    <row r="5" spans="1:6" ht="19.5" customHeight="1">
      <c r="A5" s="1">
        <v>4</v>
      </c>
      <c r="B5" s="1" t="s">
        <v>239</v>
      </c>
      <c r="C5" s="171"/>
      <c r="D5" s="1"/>
      <c r="E5" s="1"/>
    </row>
    <row r="6" spans="1:6" ht="35.25" customHeight="1">
      <c r="A6" s="1">
        <v>5</v>
      </c>
      <c r="B6" s="1" t="s">
        <v>240</v>
      </c>
      <c r="C6" s="171"/>
      <c r="D6" s="1"/>
      <c r="E6" s="1"/>
    </row>
    <row r="7" spans="1:6" ht="37.5" customHeight="1">
      <c r="A7" s="1">
        <v>6</v>
      </c>
      <c r="B7" s="1" t="s">
        <v>241</v>
      </c>
      <c r="C7" s="171"/>
      <c r="D7" s="1"/>
      <c r="E7" s="1"/>
    </row>
    <row r="8" spans="1:6" ht="42.75" customHeight="1">
      <c r="A8" s="1">
        <v>7</v>
      </c>
      <c r="B8" s="1" t="s">
        <v>242</v>
      </c>
      <c r="C8" s="171"/>
      <c r="D8" s="1"/>
      <c r="E8" s="1"/>
    </row>
    <row r="9" spans="1:6" ht="39" customHeight="1">
      <c r="A9" s="1">
        <v>8</v>
      </c>
      <c r="B9" s="1" t="s">
        <v>243</v>
      </c>
      <c r="C9" s="172"/>
      <c r="D9" s="1"/>
      <c r="E9" s="1"/>
    </row>
    <row r="10" spans="1:6" ht="36" customHeight="1">
      <c r="A10" s="1">
        <v>9</v>
      </c>
      <c r="B10" s="1" t="s">
        <v>244</v>
      </c>
      <c r="C10" s="171"/>
      <c r="D10" s="1"/>
      <c r="E10" s="1"/>
    </row>
    <row r="11" spans="1:6" ht="35.25" customHeight="1">
      <c r="A11" s="1">
        <v>10</v>
      </c>
      <c r="B11" s="1" t="s">
        <v>245</v>
      </c>
      <c r="C11" s="171"/>
      <c r="D11" s="1"/>
      <c r="E11" s="1"/>
      <c r="F11" s="173" t="s">
        <v>265</v>
      </c>
    </row>
    <row r="12" spans="1:6" ht="19.5" customHeight="1">
      <c r="A12" s="1">
        <v>11</v>
      </c>
      <c r="B12" s="1" t="s">
        <v>246</v>
      </c>
      <c r="C12" s="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"/>
  <sheetViews>
    <sheetView workbookViewId="0">
      <selection activeCell="I4" sqref="I4"/>
    </sheetView>
  </sheetViews>
  <sheetFormatPr defaultColWidth="9" defaultRowHeight="13.5"/>
  <cols>
    <col min="1" max="2" width="9" style="74"/>
    <col min="3" max="5" width="15.75" style="74" customWidth="1"/>
    <col min="6" max="8" width="11.125" style="74" customWidth="1"/>
    <col min="9" max="9" width="12.875" style="157" customWidth="1"/>
    <col min="10" max="16384" width="9" style="74"/>
  </cols>
  <sheetData>
    <row r="1" spans="1:9" s="154" customFormat="1" ht="18.75" customHeight="1">
      <c r="G1" s="234" t="s">
        <v>247</v>
      </c>
      <c r="H1" s="234"/>
      <c r="I1" s="155"/>
    </row>
    <row r="2" spans="1:9" ht="39" customHeight="1">
      <c r="A2" s="240" t="s">
        <v>248</v>
      </c>
      <c r="B2" s="240"/>
      <c r="C2" s="236" t="s">
        <v>249</v>
      </c>
      <c r="D2" s="241"/>
      <c r="E2" s="241"/>
      <c r="F2" s="241"/>
      <c r="G2" s="241"/>
      <c r="H2" s="237"/>
      <c r="I2" s="156" t="s">
        <v>256</v>
      </c>
    </row>
    <row r="3" spans="1:9" ht="34.5" customHeight="1">
      <c r="A3" s="240"/>
      <c r="B3" s="240"/>
      <c r="C3" s="165" t="s">
        <v>258</v>
      </c>
      <c r="D3" s="165" t="s">
        <v>259</v>
      </c>
      <c r="E3" s="165" t="s">
        <v>257</v>
      </c>
      <c r="F3" s="166" t="s">
        <v>262</v>
      </c>
      <c r="G3" s="166" t="s">
        <v>261</v>
      </c>
      <c r="H3" s="166" t="s">
        <v>260</v>
      </c>
      <c r="I3" s="170">
        <v>920</v>
      </c>
    </row>
    <row r="4" spans="1:9" ht="24" customHeight="1">
      <c r="A4" s="235" t="s">
        <v>250</v>
      </c>
      <c r="B4" s="235"/>
      <c r="C4" s="3"/>
      <c r="D4" s="158"/>
      <c r="E4" s="159">
        <f>$I$3*I4</f>
        <v>39.652000000000001</v>
      </c>
      <c r="F4" s="159"/>
      <c r="G4" s="159"/>
      <c r="H4" s="160">
        <v>4.48E-2</v>
      </c>
      <c r="I4" s="157">
        <v>4.3099999999999999E-2</v>
      </c>
    </row>
    <row r="5" spans="1:9" ht="24" customHeight="1">
      <c r="A5" s="235" t="s">
        <v>251</v>
      </c>
      <c r="B5" s="161" t="s">
        <v>252</v>
      </c>
      <c r="C5" s="3"/>
      <c r="D5" s="158"/>
      <c r="E5" s="159">
        <f>$I$3*I5</f>
        <v>37.167999999999999</v>
      </c>
      <c r="F5" s="159"/>
      <c r="G5" s="159"/>
      <c r="H5" s="160">
        <v>4.0399999999999998E-2</v>
      </c>
      <c r="I5" s="160">
        <v>4.0399999999999998E-2</v>
      </c>
    </row>
    <row r="6" spans="1:9" ht="24" customHeight="1">
      <c r="A6" s="235"/>
      <c r="B6" s="161" t="s">
        <v>253</v>
      </c>
      <c r="C6" s="3"/>
      <c r="D6" s="158"/>
      <c r="E6" s="159">
        <f t="shared" ref="E6:E11" si="0">$I$3*I6</f>
        <v>19.964000000000002</v>
      </c>
      <c r="F6" s="159"/>
      <c r="G6" s="159"/>
      <c r="H6" s="160">
        <v>1.66E-2</v>
      </c>
      <c r="I6" s="157">
        <v>2.1700000000000001E-2</v>
      </c>
    </row>
    <row r="7" spans="1:9" ht="24" customHeight="1">
      <c r="A7" s="236" t="s">
        <v>254</v>
      </c>
      <c r="B7" s="237"/>
      <c r="C7" s="162"/>
      <c r="D7" s="163"/>
      <c r="E7" s="159">
        <f t="shared" si="0"/>
        <v>96.783999999999992</v>
      </c>
      <c r="F7" s="159"/>
      <c r="G7" s="159"/>
      <c r="H7" s="164">
        <f>SUM(H4:H6)</f>
        <v>0.1018</v>
      </c>
      <c r="I7" s="157">
        <f>SUM(I4:I6)</f>
        <v>0.10519999999999999</v>
      </c>
    </row>
    <row r="8" spans="1:9" ht="24" customHeight="1">
      <c r="A8" s="235" t="s">
        <v>55</v>
      </c>
      <c r="B8" s="235"/>
      <c r="C8" s="3"/>
      <c r="D8" s="158"/>
      <c r="E8" s="159">
        <f t="shared" si="0"/>
        <v>25.023999999999997</v>
      </c>
      <c r="F8" s="159"/>
      <c r="G8" s="159"/>
      <c r="H8" s="160">
        <f>1.97%+0.75%</f>
        <v>2.7199999999999998E-2</v>
      </c>
      <c r="I8" s="160">
        <f>1.97%+0.75%</f>
        <v>2.7199999999999998E-2</v>
      </c>
    </row>
    <row r="9" spans="1:9" ht="24" customHeight="1">
      <c r="A9" s="238" t="s">
        <v>255</v>
      </c>
      <c r="B9" s="161" t="s">
        <v>252</v>
      </c>
      <c r="C9" s="3"/>
      <c r="D9" s="158"/>
      <c r="E9" s="159">
        <f t="shared" si="0"/>
        <v>4.8760000000000003</v>
      </c>
      <c r="F9" s="159"/>
      <c r="G9" s="159"/>
      <c r="H9" s="160">
        <v>5.3E-3</v>
      </c>
      <c r="I9" s="160">
        <v>5.3E-3</v>
      </c>
    </row>
    <row r="10" spans="1:9" ht="24" customHeight="1">
      <c r="A10" s="239"/>
      <c r="B10" s="161" t="s">
        <v>253</v>
      </c>
      <c r="C10" s="3"/>
      <c r="D10" s="158"/>
      <c r="E10" s="159">
        <f t="shared" si="0"/>
        <v>29.44</v>
      </c>
      <c r="F10" s="159"/>
      <c r="G10" s="159"/>
      <c r="H10" s="160">
        <v>3.4099999999999998E-2</v>
      </c>
      <c r="I10" s="157">
        <f>2.8%+0.4%</f>
        <v>3.2000000000000001E-2</v>
      </c>
    </row>
    <row r="11" spans="1:9" ht="24" customHeight="1">
      <c r="A11" s="235" t="s">
        <v>58</v>
      </c>
      <c r="B11" s="235"/>
      <c r="C11" s="3"/>
      <c r="D11" s="158"/>
      <c r="E11" s="159">
        <f t="shared" si="0"/>
        <v>27.599999999999998</v>
      </c>
      <c r="F11" s="159"/>
      <c r="G11" s="159"/>
      <c r="H11" s="160">
        <v>1.0999999999999999E-2</v>
      </c>
      <c r="I11" s="157">
        <v>0.03</v>
      </c>
    </row>
  </sheetData>
  <mergeCells count="9"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workbookViewId="0">
      <pane xSplit="3" ySplit="6" topLeftCell="D19" activePane="bottomRight" state="frozen"/>
      <selection pane="topRight"/>
      <selection pane="bottomLeft"/>
      <selection pane="bottomRight" activeCell="C66" sqref="C66"/>
    </sheetView>
  </sheetViews>
  <sheetFormatPr defaultColWidth="9" defaultRowHeight="16.5"/>
  <cols>
    <col min="1" max="1" width="5.125" style="117" customWidth="1"/>
    <col min="2" max="2" width="28.5" style="117" customWidth="1"/>
    <col min="3" max="3" width="19" style="118" customWidth="1"/>
    <col min="4" max="4" width="17" style="118" customWidth="1"/>
    <col min="5" max="5" width="14.25" style="118" customWidth="1"/>
    <col min="6" max="7" width="13" style="118" hidden="1" customWidth="1"/>
    <col min="8" max="8" width="16.5" style="118" customWidth="1"/>
    <col min="9" max="9" width="15.5" style="117" customWidth="1"/>
    <col min="10" max="35" width="9" style="117"/>
    <col min="36" max="36" width="4.375" style="117" customWidth="1"/>
    <col min="37" max="37" width="13.875" style="117" customWidth="1"/>
    <col min="38" max="16384" width="9" style="117"/>
  </cols>
  <sheetData>
    <row r="1" spans="1:38" ht="27" customHeight="1">
      <c r="A1" s="188" t="s">
        <v>297</v>
      </c>
      <c r="B1" s="188"/>
      <c r="C1" s="188"/>
      <c r="D1" s="188"/>
      <c r="E1" s="188"/>
      <c r="F1" s="188"/>
      <c r="G1" s="188"/>
      <c r="H1" s="188"/>
    </row>
    <row r="2" spans="1:38" ht="15.75" customHeight="1">
      <c r="A2" s="189" t="s">
        <v>19</v>
      </c>
      <c r="B2" s="119" t="s">
        <v>1</v>
      </c>
      <c r="C2" s="119" t="s">
        <v>20</v>
      </c>
      <c r="D2" s="119" t="s">
        <v>21</v>
      </c>
      <c r="E2" s="119" t="s">
        <v>22</v>
      </c>
      <c r="F2" s="119" t="s">
        <v>23</v>
      </c>
      <c r="G2" s="119" t="s">
        <v>24</v>
      </c>
      <c r="H2" s="58" t="s">
        <v>25</v>
      </c>
      <c r="AL2" s="117" t="s">
        <v>26</v>
      </c>
    </row>
    <row r="3" spans="1:38" s="55" customFormat="1" ht="15.75" customHeight="1">
      <c r="A3" s="190"/>
      <c r="B3" s="60" t="s">
        <v>3</v>
      </c>
      <c r="C3" s="120">
        <f>'2021年'!L6</f>
        <v>13500</v>
      </c>
      <c r="D3" s="120">
        <f>'2022年'!L6</f>
        <v>49100</v>
      </c>
      <c r="E3" s="120">
        <f>'2023年'!L6</f>
        <v>48500</v>
      </c>
      <c r="F3" s="120">
        <f>'2024年'!L6</f>
        <v>0</v>
      </c>
      <c r="G3" s="120">
        <f>'2025年'!L6</f>
        <v>0</v>
      </c>
      <c r="H3" s="120">
        <f t="shared" ref="H3:H8" si="0">SUM(C3:G3)</f>
        <v>111100</v>
      </c>
      <c r="I3" s="76"/>
      <c r="AJ3" s="59" t="s">
        <v>19</v>
      </c>
      <c r="AK3" s="60" t="s">
        <v>3</v>
      </c>
      <c r="AL3" s="55" t="s">
        <v>27</v>
      </c>
    </row>
    <row r="4" spans="1:38" s="55" customFormat="1" ht="15.75" customHeight="1">
      <c r="A4" s="69">
        <v>1</v>
      </c>
      <c r="B4" s="60" t="s">
        <v>28</v>
      </c>
      <c r="C4" s="120">
        <f>'2021年'!L7</f>
        <v>23146000</v>
      </c>
      <c r="D4" s="120">
        <f>'2022年'!L7</f>
        <v>83059000</v>
      </c>
      <c r="E4" s="120">
        <f>'2023年'!L7</f>
        <v>82588000</v>
      </c>
      <c r="F4" s="120">
        <f>'2024年'!L7</f>
        <v>0</v>
      </c>
      <c r="G4" s="120">
        <f>'2025年'!L7</f>
        <v>0</v>
      </c>
      <c r="H4" s="120">
        <f t="shared" si="0"/>
        <v>188793000</v>
      </c>
      <c r="I4" s="76"/>
      <c r="AJ4" s="59" t="s">
        <v>29</v>
      </c>
      <c r="AK4" s="60" t="s">
        <v>28</v>
      </c>
      <c r="AL4" s="55" t="s">
        <v>27</v>
      </c>
    </row>
    <row r="5" spans="1:38" s="55" customFormat="1" ht="15.75" customHeight="1">
      <c r="A5" s="69">
        <v>2</v>
      </c>
      <c r="B5" s="57" t="s">
        <v>30</v>
      </c>
      <c r="C5" s="120">
        <f>'2021年'!L8</f>
        <v>0</v>
      </c>
      <c r="D5" s="120">
        <f>'2022年'!L8</f>
        <v>1661180.0000000014</v>
      </c>
      <c r="E5" s="120">
        <f>'2023年'!L8</f>
        <v>3270484.8000000068</v>
      </c>
      <c r="F5" s="120">
        <f>'2024年'!L8</f>
        <v>0</v>
      </c>
      <c r="G5" s="120">
        <f>'2025年'!L8</f>
        <v>0</v>
      </c>
      <c r="H5" s="120">
        <f t="shared" si="0"/>
        <v>4931664.8000000082</v>
      </c>
      <c r="I5" s="76"/>
      <c r="AJ5" s="59" t="s">
        <v>31</v>
      </c>
      <c r="AK5" s="57" t="s">
        <v>32</v>
      </c>
      <c r="AL5" s="55" t="s">
        <v>27</v>
      </c>
    </row>
    <row r="6" spans="1:38" s="55" customFormat="1" ht="15.75" customHeight="1">
      <c r="A6" s="69">
        <v>3</v>
      </c>
      <c r="B6" s="60" t="s">
        <v>33</v>
      </c>
      <c r="C6" s="121">
        <f>+C4-C5</f>
        <v>23146000</v>
      </c>
      <c r="D6" s="121">
        <f>'2022年'!L9</f>
        <v>81397820</v>
      </c>
      <c r="E6" s="121">
        <f>'2023年'!L9</f>
        <v>79317515.199999988</v>
      </c>
      <c r="F6" s="121">
        <f>'2024年'!L9</f>
        <v>0</v>
      </c>
      <c r="G6" s="121">
        <f>'2025年'!L9</f>
        <v>0</v>
      </c>
      <c r="H6" s="120">
        <f t="shared" si="0"/>
        <v>183861335.19999999</v>
      </c>
      <c r="I6" s="76"/>
      <c r="AJ6" s="59" t="s">
        <v>34</v>
      </c>
      <c r="AK6" s="60" t="s">
        <v>33</v>
      </c>
      <c r="AL6" s="55" t="s">
        <v>35</v>
      </c>
    </row>
    <row r="7" spans="1:38" s="55" customFormat="1" ht="15.75" customHeight="1">
      <c r="A7" s="69">
        <v>4</v>
      </c>
      <c r="B7" s="59" t="s">
        <v>36</v>
      </c>
      <c r="C7" s="120">
        <f>'2021年'!L10</f>
        <v>16202200</v>
      </c>
      <c r="D7" s="120">
        <f>'2022年'!L10</f>
        <v>56978474</v>
      </c>
      <c r="E7" s="120">
        <f>'2023年'!L10</f>
        <v>55522260.640000001</v>
      </c>
      <c r="F7" s="120">
        <f>'2024年'!L10</f>
        <v>0</v>
      </c>
      <c r="G7" s="120">
        <f>'2025年'!L10</f>
        <v>0</v>
      </c>
      <c r="H7" s="120">
        <f t="shared" si="0"/>
        <v>128702934.64</v>
      </c>
      <c r="I7" s="76"/>
      <c r="AJ7" s="59" t="s">
        <v>37</v>
      </c>
      <c r="AK7" s="59" t="s">
        <v>36</v>
      </c>
      <c r="AL7" s="55" t="s">
        <v>38</v>
      </c>
    </row>
    <row r="8" spans="1:38" s="55" customFormat="1" ht="15.75" customHeight="1">
      <c r="A8" s="69">
        <v>5</v>
      </c>
      <c r="B8" s="59" t="s">
        <v>39</v>
      </c>
      <c r="C8" s="120">
        <f>'2021年'!L11</f>
        <v>997596</v>
      </c>
      <c r="D8" s="120">
        <f>'2022年'!L11</f>
        <v>3579841</v>
      </c>
      <c r="E8" s="120">
        <f>'2023年'!L11</f>
        <v>3559542</v>
      </c>
      <c r="F8" s="120">
        <f>'2024年'!L11</f>
        <v>0</v>
      </c>
      <c r="G8" s="120">
        <f>'2025年'!L11</f>
        <v>0</v>
      </c>
      <c r="H8" s="120">
        <f t="shared" si="0"/>
        <v>8136979</v>
      </c>
      <c r="I8" s="76"/>
      <c r="AJ8" s="59" t="s">
        <v>40</v>
      </c>
      <c r="AK8" s="59" t="s">
        <v>39</v>
      </c>
    </row>
    <row r="9" spans="1:38" s="55" customFormat="1" ht="15.75" customHeight="1">
      <c r="A9" s="69">
        <v>6</v>
      </c>
      <c r="B9" s="59" t="s">
        <v>41</v>
      </c>
      <c r="C9" s="120">
        <f>'2021年'!L12</f>
        <v>502296</v>
      </c>
      <c r="D9" s="120">
        <f>'2022年'!L12</f>
        <v>1802450</v>
      </c>
      <c r="E9" s="120">
        <f>'2023年'!L12</f>
        <v>1792232</v>
      </c>
      <c r="F9" s="120">
        <f>'2024年'!L12</f>
        <v>0</v>
      </c>
      <c r="G9" s="120">
        <f>'2025年'!L12</f>
        <v>0</v>
      </c>
      <c r="H9" s="120">
        <f t="shared" ref="H9:H11" si="1">SUM(C9:G9)</f>
        <v>4096978</v>
      </c>
      <c r="I9" s="76"/>
      <c r="AJ9" s="59" t="s">
        <v>42</v>
      </c>
      <c r="AK9" s="59" t="s">
        <v>41</v>
      </c>
    </row>
    <row r="10" spans="1:38" s="55" customFormat="1" ht="15.75" customHeight="1">
      <c r="A10" s="69">
        <v>7</v>
      </c>
      <c r="B10" s="122" t="s">
        <v>43</v>
      </c>
      <c r="C10" s="120">
        <f>'2021年'!L13</f>
        <v>727642</v>
      </c>
      <c r="D10" s="120">
        <f>'2022年'!L13</f>
        <v>2618798</v>
      </c>
      <c r="E10" s="120">
        <f>'2023年'!L13</f>
        <v>2590696</v>
      </c>
      <c r="F10" s="120">
        <f>'2024年'!L13</f>
        <v>0</v>
      </c>
      <c r="G10" s="120">
        <f>'2025年'!L13</f>
        <v>0</v>
      </c>
      <c r="H10" s="120">
        <f t="shared" si="1"/>
        <v>5937136</v>
      </c>
      <c r="I10" s="76"/>
      <c r="AJ10" s="59" t="s">
        <v>44</v>
      </c>
      <c r="AK10" s="59" t="s">
        <v>43</v>
      </c>
      <c r="AL10" s="55" t="s">
        <v>27</v>
      </c>
    </row>
    <row r="11" spans="1:38" s="55" customFormat="1" ht="15.75" customHeight="1">
      <c r="A11" s="69">
        <v>8</v>
      </c>
      <c r="B11" s="123" t="s">
        <v>45</v>
      </c>
      <c r="C11" s="124">
        <f>'2021年'!L14</f>
        <v>2227534</v>
      </c>
      <c r="D11" s="124">
        <f>'2022年'!L14</f>
        <v>8001089</v>
      </c>
      <c r="E11" s="124">
        <f>'2023年'!L14</f>
        <v>7942470</v>
      </c>
      <c r="F11" s="124">
        <f>'2024年'!L14</f>
        <v>0</v>
      </c>
      <c r="G11" s="124">
        <f>'2025年'!L14</f>
        <v>0</v>
      </c>
      <c r="H11" s="120">
        <f t="shared" si="1"/>
        <v>18171093</v>
      </c>
      <c r="I11" s="76"/>
      <c r="AJ11" s="59" t="s">
        <v>46</v>
      </c>
      <c r="AK11" s="62" t="s">
        <v>45</v>
      </c>
    </row>
    <row r="12" spans="1:38" s="55" customFormat="1" ht="15.75" customHeight="1">
      <c r="A12" s="69">
        <v>9</v>
      </c>
      <c r="B12" s="125" t="s">
        <v>47</v>
      </c>
      <c r="C12" s="120">
        <f>'2021年'!L15</f>
        <v>4716266</v>
      </c>
      <c r="D12" s="120">
        <f>'2022年'!L15</f>
        <v>16418257.000000004</v>
      </c>
      <c r="E12" s="120">
        <f>'2023年'!L15</f>
        <v>15852784.559999999</v>
      </c>
      <c r="F12" s="120">
        <f>'2024年'!L15</f>
        <v>0</v>
      </c>
      <c r="G12" s="120">
        <f>'2025年'!L15</f>
        <v>0</v>
      </c>
      <c r="H12" s="120">
        <f>H6-H7-H11</f>
        <v>36987307.559999987</v>
      </c>
      <c r="I12" s="76"/>
      <c r="K12" s="117"/>
      <c r="L12" s="117"/>
      <c r="M12" s="117"/>
      <c r="N12" s="117"/>
      <c r="O12" s="117"/>
      <c r="P12" s="117"/>
      <c r="AJ12" s="59" t="s">
        <v>48</v>
      </c>
      <c r="AK12" s="62" t="s">
        <v>47</v>
      </c>
    </row>
    <row r="13" spans="1:38" ht="15.75" customHeight="1">
      <c r="A13" s="69">
        <v>10</v>
      </c>
      <c r="B13" s="126" t="s">
        <v>49</v>
      </c>
      <c r="C13" s="127">
        <f>+C12/C6</f>
        <v>0.20376160027650567</v>
      </c>
      <c r="D13" s="127">
        <f>'2022年'!L16</f>
        <v>0.20170389084130266</v>
      </c>
      <c r="E13" s="127">
        <f>'2023年'!L16</f>
        <v>0.19986486616514684</v>
      </c>
      <c r="F13" s="127" t="e">
        <f>'2024年'!L16</f>
        <v>#DIV/0!</v>
      </c>
      <c r="G13" s="127" t="e">
        <f>'2025年'!L16</f>
        <v>#DIV/0!</v>
      </c>
      <c r="H13" s="127">
        <f>+H12/H6</f>
        <v>0.20116957988892051</v>
      </c>
      <c r="I13" s="76"/>
      <c r="AJ13" s="126" t="s">
        <v>50</v>
      </c>
      <c r="AK13" s="126" t="s">
        <v>49</v>
      </c>
    </row>
    <row r="14" spans="1:38" ht="15.75" customHeight="1">
      <c r="A14" s="69">
        <v>11</v>
      </c>
      <c r="B14" s="126" t="s">
        <v>51</v>
      </c>
      <c r="C14" s="120">
        <f>'2021年'!L17</f>
        <v>1393327.6666666663</v>
      </c>
      <c r="D14" s="120">
        <f>'2022年'!L17</f>
        <v>3813834.6666666665</v>
      </c>
      <c r="E14" s="120">
        <f>'2023年'!L17</f>
        <v>3794806.666666666</v>
      </c>
      <c r="F14" s="120" t="e">
        <f>'2024年'!L17</f>
        <v>#DIV/0!</v>
      </c>
      <c r="G14" s="120" t="e">
        <f>'2025年'!L17</f>
        <v>#DIV/0!</v>
      </c>
      <c r="H14" s="120">
        <f>SUM(C14:E14)</f>
        <v>9001969</v>
      </c>
      <c r="I14" s="76"/>
      <c r="AJ14" s="126" t="s">
        <v>52</v>
      </c>
      <c r="AK14" s="126" t="s">
        <v>51</v>
      </c>
    </row>
    <row r="15" spans="1:38" ht="15.75" hidden="1" customHeight="1">
      <c r="A15" s="167"/>
      <c r="B15" s="126"/>
      <c r="C15" s="120"/>
      <c r="D15" s="120"/>
      <c r="E15" s="120"/>
      <c r="F15" s="120"/>
      <c r="G15" s="120"/>
      <c r="H15" s="120"/>
      <c r="I15" s="76"/>
      <c r="AJ15" s="126"/>
      <c r="AK15" s="126"/>
    </row>
    <row r="16" spans="1:38" ht="15.75" customHeight="1">
      <c r="A16" s="69">
        <v>12</v>
      </c>
      <c r="B16" s="126" t="s">
        <v>53</v>
      </c>
      <c r="C16" s="128">
        <f>'2021年'!L19</f>
        <v>135716</v>
      </c>
      <c r="D16" s="128">
        <f>'2022年'!L19</f>
        <v>479323</v>
      </c>
      <c r="E16" s="128">
        <f>'2023年'!L19</f>
        <v>489859</v>
      </c>
      <c r="F16" s="128">
        <f>'2024年'!L19</f>
        <v>0</v>
      </c>
      <c r="G16" s="128">
        <f>'2025年'!L19</f>
        <v>0</v>
      </c>
      <c r="H16" s="120">
        <f>SUM(C16:G16)</f>
        <v>1104898</v>
      </c>
      <c r="I16" s="76"/>
      <c r="Q16" s="76"/>
      <c r="AJ16" s="126" t="s">
        <v>54</v>
      </c>
      <c r="AK16" s="126" t="s">
        <v>53</v>
      </c>
      <c r="AL16" s="117" t="s">
        <v>27</v>
      </c>
    </row>
    <row r="17" spans="1:38" ht="15.75" customHeight="1">
      <c r="A17" s="69">
        <v>13</v>
      </c>
      <c r="B17" s="126" t="s">
        <v>55</v>
      </c>
      <c r="C17" s="128">
        <f>'2021年'!L20</f>
        <v>629586</v>
      </c>
      <c r="D17" s="128">
        <f>'2022年'!L20</f>
        <v>2259243</v>
      </c>
      <c r="E17" s="128">
        <f>'2023年'!L20</f>
        <v>2246436</v>
      </c>
      <c r="F17" s="128">
        <f>'2024年'!L20</f>
        <v>0</v>
      </c>
      <c r="G17" s="128">
        <f>'2025年'!L20</f>
        <v>0</v>
      </c>
      <c r="H17" s="120">
        <f>SUM(C17:G17)</f>
        <v>5135265</v>
      </c>
      <c r="I17" s="76"/>
      <c r="AJ17" s="126" t="s">
        <v>56</v>
      </c>
      <c r="AK17" s="126" t="s">
        <v>55</v>
      </c>
    </row>
    <row r="18" spans="1:38" s="54" customFormat="1" ht="15.75" customHeight="1">
      <c r="A18" s="69">
        <v>14</v>
      </c>
      <c r="B18" s="67" t="s">
        <v>57</v>
      </c>
      <c r="C18" s="129">
        <f>'2021年'!L21</f>
        <v>126666.66666666667</v>
      </c>
      <c r="D18" s="129">
        <f>'2022年'!L21</f>
        <v>126666.66666666667</v>
      </c>
      <c r="E18" s="129">
        <f>'2023年'!L21</f>
        <v>126666.66666666667</v>
      </c>
      <c r="F18" s="129">
        <f>'2024年'!L21</f>
        <v>0</v>
      </c>
      <c r="G18" s="129">
        <f>'2025年'!L21</f>
        <v>0</v>
      </c>
      <c r="H18" s="120">
        <f>SUM(C18:G18)</f>
        <v>380000</v>
      </c>
      <c r="I18" s="76"/>
      <c r="AJ18" s="67"/>
      <c r="AK18" s="67"/>
    </row>
    <row r="19" spans="1:38" s="55" customFormat="1" ht="15.75" customHeight="1">
      <c r="A19" s="69">
        <v>15</v>
      </c>
      <c r="B19" s="59" t="s">
        <v>58</v>
      </c>
      <c r="C19" s="128">
        <f>'2021年'!L22</f>
        <v>694380</v>
      </c>
      <c r="D19" s="128">
        <f>'2022年'!L22</f>
        <v>2491770</v>
      </c>
      <c r="E19" s="128">
        <f>'2023年'!L22</f>
        <v>2477640</v>
      </c>
      <c r="F19" s="128">
        <f>'2024年'!L22</f>
        <v>0</v>
      </c>
      <c r="G19" s="128">
        <f>'2025年'!L22</f>
        <v>0</v>
      </c>
      <c r="H19" s="120">
        <f>SUM(C19:G19)</f>
        <v>5663790</v>
      </c>
      <c r="I19" s="76"/>
      <c r="AJ19" s="59" t="s">
        <v>59</v>
      </c>
      <c r="AK19" s="59" t="s">
        <v>58</v>
      </c>
    </row>
    <row r="20" spans="1:38" s="115" customFormat="1" ht="15.75" customHeight="1">
      <c r="A20" s="69">
        <v>16</v>
      </c>
      <c r="B20" s="130" t="s">
        <v>60</v>
      </c>
      <c r="C20" s="124">
        <f t="shared" ref="C20" si="2">+C19+C18+C17+C16+C14</f>
        <v>2979676.333333333</v>
      </c>
      <c r="D20" s="124">
        <f>'2022年'!L23</f>
        <v>9170837.3333333321</v>
      </c>
      <c r="E20" s="124">
        <f>'2023年'!L23</f>
        <v>9135408.3333333321</v>
      </c>
      <c r="F20" s="124" t="e">
        <f>'2024年'!L23</f>
        <v>#DIV/0!</v>
      </c>
      <c r="G20" s="124" t="e">
        <f>'2025年'!L23</f>
        <v>#DIV/0!</v>
      </c>
      <c r="H20" s="124">
        <f>SUM(C20:E20)</f>
        <v>21285921.999999996</v>
      </c>
      <c r="I20" s="76"/>
      <c r="AJ20" s="143" t="s">
        <v>61</v>
      </c>
      <c r="AK20" s="144" t="s">
        <v>60</v>
      </c>
    </row>
    <row r="21" spans="1:38" ht="15.75" customHeight="1">
      <c r="A21" s="69">
        <v>17</v>
      </c>
      <c r="B21" s="126" t="s">
        <v>62</v>
      </c>
      <c r="C21" s="131">
        <f>+C12-C20</f>
        <v>1736589.666666667</v>
      </c>
      <c r="D21" s="131">
        <f>'2022年'!L24</f>
        <v>7247419.6666666716</v>
      </c>
      <c r="E21" s="131">
        <f>'2023年'!L24</f>
        <v>6717376.2266666666</v>
      </c>
      <c r="F21" s="131" t="e">
        <f>'2024年'!L24</f>
        <v>#DIV/0!</v>
      </c>
      <c r="G21" s="131" t="e">
        <f>'2025年'!L24</f>
        <v>#DIV/0!</v>
      </c>
      <c r="H21" s="131">
        <f>+H12-H20</f>
        <v>15701385.559999991</v>
      </c>
      <c r="I21" s="76"/>
      <c r="AJ21" s="126" t="s">
        <v>63</v>
      </c>
      <c r="AK21" s="126" t="s">
        <v>62</v>
      </c>
    </row>
    <row r="22" spans="1:38" ht="15.75" customHeight="1">
      <c r="A22" s="69">
        <v>18</v>
      </c>
      <c r="B22" s="126" t="s">
        <v>64</v>
      </c>
      <c r="C22" s="131">
        <f>IF(C21&lt;0,0,C21*0.25)</f>
        <v>434147.41666666674</v>
      </c>
      <c r="D22" s="131">
        <f>'2022年'!L25</f>
        <v>1811854.9166666679</v>
      </c>
      <c r="E22" s="131">
        <f>'2023年'!L25</f>
        <v>1679344.0566666666</v>
      </c>
      <c r="F22" s="131" t="e">
        <f>'2024年'!L25</f>
        <v>#DIV/0!</v>
      </c>
      <c r="G22" s="131" t="e">
        <f>'2025年'!L25</f>
        <v>#DIV/0!</v>
      </c>
      <c r="H22" s="131">
        <f>IF(H21&lt;0,0,H21*0.25)</f>
        <v>3925346.3899999978</v>
      </c>
      <c r="I22" s="76"/>
      <c r="AJ22" s="126" t="s">
        <v>65</v>
      </c>
      <c r="AK22" s="126" t="s">
        <v>64</v>
      </c>
    </row>
    <row r="23" spans="1:38" ht="15.75" customHeight="1">
      <c r="A23" s="69">
        <v>19</v>
      </c>
      <c r="B23" s="126" t="s">
        <v>66</v>
      </c>
      <c r="C23" s="131">
        <f>C21-C22</f>
        <v>1302442.2500000002</v>
      </c>
      <c r="D23" s="131">
        <f t="shared" ref="D23:E23" si="3">D21-D22</f>
        <v>5435564.7500000037</v>
      </c>
      <c r="E23" s="131">
        <f t="shared" si="3"/>
        <v>5038032.17</v>
      </c>
      <c r="F23" s="131" t="e">
        <f>'2024年'!L26</f>
        <v>#DIV/0!</v>
      </c>
      <c r="G23" s="131" t="e">
        <f>'2025年'!L26</f>
        <v>#DIV/0!</v>
      </c>
      <c r="H23" s="131">
        <f>H21-H22</f>
        <v>11776039.169999994</v>
      </c>
      <c r="I23" s="76"/>
      <c r="AJ23" s="126" t="s">
        <v>67</v>
      </c>
      <c r="AK23" s="126" t="s">
        <v>66</v>
      </c>
    </row>
    <row r="24" spans="1:38" ht="15.75" customHeight="1">
      <c r="A24" s="69">
        <v>20</v>
      </c>
      <c r="B24" s="126" t="s">
        <v>68</v>
      </c>
      <c r="C24" s="132">
        <f>(C23/C4)*100%</f>
        <v>5.6270727123477068E-2</v>
      </c>
      <c r="D24" s="132">
        <f t="shared" ref="D24:E24" si="4">(D23/D4)*100%</f>
        <v>6.5442212764420513E-2</v>
      </c>
      <c r="E24" s="132">
        <f t="shared" si="4"/>
        <v>6.1001987819053617E-2</v>
      </c>
      <c r="F24" s="132" t="e">
        <f>'2024年'!L27</f>
        <v>#DIV/0!</v>
      </c>
      <c r="G24" s="132" t="e">
        <f>'2025年'!L27</f>
        <v>#DIV/0!</v>
      </c>
      <c r="H24" s="132">
        <f>(H23/H4)*100%</f>
        <v>6.2375401471452832E-2</v>
      </c>
      <c r="I24" s="76"/>
      <c r="AJ24" s="145" t="s">
        <v>69</v>
      </c>
      <c r="AK24" s="145" t="s">
        <v>70</v>
      </c>
    </row>
    <row r="25" spans="1:38" s="116" customFormat="1" ht="15.75" customHeight="1">
      <c r="C25" s="133"/>
      <c r="D25" s="133"/>
      <c r="E25" s="133"/>
      <c r="F25" s="133"/>
      <c r="G25" s="133"/>
      <c r="H25" s="133"/>
      <c r="I25" s="142"/>
    </row>
    <row r="26" spans="1:38" s="116" customFormat="1" ht="15.75" hidden="1" customHeight="1">
      <c r="A26" s="116" t="s">
        <v>71</v>
      </c>
      <c r="C26" s="134"/>
      <c r="D26" s="134"/>
      <c r="E26" s="134"/>
      <c r="F26" s="134"/>
      <c r="G26" s="134"/>
      <c r="H26" s="134"/>
      <c r="I26" s="142"/>
      <c r="AJ26" s="116" t="s">
        <v>71</v>
      </c>
    </row>
    <row r="27" spans="1:38" ht="15.75" hidden="1" customHeight="1">
      <c r="A27" s="126" t="s">
        <v>19</v>
      </c>
      <c r="B27" s="135" t="s">
        <v>1</v>
      </c>
      <c r="C27" s="119" t="s">
        <v>72</v>
      </c>
      <c r="D27" s="119" t="s">
        <v>21</v>
      </c>
      <c r="E27" s="119" t="s">
        <v>73</v>
      </c>
      <c r="F27" s="119" t="s">
        <v>74</v>
      </c>
      <c r="G27" s="119" t="s">
        <v>75</v>
      </c>
      <c r="H27" s="58" t="s">
        <v>25</v>
      </c>
      <c r="AL27" s="117" t="s">
        <v>26</v>
      </c>
    </row>
    <row r="28" spans="1:38" s="55" customFormat="1" ht="15.75" hidden="1" customHeight="1">
      <c r="A28" s="59" t="s">
        <v>76</v>
      </c>
      <c r="B28" s="62" t="s">
        <v>77</v>
      </c>
      <c r="C28" s="66"/>
      <c r="D28" s="66"/>
      <c r="E28" s="66"/>
      <c r="F28" s="66"/>
      <c r="G28" s="66"/>
      <c r="H28" s="66"/>
      <c r="I28" s="76"/>
      <c r="AJ28" s="59" t="s">
        <v>78</v>
      </c>
      <c r="AK28" s="62" t="s">
        <v>77</v>
      </c>
    </row>
    <row r="29" spans="1:38" s="55" customFormat="1" ht="15.75" hidden="1" customHeight="1">
      <c r="A29" s="59" t="s">
        <v>29</v>
      </c>
      <c r="B29" s="59" t="s">
        <v>79</v>
      </c>
      <c r="C29" s="61">
        <f>+C6/C3</f>
        <v>1714.5185185185185</v>
      </c>
      <c r="D29" s="61">
        <f t="shared" ref="D29:G29" si="5">+D6/D3</f>
        <v>1657.7967413441954</v>
      </c>
      <c r="E29" s="61">
        <f t="shared" si="5"/>
        <v>1635.4126845360822</v>
      </c>
      <c r="F29" s="61" t="e">
        <f t="shared" si="5"/>
        <v>#DIV/0!</v>
      </c>
      <c r="G29" s="61" t="e">
        <f t="shared" si="5"/>
        <v>#DIV/0!</v>
      </c>
      <c r="H29" s="61">
        <f>+H6/H3</f>
        <v>1654.917508550855</v>
      </c>
      <c r="I29" s="76"/>
      <c r="AJ29" s="59" t="s">
        <v>29</v>
      </c>
      <c r="AK29" s="59" t="s">
        <v>79</v>
      </c>
    </row>
    <row r="30" spans="1:38" s="55" customFormat="1" ht="15.75" hidden="1" customHeight="1">
      <c r="A30" s="59" t="s">
        <v>31</v>
      </c>
      <c r="B30" s="59" t="s">
        <v>80</v>
      </c>
      <c r="C30" s="61">
        <f>+C7/C3</f>
        <v>1200.1629629629629</v>
      </c>
      <c r="D30" s="61">
        <f t="shared" ref="D30:G30" si="6">+D7/D3</f>
        <v>1160.457718940937</v>
      </c>
      <c r="E30" s="61">
        <f t="shared" si="6"/>
        <v>1144.7888791752578</v>
      </c>
      <c r="F30" s="61" t="e">
        <f t="shared" si="6"/>
        <v>#DIV/0!</v>
      </c>
      <c r="G30" s="61" t="e">
        <f t="shared" si="6"/>
        <v>#DIV/0!</v>
      </c>
      <c r="H30" s="61">
        <f>+H7/H3</f>
        <v>1158.4422559855986</v>
      </c>
      <c r="I30" s="76"/>
      <c r="AJ30" s="59" t="s">
        <v>31</v>
      </c>
      <c r="AK30" s="59" t="s">
        <v>80</v>
      </c>
    </row>
    <row r="31" spans="1:38" s="55" customFormat="1" ht="15.75" hidden="1" customHeight="1">
      <c r="A31" s="59" t="s">
        <v>81</v>
      </c>
      <c r="B31" s="59" t="s">
        <v>82</v>
      </c>
      <c r="C31" s="66">
        <f t="shared" ref="C31:G31" si="7">C29-C30</f>
        <v>514.35555555555561</v>
      </c>
      <c r="D31" s="66">
        <f t="shared" si="7"/>
        <v>497.33902240325847</v>
      </c>
      <c r="E31" s="66">
        <f t="shared" si="7"/>
        <v>490.62380536082446</v>
      </c>
      <c r="F31" s="66" t="e">
        <f t="shared" si="7"/>
        <v>#DIV/0!</v>
      </c>
      <c r="G31" s="66" t="e">
        <f t="shared" si="7"/>
        <v>#DIV/0!</v>
      </c>
      <c r="H31" s="66">
        <f t="shared" ref="H31" si="8">H29-H30</f>
        <v>496.47525256525637</v>
      </c>
      <c r="I31" s="76"/>
      <c r="AJ31" s="59" t="s">
        <v>81</v>
      </c>
      <c r="AK31" s="59" t="s">
        <v>82</v>
      </c>
    </row>
    <row r="32" spans="1:38" s="55" customFormat="1" ht="15.75" hidden="1" customHeight="1">
      <c r="A32" s="59">
        <v>3.1</v>
      </c>
      <c r="B32" s="59" t="s">
        <v>83</v>
      </c>
      <c r="C32" s="136">
        <f t="shared" ref="C32:G32" si="9">C31/C29</f>
        <v>0.30000000000000004</v>
      </c>
      <c r="D32" s="136">
        <f t="shared" si="9"/>
        <v>0.29999999999999988</v>
      </c>
      <c r="E32" s="136">
        <f t="shared" si="9"/>
        <v>0.29999999999999988</v>
      </c>
      <c r="F32" s="136" t="e">
        <f t="shared" si="9"/>
        <v>#DIV/0!</v>
      </c>
      <c r="G32" s="136" t="e">
        <f t="shared" si="9"/>
        <v>#DIV/0!</v>
      </c>
      <c r="H32" s="136">
        <f t="shared" ref="H32" si="10">H31/H29</f>
        <v>0.29999999999999993</v>
      </c>
      <c r="I32" s="76"/>
      <c r="AJ32" s="59"/>
      <c r="AK32" s="59"/>
    </row>
    <row r="33" spans="1:37" s="55" customFormat="1" ht="15.75" hidden="1" customHeight="1">
      <c r="A33" s="59" t="s">
        <v>78</v>
      </c>
      <c r="B33" s="62" t="s">
        <v>10</v>
      </c>
      <c r="C33" s="66"/>
      <c r="D33" s="66"/>
      <c r="E33" s="66"/>
      <c r="F33" s="66"/>
      <c r="G33" s="66"/>
      <c r="H33" s="66"/>
      <c r="I33" s="76"/>
      <c r="AJ33" s="59" t="s">
        <v>84</v>
      </c>
      <c r="AK33" s="62" t="s">
        <v>10</v>
      </c>
    </row>
    <row r="34" spans="1:37" s="55" customFormat="1" ht="15.75" hidden="1" customHeight="1">
      <c r="A34" s="59" t="s">
        <v>29</v>
      </c>
      <c r="B34" s="67" t="s">
        <v>85</v>
      </c>
      <c r="C34" s="61">
        <f>+C8/C3</f>
        <v>73.896000000000001</v>
      </c>
      <c r="D34" s="61">
        <f t="shared" ref="D34:G34" si="11">+D8/D3</f>
        <v>72.909185336048878</v>
      </c>
      <c r="E34" s="61">
        <f t="shared" si="11"/>
        <v>73.392618556701038</v>
      </c>
      <c r="F34" s="61" t="e">
        <f t="shared" si="11"/>
        <v>#DIV/0!</v>
      </c>
      <c r="G34" s="61" t="e">
        <f t="shared" si="11"/>
        <v>#DIV/0!</v>
      </c>
      <c r="H34" s="61">
        <f>+H8/H3</f>
        <v>73.240135013501344</v>
      </c>
      <c r="I34" s="76"/>
      <c r="AJ34" s="59" t="s">
        <v>81</v>
      </c>
      <c r="AK34" s="59" t="s">
        <v>85</v>
      </c>
    </row>
    <row r="35" spans="1:37" s="55" customFormat="1" ht="15.75" hidden="1" customHeight="1">
      <c r="A35" s="59" t="s">
        <v>31</v>
      </c>
      <c r="B35" s="67" t="s">
        <v>86</v>
      </c>
      <c r="C35" s="61">
        <f>+C9/C3</f>
        <v>37.207111111111111</v>
      </c>
      <c r="D35" s="61">
        <f t="shared" ref="D35:G35" si="12">+D9/D3</f>
        <v>36.709775967413442</v>
      </c>
      <c r="E35" s="61">
        <f t="shared" si="12"/>
        <v>36.953237113402061</v>
      </c>
      <c r="F35" s="61" t="e">
        <f t="shared" si="12"/>
        <v>#DIV/0!</v>
      </c>
      <c r="G35" s="61" t="e">
        <f t="shared" si="12"/>
        <v>#DIV/0!</v>
      </c>
      <c r="H35" s="61">
        <f>+H9/H3</f>
        <v>36.876489648964899</v>
      </c>
      <c r="I35" s="76"/>
      <c r="AJ35" s="59" t="s">
        <v>34</v>
      </c>
      <c r="AK35" s="59" t="s">
        <v>86</v>
      </c>
    </row>
    <row r="36" spans="1:37" s="55" customFormat="1" ht="15.75" hidden="1" customHeight="1">
      <c r="A36" s="59" t="s">
        <v>81</v>
      </c>
      <c r="B36" s="67" t="s">
        <v>87</v>
      </c>
      <c r="C36" s="61">
        <f>+C10/C3</f>
        <v>53.899407407407409</v>
      </c>
      <c r="D36" s="61">
        <f t="shared" ref="D36:G36" si="13">+D10/D3</f>
        <v>53.336008146639514</v>
      </c>
      <c r="E36" s="61">
        <f t="shared" si="13"/>
        <v>53.416412371134022</v>
      </c>
      <c r="F36" s="61" t="e">
        <f t="shared" si="13"/>
        <v>#DIV/0!</v>
      </c>
      <c r="G36" s="61" t="e">
        <f t="shared" si="13"/>
        <v>#DIV/0!</v>
      </c>
      <c r="H36" s="61">
        <f>+H10/H3</f>
        <v>53.439567956795678</v>
      </c>
      <c r="I36" s="76"/>
      <c r="AJ36" s="59" t="s">
        <v>40</v>
      </c>
      <c r="AK36" s="59" t="s">
        <v>87</v>
      </c>
    </row>
    <row r="37" spans="1:37" s="55" customFormat="1" ht="15.75" hidden="1" customHeight="1">
      <c r="A37" s="59" t="s">
        <v>88</v>
      </c>
      <c r="B37" s="125" t="s">
        <v>89</v>
      </c>
      <c r="C37" s="61"/>
      <c r="D37" s="61"/>
      <c r="E37" s="61"/>
      <c r="F37" s="61"/>
      <c r="G37" s="61"/>
      <c r="H37" s="61"/>
      <c r="I37" s="76"/>
      <c r="AJ37" s="59" t="s">
        <v>88</v>
      </c>
      <c r="AK37" s="62" t="s">
        <v>89</v>
      </c>
    </row>
    <row r="38" spans="1:37" s="55" customFormat="1" ht="15.75" hidden="1" customHeight="1">
      <c r="A38" s="59" t="s">
        <v>29</v>
      </c>
      <c r="B38" s="67" t="s">
        <v>90</v>
      </c>
      <c r="C38" s="61">
        <f>+C12/C3</f>
        <v>349.35303703703704</v>
      </c>
      <c r="D38" s="61">
        <f t="shared" ref="D38:G38" si="14">+D12/D3</f>
        <v>334.38405295315692</v>
      </c>
      <c r="E38" s="61">
        <f t="shared" si="14"/>
        <v>326.86153731958763</v>
      </c>
      <c r="F38" s="61" t="e">
        <f t="shared" si="14"/>
        <v>#DIV/0!</v>
      </c>
      <c r="G38" s="61" t="e">
        <f t="shared" si="14"/>
        <v>#DIV/0!</v>
      </c>
      <c r="H38" s="61">
        <f>+H12/H3</f>
        <v>332.91905994599449</v>
      </c>
      <c r="I38" s="76"/>
      <c r="AJ38" s="59" t="s">
        <v>29</v>
      </c>
      <c r="AK38" s="59" t="s">
        <v>91</v>
      </c>
    </row>
    <row r="39" spans="1:37" s="55" customFormat="1" ht="15.75" hidden="1" customHeight="1">
      <c r="A39" s="59" t="s">
        <v>31</v>
      </c>
      <c r="B39" s="67" t="s">
        <v>92</v>
      </c>
      <c r="C39" s="120">
        <f t="shared" ref="C39:G39" si="15">+C20/C38</f>
        <v>8529.1267498482903</v>
      </c>
      <c r="D39" s="120">
        <f t="shared" si="15"/>
        <v>27426.060699784786</v>
      </c>
      <c r="E39" s="120">
        <f t="shared" si="15"/>
        <v>27948.863020861405</v>
      </c>
      <c r="F39" s="120" t="e">
        <f t="shared" si="15"/>
        <v>#DIV/0!</v>
      </c>
      <c r="G39" s="120" t="e">
        <f t="shared" si="15"/>
        <v>#DIV/0!</v>
      </c>
      <c r="H39" s="120">
        <f t="shared" ref="H39" si="16">+H20/H38</f>
        <v>63937.228476654229</v>
      </c>
      <c r="I39" s="76"/>
      <c r="AJ39" s="59" t="s">
        <v>31</v>
      </c>
      <c r="AK39" s="59" t="s">
        <v>92</v>
      </c>
    </row>
    <row r="40" spans="1:37" s="55" customFormat="1" ht="15.75" hidden="1" customHeight="1">
      <c r="A40" s="59" t="s">
        <v>93</v>
      </c>
      <c r="B40" s="62" t="s">
        <v>94</v>
      </c>
      <c r="C40" s="66"/>
      <c r="D40" s="66"/>
      <c r="E40" s="66"/>
      <c r="F40" s="66"/>
      <c r="G40" s="66"/>
      <c r="H40" s="66"/>
      <c r="I40" s="76"/>
      <c r="AJ40" s="59" t="s">
        <v>93</v>
      </c>
      <c r="AK40" s="62" t="s">
        <v>94</v>
      </c>
    </row>
    <row r="41" spans="1:37" s="55" customFormat="1" ht="15.75" hidden="1" customHeight="1">
      <c r="A41" s="59" t="s">
        <v>29</v>
      </c>
      <c r="B41" s="59" t="s">
        <v>95</v>
      </c>
      <c r="C41" s="66">
        <f>+C14/C3</f>
        <v>103.20945679012343</v>
      </c>
      <c r="D41" s="66">
        <f t="shared" ref="D41:G41" si="17">+D14/D3</f>
        <v>77.674840461642901</v>
      </c>
      <c r="E41" s="66">
        <f t="shared" si="17"/>
        <v>78.24343642611683</v>
      </c>
      <c r="F41" s="66" t="e">
        <f t="shared" si="17"/>
        <v>#DIV/0!</v>
      </c>
      <c r="G41" s="66" t="e">
        <f t="shared" si="17"/>
        <v>#DIV/0!</v>
      </c>
      <c r="H41" s="66">
        <f>+H14/H3</f>
        <v>81.025823582358242</v>
      </c>
      <c r="I41" s="76"/>
      <c r="AJ41" s="59" t="s">
        <v>29</v>
      </c>
      <c r="AK41" s="59" t="s">
        <v>95</v>
      </c>
    </row>
    <row r="42" spans="1:37" s="55" customFormat="1" ht="15.75" hidden="1" customHeight="1">
      <c r="A42" s="59" t="s">
        <v>31</v>
      </c>
      <c r="B42" s="59" t="s">
        <v>96</v>
      </c>
      <c r="C42" s="66">
        <f>+C16/C3</f>
        <v>10.053037037037036</v>
      </c>
      <c r="D42" s="66">
        <f t="shared" ref="D42:G42" si="18">+D16/D3</f>
        <v>9.7621792260692466</v>
      </c>
      <c r="E42" s="66">
        <f t="shared" si="18"/>
        <v>10.100185567010309</v>
      </c>
      <c r="F42" s="66" t="e">
        <f t="shared" si="18"/>
        <v>#DIV/0!</v>
      </c>
      <c r="G42" s="66" t="e">
        <f t="shared" si="18"/>
        <v>#DIV/0!</v>
      </c>
      <c r="H42" s="66">
        <f>+H16/H3</f>
        <v>9.9450765076507643</v>
      </c>
      <c r="I42" s="76"/>
      <c r="AJ42" s="59" t="s">
        <v>31</v>
      </c>
      <c r="AK42" s="59" t="s">
        <v>96</v>
      </c>
    </row>
    <row r="43" spans="1:37" s="55" customFormat="1" ht="15.75" hidden="1" customHeight="1">
      <c r="A43" s="59" t="s">
        <v>81</v>
      </c>
      <c r="B43" s="59" t="s">
        <v>97</v>
      </c>
      <c r="C43" s="66">
        <f>+C17/C3</f>
        <v>46.636000000000003</v>
      </c>
      <c r="D43" s="66">
        <f t="shared" ref="D43:G43" si="19">+D17/D3</f>
        <v>46.01309572301426</v>
      </c>
      <c r="E43" s="66">
        <f t="shared" si="19"/>
        <v>46.318268041237111</v>
      </c>
      <c r="F43" s="66" t="e">
        <f t="shared" si="19"/>
        <v>#DIV/0!</v>
      </c>
      <c r="G43" s="66" t="e">
        <f t="shared" si="19"/>
        <v>#DIV/0!</v>
      </c>
      <c r="H43" s="66">
        <f>+H17/H3</f>
        <v>46.222007200720071</v>
      </c>
      <c r="I43" s="76"/>
      <c r="AJ43" s="59" t="s">
        <v>81</v>
      </c>
      <c r="AK43" s="59" t="s">
        <v>97</v>
      </c>
    </row>
    <row r="44" spans="1:37" s="55" customFormat="1" ht="15.75" hidden="1" customHeight="1">
      <c r="A44" s="59" t="s">
        <v>34</v>
      </c>
      <c r="B44" s="59" t="s">
        <v>98</v>
      </c>
      <c r="C44" s="66"/>
      <c r="D44" s="66"/>
      <c r="E44" s="66"/>
      <c r="F44" s="66"/>
      <c r="G44" s="66"/>
      <c r="H44" s="66"/>
      <c r="I44" s="76"/>
      <c r="AJ44" s="59" t="s">
        <v>34</v>
      </c>
      <c r="AK44" s="59" t="s">
        <v>99</v>
      </c>
    </row>
    <row r="45" spans="1:37" s="55" customFormat="1" ht="15.75" hidden="1" customHeight="1">
      <c r="A45" s="59" t="s">
        <v>37</v>
      </c>
      <c r="B45" s="59" t="s">
        <v>100</v>
      </c>
      <c r="C45" s="66"/>
      <c r="D45" s="66"/>
      <c r="E45" s="66"/>
      <c r="F45" s="66"/>
      <c r="G45" s="66"/>
      <c r="H45" s="66"/>
      <c r="I45" s="76"/>
      <c r="AJ45" s="59" t="s">
        <v>37</v>
      </c>
      <c r="AK45" s="59" t="s">
        <v>100</v>
      </c>
    </row>
    <row r="46" spans="1:37" s="55" customFormat="1" ht="15.75" hidden="1" customHeight="1">
      <c r="A46" s="59" t="s">
        <v>101</v>
      </c>
      <c r="B46" s="62" t="s">
        <v>102</v>
      </c>
      <c r="C46" s="66"/>
      <c r="D46" s="66"/>
      <c r="E46" s="66"/>
      <c r="F46" s="66"/>
      <c r="G46" s="66"/>
      <c r="H46" s="66"/>
      <c r="I46" s="76"/>
      <c r="AJ46" s="59" t="s">
        <v>101</v>
      </c>
      <c r="AK46" s="62" t="s">
        <v>102</v>
      </c>
    </row>
    <row r="47" spans="1:37" s="55" customFormat="1" ht="15.75" hidden="1" customHeight="1">
      <c r="A47" s="59" t="s">
        <v>29</v>
      </c>
      <c r="B47" s="59" t="s">
        <v>103</v>
      </c>
      <c r="C47" s="137">
        <f>+(C10+C16)/C6</f>
        <v>3.7300527088913848E-2</v>
      </c>
      <c r="D47" s="137">
        <f t="shared" ref="D47:G47" si="20">+(D10+D16)/D6</f>
        <v>3.8061473882224361E-2</v>
      </c>
      <c r="E47" s="137">
        <f t="shared" si="20"/>
        <v>3.883826910402257E-2</v>
      </c>
      <c r="F47" s="137" t="e">
        <f t="shared" si="20"/>
        <v>#DIV/0!</v>
      </c>
      <c r="G47" s="137" t="e">
        <f t="shared" si="20"/>
        <v>#DIV/0!</v>
      </c>
      <c r="H47" s="137">
        <f>+(H10+H16)/H6</f>
        <v>3.8300787886370147E-2</v>
      </c>
      <c r="I47" s="76"/>
      <c r="AJ47" s="59" t="s">
        <v>29</v>
      </c>
      <c r="AK47" s="59" t="s">
        <v>103</v>
      </c>
    </row>
    <row r="48" spans="1:37" s="55" customFormat="1" ht="15.75" hidden="1" customHeight="1">
      <c r="A48" s="59" t="s">
        <v>31</v>
      </c>
      <c r="B48" s="59" t="s">
        <v>104</v>
      </c>
      <c r="C48" s="137">
        <f>+(C8+C9+C14)/C6</f>
        <v>0.12499868947838357</v>
      </c>
      <c r="D48" s="137">
        <f t="shared" ref="D48:G48" si="21">+(D8+D9+D14)/D6</f>
        <v>0.11297754247800083</v>
      </c>
      <c r="E48" s="137">
        <f t="shared" si="21"/>
        <v>0.11531602627242497</v>
      </c>
      <c r="F48" s="137" t="e">
        <f t="shared" si="21"/>
        <v>#DIV/0!</v>
      </c>
      <c r="G48" s="137" t="e">
        <f t="shared" si="21"/>
        <v>#DIV/0!</v>
      </c>
      <c r="H48" s="137">
        <f>+(H8+H9+H14)/H6</f>
        <v>0.11549968337225477</v>
      </c>
      <c r="I48" s="76"/>
      <c r="AJ48" s="59" t="s">
        <v>31</v>
      </c>
      <c r="AK48" s="59" t="s">
        <v>104</v>
      </c>
    </row>
    <row r="49" spans="1:37" s="55" customFormat="1" ht="15.75" hidden="1" customHeight="1">
      <c r="A49" s="59" t="s">
        <v>81</v>
      </c>
      <c r="B49" s="59" t="s">
        <v>105</v>
      </c>
      <c r="C49" s="137">
        <f>+C17/C6</f>
        <v>2.7200639419338115E-2</v>
      </c>
      <c r="D49" s="137">
        <f t="shared" ref="D49:G49" si="22">+D17/D6</f>
        <v>2.7755571340854091E-2</v>
      </c>
      <c r="E49" s="137">
        <f t="shared" si="22"/>
        <v>2.8322067255077101E-2</v>
      </c>
      <c r="F49" s="137" t="e">
        <f t="shared" si="22"/>
        <v>#DIV/0!</v>
      </c>
      <c r="G49" s="137" t="e">
        <f t="shared" si="22"/>
        <v>#DIV/0!</v>
      </c>
      <c r="H49" s="137">
        <f>+H17/H6</f>
        <v>2.7930097398748795E-2</v>
      </c>
      <c r="I49" s="76"/>
      <c r="AJ49" s="59" t="s">
        <v>81</v>
      </c>
      <c r="AK49" s="59" t="s">
        <v>105</v>
      </c>
    </row>
    <row r="50" spans="1:37" s="55" customFormat="1" ht="15.75" hidden="1" customHeight="1">
      <c r="A50" s="59" t="s">
        <v>34</v>
      </c>
      <c r="B50" s="59" t="s">
        <v>106</v>
      </c>
      <c r="C50" s="137">
        <f>+C18/C6</f>
        <v>5.4725078487283625E-3</v>
      </c>
      <c r="D50" s="137">
        <f t="shared" ref="D50:G50" si="23">+D18/D6</f>
        <v>1.5561432316819623E-3</v>
      </c>
      <c r="E50" s="137">
        <f t="shared" si="23"/>
        <v>1.5969570699141959E-3</v>
      </c>
      <c r="F50" s="137" t="e">
        <f t="shared" si="23"/>
        <v>#DIV/0!</v>
      </c>
      <c r="G50" s="137" t="e">
        <f t="shared" si="23"/>
        <v>#DIV/0!</v>
      </c>
      <c r="H50" s="137">
        <f>+H18/H6</f>
        <v>2.0667749398569583E-3</v>
      </c>
      <c r="I50" s="76"/>
      <c r="AJ50" s="59" t="s">
        <v>34</v>
      </c>
      <c r="AK50" s="59" t="s">
        <v>106</v>
      </c>
    </row>
    <row r="51" spans="1:37" s="55" customFormat="1" ht="15.75" hidden="1" customHeight="1">
      <c r="A51" s="59" t="s">
        <v>37</v>
      </c>
      <c r="B51" s="59" t="s">
        <v>107</v>
      </c>
      <c r="C51" s="137">
        <f>+C19/C6</f>
        <v>0.03</v>
      </c>
      <c r="D51" s="137">
        <f t="shared" ref="D51:G51" si="24">+D19/D6</f>
        <v>3.0612244897959183E-2</v>
      </c>
      <c r="E51" s="137">
        <f t="shared" si="24"/>
        <v>3.1236984589754272E-2</v>
      </c>
      <c r="F51" s="137" t="e">
        <f t="shared" si="24"/>
        <v>#DIV/0!</v>
      </c>
      <c r="G51" s="137" t="e">
        <f t="shared" si="24"/>
        <v>#DIV/0!</v>
      </c>
      <c r="H51" s="137">
        <f>+H19/H6</f>
        <v>3.0804682201611686E-2</v>
      </c>
      <c r="I51" s="76"/>
      <c r="AJ51" s="59" t="s">
        <v>37</v>
      </c>
      <c r="AK51" s="59" t="s">
        <v>107</v>
      </c>
    </row>
    <row r="52" spans="1:37" s="55" customFormat="1" ht="15.75" hidden="1" customHeight="1">
      <c r="A52" s="59" t="s">
        <v>40</v>
      </c>
      <c r="B52" s="59" t="s">
        <v>108</v>
      </c>
      <c r="C52" s="137">
        <f>+C23/C6</f>
        <v>5.6270727123477068E-2</v>
      </c>
      <c r="D52" s="137">
        <f t="shared" ref="D52:G52" si="25">+D23/D6</f>
        <v>6.6777768126959708E-2</v>
      </c>
      <c r="E52" s="137">
        <f t="shared" si="25"/>
        <v>6.3517271781605184E-2</v>
      </c>
      <c r="F52" s="137" t="e">
        <f t="shared" si="25"/>
        <v>#DIV/0!</v>
      </c>
      <c r="G52" s="137" t="e">
        <f t="shared" si="25"/>
        <v>#DIV/0!</v>
      </c>
      <c r="H52" s="137">
        <f>+H23/H6</f>
        <v>6.4048480650868211E-2</v>
      </c>
      <c r="I52" s="76"/>
      <c r="AJ52" s="59" t="s">
        <v>40</v>
      </c>
      <c r="AK52" s="59" t="s">
        <v>109</v>
      </c>
    </row>
    <row r="53" spans="1:37" s="55" customFormat="1" ht="15.75" hidden="1" customHeight="1">
      <c r="A53" s="59" t="s">
        <v>110</v>
      </c>
      <c r="B53" s="62" t="s">
        <v>111</v>
      </c>
      <c r="C53" s="66">
        <f>+C21/C3</f>
        <v>128.63627160493829</v>
      </c>
      <c r="D53" s="66">
        <f t="shared" ref="D53:G53" si="26">+D21/D3</f>
        <v>147.60528852681611</v>
      </c>
      <c r="E53" s="66">
        <f t="shared" si="26"/>
        <v>138.50260261168384</v>
      </c>
      <c r="F53" s="66" t="e">
        <f t="shared" si="26"/>
        <v>#DIV/0!</v>
      </c>
      <c r="G53" s="66" t="e">
        <f t="shared" si="26"/>
        <v>#DIV/0!</v>
      </c>
      <c r="H53" s="66">
        <f>+H21/H3</f>
        <v>141.32660270026994</v>
      </c>
      <c r="I53" s="76"/>
      <c r="AJ53" s="59" t="s">
        <v>110</v>
      </c>
      <c r="AK53" s="62" t="s">
        <v>111</v>
      </c>
    </row>
    <row r="54" spans="1:37" s="55" customFormat="1" ht="15.75" hidden="1" customHeight="1">
      <c r="A54" s="59" t="s">
        <v>112</v>
      </c>
      <c r="B54" s="138" t="s">
        <v>113</v>
      </c>
      <c r="C54" s="66"/>
      <c r="D54" s="66"/>
      <c r="E54" s="66"/>
      <c r="F54" s="66"/>
      <c r="G54" s="66"/>
      <c r="H54" s="66"/>
      <c r="I54" s="76"/>
      <c r="AJ54" s="59"/>
      <c r="AK54" s="62"/>
    </row>
    <row r="55" spans="1:37" s="55" customFormat="1" ht="15.75" hidden="1" customHeight="1">
      <c r="A55" s="59" t="s">
        <v>29</v>
      </c>
      <c r="B55" s="59" t="s">
        <v>114</v>
      </c>
      <c r="C55" s="66">
        <f>C56+C57</f>
        <v>1827000.0000000002</v>
      </c>
      <c r="D55" s="66"/>
      <c r="E55" s="66"/>
      <c r="F55" s="66"/>
      <c r="G55" s="66"/>
      <c r="H55" s="66"/>
      <c r="I55" s="76"/>
    </row>
    <row r="56" spans="1:37" s="55" customFormat="1" ht="15.75" hidden="1" customHeight="1">
      <c r="A56" s="59">
        <v>1.1000000000000001</v>
      </c>
      <c r="B56" s="139" t="s">
        <v>115</v>
      </c>
      <c r="C56" s="66">
        <f>项目投资!B27</f>
        <v>380000</v>
      </c>
      <c r="D56" s="66"/>
      <c r="E56" s="66"/>
      <c r="F56" s="66"/>
      <c r="G56" s="66"/>
      <c r="H56" s="66"/>
      <c r="I56" s="76"/>
    </row>
    <row r="57" spans="1:37" s="55" customFormat="1" ht="15.75" hidden="1" customHeight="1">
      <c r="A57" s="59">
        <v>1.2</v>
      </c>
      <c r="B57" s="59" t="s">
        <v>116</v>
      </c>
      <c r="C57" s="66">
        <f>项目投资!B26</f>
        <v>1447000.0000000002</v>
      </c>
      <c r="D57" s="66"/>
      <c r="E57" s="66"/>
      <c r="F57" s="66"/>
      <c r="G57" s="66"/>
      <c r="H57" s="66"/>
      <c r="I57" s="76"/>
    </row>
    <row r="58" spans="1:37" ht="15.75" hidden="1" customHeight="1">
      <c r="A58" s="126" t="s">
        <v>31</v>
      </c>
      <c r="B58" s="126" t="s">
        <v>117</v>
      </c>
      <c r="C58" s="140">
        <f t="shared" ref="C58:G58" si="27">C59+C60</f>
        <v>1760658.916666667</v>
      </c>
      <c r="D58" s="140">
        <f t="shared" si="27"/>
        <v>5893781.4166666707</v>
      </c>
      <c r="E58" s="140">
        <f t="shared" si="27"/>
        <v>5496248.8366666669</v>
      </c>
      <c r="F58" s="140" t="e">
        <f t="shared" si="27"/>
        <v>#DIV/0!</v>
      </c>
      <c r="G58" s="140" t="e">
        <f t="shared" si="27"/>
        <v>#DIV/0!</v>
      </c>
      <c r="H58" s="140">
        <f t="shared" ref="H58" si="28">H59+H60</f>
        <v>13150689.169999994</v>
      </c>
      <c r="I58" s="76"/>
    </row>
    <row r="59" spans="1:37" ht="15.75" hidden="1" customHeight="1">
      <c r="A59" s="126" t="s">
        <v>81</v>
      </c>
      <c r="B59" s="126" t="s">
        <v>118</v>
      </c>
      <c r="C59" s="140">
        <f t="shared" ref="C59:G59" si="29">C23</f>
        <v>1302442.2500000002</v>
      </c>
      <c r="D59" s="140">
        <f t="shared" si="29"/>
        <v>5435564.7500000037</v>
      </c>
      <c r="E59" s="140">
        <f t="shared" si="29"/>
        <v>5038032.17</v>
      </c>
      <c r="F59" s="140" t="e">
        <f t="shared" si="29"/>
        <v>#DIV/0!</v>
      </c>
      <c r="G59" s="140" t="e">
        <f t="shared" si="29"/>
        <v>#DIV/0!</v>
      </c>
      <c r="H59" s="140">
        <f t="shared" ref="H59" si="30">H23</f>
        <v>11776039.169999994</v>
      </c>
      <c r="I59" s="76"/>
    </row>
    <row r="60" spans="1:37" ht="15.75" hidden="1" customHeight="1">
      <c r="A60" s="126" t="s">
        <v>34</v>
      </c>
      <c r="B60" s="126" t="s">
        <v>119</v>
      </c>
      <c r="C60" s="140">
        <f>'2021年'!L18</f>
        <v>458216.66666666674</v>
      </c>
      <c r="D60" s="140">
        <f>'2022年'!L18</f>
        <v>458216.66666666674</v>
      </c>
      <c r="E60" s="140">
        <f>'2023年'!L18</f>
        <v>458216.66666666674</v>
      </c>
      <c r="F60" s="140">
        <f>'2024年'!L18</f>
        <v>0</v>
      </c>
      <c r="G60" s="140">
        <f>'2025年'!L18</f>
        <v>0</v>
      </c>
      <c r="H60" s="140">
        <f>项目投资!I26</f>
        <v>1374650.0000000002</v>
      </c>
      <c r="I60" s="76"/>
    </row>
    <row r="61" spans="1:37" ht="15.75" hidden="1" customHeight="1">
      <c r="A61" s="126" t="s">
        <v>37</v>
      </c>
      <c r="B61" s="126" t="s">
        <v>120</v>
      </c>
      <c r="C61" s="141"/>
      <c r="D61" s="141"/>
      <c r="E61" s="141"/>
      <c r="F61" s="141"/>
      <c r="G61" s="141"/>
      <c r="H61" s="140"/>
      <c r="I61" s="76"/>
    </row>
    <row r="63" spans="1:37">
      <c r="A63" s="191" t="s">
        <v>298</v>
      </c>
      <c r="B63" s="191"/>
      <c r="C63" s="191"/>
      <c r="D63" s="191"/>
      <c r="E63" s="191"/>
      <c r="F63" s="191"/>
      <c r="G63" s="191"/>
      <c r="H63" s="191"/>
    </row>
    <row r="64" spans="1:37">
      <c r="A64" s="191"/>
      <c r="B64" s="191"/>
      <c r="C64" s="191"/>
      <c r="D64" s="191"/>
      <c r="E64" s="191"/>
      <c r="F64" s="191"/>
      <c r="G64" s="191"/>
      <c r="H64" s="191"/>
    </row>
    <row r="66" spans="9:9">
      <c r="I66" s="117">
        <v>182.7</v>
      </c>
    </row>
    <row r="67" spans="9:9">
      <c r="I67" s="117">
        <v>-60.15</v>
      </c>
    </row>
  </sheetData>
  <mergeCells count="3">
    <mergeCell ref="A1:H1"/>
    <mergeCell ref="A2:A3"/>
    <mergeCell ref="A63:H64"/>
  </mergeCells>
  <phoneticPr fontId="39" type="noConversion"/>
  <pageMargins left="0.7" right="0.7" top="0.75" bottom="0.75" header="0.3" footer="0.3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80" customWidth="1"/>
    <col min="2" max="2" width="28.5" style="80" customWidth="1"/>
    <col min="3" max="4" width="9.125" style="80"/>
    <col min="5" max="5" width="13.875" style="80" customWidth="1"/>
    <col min="6" max="12" width="16.125" style="80" customWidth="1"/>
    <col min="13" max="13" width="10.625" style="80" customWidth="1"/>
    <col min="14" max="254" width="9.125" style="80"/>
    <col min="255" max="255" width="8" style="80" customWidth="1"/>
    <col min="256" max="256" width="28.5" style="80" customWidth="1"/>
    <col min="257" max="268" width="9.125" style="80"/>
    <col min="269" max="269" width="10.625" style="80" customWidth="1"/>
    <col min="270" max="510" width="9.125" style="80"/>
    <col min="511" max="511" width="8" style="80" customWidth="1"/>
    <col min="512" max="512" width="28.5" style="80" customWidth="1"/>
    <col min="513" max="524" width="9.125" style="80"/>
    <col min="525" max="525" width="10.625" style="80" customWidth="1"/>
    <col min="526" max="766" width="9.125" style="80"/>
    <col min="767" max="767" width="8" style="80" customWidth="1"/>
    <col min="768" max="768" width="28.5" style="80" customWidth="1"/>
    <col min="769" max="780" width="9.125" style="80"/>
    <col min="781" max="781" width="10.625" style="80" customWidth="1"/>
    <col min="782" max="1022" width="9.125" style="80"/>
    <col min="1023" max="1023" width="8" style="80" customWidth="1"/>
    <col min="1024" max="1024" width="28.5" style="80" customWidth="1"/>
    <col min="1025" max="1036" width="9.125" style="80"/>
    <col min="1037" max="1037" width="10.625" style="80" customWidth="1"/>
    <col min="1038" max="1278" width="9.125" style="80"/>
    <col min="1279" max="1279" width="8" style="80" customWidth="1"/>
    <col min="1280" max="1280" width="28.5" style="80" customWidth="1"/>
    <col min="1281" max="1292" width="9.125" style="80"/>
    <col min="1293" max="1293" width="10.625" style="80" customWidth="1"/>
    <col min="1294" max="1534" width="9.125" style="80"/>
    <col min="1535" max="1535" width="8" style="80" customWidth="1"/>
    <col min="1536" max="1536" width="28.5" style="80" customWidth="1"/>
    <col min="1537" max="1548" width="9.125" style="80"/>
    <col min="1549" max="1549" width="10.625" style="80" customWidth="1"/>
    <col min="1550" max="1790" width="9.125" style="80"/>
    <col min="1791" max="1791" width="8" style="80" customWidth="1"/>
    <col min="1792" max="1792" width="28.5" style="80" customWidth="1"/>
    <col min="1793" max="1804" width="9.125" style="80"/>
    <col min="1805" max="1805" width="10.625" style="80" customWidth="1"/>
    <col min="1806" max="2046" width="9.125" style="80"/>
    <col min="2047" max="2047" width="8" style="80" customWidth="1"/>
    <col min="2048" max="2048" width="28.5" style="80" customWidth="1"/>
    <col min="2049" max="2060" width="9.125" style="80"/>
    <col min="2061" max="2061" width="10.625" style="80" customWidth="1"/>
    <col min="2062" max="2302" width="9.125" style="80"/>
    <col min="2303" max="2303" width="8" style="80" customWidth="1"/>
    <col min="2304" max="2304" width="28.5" style="80" customWidth="1"/>
    <col min="2305" max="2316" width="9.125" style="80"/>
    <col min="2317" max="2317" width="10.625" style="80" customWidth="1"/>
    <col min="2318" max="2558" width="9.125" style="80"/>
    <col min="2559" max="2559" width="8" style="80" customWidth="1"/>
    <col min="2560" max="2560" width="28.5" style="80" customWidth="1"/>
    <col min="2561" max="2572" width="9.125" style="80"/>
    <col min="2573" max="2573" width="10.625" style="80" customWidth="1"/>
    <col min="2574" max="2814" width="9.125" style="80"/>
    <col min="2815" max="2815" width="8" style="80" customWidth="1"/>
    <col min="2816" max="2816" width="28.5" style="80" customWidth="1"/>
    <col min="2817" max="2828" width="9.125" style="80"/>
    <col min="2829" max="2829" width="10.625" style="80" customWidth="1"/>
    <col min="2830" max="3070" width="9.125" style="80"/>
    <col min="3071" max="3071" width="8" style="80" customWidth="1"/>
    <col min="3072" max="3072" width="28.5" style="80" customWidth="1"/>
    <col min="3073" max="3084" width="9.125" style="80"/>
    <col min="3085" max="3085" width="10.625" style="80" customWidth="1"/>
    <col min="3086" max="3326" width="9.125" style="80"/>
    <col min="3327" max="3327" width="8" style="80" customWidth="1"/>
    <col min="3328" max="3328" width="28.5" style="80" customWidth="1"/>
    <col min="3329" max="3340" width="9.125" style="80"/>
    <col min="3341" max="3341" width="10.625" style="80" customWidth="1"/>
    <col min="3342" max="3582" width="9.125" style="80"/>
    <col min="3583" max="3583" width="8" style="80" customWidth="1"/>
    <col min="3584" max="3584" width="28.5" style="80" customWidth="1"/>
    <col min="3585" max="3596" width="9.125" style="80"/>
    <col min="3597" max="3597" width="10.625" style="80" customWidth="1"/>
    <col min="3598" max="3838" width="9.125" style="80"/>
    <col min="3839" max="3839" width="8" style="80" customWidth="1"/>
    <col min="3840" max="3840" width="28.5" style="80" customWidth="1"/>
    <col min="3841" max="3852" width="9.125" style="80"/>
    <col min="3853" max="3853" width="10.625" style="80" customWidth="1"/>
    <col min="3854" max="4094" width="9.125" style="80"/>
    <col min="4095" max="4095" width="8" style="80" customWidth="1"/>
    <col min="4096" max="4096" width="28.5" style="80" customWidth="1"/>
    <col min="4097" max="4108" width="9.125" style="80"/>
    <col min="4109" max="4109" width="10.625" style="80" customWidth="1"/>
    <col min="4110" max="4350" width="9.125" style="80"/>
    <col min="4351" max="4351" width="8" style="80" customWidth="1"/>
    <col min="4352" max="4352" width="28.5" style="80" customWidth="1"/>
    <col min="4353" max="4364" width="9.125" style="80"/>
    <col min="4365" max="4365" width="10.625" style="80" customWidth="1"/>
    <col min="4366" max="4606" width="9.125" style="80"/>
    <col min="4607" max="4607" width="8" style="80" customWidth="1"/>
    <col min="4608" max="4608" width="28.5" style="80" customWidth="1"/>
    <col min="4609" max="4620" width="9.125" style="80"/>
    <col min="4621" max="4621" width="10.625" style="80" customWidth="1"/>
    <col min="4622" max="4862" width="9.125" style="80"/>
    <col min="4863" max="4863" width="8" style="80" customWidth="1"/>
    <col min="4864" max="4864" width="28.5" style="80" customWidth="1"/>
    <col min="4865" max="4876" width="9.125" style="80"/>
    <col min="4877" max="4877" width="10.625" style="80" customWidth="1"/>
    <col min="4878" max="5118" width="9.125" style="80"/>
    <col min="5119" max="5119" width="8" style="80" customWidth="1"/>
    <col min="5120" max="5120" width="28.5" style="80" customWidth="1"/>
    <col min="5121" max="5132" width="9.125" style="80"/>
    <col min="5133" max="5133" width="10.625" style="80" customWidth="1"/>
    <col min="5134" max="5374" width="9.125" style="80"/>
    <col min="5375" max="5375" width="8" style="80" customWidth="1"/>
    <col min="5376" max="5376" width="28.5" style="80" customWidth="1"/>
    <col min="5377" max="5388" width="9.125" style="80"/>
    <col min="5389" max="5389" width="10.625" style="80" customWidth="1"/>
    <col min="5390" max="5630" width="9.125" style="80"/>
    <col min="5631" max="5631" width="8" style="80" customWidth="1"/>
    <col min="5632" max="5632" width="28.5" style="80" customWidth="1"/>
    <col min="5633" max="5644" width="9.125" style="80"/>
    <col min="5645" max="5645" width="10.625" style="80" customWidth="1"/>
    <col min="5646" max="5886" width="9.125" style="80"/>
    <col min="5887" max="5887" width="8" style="80" customWidth="1"/>
    <col min="5888" max="5888" width="28.5" style="80" customWidth="1"/>
    <col min="5889" max="5900" width="9.125" style="80"/>
    <col min="5901" max="5901" width="10.625" style="80" customWidth="1"/>
    <col min="5902" max="6142" width="9.125" style="80"/>
    <col min="6143" max="6143" width="8" style="80" customWidth="1"/>
    <col min="6144" max="6144" width="28.5" style="80" customWidth="1"/>
    <col min="6145" max="6156" width="9.125" style="80"/>
    <col min="6157" max="6157" width="10.625" style="80" customWidth="1"/>
    <col min="6158" max="6398" width="9.125" style="80"/>
    <col min="6399" max="6399" width="8" style="80" customWidth="1"/>
    <col min="6400" max="6400" width="28.5" style="80" customWidth="1"/>
    <col min="6401" max="6412" width="9.125" style="80"/>
    <col min="6413" max="6413" width="10.625" style="80" customWidth="1"/>
    <col min="6414" max="6654" width="9.125" style="80"/>
    <col min="6655" max="6655" width="8" style="80" customWidth="1"/>
    <col min="6656" max="6656" width="28.5" style="80" customWidth="1"/>
    <col min="6657" max="6668" width="9.125" style="80"/>
    <col min="6669" max="6669" width="10.625" style="80" customWidth="1"/>
    <col min="6670" max="6910" width="9.125" style="80"/>
    <col min="6911" max="6911" width="8" style="80" customWidth="1"/>
    <col min="6912" max="6912" width="28.5" style="80" customWidth="1"/>
    <col min="6913" max="6924" width="9.125" style="80"/>
    <col min="6925" max="6925" width="10.625" style="80" customWidth="1"/>
    <col min="6926" max="7166" width="9.125" style="80"/>
    <col min="7167" max="7167" width="8" style="80" customWidth="1"/>
    <col min="7168" max="7168" width="28.5" style="80" customWidth="1"/>
    <col min="7169" max="7180" width="9.125" style="80"/>
    <col min="7181" max="7181" width="10.625" style="80" customWidth="1"/>
    <col min="7182" max="7422" width="9.125" style="80"/>
    <col min="7423" max="7423" width="8" style="80" customWidth="1"/>
    <col min="7424" max="7424" width="28.5" style="80" customWidth="1"/>
    <col min="7425" max="7436" width="9.125" style="80"/>
    <col min="7437" max="7437" width="10.625" style="80" customWidth="1"/>
    <col min="7438" max="7678" width="9.125" style="80"/>
    <col min="7679" max="7679" width="8" style="80" customWidth="1"/>
    <col min="7680" max="7680" width="28.5" style="80" customWidth="1"/>
    <col min="7681" max="7692" width="9.125" style="80"/>
    <col min="7693" max="7693" width="10.625" style="80" customWidth="1"/>
    <col min="7694" max="7934" width="9.125" style="80"/>
    <col min="7935" max="7935" width="8" style="80" customWidth="1"/>
    <col min="7936" max="7936" width="28.5" style="80" customWidth="1"/>
    <col min="7937" max="7948" width="9.125" style="80"/>
    <col min="7949" max="7949" width="10.625" style="80" customWidth="1"/>
    <col min="7950" max="8190" width="9.125" style="80"/>
    <col min="8191" max="8191" width="8" style="80" customWidth="1"/>
    <col min="8192" max="8192" width="28.5" style="80" customWidth="1"/>
    <col min="8193" max="8204" width="9.125" style="80"/>
    <col min="8205" max="8205" width="10.625" style="80" customWidth="1"/>
    <col min="8206" max="8446" width="9.125" style="80"/>
    <col min="8447" max="8447" width="8" style="80" customWidth="1"/>
    <col min="8448" max="8448" width="28.5" style="80" customWidth="1"/>
    <col min="8449" max="8460" width="9.125" style="80"/>
    <col min="8461" max="8461" width="10.625" style="80" customWidth="1"/>
    <col min="8462" max="8702" width="9.125" style="80"/>
    <col min="8703" max="8703" width="8" style="80" customWidth="1"/>
    <col min="8704" max="8704" width="28.5" style="80" customWidth="1"/>
    <col min="8705" max="8716" width="9.125" style="80"/>
    <col min="8717" max="8717" width="10.625" style="80" customWidth="1"/>
    <col min="8718" max="8958" width="9.125" style="80"/>
    <col min="8959" max="8959" width="8" style="80" customWidth="1"/>
    <col min="8960" max="8960" width="28.5" style="80" customWidth="1"/>
    <col min="8961" max="8972" width="9.125" style="80"/>
    <col min="8973" max="8973" width="10.625" style="80" customWidth="1"/>
    <col min="8974" max="9214" width="9.125" style="80"/>
    <col min="9215" max="9215" width="8" style="80" customWidth="1"/>
    <col min="9216" max="9216" width="28.5" style="80" customWidth="1"/>
    <col min="9217" max="9228" width="9.125" style="80"/>
    <col min="9229" max="9229" width="10.625" style="80" customWidth="1"/>
    <col min="9230" max="9470" width="9.125" style="80"/>
    <col min="9471" max="9471" width="8" style="80" customWidth="1"/>
    <col min="9472" max="9472" width="28.5" style="80" customWidth="1"/>
    <col min="9473" max="9484" width="9.125" style="80"/>
    <col min="9485" max="9485" width="10.625" style="80" customWidth="1"/>
    <col min="9486" max="9726" width="9.125" style="80"/>
    <col min="9727" max="9727" width="8" style="80" customWidth="1"/>
    <col min="9728" max="9728" width="28.5" style="80" customWidth="1"/>
    <col min="9729" max="9740" width="9.125" style="80"/>
    <col min="9741" max="9741" width="10.625" style="80" customWidth="1"/>
    <col min="9742" max="9982" width="9.125" style="80"/>
    <col min="9983" max="9983" width="8" style="80" customWidth="1"/>
    <col min="9984" max="9984" width="28.5" style="80" customWidth="1"/>
    <col min="9985" max="9996" width="9.125" style="80"/>
    <col min="9997" max="9997" width="10.625" style="80" customWidth="1"/>
    <col min="9998" max="10238" width="9.125" style="80"/>
    <col min="10239" max="10239" width="8" style="80" customWidth="1"/>
    <col min="10240" max="10240" width="28.5" style="80" customWidth="1"/>
    <col min="10241" max="10252" width="9.125" style="80"/>
    <col min="10253" max="10253" width="10.625" style="80" customWidth="1"/>
    <col min="10254" max="10494" width="9.125" style="80"/>
    <col min="10495" max="10495" width="8" style="80" customWidth="1"/>
    <col min="10496" max="10496" width="28.5" style="80" customWidth="1"/>
    <col min="10497" max="10508" width="9.125" style="80"/>
    <col min="10509" max="10509" width="10.625" style="80" customWidth="1"/>
    <col min="10510" max="10750" width="9.125" style="80"/>
    <col min="10751" max="10751" width="8" style="80" customWidth="1"/>
    <col min="10752" max="10752" width="28.5" style="80" customWidth="1"/>
    <col min="10753" max="10764" width="9.125" style="80"/>
    <col min="10765" max="10765" width="10.625" style="80" customWidth="1"/>
    <col min="10766" max="11006" width="9.125" style="80"/>
    <col min="11007" max="11007" width="8" style="80" customWidth="1"/>
    <col min="11008" max="11008" width="28.5" style="80" customWidth="1"/>
    <col min="11009" max="11020" width="9.125" style="80"/>
    <col min="11021" max="11021" width="10.625" style="80" customWidth="1"/>
    <col min="11022" max="11262" width="9.125" style="80"/>
    <col min="11263" max="11263" width="8" style="80" customWidth="1"/>
    <col min="11264" max="11264" width="28.5" style="80" customWidth="1"/>
    <col min="11265" max="11276" width="9.125" style="80"/>
    <col min="11277" max="11277" width="10.625" style="80" customWidth="1"/>
    <col min="11278" max="11518" width="9.125" style="80"/>
    <col min="11519" max="11519" width="8" style="80" customWidth="1"/>
    <col min="11520" max="11520" width="28.5" style="80" customWidth="1"/>
    <col min="11521" max="11532" width="9.125" style="80"/>
    <col min="11533" max="11533" width="10.625" style="80" customWidth="1"/>
    <col min="11534" max="11774" width="9.125" style="80"/>
    <col min="11775" max="11775" width="8" style="80" customWidth="1"/>
    <col min="11776" max="11776" width="28.5" style="80" customWidth="1"/>
    <col min="11777" max="11788" width="9.125" style="80"/>
    <col min="11789" max="11789" width="10.625" style="80" customWidth="1"/>
    <col min="11790" max="12030" width="9.125" style="80"/>
    <col min="12031" max="12031" width="8" style="80" customWidth="1"/>
    <col min="12032" max="12032" width="28.5" style="80" customWidth="1"/>
    <col min="12033" max="12044" width="9.125" style="80"/>
    <col min="12045" max="12045" width="10.625" style="80" customWidth="1"/>
    <col min="12046" max="12286" width="9.125" style="80"/>
    <col min="12287" max="12287" width="8" style="80" customWidth="1"/>
    <col min="12288" max="12288" width="28.5" style="80" customWidth="1"/>
    <col min="12289" max="12300" width="9.125" style="80"/>
    <col min="12301" max="12301" width="10.625" style="80" customWidth="1"/>
    <col min="12302" max="12542" width="9.125" style="80"/>
    <col min="12543" max="12543" width="8" style="80" customWidth="1"/>
    <col min="12544" max="12544" width="28.5" style="80" customWidth="1"/>
    <col min="12545" max="12556" width="9.125" style="80"/>
    <col min="12557" max="12557" width="10.625" style="80" customWidth="1"/>
    <col min="12558" max="12798" width="9.125" style="80"/>
    <col min="12799" max="12799" width="8" style="80" customWidth="1"/>
    <col min="12800" max="12800" width="28.5" style="80" customWidth="1"/>
    <col min="12801" max="12812" width="9.125" style="80"/>
    <col min="12813" max="12813" width="10.625" style="80" customWidth="1"/>
    <col min="12814" max="13054" width="9.125" style="80"/>
    <col min="13055" max="13055" width="8" style="80" customWidth="1"/>
    <col min="13056" max="13056" width="28.5" style="80" customWidth="1"/>
    <col min="13057" max="13068" width="9.125" style="80"/>
    <col min="13069" max="13069" width="10.625" style="80" customWidth="1"/>
    <col min="13070" max="13310" width="9.125" style="80"/>
    <col min="13311" max="13311" width="8" style="80" customWidth="1"/>
    <col min="13312" max="13312" width="28.5" style="80" customWidth="1"/>
    <col min="13313" max="13324" width="9.125" style="80"/>
    <col min="13325" max="13325" width="10.625" style="80" customWidth="1"/>
    <col min="13326" max="13566" width="9.125" style="80"/>
    <col min="13567" max="13567" width="8" style="80" customWidth="1"/>
    <col min="13568" max="13568" width="28.5" style="80" customWidth="1"/>
    <col min="13569" max="13580" width="9.125" style="80"/>
    <col min="13581" max="13581" width="10.625" style="80" customWidth="1"/>
    <col min="13582" max="13822" width="9.125" style="80"/>
    <col min="13823" max="13823" width="8" style="80" customWidth="1"/>
    <col min="13824" max="13824" width="28.5" style="80" customWidth="1"/>
    <col min="13825" max="13836" width="9.125" style="80"/>
    <col min="13837" max="13837" width="10.625" style="80" customWidth="1"/>
    <col min="13838" max="14078" width="9.125" style="80"/>
    <col min="14079" max="14079" width="8" style="80" customWidth="1"/>
    <col min="14080" max="14080" width="28.5" style="80" customWidth="1"/>
    <col min="14081" max="14092" width="9.125" style="80"/>
    <col min="14093" max="14093" width="10.625" style="80" customWidth="1"/>
    <col min="14094" max="14334" width="9.125" style="80"/>
    <col min="14335" max="14335" width="8" style="80" customWidth="1"/>
    <col min="14336" max="14336" width="28.5" style="80" customWidth="1"/>
    <col min="14337" max="14348" width="9.125" style="80"/>
    <col min="14349" max="14349" width="10.625" style="80" customWidth="1"/>
    <col min="14350" max="14590" width="9.125" style="80"/>
    <col min="14591" max="14591" width="8" style="80" customWidth="1"/>
    <col min="14592" max="14592" width="28.5" style="80" customWidth="1"/>
    <col min="14593" max="14604" width="9.125" style="80"/>
    <col min="14605" max="14605" width="10.625" style="80" customWidth="1"/>
    <col min="14606" max="14846" width="9.125" style="80"/>
    <col min="14847" max="14847" width="8" style="80" customWidth="1"/>
    <col min="14848" max="14848" width="28.5" style="80" customWidth="1"/>
    <col min="14849" max="14860" width="9.125" style="80"/>
    <col min="14861" max="14861" width="10.625" style="80" customWidth="1"/>
    <col min="14862" max="15102" width="9.125" style="80"/>
    <col min="15103" max="15103" width="8" style="80" customWidth="1"/>
    <col min="15104" max="15104" width="28.5" style="80" customWidth="1"/>
    <col min="15105" max="15116" width="9.125" style="80"/>
    <col min="15117" max="15117" width="10.625" style="80" customWidth="1"/>
    <col min="15118" max="15358" width="9.125" style="80"/>
    <col min="15359" max="15359" width="8" style="80" customWidth="1"/>
    <col min="15360" max="15360" width="28.5" style="80" customWidth="1"/>
    <col min="15361" max="15372" width="9.125" style="80"/>
    <col min="15373" max="15373" width="10.625" style="80" customWidth="1"/>
    <col min="15374" max="15614" width="9.125" style="80"/>
    <col min="15615" max="15615" width="8" style="80" customWidth="1"/>
    <col min="15616" max="15616" width="28.5" style="80" customWidth="1"/>
    <col min="15617" max="15628" width="9.125" style="80"/>
    <col min="15629" max="15629" width="10.625" style="80" customWidth="1"/>
    <col min="15630" max="15870" width="9.125" style="80"/>
    <col min="15871" max="15871" width="8" style="80" customWidth="1"/>
    <col min="15872" max="15872" width="28.5" style="80" customWidth="1"/>
    <col min="15873" max="15884" width="9.125" style="80"/>
    <col min="15885" max="15885" width="10.625" style="80" customWidth="1"/>
    <col min="15886" max="16126" width="9.125" style="80"/>
    <col min="16127" max="16127" width="8" style="80" customWidth="1"/>
    <col min="16128" max="16128" width="28.5" style="80" customWidth="1"/>
    <col min="16129" max="16140" width="9.125" style="80"/>
    <col min="16141" max="16141" width="10.625" style="80" customWidth="1"/>
    <col min="16142" max="16384" width="9.125" style="80"/>
  </cols>
  <sheetData>
    <row r="1" spans="1:13" ht="18.75">
      <c r="A1" s="81" t="s">
        <v>121</v>
      </c>
      <c r="B1" s="82"/>
      <c r="C1" s="83"/>
      <c r="D1" s="83"/>
      <c r="E1" s="82"/>
      <c r="F1" s="83"/>
      <c r="G1" s="83"/>
      <c r="H1" s="82"/>
      <c r="I1" s="83"/>
      <c r="J1" s="83"/>
      <c r="K1" s="83"/>
      <c r="L1" s="83"/>
      <c r="M1" s="83"/>
    </row>
    <row r="2" spans="1:13" ht="12">
      <c r="A2" s="80" t="s">
        <v>122</v>
      </c>
      <c r="B2" s="84"/>
    </row>
    <row r="3" spans="1:13" ht="16.899999999999999" customHeight="1">
      <c r="A3" s="85" t="s">
        <v>19</v>
      </c>
      <c r="B3" s="85" t="s">
        <v>123</v>
      </c>
      <c r="C3" s="192" t="s">
        <v>124</v>
      </c>
      <c r="D3" s="192"/>
      <c r="E3" s="192"/>
      <c r="F3" s="87"/>
      <c r="G3" s="88"/>
      <c r="H3" s="89"/>
      <c r="I3" s="89"/>
      <c r="J3" s="89" t="s">
        <v>125</v>
      </c>
      <c r="K3" s="89"/>
      <c r="L3" s="89"/>
      <c r="M3" s="110"/>
    </row>
    <row r="4" spans="1:13" ht="16.149999999999999" customHeight="1">
      <c r="A4" s="90"/>
      <c r="B4" s="90" t="s">
        <v>126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127</v>
      </c>
    </row>
    <row r="5" spans="1:13" ht="15.6" customHeight="1">
      <c r="A5" s="92">
        <v>1</v>
      </c>
      <c r="B5" s="93" t="s">
        <v>128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>
        <f t="shared" si="1"/>
        <v>23146000</v>
      </c>
      <c r="G5" s="94">
        <f t="shared" si="1"/>
        <v>83059000</v>
      </c>
      <c r="H5" s="94">
        <f t="shared" si="1"/>
        <v>82588000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>
        <f t="shared" si="1"/>
        <v>188793000</v>
      </c>
      <c r="M5" s="98" t="e">
        <f t="shared" ref="M5:M17" si="2">SUM(C5:L5)</f>
        <v>#REF!</v>
      </c>
    </row>
    <row r="6" spans="1:13" ht="15.6" customHeight="1">
      <c r="A6" s="92">
        <v>1.1000000000000001</v>
      </c>
      <c r="B6" s="95" t="s">
        <v>129</v>
      </c>
      <c r="C6" s="96"/>
      <c r="D6" s="96"/>
      <c r="E6" s="96" t="e">
        <f>损益表!#REF!</f>
        <v>#REF!</v>
      </c>
      <c r="F6" s="96">
        <f>损益表!C4</f>
        <v>23146000</v>
      </c>
      <c r="G6" s="96">
        <f>损益表!D4</f>
        <v>83059000</v>
      </c>
      <c r="H6" s="96">
        <f>损益表!E4</f>
        <v>82588000</v>
      </c>
      <c r="I6" s="96" t="e">
        <f>损益表!#REF!</f>
        <v>#REF!</v>
      </c>
      <c r="J6" s="96" t="e">
        <f>损益表!#REF!</f>
        <v>#REF!</v>
      </c>
      <c r="K6" s="96" t="e">
        <f>损益表!#REF!</f>
        <v>#REF!</v>
      </c>
      <c r="L6" s="96">
        <f>损益表!H4</f>
        <v>188793000</v>
      </c>
      <c r="M6" s="98" t="e">
        <f t="shared" si="2"/>
        <v>#REF!</v>
      </c>
    </row>
    <row r="7" spans="1:13" ht="15.6" customHeight="1">
      <c r="A7" s="92">
        <v>1.2</v>
      </c>
      <c r="B7" s="95" t="s">
        <v>130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spans="1:13" ht="15.6" customHeight="1">
      <c r="A8" s="92">
        <v>1.3</v>
      </c>
      <c r="B8" s="95" t="s">
        <v>131</v>
      </c>
      <c r="C8" s="96" t="s">
        <v>132</v>
      </c>
      <c r="D8" s="96" t="s">
        <v>132</v>
      </c>
      <c r="E8" s="96" t="s">
        <v>132</v>
      </c>
      <c r="F8" s="96" t="s">
        <v>132</v>
      </c>
      <c r="G8" s="96" t="s">
        <v>132</v>
      </c>
      <c r="H8" s="96" t="s">
        <v>132</v>
      </c>
      <c r="I8" s="96" t="s">
        <v>132</v>
      </c>
      <c r="J8" s="96" t="s">
        <v>132</v>
      </c>
      <c r="K8" s="96" t="s">
        <v>132</v>
      </c>
      <c r="L8" s="96"/>
      <c r="M8" s="98">
        <f t="shared" si="2"/>
        <v>0</v>
      </c>
    </row>
    <row r="9" spans="1:13" s="79" customFormat="1" ht="15.6" customHeight="1">
      <c r="A9" s="97">
        <v>1.4</v>
      </c>
      <c r="B9" s="98" t="s">
        <v>133</v>
      </c>
      <c r="C9" s="96" t="s">
        <v>132</v>
      </c>
      <c r="D9" s="96" t="s">
        <v>132</v>
      </c>
      <c r="E9" s="96" t="s">
        <v>132</v>
      </c>
      <c r="F9" s="96" t="s">
        <v>132</v>
      </c>
      <c r="G9" s="96" t="s">
        <v>132</v>
      </c>
      <c r="H9" s="96" t="s">
        <v>132</v>
      </c>
      <c r="I9" s="96" t="s">
        <v>132</v>
      </c>
      <c r="J9" s="96" t="s">
        <v>132</v>
      </c>
      <c r="K9" s="96" t="s">
        <v>132</v>
      </c>
      <c r="L9" s="96" t="s">
        <v>132</v>
      </c>
      <c r="M9" s="98">
        <f t="shared" si="2"/>
        <v>0</v>
      </c>
    </row>
    <row r="10" spans="1:13" ht="15.6" customHeight="1">
      <c r="A10" s="97">
        <v>2</v>
      </c>
      <c r="B10" s="93" t="s">
        <v>134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spans="1:13" ht="15" customHeight="1">
      <c r="A11" s="92">
        <v>2.1</v>
      </c>
      <c r="B11" s="92" t="s">
        <v>135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pans="1:13" s="79" customFormat="1" ht="15" customHeight="1">
      <c r="A12" s="92">
        <v>2.2000000000000002</v>
      </c>
      <c r="B12" s="98" t="s">
        <v>136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spans="1:13" ht="15" customHeight="1">
      <c r="A13" s="92">
        <v>2.2999999999999998</v>
      </c>
      <c r="B13" s="95" t="s">
        <v>137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spans="1:13" ht="15" customHeight="1">
      <c r="A14" s="92">
        <v>2.4</v>
      </c>
      <c r="B14" s="95" t="s">
        <v>138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spans="1:13" ht="15" customHeight="1">
      <c r="A15" s="92">
        <v>2.5</v>
      </c>
      <c r="B15" s="95" t="s">
        <v>64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spans="1:13" ht="15" customHeight="1">
      <c r="A16" s="92">
        <v>2.6</v>
      </c>
      <c r="B16" s="95" t="s">
        <v>139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spans="1:18" ht="12">
      <c r="A17" s="92">
        <v>3</v>
      </c>
      <c r="B17" s="93" t="s">
        <v>140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>
        <f t="shared" si="4"/>
        <v>23146000</v>
      </c>
      <c r="G17" s="94">
        <f t="shared" si="4"/>
        <v>83059000</v>
      </c>
      <c r="H17" s="94">
        <f t="shared" si="4"/>
        <v>82588000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>
        <f t="shared" si="4"/>
        <v>188793000</v>
      </c>
      <c r="M17" s="98" t="e">
        <f t="shared" si="2"/>
        <v>#REF!</v>
      </c>
    </row>
    <row r="18" spans="1:18" ht="12">
      <c r="A18" s="99">
        <v>4</v>
      </c>
      <c r="B18" s="95" t="s">
        <v>141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132</v>
      </c>
    </row>
    <row r="19" spans="1:18" s="79" customFormat="1" ht="12">
      <c r="A19" s="99">
        <v>5</v>
      </c>
      <c r="B19" s="95" t="s">
        <v>142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>
        <f t="shared" si="6"/>
        <v>23146000</v>
      </c>
      <c r="G19" s="96">
        <f t="shared" si="6"/>
        <v>83059000</v>
      </c>
      <c r="H19" s="96">
        <f t="shared" si="6"/>
        <v>82588000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>
        <f t="shared" si="6"/>
        <v>188793000</v>
      </c>
      <c r="M19" s="98" t="e">
        <f>SUM(C19:L19)</f>
        <v>#REF!</v>
      </c>
    </row>
    <row r="20" spans="1:18" s="79" customFormat="1" ht="12">
      <c r="A20" s="92">
        <v>6</v>
      </c>
      <c r="B20" s="95" t="s">
        <v>143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132</v>
      </c>
    </row>
    <row r="21" spans="1:18" ht="12">
      <c r="A21" s="100"/>
      <c r="B21" s="101" t="s">
        <v>144</v>
      </c>
      <c r="C21" s="101"/>
      <c r="D21" s="101"/>
      <c r="E21" s="101" t="s">
        <v>145</v>
      </c>
      <c r="F21" s="101"/>
      <c r="G21" s="101"/>
      <c r="H21" s="101"/>
      <c r="I21" s="101" t="s">
        <v>146</v>
      </c>
      <c r="J21" s="101"/>
      <c r="K21" s="101"/>
      <c r="L21" s="101"/>
      <c r="M21" s="112"/>
    </row>
    <row r="22" spans="1:18" ht="12">
      <c r="A22" s="102"/>
      <c r="B22" s="103" t="s">
        <v>147</v>
      </c>
      <c r="C22" s="103"/>
      <c r="D22" s="104" t="s">
        <v>148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spans="1:18" ht="12">
      <c r="A23" s="102"/>
      <c r="B23" s="103" t="s">
        <v>149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0">
        <f>30.9-29.82</f>
        <v>1.0799999999999983</v>
      </c>
    </row>
    <row r="24" spans="1:18" ht="12">
      <c r="A24" s="107"/>
      <c r="B24" s="108" t="s">
        <v>150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E20" activePane="bottomRight" state="frozen"/>
      <selection pane="topRight"/>
      <selection pane="bottomLeft"/>
      <selection pane="bottomRight" activeCell="L24" sqref="L24"/>
    </sheetView>
  </sheetViews>
  <sheetFormatPr defaultColWidth="9" defaultRowHeight="16.5"/>
  <cols>
    <col min="1" max="1" width="5.125" style="55" customWidth="1"/>
    <col min="2" max="2" width="17.5" style="55" customWidth="1"/>
    <col min="3" max="7" width="13.25" style="56" customWidth="1"/>
    <col min="8" max="11" width="15.5" style="56" customWidth="1"/>
    <col min="12" max="12" width="18.75" style="56" customWidth="1"/>
    <col min="13" max="13" width="12.375" style="55" customWidth="1"/>
    <col min="14" max="14" width="10.125" style="55" customWidth="1"/>
    <col min="15" max="21" width="9" style="55" customWidth="1"/>
    <col min="22" max="38" width="9" style="55"/>
    <col min="39" max="39" width="4.375" style="55" customWidth="1"/>
    <col min="40" max="40" width="13.875" style="55" customWidth="1"/>
    <col min="41" max="16384" width="9" style="55"/>
  </cols>
  <sheetData>
    <row r="1" spans="1:41">
      <c r="A1" s="193" t="s">
        <v>151</v>
      </c>
      <c r="B1" s="193"/>
      <c r="C1" s="197" t="s">
        <v>152</v>
      </c>
      <c r="D1" s="198"/>
      <c r="E1" s="198"/>
      <c r="F1" s="198"/>
      <c r="G1" s="198"/>
      <c r="H1" s="198"/>
      <c r="I1" s="198"/>
      <c r="J1" s="198"/>
      <c r="K1" s="198"/>
      <c r="L1" s="199"/>
    </row>
    <row r="2" spans="1:41">
      <c r="A2" s="193" t="s">
        <v>153</v>
      </c>
      <c r="B2" s="193"/>
      <c r="C2" s="200" t="s">
        <v>266</v>
      </c>
      <c r="D2" s="200"/>
      <c r="E2" s="200"/>
      <c r="F2" s="200"/>
      <c r="G2" s="200"/>
      <c r="H2" s="200"/>
      <c r="I2" s="200"/>
      <c r="J2" s="200"/>
      <c r="K2" s="200"/>
      <c r="L2" s="200"/>
    </row>
    <row r="3" spans="1:41">
      <c r="A3" s="193" t="s">
        <v>154</v>
      </c>
      <c r="B3" s="193"/>
      <c r="C3" s="177" t="s">
        <v>273</v>
      </c>
      <c r="D3" s="178" t="s">
        <v>274</v>
      </c>
      <c r="E3" s="177" t="s">
        <v>275</v>
      </c>
      <c r="F3" s="177" t="s">
        <v>276</v>
      </c>
      <c r="G3" s="177" t="s">
        <v>277</v>
      </c>
      <c r="H3" s="177" t="s">
        <v>278</v>
      </c>
      <c r="I3" s="177" t="s">
        <v>279</v>
      </c>
      <c r="J3" s="177" t="s">
        <v>280</v>
      </c>
      <c r="K3" s="177" t="s">
        <v>281</v>
      </c>
      <c r="L3" s="194" t="s">
        <v>25</v>
      </c>
    </row>
    <row r="4" spans="1:41">
      <c r="A4" s="193" t="s">
        <v>155</v>
      </c>
      <c r="B4" s="193"/>
      <c r="C4" s="177" t="s">
        <v>282</v>
      </c>
      <c r="D4" s="178" t="s">
        <v>283</v>
      </c>
      <c r="E4" s="177" t="s">
        <v>284</v>
      </c>
      <c r="F4" s="177" t="s">
        <v>285</v>
      </c>
      <c r="G4" s="177" t="s">
        <v>286</v>
      </c>
      <c r="H4" s="177" t="s">
        <v>287</v>
      </c>
      <c r="I4" s="177" t="s">
        <v>288</v>
      </c>
      <c r="J4" s="177" t="s">
        <v>289</v>
      </c>
      <c r="K4" s="177" t="s">
        <v>290</v>
      </c>
      <c r="L4" s="195"/>
    </row>
    <row r="5" spans="1:41">
      <c r="A5" s="193" t="s">
        <v>156</v>
      </c>
      <c r="B5" s="193"/>
      <c r="C5" s="58"/>
      <c r="D5" s="58"/>
      <c r="E5" s="58"/>
      <c r="F5" s="58"/>
      <c r="G5" s="58"/>
      <c r="H5" s="58"/>
      <c r="I5" s="58"/>
      <c r="J5" s="58"/>
      <c r="K5" s="58"/>
      <c r="L5" s="196"/>
      <c r="AO5" s="55" t="s">
        <v>26</v>
      </c>
    </row>
    <row r="6" spans="1:41" ht="17.25">
      <c r="A6" s="59" t="s">
        <v>19</v>
      </c>
      <c r="B6" s="60" t="s">
        <v>157</v>
      </c>
      <c r="C6" s="27">
        <f>销量!C9</f>
        <v>2000</v>
      </c>
      <c r="D6" s="27">
        <f>销量!D9</f>
        <v>500</v>
      </c>
      <c r="E6" s="27">
        <f>销量!E9</f>
        <v>3000</v>
      </c>
      <c r="F6" s="27">
        <f>销量!F9</f>
        <v>4000</v>
      </c>
      <c r="G6" s="27">
        <f>销量!G9</f>
        <v>500</v>
      </c>
      <c r="H6" s="27">
        <f>销量!H9</f>
        <v>200</v>
      </c>
      <c r="I6" s="27">
        <f>销量!I9</f>
        <v>300</v>
      </c>
      <c r="J6" s="27">
        <f>销量!J9</f>
        <v>1500</v>
      </c>
      <c r="K6" s="27">
        <f>销量!K9</f>
        <v>1500</v>
      </c>
      <c r="L6" s="61">
        <f t="shared" ref="L6:L15" si="0">+SUM(C6:K6)</f>
        <v>13500</v>
      </c>
      <c r="W6" s="60" t="s">
        <v>3</v>
      </c>
      <c r="AM6" s="59" t="s">
        <v>19</v>
      </c>
      <c r="AN6" s="60" t="s">
        <v>3</v>
      </c>
      <c r="AO6" s="55" t="s">
        <v>27</v>
      </c>
    </row>
    <row r="7" spans="1:41">
      <c r="A7" s="57">
        <v>1</v>
      </c>
      <c r="B7" s="60" t="s">
        <v>28</v>
      </c>
      <c r="C7" s="61">
        <f>C6*销量!C8</f>
        <v>5680000</v>
      </c>
      <c r="D7" s="61">
        <f>D6*销量!D8</f>
        <v>1070000</v>
      </c>
      <c r="E7" s="61">
        <f>E6*销量!E8</f>
        <v>6420000</v>
      </c>
      <c r="F7" s="61">
        <f>F6*销量!F8</f>
        <v>3800000</v>
      </c>
      <c r="G7" s="61">
        <f>G6*销量!G8</f>
        <v>615000</v>
      </c>
      <c r="H7" s="61">
        <f>H6*销量!H8</f>
        <v>488000</v>
      </c>
      <c r="I7" s="61">
        <f>I6*销量!I8</f>
        <v>423000</v>
      </c>
      <c r="J7" s="61">
        <f>J6*销量!J8</f>
        <v>3270000</v>
      </c>
      <c r="K7" s="61">
        <f>K6*销量!K8</f>
        <v>1380000</v>
      </c>
      <c r="L7" s="61">
        <f t="shared" si="0"/>
        <v>23146000</v>
      </c>
      <c r="M7" s="56"/>
      <c r="W7" s="60" t="s">
        <v>28</v>
      </c>
      <c r="AM7" s="59" t="s">
        <v>29</v>
      </c>
      <c r="AN7" s="60" t="s">
        <v>28</v>
      </c>
      <c r="AO7" s="55" t="s">
        <v>27</v>
      </c>
    </row>
    <row r="8" spans="1:41">
      <c r="A8" s="57">
        <v>2</v>
      </c>
      <c r="B8" s="57" t="s">
        <v>30</v>
      </c>
      <c r="C8" s="61"/>
      <c r="D8" s="61"/>
      <c r="E8" s="61"/>
      <c r="F8" s="61"/>
      <c r="G8" s="61"/>
      <c r="H8" s="61"/>
      <c r="I8" s="61"/>
      <c r="J8" s="61"/>
      <c r="K8" s="61"/>
      <c r="L8" s="61">
        <f t="shared" si="0"/>
        <v>0</v>
      </c>
      <c r="M8" s="76"/>
      <c r="W8" s="57" t="s">
        <v>32</v>
      </c>
      <c r="AM8" s="59" t="s">
        <v>31</v>
      </c>
      <c r="AN8" s="57" t="s">
        <v>32</v>
      </c>
      <c r="AO8" s="55" t="s">
        <v>27</v>
      </c>
    </row>
    <row r="9" spans="1:41">
      <c r="A9" s="57">
        <v>3</v>
      </c>
      <c r="B9" s="60" t="s">
        <v>33</v>
      </c>
      <c r="C9" s="61">
        <f>+C7-C8</f>
        <v>5680000</v>
      </c>
      <c r="D9" s="61">
        <f t="shared" ref="D9:K9" si="1">+D7-D8</f>
        <v>1070000</v>
      </c>
      <c r="E9" s="61">
        <f t="shared" si="1"/>
        <v>6420000</v>
      </c>
      <c r="F9" s="61">
        <f t="shared" si="1"/>
        <v>3800000</v>
      </c>
      <c r="G9" s="61">
        <f t="shared" si="1"/>
        <v>615000</v>
      </c>
      <c r="H9" s="61">
        <f t="shared" si="1"/>
        <v>488000</v>
      </c>
      <c r="I9" s="61">
        <f t="shared" si="1"/>
        <v>423000</v>
      </c>
      <c r="J9" s="61">
        <f t="shared" si="1"/>
        <v>3270000</v>
      </c>
      <c r="K9" s="61">
        <f t="shared" si="1"/>
        <v>1380000</v>
      </c>
      <c r="L9" s="61">
        <f t="shared" si="0"/>
        <v>23146000</v>
      </c>
      <c r="W9" s="60" t="s">
        <v>33</v>
      </c>
      <c r="AM9" s="59" t="s">
        <v>34</v>
      </c>
      <c r="AN9" s="60" t="s">
        <v>33</v>
      </c>
      <c r="AO9" s="55" t="s">
        <v>35</v>
      </c>
    </row>
    <row r="10" spans="1:41">
      <c r="A10" s="57">
        <v>4</v>
      </c>
      <c r="B10" s="59" t="s">
        <v>36</v>
      </c>
      <c r="C10" s="61">
        <f>C6*C33</f>
        <v>3975999.9999999995</v>
      </c>
      <c r="D10" s="61">
        <f t="shared" ref="D10:K10" si="2">D6*D33</f>
        <v>749000</v>
      </c>
      <c r="E10" s="61">
        <f t="shared" si="2"/>
        <v>4494000</v>
      </c>
      <c r="F10" s="61">
        <f t="shared" si="2"/>
        <v>2660000</v>
      </c>
      <c r="G10" s="61">
        <f t="shared" si="2"/>
        <v>430500</v>
      </c>
      <c r="H10" s="61">
        <f t="shared" si="2"/>
        <v>341600</v>
      </c>
      <c r="I10" s="61">
        <f t="shared" si="2"/>
        <v>296099.99999999994</v>
      </c>
      <c r="J10" s="61">
        <f t="shared" si="2"/>
        <v>2289000</v>
      </c>
      <c r="K10" s="61">
        <f t="shared" si="2"/>
        <v>966000</v>
      </c>
      <c r="L10" s="61">
        <f t="shared" si="0"/>
        <v>16202200</v>
      </c>
      <c r="W10" s="59" t="s">
        <v>36</v>
      </c>
      <c r="AM10" s="59" t="s">
        <v>37</v>
      </c>
      <c r="AN10" s="59" t="s">
        <v>36</v>
      </c>
      <c r="AO10" s="55" t="s">
        <v>38</v>
      </c>
    </row>
    <row r="11" spans="1:41">
      <c r="A11" s="57">
        <v>5</v>
      </c>
      <c r="B11" s="59" t="s">
        <v>39</v>
      </c>
      <c r="C11" s="61">
        <f>+C6*C36</f>
        <v>244808</v>
      </c>
      <c r="D11" s="61">
        <f t="shared" ref="D11:K11" si="3">+D6*D36</f>
        <v>46115</v>
      </c>
      <c r="E11" s="61">
        <f t="shared" si="3"/>
        <v>276690</v>
      </c>
      <c r="F11" s="61">
        <f t="shared" si="3"/>
        <v>163800</v>
      </c>
      <c r="G11" s="61">
        <f t="shared" si="3"/>
        <v>26505</v>
      </c>
      <c r="H11" s="61">
        <f t="shared" si="3"/>
        <v>21032</v>
      </c>
      <c r="I11" s="61">
        <f t="shared" si="3"/>
        <v>18231</v>
      </c>
      <c r="J11" s="61">
        <f t="shared" si="3"/>
        <v>140940</v>
      </c>
      <c r="K11" s="61">
        <f t="shared" si="3"/>
        <v>59475</v>
      </c>
      <c r="L11" s="61">
        <f t="shared" si="0"/>
        <v>997596</v>
      </c>
      <c r="W11" s="59" t="s">
        <v>39</v>
      </c>
      <c r="AM11" s="59" t="s">
        <v>40</v>
      </c>
      <c r="AN11" s="59" t="s">
        <v>39</v>
      </c>
    </row>
    <row r="12" spans="1:41">
      <c r="A12" s="57">
        <v>6</v>
      </c>
      <c r="B12" s="59" t="s">
        <v>41</v>
      </c>
      <c r="C12" s="61">
        <f>+C6*C37</f>
        <v>123256</v>
      </c>
      <c r="D12" s="61">
        <f t="shared" ref="D12:K12" si="4">+D6*D37</f>
        <v>23220</v>
      </c>
      <c r="E12" s="61">
        <f t="shared" si="4"/>
        <v>139320</v>
      </c>
      <c r="F12" s="61">
        <f t="shared" si="4"/>
        <v>82480</v>
      </c>
      <c r="G12" s="61">
        <f t="shared" si="4"/>
        <v>13345</v>
      </c>
      <c r="H12" s="61">
        <f t="shared" si="4"/>
        <v>10590</v>
      </c>
      <c r="I12" s="61">
        <f t="shared" si="4"/>
        <v>9180</v>
      </c>
      <c r="J12" s="61">
        <f t="shared" si="4"/>
        <v>70965</v>
      </c>
      <c r="K12" s="61">
        <f t="shared" si="4"/>
        <v>29940</v>
      </c>
      <c r="L12" s="61">
        <f t="shared" si="0"/>
        <v>502296</v>
      </c>
      <c r="W12" s="59" t="s">
        <v>41</v>
      </c>
      <c r="AM12" s="59" t="s">
        <v>42</v>
      </c>
      <c r="AN12" s="59" t="s">
        <v>41</v>
      </c>
    </row>
    <row r="13" spans="1:41">
      <c r="A13" s="57">
        <v>7</v>
      </c>
      <c r="B13" s="59" t="s">
        <v>43</v>
      </c>
      <c r="C13" s="61">
        <f>+C6*C38</f>
        <v>181760</v>
      </c>
      <c r="D13" s="61">
        <f t="shared" ref="D13:K13" si="5">+D6*D38</f>
        <v>34240</v>
      </c>
      <c r="E13" s="61">
        <f t="shared" si="5"/>
        <v>205440</v>
      </c>
      <c r="F13" s="61">
        <f t="shared" si="5"/>
        <v>121600</v>
      </c>
      <c r="G13" s="61">
        <f t="shared" si="5"/>
        <v>19680</v>
      </c>
      <c r="H13" s="61">
        <f t="shared" si="5"/>
        <v>2586</v>
      </c>
      <c r="I13" s="61">
        <f t="shared" si="5"/>
        <v>13536</v>
      </c>
      <c r="J13" s="61">
        <f t="shared" si="5"/>
        <v>104640.00000000001</v>
      </c>
      <c r="K13" s="61">
        <f t="shared" si="5"/>
        <v>44160</v>
      </c>
      <c r="L13" s="61">
        <f t="shared" si="0"/>
        <v>727642</v>
      </c>
      <c r="W13" s="59" t="s">
        <v>43</v>
      </c>
      <c r="AM13" s="59" t="s">
        <v>44</v>
      </c>
      <c r="AN13" s="59" t="s">
        <v>43</v>
      </c>
      <c r="AO13" s="55" t="s">
        <v>27</v>
      </c>
    </row>
    <row r="14" spans="1:41">
      <c r="A14" s="57">
        <v>8</v>
      </c>
      <c r="B14" s="62" t="s">
        <v>45</v>
      </c>
      <c r="C14" s="61">
        <f>SUM(C11:C13)</f>
        <v>549824</v>
      </c>
      <c r="D14" s="61">
        <f t="shared" ref="D14:K14" si="6">SUM(D11:D13)</f>
        <v>103575</v>
      </c>
      <c r="E14" s="61">
        <f t="shared" si="6"/>
        <v>621450</v>
      </c>
      <c r="F14" s="61">
        <f t="shared" si="6"/>
        <v>367880</v>
      </c>
      <c r="G14" s="61">
        <f t="shared" si="6"/>
        <v>59530</v>
      </c>
      <c r="H14" s="61">
        <f t="shared" si="6"/>
        <v>34208</v>
      </c>
      <c r="I14" s="61">
        <f t="shared" si="6"/>
        <v>40947</v>
      </c>
      <c r="J14" s="61">
        <f t="shared" si="6"/>
        <v>316545</v>
      </c>
      <c r="K14" s="61">
        <f t="shared" si="6"/>
        <v>133575</v>
      </c>
      <c r="L14" s="61">
        <f t="shared" si="0"/>
        <v>2227534</v>
      </c>
      <c r="W14" s="62" t="s">
        <v>45</v>
      </c>
      <c r="AM14" s="59" t="s">
        <v>46</v>
      </c>
      <c r="AN14" s="62" t="s">
        <v>45</v>
      </c>
    </row>
    <row r="15" spans="1:41">
      <c r="A15" s="57">
        <v>9</v>
      </c>
      <c r="B15" s="62" t="s">
        <v>47</v>
      </c>
      <c r="C15" s="61">
        <f>+C9-C10-C14</f>
        <v>1154176.0000000005</v>
      </c>
      <c r="D15" s="61">
        <f t="shared" ref="D15:K15" si="7">+D9-D10-D14</f>
        <v>217425</v>
      </c>
      <c r="E15" s="61">
        <f t="shared" si="7"/>
        <v>1304550</v>
      </c>
      <c r="F15" s="61">
        <f t="shared" si="7"/>
        <v>772120</v>
      </c>
      <c r="G15" s="61">
        <f t="shared" si="7"/>
        <v>124970</v>
      </c>
      <c r="H15" s="61">
        <f t="shared" si="7"/>
        <v>112192</v>
      </c>
      <c r="I15" s="61">
        <f t="shared" si="7"/>
        <v>85953.000000000058</v>
      </c>
      <c r="J15" s="61">
        <f t="shared" si="7"/>
        <v>664455</v>
      </c>
      <c r="K15" s="61">
        <f t="shared" si="7"/>
        <v>280425</v>
      </c>
      <c r="L15" s="61">
        <f t="shared" si="0"/>
        <v>4716266</v>
      </c>
      <c r="W15" s="62" t="s">
        <v>47</v>
      </c>
      <c r="AM15" s="59" t="s">
        <v>48</v>
      </c>
      <c r="AN15" s="62" t="s">
        <v>47</v>
      </c>
    </row>
    <row r="16" spans="1:41">
      <c r="A16" s="57">
        <v>10</v>
      </c>
      <c r="B16" s="59" t="s">
        <v>49</v>
      </c>
      <c r="C16" s="63">
        <f>+C15/C9</f>
        <v>0.20320000000000008</v>
      </c>
      <c r="D16" s="63">
        <f t="shared" ref="D16:K16" si="8">+D15/D9</f>
        <v>0.20320093457943925</v>
      </c>
      <c r="E16" s="63">
        <f t="shared" si="8"/>
        <v>0.20320093457943925</v>
      </c>
      <c r="F16" s="63">
        <f t="shared" si="8"/>
        <v>0.20318947368421053</v>
      </c>
      <c r="G16" s="63">
        <f t="shared" si="8"/>
        <v>0.20320325203252032</v>
      </c>
      <c r="H16" s="63">
        <f t="shared" si="8"/>
        <v>0.2299016393442623</v>
      </c>
      <c r="I16" s="63">
        <f t="shared" si="8"/>
        <v>0.20319858156028384</v>
      </c>
      <c r="J16" s="63">
        <f t="shared" si="8"/>
        <v>0.20319724770642203</v>
      </c>
      <c r="K16" s="63">
        <f t="shared" si="8"/>
        <v>0.20320652173913042</v>
      </c>
      <c r="L16" s="63">
        <f t="shared" ref="L16" si="9">+L15/L9</f>
        <v>0.20376160027650567</v>
      </c>
      <c r="W16" s="59" t="s">
        <v>49</v>
      </c>
      <c r="AM16" s="59" t="s">
        <v>50</v>
      </c>
      <c r="AN16" s="59" t="s">
        <v>49</v>
      </c>
    </row>
    <row r="17" spans="1:41">
      <c r="A17" s="57">
        <v>11</v>
      </c>
      <c r="B17" s="59" t="s">
        <v>51</v>
      </c>
      <c r="C17" s="61">
        <f>C6*C43+C18</f>
        <v>297355.95061728393</v>
      </c>
      <c r="D17" s="61">
        <f t="shared" ref="D17:K17" si="10">D6*D43+D18</f>
        <v>60200.98765432099</v>
      </c>
      <c r="E17" s="61">
        <f t="shared" si="10"/>
        <v>361205.9259259259</v>
      </c>
      <c r="F17" s="61">
        <f t="shared" si="10"/>
        <v>289287.90123456792</v>
      </c>
      <c r="G17" s="61">
        <f t="shared" si="10"/>
        <v>41815.98765432099</v>
      </c>
      <c r="H17" s="61">
        <f t="shared" si="10"/>
        <v>26504.395061728395</v>
      </c>
      <c r="I17" s="61">
        <f t="shared" si="10"/>
        <v>27270.592592592591</v>
      </c>
      <c r="J17" s="61">
        <f t="shared" si="10"/>
        <v>183017.96296296298</v>
      </c>
      <c r="K17" s="61">
        <f t="shared" si="10"/>
        <v>106667.96296296298</v>
      </c>
      <c r="L17" s="61">
        <f>SUM(C17:K17)</f>
        <v>1393327.6666666663</v>
      </c>
      <c r="M17" s="76"/>
      <c r="W17" s="59" t="s">
        <v>51</v>
      </c>
      <c r="AM17" s="59" t="s">
        <v>52</v>
      </c>
      <c r="AN17" s="59" t="s">
        <v>51</v>
      </c>
    </row>
    <row r="18" spans="1:41" s="53" customFormat="1">
      <c r="A18" s="57">
        <v>12</v>
      </c>
      <c r="B18" s="64" t="s">
        <v>158</v>
      </c>
      <c r="C18" s="65">
        <f>$L$18/$L$6*C6</f>
        <v>67883.950617283961</v>
      </c>
      <c r="D18" s="65">
        <f t="shared" ref="D18:K18" si="11">$L$18/$L$6*D6</f>
        <v>16970.98765432099</v>
      </c>
      <c r="E18" s="65">
        <f t="shared" si="11"/>
        <v>101825.92592592594</v>
      </c>
      <c r="F18" s="65">
        <f t="shared" si="11"/>
        <v>135767.90123456792</v>
      </c>
      <c r="G18" s="65">
        <f t="shared" si="11"/>
        <v>16970.98765432099</v>
      </c>
      <c r="H18" s="65">
        <f t="shared" si="11"/>
        <v>6788.3950617283954</v>
      </c>
      <c r="I18" s="65">
        <f t="shared" si="11"/>
        <v>10182.592592592593</v>
      </c>
      <c r="J18" s="65">
        <f t="shared" si="11"/>
        <v>50912.962962962971</v>
      </c>
      <c r="K18" s="65">
        <f t="shared" si="11"/>
        <v>50912.962962962971</v>
      </c>
      <c r="L18" s="65">
        <f>项目投资!D26</f>
        <v>458216.66666666674</v>
      </c>
      <c r="M18" s="77" t="s">
        <v>159</v>
      </c>
      <c r="N18" s="77"/>
      <c r="O18" s="77"/>
    </row>
    <row r="19" spans="1:41">
      <c r="A19" s="57">
        <v>13</v>
      </c>
      <c r="B19" s="59" t="s">
        <v>53</v>
      </c>
      <c r="C19" s="61">
        <f>C6*C44</f>
        <v>30104</v>
      </c>
      <c r="D19" s="61">
        <f t="shared" ref="D19:K19" si="12">D6*D44</f>
        <v>5670</v>
      </c>
      <c r="E19" s="61">
        <f t="shared" si="12"/>
        <v>34020</v>
      </c>
      <c r="F19" s="61">
        <f t="shared" si="12"/>
        <v>20160</v>
      </c>
      <c r="G19" s="61">
        <f t="shared" si="12"/>
        <v>3260</v>
      </c>
      <c r="H19" s="61">
        <f t="shared" si="12"/>
        <v>15616</v>
      </c>
      <c r="I19" s="61">
        <f t="shared" si="12"/>
        <v>2241</v>
      </c>
      <c r="J19" s="61">
        <f t="shared" si="12"/>
        <v>17325</v>
      </c>
      <c r="K19" s="61">
        <f t="shared" si="12"/>
        <v>7320</v>
      </c>
      <c r="L19" s="61">
        <f>SUM(C19:K19)</f>
        <v>135716</v>
      </c>
      <c r="M19" s="53"/>
      <c r="W19" s="59" t="s">
        <v>53</v>
      </c>
      <c r="AM19" s="59" t="s">
        <v>54</v>
      </c>
      <c r="AN19" s="59" t="s">
        <v>53</v>
      </c>
      <c r="AO19" s="55" t="s">
        <v>27</v>
      </c>
    </row>
    <row r="20" spans="1:41">
      <c r="A20" s="57">
        <v>14</v>
      </c>
      <c r="B20" s="59" t="s">
        <v>55</v>
      </c>
      <c r="C20" s="61">
        <f>C6*C45</f>
        <v>154500</v>
      </c>
      <c r="D20" s="61">
        <f t="shared" ref="D20:K20" si="13">D6*D45</f>
        <v>29105</v>
      </c>
      <c r="E20" s="61">
        <f t="shared" si="13"/>
        <v>174630</v>
      </c>
      <c r="F20" s="61">
        <f t="shared" si="13"/>
        <v>103360</v>
      </c>
      <c r="G20" s="61">
        <f t="shared" si="13"/>
        <v>16730</v>
      </c>
      <c r="H20" s="61">
        <f t="shared" si="13"/>
        <v>13276</v>
      </c>
      <c r="I20" s="61">
        <f t="shared" si="13"/>
        <v>11505</v>
      </c>
      <c r="J20" s="61">
        <f t="shared" si="13"/>
        <v>88950</v>
      </c>
      <c r="K20" s="61">
        <f t="shared" si="13"/>
        <v>37530</v>
      </c>
      <c r="L20" s="61">
        <f>SUM(C20:K20)</f>
        <v>629586</v>
      </c>
      <c r="W20" s="59" t="s">
        <v>55</v>
      </c>
      <c r="AM20" s="59" t="s">
        <v>56</v>
      </c>
      <c r="AN20" s="59" t="s">
        <v>55</v>
      </c>
    </row>
    <row r="21" spans="1:41">
      <c r="A21" s="57">
        <v>15</v>
      </c>
      <c r="B21" s="59" t="s">
        <v>57</v>
      </c>
      <c r="C21" s="66">
        <f>$L$21/$L$6*C6</f>
        <v>18765.432098765436</v>
      </c>
      <c r="D21" s="66">
        <f t="shared" ref="D21:K21" si="14">$L$21/$L$6*D6</f>
        <v>4691.3580246913589</v>
      </c>
      <c r="E21" s="66">
        <f t="shared" si="14"/>
        <v>28148.14814814815</v>
      </c>
      <c r="F21" s="66">
        <f t="shared" si="14"/>
        <v>37530.864197530871</v>
      </c>
      <c r="G21" s="66">
        <f t="shared" si="14"/>
        <v>4691.3580246913589</v>
      </c>
      <c r="H21" s="66">
        <f t="shared" si="14"/>
        <v>1876.5432098765434</v>
      </c>
      <c r="I21" s="66">
        <f t="shared" si="14"/>
        <v>2814.8148148148152</v>
      </c>
      <c r="J21" s="66">
        <f t="shared" si="14"/>
        <v>14074.074074074075</v>
      </c>
      <c r="K21" s="66">
        <f t="shared" si="14"/>
        <v>14074.074074074075</v>
      </c>
      <c r="L21" s="61">
        <f>项目投资!D27</f>
        <v>126666.66666666667</v>
      </c>
      <c r="W21" s="59" t="s">
        <v>57</v>
      </c>
      <c r="AM21" s="59"/>
      <c r="AN21" s="59"/>
    </row>
    <row r="22" spans="1:41">
      <c r="A22" s="57">
        <v>16</v>
      </c>
      <c r="B22" s="59" t="s">
        <v>58</v>
      </c>
      <c r="C22" s="61">
        <f>C6*C47</f>
        <v>170400</v>
      </c>
      <c r="D22" s="61">
        <f t="shared" ref="D22:K22" si="15">D6*D47</f>
        <v>32100</v>
      </c>
      <c r="E22" s="61">
        <f t="shared" si="15"/>
        <v>192600</v>
      </c>
      <c r="F22" s="61">
        <f t="shared" si="15"/>
        <v>114000</v>
      </c>
      <c r="G22" s="61">
        <f t="shared" si="15"/>
        <v>18450</v>
      </c>
      <c r="H22" s="61">
        <f t="shared" si="15"/>
        <v>14640</v>
      </c>
      <c r="I22" s="61">
        <f t="shared" si="15"/>
        <v>12690</v>
      </c>
      <c r="J22" s="61">
        <f t="shared" si="15"/>
        <v>98100.000000000015</v>
      </c>
      <c r="K22" s="61">
        <f t="shared" si="15"/>
        <v>41400</v>
      </c>
      <c r="L22" s="61">
        <f>+SUM(C22:K22)</f>
        <v>694380</v>
      </c>
      <c r="W22" s="59" t="s">
        <v>58</v>
      </c>
      <c r="AM22" s="59" t="s">
        <v>59</v>
      </c>
      <c r="AN22" s="59" t="s">
        <v>58</v>
      </c>
    </row>
    <row r="23" spans="1:41">
      <c r="A23" s="57">
        <v>17</v>
      </c>
      <c r="B23" s="62" t="s">
        <v>60</v>
      </c>
      <c r="C23" s="66">
        <f>+C22+C21+C20+C19+C17</f>
        <v>671125.38271604944</v>
      </c>
      <c r="D23" s="66">
        <f t="shared" ref="D23:K23" si="16">+D22+D21+D20+D19+D17</f>
        <v>131767.34567901236</v>
      </c>
      <c r="E23" s="66">
        <f t="shared" si="16"/>
        <v>790604.07407407404</v>
      </c>
      <c r="F23" s="66">
        <f t="shared" si="16"/>
        <v>564338.76543209888</v>
      </c>
      <c r="G23" s="66">
        <f t="shared" si="16"/>
        <v>84947.34567901236</v>
      </c>
      <c r="H23" s="66">
        <f t="shared" si="16"/>
        <v>71912.938271604944</v>
      </c>
      <c r="I23" s="66">
        <f t="shared" si="16"/>
        <v>56521.407407407409</v>
      </c>
      <c r="J23" s="66">
        <f t="shared" si="16"/>
        <v>401467.03703703708</v>
      </c>
      <c r="K23" s="66">
        <f t="shared" si="16"/>
        <v>206992.03703703705</v>
      </c>
      <c r="L23" s="66">
        <f t="shared" ref="L23" si="17">+L22+L21+L20+L19+L17</f>
        <v>2979676.333333333</v>
      </c>
      <c r="W23" s="62" t="s">
        <v>60</v>
      </c>
      <c r="AM23" s="59" t="s">
        <v>61</v>
      </c>
      <c r="AN23" s="62" t="s">
        <v>60</v>
      </c>
    </row>
    <row r="24" spans="1:41">
      <c r="A24" s="57">
        <v>18</v>
      </c>
      <c r="B24" s="67" t="s">
        <v>62</v>
      </c>
      <c r="C24" s="66">
        <f>+C15-C23</f>
        <v>483050.61728395103</v>
      </c>
      <c r="D24" s="66">
        <f t="shared" ref="D24:K24" si="18">+D15-D23</f>
        <v>85657.65432098764</v>
      </c>
      <c r="E24" s="66">
        <f t="shared" si="18"/>
        <v>513945.92592592596</v>
      </c>
      <c r="F24" s="66">
        <f t="shared" si="18"/>
        <v>207781.23456790112</v>
      </c>
      <c r="G24" s="66">
        <f t="shared" si="18"/>
        <v>40022.65432098764</v>
      </c>
      <c r="H24" s="66">
        <f t="shared" si="18"/>
        <v>40279.061728395056</v>
      </c>
      <c r="I24" s="66">
        <f t="shared" si="18"/>
        <v>29431.592592592649</v>
      </c>
      <c r="J24" s="66">
        <f t="shared" si="18"/>
        <v>262987.96296296292</v>
      </c>
      <c r="K24" s="66">
        <f t="shared" si="18"/>
        <v>73432.962962962949</v>
      </c>
      <c r="L24" s="66">
        <f t="shared" ref="L24" si="19">+L15-L23</f>
        <v>1736589.666666667</v>
      </c>
      <c r="N24" s="78"/>
      <c r="W24" s="59" t="s">
        <v>62</v>
      </c>
      <c r="AM24" s="59" t="s">
        <v>63</v>
      </c>
      <c r="AN24" s="59" t="s">
        <v>62</v>
      </c>
    </row>
    <row r="25" spans="1:41">
      <c r="A25" s="57">
        <v>19</v>
      </c>
      <c r="B25" s="59" t="s">
        <v>160</v>
      </c>
      <c r="C25" s="66">
        <f>IF(C24&lt;0,0,C24*0.25)</f>
        <v>120762.65432098776</v>
      </c>
      <c r="D25" s="66">
        <f t="shared" ref="D25:K25" si="20">IF(D24&lt;0,0,D24*0.25)</f>
        <v>21414.41358024691</v>
      </c>
      <c r="E25" s="66">
        <f t="shared" si="20"/>
        <v>128486.48148148149</v>
      </c>
      <c r="F25" s="66">
        <f t="shared" si="20"/>
        <v>51945.30864197528</v>
      </c>
      <c r="G25" s="66">
        <f t="shared" si="20"/>
        <v>10005.66358024691</v>
      </c>
      <c r="H25" s="66">
        <f t="shared" si="20"/>
        <v>10069.765432098764</v>
      </c>
      <c r="I25" s="66">
        <f t="shared" si="20"/>
        <v>7357.8981481481624</v>
      </c>
      <c r="J25" s="66">
        <f t="shared" si="20"/>
        <v>65746.99074074073</v>
      </c>
      <c r="K25" s="66">
        <f t="shared" si="20"/>
        <v>18358.240740740737</v>
      </c>
      <c r="L25" s="66">
        <f t="shared" ref="L25" si="21">IF(L24&lt;0,0,L24*0.25)</f>
        <v>434147.41666666674</v>
      </c>
      <c r="M25" s="74"/>
      <c r="N25" s="74"/>
      <c r="O25" s="74"/>
      <c r="W25" s="59" t="s">
        <v>64</v>
      </c>
      <c r="AM25" s="59" t="s">
        <v>65</v>
      </c>
      <c r="AN25" s="59" t="s">
        <v>64</v>
      </c>
    </row>
    <row r="26" spans="1:41">
      <c r="A26" s="57">
        <v>20</v>
      </c>
      <c r="B26" s="59" t="s">
        <v>66</v>
      </c>
      <c r="C26" s="66">
        <f t="shared" ref="C26:K26" si="22">C24-C25</f>
        <v>362287.96296296327</v>
      </c>
      <c r="D26" s="66">
        <f t="shared" si="22"/>
        <v>64243.24074074073</v>
      </c>
      <c r="E26" s="66">
        <f t="shared" si="22"/>
        <v>385459.4444444445</v>
      </c>
      <c r="F26" s="66">
        <f t="shared" si="22"/>
        <v>155835.92592592584</v>
      </c>
      <c r="G26" s="66">
        <f t="shared" si="22"/>
        <v>30016.99074074073</v>
      </c>
      <c r="H26" s="66">
        <f t="shared" si="22"/>
        <v>30209.296296296292</v>
      </c>
      <c r="I26" s="66">
        <f t="shared" si="22"/>
        <v>22073.694444444489</v>
      </c>
      <c r="J26" s="66">
        <f t="shared" si="22"/>
        <v>197240.97222222219</v>
      </c>
      <c r="K26" s="66">
        <f t="shared" si="22"/>
        <v>55074.722222222212</v>
      </c>
      <c r="L26" s="61">
        <f>+SUM(C26:K26)</f>
        <v>1302442.2500000002</v>
      </c>
      <c r="M26" s="183"/>
      <c r="N26" s="74"/>
      <c r="O26" s="74"/>
      <c r="W26" s="59" t="s">
        <v>66</v>
      </c>
      <c r="AM26" s="59" t="s">
        <v>67</v>
      </c>
      <c r="AN26" s="59" t="s">
        <v>66</v>
      </c>
    </row>
    <row r="27" spans="1:41">
      <c r="A27" s="57">
        <v>21</v>
      </c>
      <c r="B27" s="59" t="s">
        <v>70</v>
      </c>
      <c r="C27" s="68">
        <f t="shared" ref="C27:L27" si="23">C26/C7</f>
        <v>6.3783092070944236E-2</v>
      </c>
      <c r="D27" s="68">
        <f t="shared" si="23"/>
        <v>6.0040411907234324E-2</v>
      </c>
      <c r="E27" s="68">
        <f t="shared" si="23"/>
        <v>6.0040411907234345E-2</v>
      </c>
      <c r="F27" s="68">
        <f t="shared" si="23"/>
        <v>4.1009454191033114E-2</v>
      </c>
      <c r="G27" s="68">
        <f t="shared" si="23"/>
        <v>4.8808115025594685E-2</v>
      </c>
      <c r="H27" s="68">
        <f t="shared" si="23"/>
        <v>6.1904295689131743E-2</v>
      </c>
      <c r="I27" s="68">
        <f t="shared" si="23"/>
        <v>5.2183674809561438E-2</v>
      </c>
      <c r="J27" s="68">
        <f t="shared" si="23"/>
        <v>6.0318340129119935E-2</v>
      </c>
      <c r="K27" s="68">
        <f t="shared" si="23"/>
        <v>3.9909219001610298E-2</v>
      </c>
      <c r="L27" s="68">
        <f t="shared" si="23"/>
        <v>5.6270727123477068E-2</v>
      </c>
      <c r="M27" s="74"/>
      <c r="N27" s="74"/>
      <c r="O27" s="74"/>
      <c r="W27" s="59" t="s">
        <v>70</v>
      </c>
      <c r="AM27" s="59" t="s">
        <v>69</v>
      </c>
      <c r="AN27" s="59" t="s">
        <v>70</v>
      </c>
    </row>
    <row r="28" spans="1:41">
      <c r="M28" s="74"/>
      <c r="N28" s="74"/>
      <c r="O28" s="74"/>
      <c r="W28" s="59"/>
    </row>
    <row r="29" spans="1:41">
      <c r="A29" s="55" t="s">
        <v>71</v>
      </c>
      <c r="L29" s="56" t="s">
        <v>161</v>
      </c>
      <c r="M29" s="74"/>
      <c r="N29" s="74"/>
      <c r="O29" s="74"/>
      <c r="W29" s="59"/>
      <c r="AM29" s="55" t="s">
        <v>71</v>
      </c>
    </row>
    <row r="30" spans="1:41">
      <c r="A30" s="59" t="s">
        <v>76</v>
      </c>
      <c r="B30" s="62" t="s">
        <v>77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4"/>
      <c r="N30" s="74"/>
      <c r="O30" s="74"/>
      <c r="Q30" s="74"/>
      <c r="W30" s="62" t="s">
        <v>77</v>
      </c>
      <c r="AM30" s="59" t="s">
        <v>78</v>
      </c>
      <c r="AN30" s="62" t="s">
        <v>77</v>
      </c>
    </row>
    <row r="31" spans="1:41">
      <c r="A31" s="69">
        <v>1</v>
      </c>
      <c r="B31" s="64" t="s">
        <v>79</v>
      </c>
      <c r="C31" s="70">
        <f>销量!C8</f>
        <v>2840</v>
      </c>
      <c r="D31" s="70">
        <f>销量!D8</f>
        <v>2140</v>
      </c>
      <c r="E31" s="70">
        <f>销量!E8</f>
        <v>2140</v>
      </c>
      <c r="F31" s="70">
        <f>销量!F8</f>
        <v>950</v>
      </c>
      <c r="G31" s="70">
        <f>销量!G8</f>
        <v>1230</v>
      </c>
      <c r="H31" s="70">
        <f>销量!H8</f>
        <v>2440</v>
      </c>
      <c r="I31" s="70">
        <f>销量!I8</f>
        <v>1410</v>
      </c>
      <c r="J31" s="70">
        <f>销量!J8</f>
        <v>2180</v>
      </c>
      <c r="K31" s="70">
        <f>销量!K8</f>
        <v>920</v>
      </c>
      <c r="L31" s="66"/>
      <c r="M31" s="74"/>
      <c r="N31" s="74"/>
      <c r="O31" s="74"/>
      <c r="Q31" s="74"/>
      <c r="W31" s="59" t="s">
        <v>79</v>
      </c>
      <c r="AM31" s="59" t="s">
        <v>29</v>
      </c>
      <c r="AN31" s="59" t="s">
        <v>79</v>
      </c>
    </row>
    <row r="32" spans="1:41">
      <c r="A32" s="69">
        <v>2</v>
      </c>
      <c r="B32" s="59" t="s">
        <v>162</v>
      </c>
      <c r="C32" s="61">
        <f>C31*1</f>
        <v>2840</v>
      </c>
      <c r="D32" s="61">
        <f t="shared" ref="D32:G32" si="24">D31*1</f>
        <v>2140</v>
      </c>
      <c r="E32" s="61">
        <f t="shared" si="24"/>
        <v>2140</v>
      </c>
      <c r="F32" s="61">
        <f t="shared" si="24"/>
        <v>950</v>
      </c>
      <c r="G32" s="61">
        <f t="shared" si="24"/>
        <v>1230</v>
      </c>
      <c r="H32" s="61">
        <f t="shared" ref="H32:K32" si="25">H31*1</f>
        <v>2440</v>
      </c>
      <c r="I32" s="61">
        <f t="shared" si="25"/>
        <v>1410</v>
      </c>
      <c r="J32" s="61">
        <f t="shared" si="25"/>
        <v>2180</v>
      </c>
      <c r="K32" s="61">
        <f t="shared" si="25"/>
        <v>920</v>
      </c>
      <c r="L32" s="66"/>
      <c r="M32" s="74"/>
      <c r="N32" s="74"/>
      <c r="O32" s="74"/>
      <c r="P32" s="74"/>
      <c r="Q32" s="74"/>
      <c r="R32" s="74"/>
      <c r="S32" s="74"/>
      <c r="AM32" s="59"/>
      <c r="AN32" s="59"/>
    </row>
    <row r="33" spans="1:40">
      <c r="A33" s="69">
        <v>3</v>
      </c>
      <c r="B33" s="64" t="s">
        <v>80</v>
      </c>
      <c r="C33" s="61">
        <f>材料成本!H39</f>
        <v>1987.9999999999998</v>
      </c>
      <c r="D33" s="61">
        <f>材料成本!H40</f>
        <v>1498</v>
      </c>
      <c r="E33" s="61">
        <f>材料成本!H41</f>
        <v>1498</v>
      </c>
      <c r="F33" s="61">
        <f>材料成本!H42</f>
        <v>665</v>
      </c>
      <c r="G33" s="61">
        <f>材料成本!H43</f>
        <v>861</v>
      </c>
      <c r="H33" s="61">
        <f>材料成本!H44</f>
        <v>1708</v>
      </c>
      <c r="I33" s="61">
        <f>材料成本!H45</f>
        <v>986.99999999999989</v>
      </c>
      <c r="J33" s="61">
        <f>材料成本!H46</f>
        <v>1526</v>
      </c>
      <c r="K33" s="61">
        <f>材料成本!H47</f>
        <v>644</v>
      </c>
      <c r="L33" s="66"/>
      <c r="N33" s="74"/>
      <c r="O33" s="74"/>
      <c r="P33" s="74"/>
      <c r="Q33" s="74"/>
      <c r="R33" s="74"/>
      <c r="S33" s="74"/>
      <c r="W33" s="59" t="s">
        <v>80</v>
      </c>
      <c r="AM33" s="59" t="s">
        <v>31</v>
      </c>
      <c r="AN33" s="59" t="s">
        <v>80</v>
      </c>
    </row>
    <row r="34" spans="1:40" ht="17.25" customHeight="1">
      <c r="A34" s="69">
        <v>4</v>
      </c>
      <c r="B34" s="59" t="s">
        <v>82</v>
      </c>
      <c r="C34" s="71">
        <f>C32-C33</f>
        <v>852.00000000000023</v>
      </c>
      <c r="D34" s="71">
        <f t="shared" ref="D34:K34" si="26">D32-D33</f>
        <v>642</v>
      </c>
      <c r="E34" s="71">
        <f t="shared" si="26"/>
        <v>642</v>
      </c>
      <c r="F34" s="71">
        <f t="shared" si="26"/>
        <v>285</v>
      </c>
      <c r="G34" s="71">
        <f t="shared" si="26"/>
        <v>369</v>
      </c>
      <c r="H34" s="71">
        <f t="shared" si="26"/>
        <v>732</v>
      </c>
      <c r="I34" s="71">
        <f t="shared" si="26"/>
        <v>423.00000000000011</v>
      </c>
      <c r="J34" s="71">
        <f t="shared" si="26"/>
        <v>654</v>
      </c>
      <c r="K34" s="71">
        <f t="shared" si="26"/>
        <v>276</v>
      </c>
      <c r="L34" s="66"/>
      <c r="N34" s="74"/>
      <c r="O34" s="74"/>
      <c r="P34" s="74"/>
      <c r="Q34" s="74"/>
      <c r="R34" s="74"/>
      <c r="S34" s="74"/>
      <c r="W34" s="59" t="s">
        <v>82</v>
      </c>
      <c r="AM34" s="59" t="s">
        <v>81</v>
      </c>
      <c r="AN34" s="59" t="s">
        <v>82</v>
      </c>
    </row>
    <row r="35" spans="1:40">
      <c r="A35" s="59" t="s">
        <v>78</v>
      </c>
      <c r="B35" s="62" t="s">
        <v>10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2" t="s">
        <v>10</v>
      </c>
      <c r="AM35" s="59" t="s">
        <v>84</v>
      </c>
      <c r="AN35" s="62" t="s">
        <v>10</v>
      </c>
    </row>
    <row r="36" spans="1:40">
      <c r="A36" s="69">
        <v>1</v>
      </c>
      <c r="B36" s="59" t="s">
        <v>85</v>
      </c>
      <c r="C36" s="65">
        <v>122.404</v>
      </c>
      <c r="D36" s="65">
        <v>92.23</v>
      </c>
      <c r="E36" s="65">
        <v>92.23</v>
      </c>
      <c r="F36" s="65">
        <v>40.950000000000003</v>
      </c>
      <c r="G36" s="65">
        <v>53.01</v>
      </c>
      <c r="H36" s="65">
        <v>105.16</v>
      </c>
      <c r="I36" s="65">
        <v>60.77</v>
      </c>
      <c r="J36" s="65">
        <v>93.96</v>
      </c>
      <c r="K36" s="65">
        <v>39.65</v>
      </c>
      <c r="L36" s="70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9" t="s">
        <v>85</v>
      </c>
      <c r="AM36" s="59" t="s">
        <v>81</v>
      </c>
      <c r="AN36" s="59" t="s">
        <v>85</v>
      </c>
    </row>
    <row r="37" spans="1:40">
      <c r="A37" s="69">
        <v>2</v>
      </c>
      <c r="B37" s="59" t="s">
        <v>86</v>
      </c>
      <c r="C37" s="65">
        <v>61.628</v>
      </c>
      <c r="D37" s="65">
        <v>46.44</v>
      </c>
      <c r="E37" s="65">
        <v>46.44</v>
      </c>
      <c r="F37" s="65">
        <v>20.62</v>
      </c>
      <c r="G37" s="65">
        <v>26.69</v>
      </c>
      <c r="H37" s="65">
        <v>52.95</v>
      </c>
      <c r="I37" s="65">
        <v>30.6</v>
      </c>
      <c r="J37" s="65">
        <v>47.31</v>
      </c>
      <c r="K37" s="65">
        <v>19.96</v>
      </c>
      <c r="L37" s="70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59" t="s">
        <v>86</v>
      </c>
      <c r="AM37" s="59" t="s">
        <v>34</v>
      </c>
      <c r="AN37" s="59" t="s">
        <v>86</v>
      </c>
    </row>
    <row r="38" spans="1:40">
      <c r="A38" s="69">
        <v>3</v>
      </c>
      <c r="B38" s="59" t="s">
        <v>87</v>
      </c>
      <c r="C38" s="65">
        <v>90.88</v>
      </c>
      <c r="D38" s="65">
        <v>68.48</v>
      </c>
      <c r="E38" s="65">
        <v>68.48</v>
      </c>
      <c r="F38" s="65">
        <v>30.4</v>
      </c>
      <c r="G38" s="65">
        <v>39.36</v>
      </c>
      <c r="H38" s="65">
        <v>12.93</v>
      </c>
      <c r="I38" s="65">
        <v>45.12</v>
      </c>
      <c r="J38" s="65">
        <v>69.760000000000005</v>
      </c>
      <c r="K38" s="65">
        <v>29.44</v>
      </c>
      <c r="L38" s="70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9" t="s">
        <v>87</v>
      </c>
      <c r="AM38" s="59" t="s">
        <v>40</v>
      </c>
      <c r="AN38" s="59" t="s">
        <v>87</v>
      </c>
    </row>
    <row r="39" spans="1:40">
      <c r="A39" s="59" t="s">
        <v>84</v>
      </c>
      <c r="B39" s="62" t="s">
        <v>89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W39" s="62" t="s">
        <v>89</v>
      </c>
      <c r="AM39" s="59" t="s">
        <v>88</v>
      </c>
      <c r="AN39" s="62" t="s">
        <v>89</v>
      </c>
    </row>
    <row r="40" spans="1:40">
      <c r="A40" s="69">
        <v>1</v>
      </c>
      <c r="B40" s="59" t="s">
        <v>91</v>
      </c>
      <c r="C40" s="66">
        <f>C34-C36-C37-C38</f>
        <v>577.08800000000019</v>
      </c>
      <c r="D40" s="66">
        <f t="shared" ref="D40:K40" si="27">D34-D36-D37-D38</f>
        <v>434.84999999999997</v>
      </c>
      <c r="E40" s="66">
        <f t="shared" si="27"/>
        <v>434.84999999999997</v>
      </c>
      <c r="F40" s="66">
        <f t="shared" si="27"/>
        <v>193.03</v>
      </c>
      <c r="G40" s="66">
        <f t="shared" si="27"/>
        <v>249.94</v>
      </c>
      <c r="H40" s="66">
        <f t="shared" si="27"/>
        <v>560.96</v>
      </c>
      <c r="I40" s="66">
        <f t="shared" si="27"/>
        <v>286.5100000000001</v>
      </c>
      <c r="J40" s="66">
        <f t="shared" si="27"/>
        <v>442.97</v>
      </c>
      <c r="K40" s="66">
        <f t="shared" si="27"/>
        <v>186.95</v>
      </c>
      <c r="L40" s="66"/>
      <c r="W40" s="59" t="s">
        <v>91</v>
      </c>
      <c r="AM40" s="59" t="s">
        <v>29</v>
      </c>
      <c r="AN40" s="59" t="s">
        <v>91</v>
      </c>
    </row>
    <row r="41" spans="1:40">
      <c r="A41" s="69">
        <v>2</v>
      </c>
      <c r="B41" s="59" t="s">
        <v>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W41" s="59" t="s">
        <v>92</v>
      </c>
      <c r="AM41" s="59" t="s">
        <v>31</v>
      </c>
      <c r="AN41" s="59" t="s">
        <v>92</v>
      </c>
    </row>
    <row r="42" spans="1:40">
      <c r="A42" s="59" t="s">
        <v>88</v>
      </c>
      <c r="B42" s="62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W42" s="62" t="s">
        <v>94</v>
      </c>
      <c r="AM42" s="59" t="s">
        <v>93</v>
      </c>
      <c r="AN42" s="62" t="s">
        <v>94</v>
      </c>
    </row>
    <row r="43" spans="1:40">
      <c r="A43" s="69">
        <v>1</v>
      </c>
      <c r="B43" s="67" t="s">
        <v>95</v>
      </c>
      <c r="C43" s="65">
        <v>114.73599999999999</v>
      </c>
      <c r="D43" s="65">
        <v>86.46</v>
      </c>
      <c r="E43" s="65">
        <v>86.46</v>
      </c>
      <c r="F43" s="65">
        <v>38.380000000000003</v>
      </c>
      <c r="G43" s="65">
        <v>49.69</v>
      </c>
      <c r="H43" s="65">
        <v>98.58</v>
      </c>
      <c r="I43" s="65">
        <v>56.96</v>
      </c>
      <c r="J43" s="65">
        <v>88.07</v>
      </c>
      <c r="K43" s="65">
        <v>37.17</v>
      </c>
      <c r="L43" s="66"/>
      <c r="W43" s="59" t="s">
        <v>95</v>
      </c>
      <c r="AM43" s="59" t="s">
        <v>29</v>
      </c>
      <c r="AN43" s="59" t="s">
        <v>95</v>
      </c>
    </row>
    <row r="44" spans="1:40">
      <c r="A44" s="69">
        <v>2</v>
      </c>
      <c r="B44" s="67" t="s">
        <v>96</v>
      </c>
      <c r="C44" s="65">
        <v>15.052</v>
      </c>
      <c r="D44" s="65">
        <v>11.34</v>
      </c>
      <c r="E44" s="65">
        <v>11.34</v>
      </c>
      <c r="F44" s="65">
        <v>5.04</v>
      </c>
      <c r="G44" s="65">
        <v>6.52</v>
      </c>
      <c r="H44" s="65">
        <v>78.08</v>
      </c>
      <c r="I44" s="65">
        <v>7.47</v>
      </c>
      <c r="J44" s="65">
        <v>11.55</v>
      </c>
      <c r="K44" s="65">
        <v>4.88</v>
      </c>
      <c r="L44" s="66"/>
      <c r="W44" s="59" t="s">
        <v>96</v>
      </c>
      <c r="AM44" s="59" t="s">
        <v>31</v>
      </c>
      <c r="AN44" s="59" t="s">
        <v>96</v>
      </c>
    </row>
    <row r="45" spans="1:40">
      <c r="A45" s="69">
        <v>3</v>
      </c>
      <c r="B45" s="67" t="s">
        <v>97</v>
      </c>
      <c r="C45" s="65">
        <v>77.25</v>
      </c>
      <c r="D45" s="65">
        <v>58.21</v>
      </c>
      <c r="E45" s="65">
        <v>58.21</v>
      </c>
      <c r="F45" s="65">
        <v>25.84</v>
      </c>
      <c r="G45" s="65">
        <v>33.46</v>
      </c>
      <c r="H45" s="65">
        <v>66.38</v>
      </c>
      <c r="I45" s="65">
        <v>38.35</v>
      </c>
      <c r="J45" s="65">
        <v>59.3</v>
      </c>
      <c r="K45" s="65">
        <v>25.02</v>
      </c>
      <c r="L45" s="66"/>
      <c r="W45" s="59" t="s">
        <v>97</v>
      </c>
      <c r="AM45" s="59" t="s">
        <v>81</v>
      </c>
      <c r="AN45" s="59" t="s">
        <v>97</v>
      </c>
    </row>
    <row r="46" spans="1:40" s="54" customFormat="1">
      <c r="A46" s="69">
        <v>4</v>
      </c>
      <c r="B46" s="67" t="s">
        <v>98</v>
      </c>
      <c r="C46" s="72">
        <f>C21/C6</f>
        <v>9.3827160493827186</v>
      </c>
      <c r="D46" s="72">
        <f t="shared" ref="D46:K46" si="28">D21/D6</f>
        <v>9.3827160493827186</v>
      </c>
      <c r="E46" s="72">
        <f t="shared" si="28"/>
        <v>9.3827160493827169</v>
      </c>
      <c r="F46" s="72">
        <f t="shared" si="28"/>
        <v>9.3827160493827186</v>
      </c>
      <c r="G46" s="72">
        <f t="shared" si="28"/>
        <v>9.3827160493827186</v>
      </c>
      <c r="H46" s="72">
        <f t="shared" si="28"/>
        <v>9.3827160493827169</v>
      </c>
      <c r="I46" s="72">
        <f t="shared" si="28"/>
        <v>9.3827160493827169</v>
      </c>
      <c r="J46" s="72">
        <f t="shared" si="28"/>
        <v>9.3827160493827169</v>
      </c>
      <c r="K46" s="72">
        <f t="shared" si="28"/>
        <v>9.3827160493827169</v>
      </c>
      <c r="L46" s="72"/>
      <c r="W46" s="67" t="s">
        <v>100</v>
      </c>
      <c r="AM46" s="67" t="s">
        <v>37</v>
      </c>
      <c r="AN46" s="67" t="s">
        <v>100</v>
      </c>
    </row>
    <row r="47" spans="1:40" s="54" customFormat="1">
      <c r="A47" s="69">
        <v>5</v>
      </c>
      <c r="B47" s="67" t="s">
        <v>100</v>
      </c>
      <c r="C47" s="72">
        <v>85.2</v>
      </c>
      <c r="D47" s="72">
        <v>64.2</v>
      </c>
      <c r="E47" s="72">
        <v>64.2</v>
      </c>
      <c r="F47" s="72">
        <v>28.5</v>
      </c>
      <c r="G47" s="72">
        <v>36.9</v>
      </c>
      <c r="H47" s="72">
        <v>73.2</v>
      </c>
      <c r="I47" s="72">
        <v>42.3</v>
      </c>
      <c r="J47" s="72">
        <v>65.400000000000006</v>
      </c>
      <c r="K47" s="72">
        <v>27.6</v>
      </c>
      <c r="L47" s="72"/>
      <c r="W47" s="67" t="s">
        <v>100</v>
      </c>
      <c r="AM47" s="67" t="s">
        <v>37</v>
      </c>
      <c r="AN47" s="67" t="s">
        <v>100</v>
      </c>
    </row>
    <row r="48" spans="1:40">
      <c r="A48" s="59" t="s">
        <v>93</v>
      </c>
      <c r="B48" s="62" t="s">
        <v>111</v>
      </c>
      <c r="C48" s="66">
        <f>C40-C43-C44-C45-C47-C46</f>
        <v>275.46728395061746</v>
      </c>
      <c r="D48" s="66">
        <f t="shared" ref="D48:K48" si="29">D40-D43-D44-D45-D47-D46</f>
        <v>205.25728395061734</v>
      </c>
      <c r="E48" s="66">
        <f t="shared" si="29"/>
        <v>205.25728395061734</v>
      </c>
      <c r="F48" s="66">
        <f t="shared" si="29"/>
        <v>85.887283950617288</v>
      </c>
      <c r="G48" s="66">
        <f t="shared" si="29"/>
        <v>113.98728395061725</v>
      </c>
      <c r="H48" s="66">
        <f t="shared" si="29"/>
        <v>235.33728395061738</v>
      </c>
      <c r="I48" s="66">
        <f t="shared" si="29"/>
        <v>132.04728395061741</v>
      </c>
      <c r="J48" s="66">
        <f t="shared" si="29"/>
        <v>209.2672839506173</v>
      </c>
      <c r="K48" s="66">
        <f t="shared" si="29"/>
        <v>82.897283950617251</v>
      </c>
      <c r="L48" s="66"/>
      <c r="W48" s="62" t="s">
        <v>111</v>
      </c>
      <c r="AM48" s="59" t="s">
        <v>110</v>
      </c>
      <c r="AN48" s="62" t="s">
        <v>111</v>
      </c>
    </row>
    <row r="51" spans="2:17">
      <c r="C51" s="73"/>
      <c r="D51" s="73"/>
      <c r="E51" s="73"/>
      <c r="F51" s="73"/>
      <c r="G51" s="73"/>
      <c r="H51" s="73"/>
      <c r="I51" s="73"/>
      <c r="J51" s="73"/>
      <c r="K51" s="73"/>
    </row>
    <row r="54" spans="2:17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4"/>
      <c r="N54" s="74"/>
      <c r="O54" s="74"/>
      <c r="P54" s="74"/>
      <c r="Q54" s="74"/>
    </row>
    <row r="55" spans="2:17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4"/>
      <c r="N55" s="74"/>
      <c r="O55" s="74"/>
      <c r="P55" s="74"/>
      <c r="Q55" s="74"/>
    </row>
    <row r="56" spans="2:17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4"/>
      <c r="N56" s="74"/>
      <c r="O56" s="74"/>
      <c r="P56" s="74"/>
      <c r="Q56" s="74"/>
    </row>
    <row r="57" spans="2:17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4"/>
      <c r="N57" s="74"/>
      <c r="O57" s="74"/>
      <c r="P57" s="74"/>
      <c r="Q57" s="74"/>
    </row>
    <row r="58" spans="2:17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4"/>
      <c r="N58" s="74"/>
      <c r="O58" s="74"/>
      <c r="P58" s="74"/>
      <c r="Q58" s="74"/>
    </row>
    <row r="59" spans="2:17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4"/>
      <c r="N59" s="74"/>
      <c r="O59" s="74"/>
      <c r="P59" s="74"/>
      <c r="Q59" s="74"/>
    </row>
    <row r="60" spans="2:17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4"/>
      <c r="N60" s="74"/>
      <c r="O60" s="74"/>
      <c r="P60" s="74"/>
      <c r="Q60" s="74"/>
    </row>
    <row r="61" spans="2:17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4"/>
      <c r="N61" s="74"/>
      <c r="O61" s="74"/>
      <c r="P61" s="74"/>
      <c r="Q61" s="74"/>
    </row>
    <row r="62" spans="2:17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4"/>
      <c r="N62" s="74"/>
      <c r="O62" s="74"/>
      <c r="P62" s="74"/>
      <c r="Q62" s="74"/>
    </row>
    <row r="63" spans="2:17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4"/>
      <c r="N63" s="74"/>
      <c r="O63" s="74"/>
      <c r="P63" s="74"/>
      <c r="Q63" s="74"/>
    </row>
    <row r="64" spans="2:17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4"/>
      <c r="N64" s="74"/>
      <c r="O64" s="74"/>
      <c r="P64" s="74"/>
      <c r="Q64" s="74"/>
    </row>
    <row r="65" spans="2:17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</row>
    <row r="66" spans="2:17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</row>
    <row r="67" spans="2:17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4"/>
    </row>
    <row r="68" spans="2:17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2:17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4"/>
    </row>
    <row r="70" spans="2:17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4"/>
    </row>
    <row r="71" spans="2:17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4"/>
    </row>
    <row r="72" spans="2:17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4"/>
    </row>
    <row r="73" spans="2:17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4"/>
    </row>
    <row r="74" spans="2:17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4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29" activePane="bottomRight" state="frozen"/>
      <selection pane="topRight"/>
      <selection pane="bottomLeft"/>
      <selection pane="bottomRight" activeCell="C47" sqref="C47:K47"/>
    </sheetView>
  </sheetViews>
  <sheetFormatPr defaultColWidth="9" defaultRowHeight="16.5"/>
  <cols>
    <col min="1" max="1" width="5.125" style="55" customWidth="1"/>
    <col min="2" max="2" width="17.5" style="55" customWidth="1"/>
    <col min="3" max="7" width="13.25" style="56" customWidth="1"/>
    <col min="8" max="11" width="15.5" style="56" customWidth="1"/>
    <col min="12" max="12" width="18.75" style="56" customWidth="1"/>
    <col min="13" max="13" width="12.375" style="55" customWidth="1"/>
    <col min="14" max="14" width="16.125" style="55" bestFit="1" customWidth="1"/>
    <col min="15" max="21" width="9" style="55" customWidth="1"/>
    <col min="22" max="38" width="9" style="55"/>
    <col min="39" max="39" width="4.375" style="55" customWidth="1"/>
    <col min="40" max="40" width="13.875" style="55" customWidth="1"/>
    <col min="41" max="16384" width="9" style="55"/>
  </cols>
  <sheetData>
    <row r="1" spans="1:41">
      <c r="A1" s="193" t="s">
        <v>151</v>
      </c>
      <c r="B1" s="193"/>
      <c r="C1" s="197" t="s">
        <v>293</v>
      </c>
      <c r="D1" s="198"/>
      <c r="E1" s="198"/>
      <c r="F1" s="198"/>
      <c r="G1" s="198"/>
      <c r="H1" s="198"/>
      <c r="I1" s="198"/>
      <c r="J1" s="198"/>
      <c r="K1" s="198"/>
      <c r="L1" s="199"/>
    </row>
    <row r="2" spans="1:41">
      <c r="A2" s="193" t="s">
        <v>153</v>
      </c>
      <c r="B2" s="193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41">
      <c r="A3" s="193" t="s">
        <v>154</v>
      </c>
      <c r="B3" s="193"/>
      <c r="C3" s="177" t="s">
        <v>273</v>
      </c>
      <c r="D3" s="178" t="s">
        <v>274</v>
      </c>
      <c r="E3" s="177" t="s">
        <v>275</v>
      </c>
      <c r="F3" s="177" t="s">
        <v>276</v>
      </c>
      <c r="G3" s="177" t="s">
        <v>277</v>
      </c>
      <c r="H3" s="177" t="s">
        <v>278</v>
      </c>
      <c r="I3" s="177" t="s">
        <v>279</v>
      </c>
      <c r="J3" s="177" t="s">
        <v>280</v>
      </c>
      <c r="K3" s="177" t="s">
        <v>281</v>
      </c>
      <c r="L3" s="194" t="s">
        <v>25</v>
      </c>
    </row>
    <row r="4" spans="1:41">
      <c r="A4" s="193" t="s">
        <v>155</v>
      </c>
      <c r="B4" s="193"/>
      <c r="C4" s="177" t="s">
        <v>282</v>
      </c>
      <c r="D4" s="178" t="s">
        <v>283</v>
      </c>
      <c r="E4" s="177" t="s">
        <v>284</v>
      </c>
      <c r="F4" s="177" t="s">
        <v>285</v>
      </c>
      <c r="G4" s="177" t="s">
        <v>286</v>
      </c>
      <c r="H4" s="177" t="s">
        <v>287</v>
      </c>
      <c r="I4" s="177" t="s">
        <v>288</v>
      </c>
      <c r="J4" s="177" t="s">
        <v>289</v>
      </c>
      <c r="K4" s="177" t="s">
        <v>290</v>
      </c>
      <c r="L4" s="195"/>
    </row>
    <row r="5" spans="1:41">
      <c r="A5" s="193" t="s">
        <v>156</v>
      </c>
      <c r="B5" s="193"/>
      <c r="C5" s="58"/>
      <c r="D5" s="58"/>
      <c r="E5" s="58"/>
      <c r="F5" s="58"/>
      <c r="G5" s="58"/>
      <c r="H5" s="58"/>
      <c r="I5" s="58"/>
      <c r="J5" s="58"/>
      <c r="K5" s="58"/>
      <c r="L5" s="196"/>
      <c r="AO5" s="55" t="s">
        <v>26</v>
      </c>
    </row>
    <row r="6" spans="1:41" ht="17.25">
      <c r="A6" s="59" t="s">
        <v>19</v>
      </c>
      <c r="B6" s="60" t="s">
        <v>157</v>
      </c>
      <c r="C6" s="27">
        <f>销量!C10</f>
        <v>5000</v>
      </c>
      <c r="D6" s="27">
        <f>销量!D10</f>
        <v>2000</v>
      </c>
      <c r="E6" s="27">
        <f>销量!E10</f>
        <v>8000</v>
      </c>
      <c r="F6" s="27">
        <f>销量!F10</f>
        <v>9000</v>
      </c>
      <c r="G6" s="27">
        <f>销量!G10</f>
        <v>1000</v>
      </c>
      <c r="H6" s="27">
        <f>销量!H10</f>
        <v>600</v>
      </c>
      <c r="I6" s="27">
        <f>销量!I10</f>
        <v>1500</v>
      </c>
      <c r="J6" s="27">
        <f>销量!J10</f>
        <v>11000</v>
      </c>
      <c r="K6" s="27">
        <f>销量!K10</f>
        <v>11000</v>
      </c>
      <c r="L6" s="61">
        <f t="shared" ref="L6:L15" si="0">+SUM(C6:K6)</f>
        <v>49100</v>
      </c>
      <c r="W6" s="60" t="s">
        <v>3</v>
      </c>
      <c r="AM6" s="59" t="s">
        <v>19</v>
      </c>
      <c r="AN6" s="60" t="s">
        <v>3</v>
      </c>
      <c r="AO6" s="55" t="s">
        <v>27</v>
      </c>
    </row>
    <row r="7" spans="1:41">
      <c r="A7" s="167">
        <v>1</v>
      </c>
      <c r="B7" s="60" t="s">
        <v>28</v>
      </c>
      <c r="C7" s="61">
        <f>C6*销量!C8</f>
        <v>14200000</v>
      </c>
      <c r="D7" s="61">
        <f>D6*销量!D8</f>
        <v>4280000</v>
      </c>
      <c r="E7" s="61">
        <f>E6*销量!E8</f>
        <v>17120000</v>
      </c>
      <c r="F7" s="61">
        <f>F6*销量!F8</f>
        <v>8550000</v>
      </c>
      <c r="G7" s="61">
        <f>G6*销量!G8</f>
        <v>1230000</v>
      </c>
      <c r="H7" s="61">
        <f>H6*销量!H8</f>
        <v>1464000</v>
      </c>
      <c r="I7" s="61">
        <f>I6*销量!I8</f>
        <v>2115000</v>
      </c>
      <c r="J7" s="61">
        <f>J6*销量!J8</f>
        <v>23980000</v>
      </c>
      <c r="K7" s="61">
        <f>K6*销量!K8</f>
        <v>10120000</v>
      </c>
      <c r="L7" s="61">
        <f t="shared" si="0"/>
        <v>83059000</v>
      </c>
      <c r="M7" s="56"/>
      <c r="W7" s="60" t="s">
        <v>28</v>
      </c>
      <c r="AM7" s="59" t="s">
        <v>29</v>
      </c>
      <c r="AN7" s="60" t="s">
        <v>28</v>
      </c>
      <c r="AO7" s="55" t="s">
        <v>27</v>
      </c>
    </row>
    <row r="8" spans="1:41">
      <c r="A8" s="167">
        <v>2</v>
      </c>
      <c r="B8" s="167" t="s">
        <v>30</v>
      </c>
      <c r="C8" s="61">
        <f>C7*(1-销量!$P$7)</f>
        <v>284000.00000000023</v>
      </c>
      <c r="D8" s="61">
        <f>D7*(1-销量!$P$7)</f>
        <v>85600.000000000073</v>
      </c>
      <c r="E8" s="61">
        <f>E7*(1-销量!$P$7)</f>
        <v>342400.00000000029</v>
      </c>
      <c r="F8" s="61">
        <f>F7*(1-销量!$P$7)</f>
        <v>171000.00000000015</v>
      </c>
      <c r="G8" s="61">
        <f>G7*(1-销量!$P$7)</f>
        <v>24600.000000000022</v>
      </c>
      <c r="H8" s="61">
        <f>H7*(1-销量!$P$7)</f>
        <v>29280.000000000025</v>
      </c>
      <c r="I8" s="61">
        <f>I7*(1-销量!$P$7)</f>
        <v>42300.000000000036</v>
      </c>
      <c r="J8" s="61">
        <f>J7*(1-销量!$P$7)</f>
        <v>479600.00000000041</v>
      </c>
      <c r="K8" s="61">
        <f>K7*(1-销量!$P$7)</f>
        <v>202400.00000000017</v>
      </c>
      <c r="L8" s="61">
        <f t="shared" si="0"/>
        <v>1661180.0000000014</v>
      </c>
      <c r="M8" s="76"/>
      <c r="W8" s="167" t="s">
        <v>32</v>
      </c>
      <c r="AM8" s="59" t="s">
        <v>31</v>
      </c>
      <c r="AN8" s="167" t="s">
        <v>32</v>
      </c>
      <c r="AO8" s="55" t="s">
        <v>27</v>
      </c>
    </row>
    <row r="9" spans="1:41">
      <c r="A9" s="167">
        <v>3</v>
      </c>
      <c r="B9" s="60" t="s">
        <v>33</v>
      </c>
      <c r="C9" s="61">
        <f>+C7-C8</f>
        <v>13916000</v>
      </c>
      <c r="D9" s="61">
        <f t="shared" ref="D9:K9" si="1">+D7-D8</f>
        <v>4194400</v>
      </c>
      <c r="E9" s="61">
        <f t="shared" si="1"/>
        <v>16777600</v>
      </c>
      <c r="F9" s="61">
        <f t="shared" si="1"/>
        <v>8379000</v>
      </c>
      <c r="G9" s="61">
        <f t="shared" si="1"/>
        <v>1205400</v>
      </c>
      <c r="H9" s="61">
        <f t="shared" si="1"/>
        <v>1434720</v>
      </c>
      <c r="I9" s="61">
        <f t="shared" si="1"/>
        <v>2072700</v>
      </c>
      <c r="J9" s="61">
        <f t="shared" si="1"/>
        <v>23500400</v>
      </c>
      <c r="K9" s="61">
        <f t="shared" si="1"/>
        <v>9917600</v>
      </c>
      <c r="L9" s="61">
        <f t="shared" si="0"/>
        <v>81397820</v>
      </c>
      <c r="W9" s="60" t="s">
        <v>33</v>
      </c>
      <c r="AM9" s="59" t="s">
        <v>34</v>
      </c>
      <c r="AN9" s="60" t="s">
        <v>33</v>
      </c>
      <c r="AO9" s="55" t="s">
        <v>35</v>
      </c>
    </row>
    <row r="10" spans="1:41">
      <c r="A10" s="167">
        <v>4</v>
      </c>
      <c r="B10" s="59" t="s">
        <v>36</v>
      </c>
      <c r="C10" s="61">
        <f>C6*C33</f>
        <v>9741199.9999999981</v>
      </c>
      <c r="D10" s="61">
        <f t="shared" ref="D10:K10" si="2">D6*D33</f>
        <v>2936080</v>
      </c>
      <c r="E10" s="61">
        <f t="shared" si="2"/>
        <v>11744320</v>
      </c>
      <c r="F10" s="61">
        <f t="shared" si="2"/>
        <v>5865299.9999999991</v>
      </c>
      <c r="G10" s="61">
        <f t="shared" si="2"/>
        <v>843780</v>
      </c>
      <c r="H10" s="61">
        <f t="shared" si="2"/>
        <v>1004304</v>
      </c>
      <c r="I10" s="61">
        <f t="shared" si="2"/>
        <v>1450889.9999999998</v>
      </c>
      <c r="J10" s="61">
        <f t="shared" si="2"/>
        <v>16450280</v>
      </c>
      <c r="K10" s="61">
        <f t="shared" si="2"/>
        <v>6942320</v>
      </c>
      <c r="L10" s="61">
        <f t="shared" si="0"/>
        <v>56978474</v>
      </c>
      <c r="W10" s="59" t="s">
        <v>36</v>
      </c>
      <c r="AM10" s="59" t="s">
        <v>37</v>
      </c>
      <c r="AN10" s="59" t="s">
        <v>36</v>
      </c>
      <c r="AO10" s="55" t="s">
        <v>38</v>
      </c>
    </row>
    <row r="11" spans="1:41">
      <c r="A11" s="167">
        <v>5</v>
      </c>
      <c r="B11" s="59" t="s">
        <v>39</v>
      </c>
      <c r="C11" s="61">
        <f>+C6*C36</f>
        <v>612020</v>
      </c>
      <c r="D11" s="61">
        <f t="shared" ref="D11:K11" si="3">+D6*D36</f>
        <v>184460</v>
      </c>
      <c r="E11" s="61">
        <f t="shared" si="3"/>
        <v>737840</v>
      </c>
      <c r="F11" s="61">
        <f t="shared" si="3"/>
        <v>368550</v>
      </c>
      <c r="G11" s="61">
        <f t="shared" si="3"/>
        <v>53010</v>
      </c>
      <c r="H11" s="61">
        <f t="shared" si="3"/>
        <v>63096</v>
      </c>
      <c r="I11" s="61">
        <f t="shared" si="3"/>
        <v>91155</v>
      </c>
      <c r="J11" s="61">
        <f t="shared" si="3"/>
        <v>1033559.9999999999</v>
      </c>
      <c r="K11" s="61">
        <f t="shared" si="3"/>
        <v>436150</v>
      </c>
      <c r="L11" s="61">
        <f t="shared" si="0"/>
        <v>3579841</v>
      </c>
      <c r="W11" s="59" t="s">
        <v>39</v>
      </c>
      <c r="AM11" s="59" t="s">
        <v>40</v>
      </c>
      <c r="AN11" s="59" t="s">
        <v>39</v>
      </c>
    </row>
    <row r="12" spans="1:41">
      <c r="A12" s="167">
        <v>6</v>
      </c>
      <c r="B12" s="59" t="s">
        <v>41</v>
      </c>
      <c r="C12" s="61">
        <f>+C6*C37</f>
        <v>308140</v>
      </c>
      <c r="D12" s="61">
        <f t="shared" ref="D12:K12" si="4">+D6*D37</f>
        <v>92880</v>
      </c>
      <c r="E12" s="61">
        <f t="shared" si="4"/>
        <v>371520</v>
      </c>
      <c r="F12" s="61">
        <f t="shared" si="4"/>
        <v>185580</v>
      </c>
      <c r="G12" s="61">
        <f t="shared" si="4"/>
        <v>26690</v>
      </c>
      <c r="H12" s="61">
        <f t="shared" si="4"/>
        <v>31770</v>
      </c>
      <c r="I12" s="61">
        <f t="shared" si="4"/>
        <v>45900</v>
      </c>
      <c r="J12" s="61">
        <f t="shared" si="4"/>
        <v>520410</v>
      </c>
      <c r="K12" s="61">
        <f t="shared" si="4"/>
        <v>219560</v>
      </c>
      <c r="L12" s="61">
        <f t="shared" si="0"/>
        <v>1802450</v>
      </c>
      <c r="W12" s="59" t="s">
        <v>41</v>
      </c>
      <c r="AM12" s="59" t="s">
        <v>42</v>
      </c>
      <c r="AN12" s="59" t="s">
        <v>41</v>
      </c>
    </row>
    <row r="13" spans="1:41">
      <c r="A13" s="167">
        <v>7</v>
      </c>
      <c r="B13" s="59" t="s">
        <v>43</v>
      </c>
      <c r="C13" s="61">
        <f>+C6*C38</f>
        <v>454400</v>
      </c>
      <c r="D13" s="61">
        <f t="shared" ref="D13:K13" si="5">+D6*D38</f>
        <v>136960</v>
      </c>
      <c r="E13" s="61">
        <f t="shared" si="5"/>
        <v>547840</v>
      </c>
      <c r="F13" s="61">
        <f t="shared" si="5"/>
        <v>273600</v>
      </c>
      <c r="G13" s="61">
        <f t="shared" si="5"/>
        <v>39360</v>
      </c>
      <c r="H13" s="61">
        <f t="shared" si="5"/>
        <v>7758</v>
      </c>
      <c r="I13" s="61">
        <f t="shared" si="5"/>
        <v>67680</v>
      </c>
      <c r="J13" s="61">
        <f t="shared" si="5"/>
        <v>767360</v>
      </c>
      <c r="K13" s="61">
        <f t="shared" si="5"/>
        <v>323840</v>
      </c>
      <c r="L13" s="61">
        <f t="shared" si="0"/>
        <v>2618798</v>
      </c>
      <c r="W13" s="59" t="s">
        <v>43</v>
      </c>
      <c r="AM13" s="59" t="s">
        <v>44</v>
      </c>
      <c r="AN13" s="59" t="s">
        <v>43</v>
      </c>
      <c r="AO13" s="55" t="s">
        <v>27</v>
      </c>
    </row>
    <row r="14" spans="1:41">
      <c r="A14" s="167">
        <v>8</v>
      </c>
      <c r="B14" s="62" t="s">
        <v>45</v>
      </c>
      <c r="C14" s="61">
        <f>SUM(C11:C13)</f>
        <v>1374560</v>
      </c>
      <c r="D14" s="61">
        <f t="shared" ref="D14:K14" si="6">SUM(D11:D13)</f>
        <v>414300</v>
      </c>
      <c r="E14" s="61">
        <f t="shared" si="6"/>
        <v>1657200</v>
      </c>
      <c r="F14" s="61">
        <f t="shared" si="6"/>
        <v>827730</v>
      </c>
      <c r="G14" s="61">
        <f t="shared" si="6"/>
        <v>119060</v>
      </c>
      <c r="H14" s="61">
        <f t="shared" si="6"/>
        <v>102624</v>
      </c>
      <c r="I14" s="61">
        <f t="shared" si="6"/>
        <v>204735</v>
      </c>
      <c r="J14" s="61">
        <f t="shared" si="6"/>
        <v>2321330</v>
      </c>
      <c r="K14" s="61">
        <f t="shared" si="6"/>
        <v>979550</v>
      </c>
      <c r="L14" s="61">
        <f t="shared" si="0"/>
        <v>8001089</v>
      </c>
      <c r="W14" s="62" t="s">
        <v>45</v>
      </c>
      <c r="AM14" s="59" t="s">
        <v>46</v>
      </c>
      <c r="AN14" s="62" t="s">
        <v>45</v>
      </c>
    </row>
    <row r="15" spans="1:41">
      <c r="A15" s="167">
        <v>9</v>
      </c>
      <c r="B15" s="62" t="s">
        <v>47</v>
      </c>
      <c r="C15" s="61">
        <f>+C9-C10-C14</f>
        <v>2800240.0000000019</v>
      </c>
      <c r="D15" s="61">
        <f t="shared" ref="D15:K15" si="7">+D9-D10-D14</f>
        <v>844020</v>
      </c>
      <c r="E15" s="61">
        <f t="shared" si="7"/>
        <v>3376080</v>
      </c>
      <c r="F15" s="61">
        <f t="shared" si="7"/>
        <v>1685970.0000000009</v>
      </c>
      <c r="G15" s="61">
        <f t="shared" si="7"/>
        <v>242560</v>
      </c>
      <c r="H15" s="61">
        <f t="shared" si="7"/>
        <v>327792</v>
      </c>
      <c r="I15" s="61">
        <f t="shared" si="7"/>
        <v>417075.00000000023</v>
      </c>
      <c r="J15" s="61">
        <f t="shared" si="7"/>
        <v>4728790</v>
      </c>
      <c r="K15" s="61">
        <f t="shared" si="7"/>
        <v>1995730</v>
      </c>
      <c r="L15" s="61">
        <f t="shared" si="0"/>
        <v>16418257.000000004</v>
      </c>
      <c r="W15" s="62" t="s">
        <v>47</v>
      </c>
      <c r="AM15" s="59" t="s">
        <v>48</v>
      </c>
      <c r="AN15" s="62" t="s">
        <v>47</v>
      </c>
    </row>
    <row r="16" spans="1:41">
      <c r="A16" s="167">
        <v>10</v>
      </c>
      <c r="B16" s="59" t="s">
        <v>49</v>
      </c>
      <c r="C16" s="63">
        <f>+C15/C9</f>
        <v>0.2012244897959185</v>
      </c>
      <c r="D16" s="63">
        <f t="shared" ref="D16:K16" si="8">+D15/D9</f>
        <v>0.2012254434484074</v>
      </c>
      <c r="E16" s="63">
        <f t="shared" si="8"/>
        <v>0.2012254434484074</v>
      </c>
      <c r="F16" s="63">
        <f t="shared" si="8"/>
        <v>0.2012137486573578</v>
      </c>
      <c r="G16" s="63">
        <f t="shared" si="8"/>
        <v>0.20122780819644931</v>
      </c>
      <c r="H16" s="63">
        <f t="shared" si="8"/>
        <v>0.2284710605553697</v>
      </c>
      <c r="I16" s="63">
        <f t="shared" si="8"/>
        <v>0.20122304240845285</v>
      </c>
      <c r="J16" s="63">
        <f t="shared" si="8"/>
        <v>0.20122168133308369</v>
      </c>
      <c r="K16" s="63">
        <f t="shared" si="8"/>
        <v>0.20123114463176575</v>
      </c>
      <c r="L16" s="63">
        <f t="shared" ref="L16" si="9">+L15/L9</f>
        <v>0.20170389084130266</v>
      </c>
      <c r="W16" s="59" t="s">
        <v>49</v>
      </c>
      <c r="AM16" s="59" t="s">
        <v>50</v>
      </c>
      <c r="AN16" s="59" t="s">
        <v>49</v>
      </c>
    </row>
    <row r="17" spans="1:41">
      <c r="A17" s="167">
        <v>11</v>
      </c>
      <c r="B17" s="59" t="s">
        <v>51</v>
      </c>
      <c r="C17" s="61">
        <f>C6*C43+C18</f>
        <v>620341.57501697214</v>
      </c>
      <c r="D17" s="61">
        <f t="shared" ref="D17:K17" si="10">D6*D43+D18</f>
        <v>191584.63000678888</v>
      </c>
      <c r="E17" s="61">
        <f t="shared" si="10"/>
        <v>766338.52002715552</v>
      </c>
      <c r="F17" s="61">
        <f t="shared" si="10"/>
        <v>429410.8350305499</v>
      </c>
      <c r="G17" s="61">
        <f t="shared" si="10"/>
        <v>59022.315003394433</v>
      </c>
      <c r="H17" s="61">
        <f t="shared" si="10"/>
        <v>64747.38900203666</v>
      </c>
      <c r="I17" s="61">
        <f t="shared" si="10"/>
        <v>99438.472505091646</v>
      </c>
      <c r="J17" s="61">
        <f t="shared" si="10"/>
        <v>1071425.4650373387</v>
      </c>
      <c r="K17" s="61">
        <f t="shared" si="10"/>
        <v>511525.46503733878</v>
      </c>
      <c r="L17" s="61">
        <f>SUM(C17:K17)</f>
        <v>3813834.6666666665</v>
      </c>
      <c r="M17" s="76"/>
      <c r="W17" s="59" t="s">
        <v>51</v>
      </c>
      <c r="AM17" s="59" t="s">
        <v>52</v>
      </c>
      <c r="AN17" s="59" t="s">
        <v>51</v>
      </c>
    </row>
    <row r="18" spans="1:41" s="53" customFormat="1">
      <c r="A18" s="167">
        <v>12</v>
      </c>
      <c r="B18" s="64" t="s">
        <v>158</v>
      </c>
      <c r="C18" s="65">
        <f>$L$18/$L$6*C6</f>
        <v>46661.575016972172</v>
      </c>
      <c r="D18" s="65">
        <f t="shared" ref="D18:K18" si="11">$L$18/$L$6*D6</f>
        <v>18664.63000678887</v>
      </c>
      <c r="E18" s="65">
        <f t="shared" si="11"/>
        <v>74658.520027155479</v>
      </c>
      <c r="F18" s="65">
        <f t="shared" si="11"/>
        <v>83990.835030549904</v>
      </c>
      <c r="G18" s="65">
        <f t="shared" si="11"/>
        <v>9332.3150033944348</v>
      </c>
      <c r="H18" s="65">
        <f t="shared" si="11"/>
        <v>5599.3890020366607</v>
      </c>
      <c r="I18" s="65">
        <f t="shared" si="11"/>
        <v>13998.472505091651</v>
      </c>
      <c r="J18" s="65">
        <f t="shared" si="11"/>
        <v>102655.46503733878</v>
      </c>
      <c r="K18" s="65">
        <f t="shared" si="11"/>
        <v>102655.46503733878</v>
      </c>
      <c r="L18" s="65">
        <f>项目投资!D26</f>
        <v>458216.66666666674</v>
      </c>
      <c r="M18" s="77" t="s">
        <v>159</v>
      </c>
      <c r="N18" s="77"/>
      <c r="O18" s="77"/>
    </row>
    <row r="19" spans="1:41">
      <c r="A19" s="167">
        <v>13</v>
      </c>
      <c r="B19" s="59" t="s">
        <v>53</v>
      </c>
      <c r="C19" s="61">
        <f>C6*C44</f>
        <v>75260</v>
      </c>
      <c r="D19" s="61">
        <f t="shared" ref="D19:K19" si="12">D6*D44</f>
        <v>22680</v>
      </c>
      <c r="E19" s="61">
        <f t="shared" si="12"/>
        <v>90720</v>
      </c>
      <c r="F19" s="61">
        <f t="shared" si="12"/>
        <v>45360</v>
      </c>
      <c r="G19" s="61">
        <f t="shared" si="12"/>
        <v>6520</v>
      </c>
      <c r="H19" s="61">
        <f t="shared" si="12"/>
        <v>46848</v>
      </c>
      <c r="I19" s="61">
        <f t="shared" si="12"/>
        <v>11205</v>
      </c>
      <c r="J19" s="61">
        <f t="shared" si="12"/>
        <v>127050.00000000001</v>
      </c>
      <c r="K19" s="61">
        <f t="shared" si="12"/>
        <v>53680</v>
      </c>
      <c r="L19" s="61">
        <f>SUM(C19:K19)</f>
        <v>479323</v>
      </c>
      <c r="M19" s="53"/>
      <c r="W19" s="59" t="s">
        <v>53</v>
      </c>
      <c r="AM19" s="59" t="s">
        <v>54</v>
      </c>
      <c r="AN19" s="59" t="s">
        <v>53</v>
      </c>
      <c r="AO19" s="55" t="s">
        <v>27</v>
      </c>
    </row>
    <row r="20" spans="1:41">
      <c r="A20" s="167">
        <v>14</v>
      </c>
      <c r="B20" s="59" t="s">
        <v>55</v>
      </c>
      <c r="C20" s="61">
        <f>C6*C45</f>
        <v>386250</v>
      </c>
      <c r="D20" s="61">
        <f t="shared" ref="D20:K20" si="13">D6*D45</f>
        <v>116420</v>
      </c>
      <c r="E20" s="61">
        <f t="shared" si="13"/>
        <v>465680</v>
      </c>
      <c r="F20" s="61">
        <f t="shared" si="13"/>
        <v>232560</v>
      </c>
      <c r="G20" s="61">
        <f t="shared" si="13"/>
        <v>33460</v>
      </c>
      <c r="H20" s="61">
        <f t="shared" si="13"/>
        <v>39828</v>
      </c>
      <c r="I20" s="61">
        <f t="shared" si="13"/>
        <v>57525</v>
      </c>
      <c r="J20" s="61">
        <f t="shared" si="13"/>
        <v>652300</v>
      </c>
      <c r="K20" s="61">
        <f t="shared" si="13"/>
        <v>275220</v>
      </c>
      <c r="L20" s="61">
        <f>SUM(C20:K20)</f>
        <v>2259243</v>
      </c>
      <c r="W20" s="59" t="s">
        <v>55</v>
      </c>
      <c r="AM20" s="59" t="s">
        <v>56</v>
      </c>
      <c r="AN20" s="59" t="s">
        <v>55</v>
      </c>
    </row>
    <row r="21" spans="1:41">
      <c r="A21" s="167">
        <v>15</v>
      </c>
      <c r="B21" s="59" t="s">
        <v>57</v>
      </c>
      <c r="C21" s="66">
        <f>$L$21/$L$6*C6</f>
        <v>12898.845892735913</v>
      </c>
      <c r="D21" s="66">
        <f t="shared" ref="D21:K21" si="14">$L$21/$L$6*D6</f>
        <v>5159.538357094365</v>
      </c>
      <c r="E21" s="66">
        <f t="shared" si="14"/>
        <v>20638.15342837746</v>
      </c>
      <c r="F21" s="66">
        <f t="shared" si="14"/>
        <v>23217.922606924643</v>
      </c>
      <c r="G21" s="66">
        <f t="shared" si="14"/>
        <v>2579.7691785471825</v>
      </c>
      <c r="H21" s="66">
        <f t="shared" si="14"/>
        <v>1547.8615071283095</v>
      </c>
      <c r="I21" s="66">
        <f t="shared" si="14"/>
        <v>3869.6537678207737</v>
      </c>
      <c r="J21" s="66">
        <f t="shared" si="14"/>
        <v>28377.460964019006</v>
      </c>
      <c r="K21" s="66">
        <f t="shared" si="14"/>
        <v>28377.460964019006</v>
      </c>
      <c r="L21" s="61">
        <f>项目投资!D27</f>
        <v>126666.66666666667</v>
      </c>
      <c r="W21" s="59" t="s">
        <v>57</v>
      </c>
      <c r="AM21" s="59"/>
      <c r="AN21" s="59"/>
    </row>
    <row r="22" spans="1:41">
      <c r="A22" s="167">
        <v>16</v>
      </c>
      <c r="B22" s="59" t="s">
        <v>58</v>
      </c>
      <c r="C22" s="61">
        <f>C6*C47</f>
        <v>426000</v>
      </c>
      <c r="D22" s="61">
        <f t="shared" ref="D22:K22" si="15">D6*D47</f>
        <v>128400</v>
      </c>
      <c r="E22" s="61">
        <f t="shared" si="15"/>
        <v>513600</v>
      </c>
      <c r="F22" s="61">
        <f t="shared" si="15"/>
        <v>256500</v>
      </c>
      <c r="G22" s="61">
        <f t="shared" si="15"/>
        <v>36900</v>
      </c>
      <c r="H22" s="61">
        <f t="shared" si="15"/>
        <v>43920</v>
      </c>
      <c r="I22" s="61">
        <f t="shared" si="15"/>
        <v>63449.999999999993</v>
      </c>
      <c r="J22" s="61">
        <f t="shared" si="15"/>
        <v>719400.00000000012</v>
      </c>
      <c r="K22" s="61">
        <f t="shared" si="15"/>
        <v>303600</v>
      </c>
      <c r="L22" s="61">
        <f>+SUM(C22:K22)</f>
        <v>2491770</v>
      </c>
      <c r="W22" s="59" t="s">
        <v>58</v>
      </c>
      <c r="AM22" s="59" t="s">
        <v>59</v>
      </c>
      <c r="AN22" s="59" t="s">
        <v>58</v>
      </c>
    </row>
    <row r="23" spans="1:41">
      <c r="A23" s="167">
        <v>17</v>
      </c>
      <c r="B23" s="62" t="s">
        <v>60</v>
      </c>
      <c r="C23" s="66">
        <f>+C22+C21+C20+C19+C17</f>
        <v>1520750.4209097081</v>
      </c>
      <c r="D23" s="66">
        <f t="shared" ref="D23:K23" si="16">+D22+D21+D20+D19+D17</f>
        <v>464244.16836388328</v>
      </c>
      <c r="E23" s="66">
        <f t="shared" si="16"/>
        <v>1856976.6734555331</v>
      </c>
      <c r="F23" s="66">
        <f t="shared" si="16"/>
        <v>987048.75763747457</v>
      </c>
      <c r="G23" s="66">
        <f t="shared" si="16"/>
        <v>138482.08418194161</v>
      </c>
      <c r="H23" s="66">
        <f t="shared" si="16"/>
        <v>196891.25050916497</v>
      </c>
      <c r="I23" s="66">
        <f t="shared" si="16"/>
        <v>235488.12627291243</v>
      </c>
      <c r="J23" s="66">
        <f t="shared" si="16"/>
        <v>2598552.9260013578</v>
      </c>
      <c r="K23" s="66">
        <f t="shared" si="16"/>
        <v>1172402.9260013578</v>
      </c>
      <c r="L23" s="66">
        <f t="shared" ref="L23" si="17">+L22+L21+L20+L19+L17</f>
        <v>9170837.3333333321</v>
      </c>
      <c r="W23" s="62" t="s">
        <v>60</v>
      </c>
      <c r="AM23" s="59" t="s">
        <v>61</v>
      </c>
      <c r="AN23" s="62" t="s">
        <v>60</v>
      </c>
    </row>
    <row r="24" spans="1:41">
      <c r="A24" s="167">
        <v>18</v>
      </c>
      <c r="B24" s="67" t="s">
        <v>62</v>
      </c>
      <c r="C24" s="66">
        <f>+C15-C23</f>
        <v>1279489.5790902937</v>
      </c>
      <c r="D24" s="66">
        <f t="shared" ref="D24:K24" si="18">+D15-D23</f>
        <v>379775.83163611672</v>
      </c>
      <c r="E24" s="66">
        <f t="shared" si="18"/>
        <v>1519103.3265444669</v>
      </c>
      <c r="F24" s="66">
        <f t="shared" si="18"/>
        <v>698921.24236252636</v>
      </c>
      <c r="G24" s="66">
        <f t="shared" si="18"/>
        <v>104077.91581805839</v>
      </c>
      <c r="H24" s="66">
        <f t="shared" si="18"/>
        <v>130900.74949083503</v>
      </c>
      <c r="I24" s="66">
        <f t="shared" si="18"/>
        <v>181586.8737270878</v>
      </c>
      <c r="J24" s="66">
        <f t="shared" si="18"/>
        <v>2130237.0739986422</v>
      </c>
      <c r="K24" s="66">
        <f t="shared" si="18"/>
        <v>823327.07399864215</v>
      </c>
      <c r="L24" s="66">
        <f t="shared" ref="L24" si="19">+L15-L23</f>
        <v>7247419.6666666716</v>
      </c>
      <c r="N24" s="78"/>
      <c r="W24" s="59" t="s">
        <v>62</v>
      </c>
      <c r="AM24" s="59" t="s">
        <v>63</v>
      </c>
      <c r="AN24" s="59" t="s">
        <v>62</v>
      </c>
    </row>
    <row r="25" spans="1:41">
      <c r="A25" s="167">
        <v>19</v>
      </c>
      <c r="B25" s="59" t="s">
        <v>160</v>
      </c>
      <c r="C25" s="66">
        <f>IF(C24&lt;0,0,C24*0.25)</f>
        <v>319872.39477257343</v>
      </c>
      <c r="D25" s="66">
        <f t="shared" ref="D25:G25" si="20">IF(D24&lt;0,0,D24*0.25)</f>
        <v>94943.957909029181</v>
      </c>
      <c r="E25" s="66">
        <f t="shared" si="20"/>
        <v>379775.83163611672</v>
      </c>
      <c r="F25" s="66">
        <f t="shared" si="20"/>
        <v>174730.31059063159</v>
      </c>
      <c r="G25" s="66">
        <f t="shared" si="20"/>
        <v>26019.478954514598</v>
      </c>
      <c r="H25" s="66">
        <f>IF(H24&lt;0,0,H24*0.25)</f>
        <v>32725.187372708759</v>
      </c>
      <c r="I25" s="66">
        <f t="shared" ref="I25" si="21">IF(I24&lt;0,0,I24*0.25)</f>
        <v>45396.718431771951</v>
      </c>
      <c r="J25" s="66">
        <f t="shared" ref="J25" si="22">IF(J24&lt;0,0,J24*0.25)</f>
        <v>532559.26849966054</v>
      </c>
      <c r="K25" s="66">
        <f t="shared" ref="K25" si="23">IF(K24&lt;0,0,K24*0.25)</f>
        <v>205831.76849966054</v>
      </c>
      <c r="L25" s="66">
        <f t="shared" ref="L25" si="24">IF(L24&lt;0,0,L24*0.25)</f>
        <v>1811854.9166666679</v>
      </c>
      <c r="M25" s="74"/>
      <c r="N25" s="184">
        <f>L24-L25</f>
        <v>5435564.7500000037</v>
      </c>
      <c r="O25" s="74"/>
      <c r="W25" s="59" t="s">
        <v>64</v>
      </c>
      <c r="AM25" s="59" t="s">
        <v>65</v>
      </c>
      <c r="AN25" s="59" t="s">
        <v>64</v>
      </c>
    </row>
    <row r="26" spans="1:41">
      <c r="A26" s="167">
        <v>20</v>
      </c>
      <c r="B26" s="59" t="s">
        <v>66</v>
      </c>
      <c r="C26" s="66">
        <f t="shared" ref="C26:K26" si="25">C24-C25</f>
        <v>959617.18431772036</v>
      </c>
      <c r="D26" s="66">
        <f t="shared" si="25"/>
        <v>284831.87372708751</v>
      </c>
      <c r="E26" s="66">
        <f t="shared" si="25"/>
        <v>1139327.4949083501</v>
      </c>
      <c r="F26" s="66">
        <f t="shared" si="25"/>
        <v>524190.9317718948</v>
      </c>
      <c r="G26" s="66">
        <f t="shared" si="25"/>
        <v>78058.436863543786</v>
      </c>
      <c r="H26" s="66">
        <f t="shared" si="25"/>
        <v>98175.562118126283</v>
      </c>
      <c r="I26" s="66">
        <f t="shared" si="25"/>
        <v>136190.15529531584</v>
      </c>
      <c r="J26" s="66">
        <f t="shared" si="25"/>
        <v>1597677.8054989816</v>
      </c>
      <c r="K26" s="66">
        <f t="shared" si="25"/>
        <v>617495.30549898162</v>
      </c>
      <c r="L26" s="61">
        <f>+SUM(C26:K26)</f>
        <v>5435564.7500000019</v>
      </c>
      <c r="M26" s="183"/>
      <c r="N26" s="74"/>
      <c r="O26" s="74"/>
      <c r="W26" s="59" t="s">
        <v>66</v>
      </c>
      <c r="AM26" s="59" t="s">
        <v>67</v>
      </c>
      <c r="AN26" s="59" t="s">
        <v>66</v>
      </c>
    </row>
    <row r="27" spans="1:41">
      <c r="A27" s="167">
        <v>21</v>
      </c>
      <c r="B27" s="59" t="s">
        <v>70</v>
      </c>
      <c r="C27" s="68">
        <f t="shared" ref="C27:L27" si="26">C26/C7</f>
        <v>6.7578674951952133E-2</v>
      </c>
      <c r="D27" s="68">
        <f t="shared" si="26"/>
        <v>6.6549503207263438E-2</v>
      </c>
      <c r="E27" s="68">
        <f t="shared" si="26"/>
        <v>6.6549503207263438E-2</v>
      </c>
      <c r="F27" s="68">
        <f t="shared" si="26"/>
        <v>6.1308880908993543E-2</v>
      </c>
      <c r="G27" s="68">
        <f t="shared" si="26"/>
        <v>6.3462143791499018E-2</v>
      </c>
      <c r="H27" s="68">
        <f t="shared" si="26"/>
        <v>6.7059810189976976E-2</v>
      </c>
      <c r="I27" s="68">
        <f t="shared" si="26"/>
        <v>6.4392508413860919E-2</v>
      </c>
      <c r="J27" s="68">
        <f t="shared" si="26"/>
        <v>6.6625429753919163E-2</v>
      </c>
      <c r="K27" s="68">
        <f t="shared" si="26"/>
        <v>6.1017322677764982E-2</v>
      </c>
      <c r="L27" s="68">
        <f t="shared" si="26"/>
        <v>6.5442212764420499E-2</v>
      </c>
      <c r="M27" s="74"/>
      <c r="N27" s="74"/>
      <c r="O27" s="74"/>
      <c r="W27" s="59" t="s">
        <v>70</v>
      </c>
      <c r="AM27" s="59" t="s">
        <v>69</v>
      </c>
      <c r="AN27" s="59" t="s">
        <v>70</v>
      </c>
    </row>
    <row r="28" spans="1:41">
      <c r="M28" s="74"/>
      <c r="N28" s="74"/>
      <c r="O28" s="74"/>
      <c r="W28" s="59"/>
    </row>
    <row r="29" spans="1:41">
      <c r="A29" s="55" t="s">
        <v>71</v>
      </c>
      <c r="L29" s="56" t="s">
        <v>161</v>
      </c>
      <c r="M29" s="74"/>
      <c r="N29" s="74"/>
      <c r="O29" s="74"/>
      <c r="W29" s="59"/>
      <c r="AM29" s="55" t="s">
        <v>71</v>
      </c>
    </row>
    <row r="30" spans="1:41">
      <c r="A30" s="59" t="s">
        <v>76</v>
      </c>
      <c r="B30" s="62" t="s">
        <v>77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4"/>
      <c r="N30" s="74"/>
      <c r="O30" s="74"/>
      <c r="Q30" s="74"/>
      <c r="W30" s="62" t="s">
        <v>77</v>
      </c>
      <c r="AM30" s="59" t="s">
        <v>78</v>
      </c>
      <c r="AN30" s="62" t="s">
        <v>77</v>
      </c>
    </row>
    <row r="31" spans="1:41">
      <c r="A31" s="167">
        <v>1</v>
      </c>
      <c r="B31" s="64" t="s">
        <v>79</v>
      </c>
      <c r="C31" s="70">
        <f>销量!C8</f>
        <v>2840</v>
      </c>
      <c r="D31" s="70">
        <f>销量!D8</f>
        <v>2140</v>
      </c>
      <c r="E31" s="70">
        <f>销量!E8</f>
        <v>2140</v>
      </c>
      <c r="F31" s="70">
        <f>销量!F8</f>
        <v>950</v>
      </c>
      <c r="G31" s="70">
        <f>销量!G8</f>
        <v>1230</v>
      </c>
      <c r="H31" s="70">
        <f>销量!H8</f>
        <v>2440</v>
      </c>
      <c r="I31" s="70">
        <f>销量!I8</f>
        <v>1410</v>
      </c>
      <c r="J31" s="70">
        <f>销量!J8</f>
        <v>2180</v>
      </c>
      <c r="K31" s="70">
        <f>销量!K8</f>
        <v>920</v>
      </c>
      <c r="L31" s="66"/>
      <c r="M31" s="74"/>
      <c r="N31" s="74"/>
      <c r="O31" s="74"/>
      <c r="Q31" s="74"/>
      <c r="W31" s="59" t="s">
        <v>79</v>
      </c>
      <c r="AM31" s="59" t="s">
        <v>29</v>
      </c>
      <c r="AN31" s="59" t="s">
        <v>79</v>
      </c>
    </row>
    <row r="32" spans="1:41">
      <c r="A32" s="167">
        <v>2</v>
      </c>
      <c r="B32" s="59" t="s">
        <v>162</v>
      </c>
      <c r="C32" s="61">
        <f>C9/C6</f>
        <v>2783.2</v>
      </c>
      <c r="D32" s="61">
        <f t="shared" ref="D32:K32" si="27">D9/D6</f>
        <v>2097.1999999999998</v>
      </c>
      <c r="E32" s="61">
        <f t="shared" si="27"/>
        <v>2097.1999999999998</v>
      </c>
      <c r="F32" s="61">
        <f t="shared" si="27"/>
        <v>931</v>
      </c>
      <c r="G32" s="61">
        <f t="shared" si="27"/>
        <v>1205.4000000000001</v>
      </c>
      <c r="H32" s="61">
        <f t="shared" si="27"/>
        <v>2391.1999999999998</v>
      </c>
      <c r="I32" s="61">
        <f t="shared" si="27"/>
        <v>1381.8</v>
      </c>
      <c r="J32" s="61">
        <f t="shared" si="27"/>
        <v>2136.4</v>
      </c>
      <c r="K32" s="61">
        <f t="shared" si="27"/>
        <v>901.6</v>
      </c>
      <c r="L32" s="66"/>
      <c r="M32" s="74"/>
      <c r="N32" s="74"/>
      <c r="O32" s="74"/>
      <c r="P32" s="74"/>
      <c r="Q32" s="74"/>
      <c r="R32" s="74"/>
      <c r="S32" s="74"/>
      <c r="AM32" s="59"/>
      <c r="AN32" s="59"/>
    </row>
    <row r="33" spans="1:40">
      <c r="A33" s="167">
        <v>3</v>
      </c>
      <c r="B33" s="64" t="s">
        <v>80</v>
      </c>
      <c r="C33" s="61">
        <f>材料成本!I39</f>
        <v>1948.2399999999998</v>
      </c>
      <c r="D33" s="61">
        <f>材料成本!I40</f>
        <v>1468.04</v>
      </c>
      <c r="E33" s="61">
        <f>材料成本!I41</f>
        <v>1468.04</v>
      </c>
      <c r="F33" s="61">
        <f>材料成本!I42</f>
        <v>651.69999999999993</v>
      </c>
      <c r="G33" s="61">
        <f>材料成本!I43</f>
        <v>843.78</v>
      </c>
      <c r="H33" s="61">
        <f>材料成本!I44</f>
        <v>1673.84</v>
      </c>
      <c r="I33" s="61">
        <f>材料成本!I45</f>
        <v>967.25999999999988</v>
      </c>
      <c r="J33" s="61">
        <f>材料成本!I46</f>
        <v>1495.48</v>
      </c>
      <c r="K33" s="61">
        <f>材料成本!I47</f>
        <v>631.12</v>
      </c>
      <c r="L33" s="66"/>
      <c r="N33" s="74"/>
      <c r="O33" s="74"/>
      <c r="P33" s="74"/>
      <c r="Q33" s="74"/>
      <c r="R33" s="74"/>
      <c r="S33" s="74"/>
      <c r="W33" s="59" t="s">
        <v>80</v>
      </c>
      <c r="AM33" s="59" t="s">
        <v>31</v>
      </c>
      <c r="AN33" s="59" t="s">
        <v>80</v>
      </c>
    </row>
    <row r="34" spans="1:40" ht="17.25" customHeight="1">
      <c r="A34" s="167">
        <v>4</v>
      </c>
      <c r="B34" s="59" t="s">
        <v>82</v>
      </c>
      <c r="C34" s="71">
        <f>C32-C33</f>
        <v>834.96</v>
      </c>
      <c r="D34" s="71">
        <f t="shared" ref="D34:K34" si="28">D32-D33</f>
        <v>629.15999999999985</v>
      </c>
      <c r="E34" s="71">
        <f t="shared" si="28"/>
        <v>629.15999999999985</v>
      </c>
      <c r="F34" s="71">
        <f t="shared" si="28"/>
        <v>279.30000000000007</v>
      </c>
      <c r="G34" s="71">
        <f t="shared" si="28"/>
        <v>361.62000000000012</v>
      </c>
      <c r="H34" s="71">
        <f t="shared" si="28"/>
        <v>717.3599999999999</v>
      </c>
      <c r="I34" s="71">
        <f t="shared" si="28"/>
        <v>414.54000000000008</v>
      </c>
      <c r="J34" s="71">
        <f t="shared" si="28"/>
        <v>640.92000000000007</v>
      </c>
      <c r="K34" s="71">
        <f t="shared" si="28"/>
        <v>270.48</v>
      </c>
      <c r="L34" s="66"/>
      <c r="N34" s="74"/>
      <c r="O34" s="74"/>
      <c r="P34" s="74"/>
      <c r="Q34" s="74"/>
      <c r="R34" s="74"/>
      <c r="S34" s="74"/>
      <c r="W34" s="59" t="s">
        <v>82</v>
      </c>
      <c r="AM34" s="59" t="s">
        <v>81</v>
      </c>
      <c r="AN34" s="59" t="s">
        <v>82</v>
      </c>
    </row>
    <row r="35" spans="1:40">
      <c r="A35" s="59" t="s">
        <v>78</v>
      </c>
      <c r="B35" s="62" t="s">
        <v>10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2" t="s">
        <v>10</v>
      </c>
      <c r="AM35" s="59" t="s">
        <v>84</v>
      </c>
      <c r="AN35" s="62" t="s">
        <v>10</v>
      </c>
    </row>
    <row r="36" spans="1:40">
      <c r="A36" s="167">
        <v>1</v>
      </c>
      <c r="B36" s="59" t="s">
        <v>85</v>
      </c>
      <c r="C36" s="65">
        <v>122.404</v>
      </c>
      <c r="D36" s="65">
        <v>92.23</v>
      </c>
      <c r="E36" s="65">
        <v>92.23</v>
      </c>
      <c r="F36" s="65">
        <v>40.950000000000003</v>
      </c>
      <c r="G36" s="65">
        <v>53.01</v>
      </c>
      <c r="H36" s="65">
        <v>105.16</v>
      </c>
      <c r="I36" s="65">
        <v>60.77</v>
      </c>
      <c r="J36" s="65">
        <v>93.96</v>
      </c>
      <c r="K36" s="65">
        <v>39.65</v>
      </c>
      <c r="L36" s="70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9" t="s">
        <v>85</v>
      </c>
      <c r="AM36" s="59" t="s">
        <v>81</v>
      </c>
      <c r="AN36" s="59" t="s">
        <v>85</v>
      </c>
    </row>
    <row r="37" spans="1:40">
      <c r="A37" s="167">
        <v>2</v>
      </c>
      <c r="B37" s="59" t="s">
        <v>86</v>
      </c>
      <c r="C37" s="65">
        <v>61.628</v>
      </c>
      <c r="D37" s="65">
        <v>46.44</v>
      </c>
      <c r="E37" s="65">
        <v>46.44</v>
      </c>
      <c r="F37" s="65">
        <v>20.62</v>
      </c>
      <c r="G37" s="65">
        <v>26.69</v>
      </c>
      <c r="H37" s="65">
        <v>52.95</v>
      </c>
      <c r="I37" s="65">
        <v>30.6</v>
      </c>
      <c r="J37" s="65">
        <v>47.31</v>
      </c>
      <c r="K37" s="65">
        <v>19.96</v>
      </c>
      <c r="L37" s="70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59" t="s">
        <v>86</v>
      </c>
      <c r="AM37" s="59" t="s">
        <v>34</v>
      </c>
      <c r="AN37" s="59" t="s">
        <v>86</v>
      </c>
    </row>
    <row r="38" spans="1:40">
      <c r="A38" s="167">
        <v>3</v>
      </c>
      <c r="B38" s="59" t="s">
        <v>87</v>
      </c>
      <c r="C38" s="65">
        <v>90.88</v>
      </c>
      <c r="D38" s="65">
        <v>68.48</v>
      </c>
      <c r="E38" s="65">
        <v>68.48</v>
      </c>
      <c r="F38" s="65">
        <v>30.4</v>
      </c>
      <c r="G38" s="65">
        <v>39.36</v>
      </c>
      <c r="H38" s="65">
        <v>12.93</v>
      </c>
      <c r="I38" s="65">
        <v>45.12</v>
      </c>
      <c r="J38" s="65">
        <v>69.760000000000005</v>
      </c>
      <c r="K38" s="65">
        <v>29.44</v>
      </c>
      <c r="L38" s="70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9" t="s">
        <v>87</v>
      </c>
      <c r="AM38" s="59" t="s">
        <v>40</v>
      </c>
      <c r="AN38" s="59" t="s">
        <v>87</v>
      </c>
    </row>
    <row r="39" spans="1:40">
      <c r="A39" s="59" t="s">
        <v>84</v>
      </c>
      <c r="B39" s="62" t="s">
        <v>89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W39" s="62" t="s">
        <v>89</v>
      </c>
      <c r="AM39" s="59" t="s">
        <v>88</v>
      </c>
      <c r="AN39" s="62" t="s">
        <v>89</v>
      </c>
    </row>
    <row r="40" spans="1:40">
      <c r="A40" s="167">
        <v>1</v>
      </c>
      <c r="B40" s="59" t="s">
        <v>91</v>
      </c>
      <c r="C40" s="66">
        <f>C34-C36-C37-C38</f>
        <v>560.048</v>
      </c>
      <c r="D40" s="66">
        <f t="shared" ref="D40:K40" si="29">D34-D36-D37-D38</f>
        <v>422.00999999999982</v>
      </c>
      <c r="E40" s="66">
        <f t="shared" si="29"/>
        <v>422.00999999999982</v>
      </c>
      <c r="F40" s="66">
        <f t="shared" si="29"/>
        <v>187.33000000000007</v>
      </c>
      <c r="G40" s="66">
        <f t="shared" si="29"/>
        <v>242.56000000000012</v>
      </c>
      <c r="H40" s="66">
        <f t="shared" si="29"/>
        <v>546.31999999999994</v>
      </c>
      <c r="I40" s="66">
        <f t="shared" si="29"/>
        <v>278.05000000000007</v>
      </c>
      <c r="J40" s="66">
        <f t="shared" si="29"/>
        <v>429.89000000000004</v>
      </c>
      <c r="K40" s="66">
        <f t="shared" si="29"/>
        <v>181.43</v>
      </c>
      <c r="L40" s="66"/>
      <c r="W40" s="59" t="s">
        <v>91</v>
      </c>
      <c r="AM40" s="59" t="s">
        <v>29</v>
      </c>
      <c r="AN40" s="59" t="s">
        <v>91</v>
      </c>
    </row>
    <row r="41" spans="1:40">
      <c r="A41" s="167">
        <v>2</v>
      </c>
      <c r="B41" s="59" t="s">
        <v>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W41" s="59" t="s">
        <v>92</v>
      </c>
      <c r="AM41" s="59" t="s">
        <v>31</v>
      </c>
      <c r="AN41" s="59" t="s">
        <v>92</v>
      </c>
    </row>
    <row r="42" spans="1:40">
      <c r="A42" s="59" t="s">
        <v>88</v>
      </c>
      <c r="B42" s="62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W42" s="62" t="s">
        <v>94</v>
      </c>
      <c r="AM42" s="59" t="s">
        <v>93</v>
      </c>
      <c r="AN42" s="62" t="s">
        <v>94</v>
      </c>
    </row>
    <row r="43" spans="1:40">
      <c r="A43" s="167">
        <v>1</v>
      </c>
      <c r="B43" s="67" t="s">
        <v>95</v>
      </c>
      <c r="C43" s="65">
        <v>114.73599999999999</v>
      </c>
      <c r="D43" s="65">
        <v>86.46</v>
      </c>
      <c r="E43" s="65">
        <v>86.46</v>
      </c>
      <c r="F43" s="65">
        <v>38.380000000000003</v>
      </c>
      <c r="G43" s="65">
        <v>49.69</v>
      </c>
      <c r="H43" s="65">
        <v>98.58</v>
      </c>
      <c r="I43" s="65">
        <v>56.96</v>
      </c>
      <c r="J43" s="65">
        <v>88.07</v>
      </c>
      <c r="K43" s="65">
        <v>37.17</v>
      </c>
      <c r="L43" s="66"/>
      <c r="W43" s="59" t="s">
        <v>95</v>
      </c>
      <c r="AM43" s="59" t="s">
        <v>29</v>
      </c>
      <c r="AN43" s="59" t="s">
        <v>95</v>
      </c>
    </row>
    <row r="44" spans="1:40">
      <c r="A44" s="167">
        <v>2</v>
      </c>
      <c r="B44" s="67" t="s">
        <v>96</v>
      </c>
      <c r="C44" s="65">
        <v>15.052</v>
      </c>
      <c r="D44" s="65">
        <v>11.34</v>
      </c>
      <c r="E44" s="65">
        <v>11.34</v>
      </c>
      <c r="F44" s="65">
        <v>5.04</v>
      </c>
      <c r="G44" s="65">
        <v>6.52</v>
      </c>
      <c r="H44" s="65">
        <v>78.08</v>
      </c>
      <c r="I44" s="65">
        <v>7.47</v>
      </c>
      <c r="J44" s="65">
        <v>11.55</v>
      </c>
      <c r="K44" s="65">
        <v>4.88</v>
      </c>
      <c r="L44" s="66"/>
      <c r="W44" s="59" t="s">
        <v>96</v>
      </c>
      <c r="AM44" s="59" t="s">
        <v>31</v>
      </c>
      <c r="AN44" s="59" t="s">
        <v>96</v>
      </c>
    </row>
    <row r="45" spans="1:40">
      <c r="A45" s="167">
        <v>3</v>
      </c>
      <c r="B45" s="67" t="s">
        <v>97</v>
      </c>
      <c r="C45" s="65">
        <v>77.25</v>
      </c>
      <c r="D45" s="65">
        <v>58.21</v>
      </c>
      <c r="E45" s="65">
        <v>58.21</v>
      </c>
      <c r="F45" s="65">
        <v>25.84</v>
      </c>
      <c r="G45" s="65">
        <v>33.46</v>
      </c>
      <c r="H45" s="65">
        <v>66.38</v>
      </c>
      <c r="I45" s="65">
        <v>38.35</v>
      </c>
      <c r="J45" s="65">
        <v>59.3</v>
      </c>
      <c r="K45" s="65">
        <v>25.02</v>
      </c>
      <c r="L45" s="66"/>
      <c r="W45" s="59" t="s">
        <v>97</v>
      </c>
      <c r="AM45" s="59" t="s">
        <v>81</v>
      </c>
      <c r="AN45" s="59" t="s">
        <v>97</v>
      </c>
    </row>
    <row r="46" spans="1:40" s="54" customFormat="1">
      <c r="A46" s="167">
        <v>4</v>
      </c>
      <c r="B46" s="67" t="s">
        <v>98</v>
      </c>
      <c r="C46" s="72">
        <f>C21/C6</f>
        <v>2.5797691785471826</v>
      </c>
      <c r="D46" s="72">
        <f t="shared" ref="D46:K46" si="30">D21/D6</f>
        <v>2.5797691785471826</v>
      </c>
      <c r="E46" s="72">
        <f t="shared" si="30"/>
        <v>2.5797691785471826</v>
      </c>
      <c r="F46" s="72">
        <f t="shared" si="30"/>
        <v>2.5797691785471826</v>
      </c>
      <c r="G46" s="72">
        <f t="shared" si="30"/>
        <v>2.5797691785471826</v>
      </c>
      <c r="H46" s="72">
        <f t="shared" si="30"/>
        <v>2.5797691785471826</v>
      </c>
      <c r="I46" s="72">
        <f t="shared" si="30"/>
        <v>2.5797691785471826</v>
      </c>
      <c r="J46" s="72">
        <f t="shared" si="30"/>
        <v>2.5797691785471826</v>
      </c>
      <c r="K46" s="72">
        <f t="shared" si="30"/>
        <v>2.5797691785471826</v>
      </c>
      <c r="L46" s="72"/>
      <c r="W46" s="67" t="s">
        <v>100</v>
      </c>
      <c r="AM46" s="67" t="s">
        <v>37</v>
      </c>
      <c r="AN46" s="67" t="s">
        <v>100</v>
      </c>
    </row>
    <row r="47" spans="1:40" s="54" customFormat="1">
      <c r="A47" s="167">
        <v>5</v>
      </c>
      <c r="B47" s="67" t="s">
        <v>100</v>
      </c>
      <c r="C47" s="72">
        <v>85.2</v>
      </c>
      <c r="D47" s="72">
        <v>64.2</v>
      </c>
      <c r="E47" s="72">
        <v>64.2</v>
      </c>
      <c r="F47" s="72">
        <v>28.5</v>
      </c>
      <c r="G47" s="72">
        <v>36.9</v>
      </c>
      <c r="H47" s="72">
        <v>73.2</v>
      </c>
      <c r="I47" s="72">
        <v>42.3</v>
      </c>
      <c r="J47" s="72">
        <v>65.400000000000006</v>
      </c>
      <c r="K47" s="72">
        <v>27.6</v>
      </c>
      <c r="L47" s="72"/>
      <c r="W47" s="67" t="s">
        <v>100</v>
      </c>
      <c r="AM47" s="67" t="s">
        <v>37</v>
      </c>
      <c r="AN47" s="67" t="s">
        <v>100</v>
      </c>
    </row>
    <row r="48" spans="1:40">
      <c r="A48" s="59" t="s">
        <v>93</v>
      </c>
      <c r="B48" s="62" t="s">
        <v>111</v>
      </c>
      <c r="C48" s="66">
        <f>C40-C43-C44-C45-C47-C46</f>
        <v>265.23023082145284</v>
      </c>
      <c r="D48" s="66">
        <f t="shared" ref="D48:K48" si="31">D40-D43-D44-D45-D47-D46</f>
        <v>199.2202308214527</v>
      </c>
      <c r="E48" s="66">
        <f t="shared" si="31"/>
        <v>199.2202308214527</v>
      </c>
      <c r="F48" s="66">
        <f t="shared" si="31"/>
        <v>86.990230821452897</v>
      </c>
      <c r="G48" s="66">
        <f t="shared" si="31"/>
        <v>113.41023082145291</v>
      </c>
      <c r="H48" s="66">
        <f t="shared" si="31"/>
        <v>227.50023082145279</v>
      </c>
      <c r="I48" s="66">
        <f t="shared" si="31"/>
        <v>130.39023082145289</v>
      </c>
      <c r="J48" s="66">
        <f t="shared" si="31"/>
        <v>202.99023082145283</v>
      </c>
      <c r="K48" s="66">
        <f t="shared" si="31"/>
        <v>84.18023082145281</v>
      </c>
      <c r="L48" s="66"/>
      <c r="W48" s="62" t="s">
        <v>111</v>
      </c>
      <c r="AM48" s="59" t="s">
        <v>110</v>
      </c>
      <c r="AN48" s="62" t="s">
        <v>111</v>
      </c>
    </row>
    <row r="51" spans="2:17">
      <c r="C51" s="73"/>
      <c r="D51" s="73"/>
      <c r="E51" s="73"/>
      <c r="F51" s="73"/>
      <c r="G51" s="73"/>
      <c r="H51" s="73"/>
      <c r="I51" s="73"/>
      <c r="J51" s="73"/>
      <c r="K51" s="73"/>
    </row>
    <row r="54" spans="2:17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4"/>
      <c r="N54" s="74"/>
      <c r="O54" s="74"/>
      <c r="P54" s="74"/>
      <c r="Q54" s="74"/>
    </row>
    <row r="55" spans="2:17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4"/>
      <c r="N55" s="74"/>
      <c r="O55" s="74"/>
      <c r="P55" s="74"/>
      <c r="Q55" s="74"/>
    </row>
    <row r="56" spans="2:17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4"/>
      <c r="N56" s="74"/>
      <c r="O56" s="74"/>
      <c r="P56" s="74"/>
      <c r="Q56" s="74"/>
    </row>
    <row r="57" spans="2:17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4"/>
      <c r="N57" s="74"/>
      <c r="O57" s="74"/>
      <c r="P57" s="74"/>
      <c r="Q57" s="74"/>
    </row>
    <row r="58" spans="2:17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4"/>
      <c r="N58" s="74"/>
      <c r="O58" s="74"/>
      <c r="P58" s="74"/>
      <c r="Q58" s="74"/>
    </row>
    <row r="59" spans="2:17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4"/>
      <c r="N59" s="74"/>
      <c r="O59" s="74"/>
      <c r="P59" s="74"/>
      <c r="Q59" s="74"/>
    </row>
    <row r="60" spans="2:17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4"/>
      <c r="N60" s="74"/>
      <c r="O60" s="74"/>
      <c r="P60" s="74"/>
      <c r="Q60" s="74"/>
    </row>
    <row r="61" spans="2:17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4"/>
      <c r="N61" s="74"/>
      <c r="O61" s="74"/>
      <c r="P61" s="74"/>
      <c r="Q61" s="74"/>
    </row>
    <row r="62" spans="2:17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4"/>
      <c r="N62" s="74"/>
      <c r="O62" s="74"/>
      <c r="P62" s="74"/>
      <c r="Q62" s="74"/>
    </row>
    <row r="63" spans="2:17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4"/>
      <c r="N63" s="74"/>
      <c r="O63" s="74"/>
      <c r="P63" s="74"/>
      <c r="Q63" s="74"/>
    </row>
    <row r="64" spans="2:17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4"/>
      <c r="N64" s="74"/>
      <c r="O64" s="74"/>
      <c r="P64" s="74"/>
      <c r="Q64" s="74"/>
    </row>
    <row r="65" spans="2:17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</row>
    <row r="66" spans="2:17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</row>
    <row r="67" spans="2:17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4"/>
    </row>
    <row r="68" spans="2:17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2:17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4"/>
    </row>
    <row r="70" spans="2:17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4"/>
    </row>
    <row r="71" spans="2:17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4"/>
    </row>
    <row r="72" spans="2:17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4"/>
    </row>
    <row r="73" spans="2:17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4"/>
    </row>
    <row r="74" spans="2:17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26" activePane="bottomRight" state="frozen"/>
      <selection pane="topRight"/>
      <selection pane="bottomLeft"/>
      <selection pane="bottomRight" activeCell="C47" sqref="C47:K47"/>
    </sheetView>
  </sheetViews>
  <sheetFormatPr defaultColWidth="9" defaultRowHeight="16.5"/>
  <cols>
    <col min="1" max="1" width="5.125" style="55" customWidth="1"/>
    <col min="2" max="2" width="17.5" style="55" customWidth="1"/>
    <col min="3" max="7" width="13.25" style="56" customWidth="1"/>
    <col min="8" max="11" width="15.5" style="56" customWidth="1"/>
    <col min="12" max="12" width="18.75" style="56" customWidth="1"/>
    <col min="13" max="13" width="25.5" style="55" bestFit="1" customWidth="1"/>
    <col min="14" max="14" width="10.125" style="55" customWidth="1"/>
    <col min="15" max="21" width="9" style="55" customWidth="1"/>
    <col min="22" max="38" width="9" style="55"/>
    <col min="39" max="39" width="4.375" style="55" customWidth="1"/>
    <col min="40" max="40" width="13.875" style="55" customWidth="1"/>
    <col min="41" max="16384" width="9" style="55"/>
  </cols>
  <sheetData>
    <row r="1" spans="1:41">
      <c r="A1" s="193" t="s">
        <v>151</v>
      </c>
      <c r="B1" s="193"/>
      <c r="C1" s="197" t="s">
        <v>294</v>
      </c>
      <c r="D1" s="198"/>
      <c r="E1" s="198"/>
      <c r="F1" s="198"/>
      <c r="G1" s="198"/>
      <c r="H1" s="198"/>
      <c r="I1" s="198"/>
      <c r="J1" s="198"/>
      <c r="K1" s="198"/>
      <c r="L1" s="199"/>
    </row>
    <row r="2" spans="1:41">
      <c r="A2" s="193" t="s">
        <v>153</v>
      </c>
      <c r="B2" s="193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41">
      <c r="A3" s="193" t="s">
        <v>154</v>
      </c>
      <c r="B3" s="193"/>
      <c r="C3" s="177" t="s">
        <v>273</v>
      </c>
      <c r="D3" s="178" t="s">
        <v>274</v>
      </c>
      <c r="E3" s="177" t="s">
        <v>275</v>
      </c>
      <c r="F3" s="177" t="s">
        <v>276</v>
      </c>
      <c r="G3" s="177" t="s">
        <v>277</v>
      </c>
      <c r="H3" s="177" t="s">
        <v>278</v>
      </c>
      <c r="I3" s="177" t="s">
        <v>279</v>
      </c>
      <c r="J3" s="177" t="s">
        <v>280</v>
      </c>
      <c r="K3" s="177" t="s">
        <v>281</v>
      </c>
      <c r="L3" s="194" t="s">
        <v>25</v>
      </c>
    </row>
    <row r="4" spans="1:41">
      <c r="A4" s="193" t="s">
        <v>155</v>
      </c>
      <c r="B4" s="193"/>
      <c r="C4" s="177" t="s">
        <v>282</v>
      </c>
      <c r="D4" s="178" t="s">
        <v>283</v>
      </c>
      <c r="E4" s="177" t="s">
        <v>284</v>
      </c>
      <c r="F4" s="177" t="s">
        <v>285</v>
      </c>
      <c r="G4" s="177" t="s">
        <v>286</v>
      </c>
      <c r="H4" s="177" t="s">
        <v>287</v>
      </c>
      <c r="I4" s="177" t="s">
        <v>288</v>
      </c>
      <c r="J4" s="177" t="s">
        <v>289</v>
      </c>
      <c r="K4" s="177" t="s">
        <v>290</v>
      </c>
      <c r="L4" s="195"/>
    </row>
    <row r="5" spans="1:41">
      <c r="A5" s="193" t="s">
        <v>156</v>
      </c>
      <c r="B5" s="193"/>
      <c r="C5" s="58"/>
      <c r="D5" s="58"/>
      <c r="E5" s="58"/>
      <c r="F5" s="58"/>
      <c r="G5" s="58"/>
      <c r="H5" s="58"/>
      <c r="I5" s="58"/>
      <c r="J5" s="58"/>
      <c r="K5" s="58"/>
      <c r="L5" s="196"/>
      <c r="AO5" s="55" t="s">
        <v>26</v>
      </c>
    </row>
    <row r="6" spans="1:41" ht="17.25">
      <c r="A6" s="59" t="s">
        <v>19</v>
      </c>
      <c r="B6" s="60" t="s">
        <v>157</v>
      </c>
      <c r="C6" s="27">
        <f>销量!C11</f>
        <v>5500</v>
      </c>
      <c r="D6" s="27">
        <f>销量!D11</f>
        <v>2000</v>
      </c>
      <c r="E6" s="27">
        <f>销量!E11</f>
        <v>8000</v>
      </c>
      <c r="F6" s="27">
        <f>销量!F11</f>
        <v>9500</v>
      </c>
      <c r="G6" s="27">
        <f>销量!G11</f>
        <v>1200</v>
      </c>
      <c r="H6" s="27">
        <f>销量!H11</f>
        <v>800</v>
      </c>
      <c r="I6" s="27">
        <f>销量!I11</f>
        <v>1500</v>
      </c>
      <c r="J6" s="27">
        <f>销量!J11</f>
        <v>10000</v>
      </c>
      <c r="K6" s="27">
        <f>销量!K11</f>
        <v>10000</v>
      </c>
      <c r="L6" s="61">
        <f t="shared" ref="L6:L15" si="0">+SUM(C6:K6)</f>
        <v>48500</v>
      </c>
      <c r="W6" s="60" t="s">
        <v>3</v>
      </c>
      <c r="AM6" s="59" t="s">
        <v>19</v>
      </c>
      <c r="AN6" s="60" t="s">
        <v>3</v>
      </c>
      <c r="AO6" s="55" t="s">
        <v>27</v>
      </c>
    </row>
    <row r="7" spans="1:41">
      <c r="A7" s="167">
        <v>1</v>
      </c>
      <c r="B7" s="60" t="s">
        <v>28</v>
      </c>
      <c r="C7" s="61">
        <f>C6*销量!C8</f>
        <v>15620000</v>
      </c>
      <c r="D7" s="61">
        <f>D6*销量!D8</f>
        <v>4280000</v>
      </c>
      <c r="E7" s="61">
        <f>E6*销量!E8</f>
        <v>17120000</v>
      </c>
      <c r="F7" s="61">
        <f>F6*销量!F8</f>
        <v>9025000</v>
      </c>
      <c r="G7" s="61">
        <f>G6*销量!G8</f>
        <v>1476000</v>
      </c>
      <c r="H7" s="61">
        <f>H6*销量!H8</f>
        <v>1952000</v>
      </c>
      <c r="I7" s="61">
        <f>I6*销量!I8</f>
        <v>2115000</v>
      </c>
      <c r="J7" s="61">
        <f>J6*销量!J8</f>
        <v>21800000</v>
      </c>
      <c r="K7" s="61">
        <f>K6*销量!K8</f>
        <v>9200000</v>
      </c>
      <c r="L7" s="61">
        <f t="shared" si="0"/>
        <v>82588000</v>
      </c>
      <c r="M7" s="56"/>
      <c r="W7" s="60" t="s">
        <v>28</v>
      </c>
      <c r="AM7" s="59" t="s">
        <v>29</v>
      </c>
      <c r="AN7" s="60" t="s">
        <v>28</v>
      </c>
      <c r="AO7" s="55" t="s">
        <v>27</v>
      </c>
    </row>
    <row r="8" spans="1:41">
      <c r="A8" s="167">
        <v>2</v>
      </c>
      <c r="B8" s="167" t="s">
        <v>30</v>
      </c>
      <c r="C8" s="61">
        <f>C7*(1-销量!$P$8)</f>
        <v>618552.00000000128</v>
      </c>
      <c r="D8" s="61">
        <f>D7*(1-销量!$P$8)</f>
        <v>169488.00000000035</v>
      </c>
      <c r="E8" s="61">
        <f>E7*(1-销量!$P$8)</f>
        <v>677952.0000000014</v>
      </c>
      <c r="F8" s="61">
        <f>F7*(1-销量!$P$8)</f>
        <v>357390.0000000007</v>
      </c>
      <c r="G8" s="61">
        <f>G7*(1-销量!$P$8)</f>
        <v>58449.600000000115</v>
      </c>
      <c r="H8" s="61">
        <f>H7*(1-销量!$P$8)</f>
        <v>77299.200000000157</v>
      </c>
      <c r="I8" s="61">
        <f>I7*(1-销量!$P$8)</f>
        <v>83754.000000000175</v>
      </c>
      <c r="J8" s="61">
        <f>J7*(1-销量!$P$8)</f>
        <v>863280.00000000175</v>
      </c>
      <c r="K8" s="61">
        <f>K7*(1-销量!$P$8)</f>
        <v>364320.00000000076</v>
      </c>
      <c r="L8" s="61">
        <f t="shared" si="0"/>
        <v>3270484.8000000068</v>
      </c>
      <c r="M8" s="76"/>
      <c r="W8" s="167" t="s">
        <v>32</v>
      </c>
      <c r="AM8" s="59" t="s">
        <v>31</v>
      </c>
      <c r="AN8" s="167" t="s">
        <v>32</v>
      </c>
      <c r="AO8" s="55" t="s">
        <v>27</v>
      </c>
    </row>
    <row r="9" spans="1:41">
      <c r="A9" s="167">
        <v>3</v>
      </c>
      <c r="B9" s="60" t="s">
        <v>33</v>
      </c>
      <c r="C9" s="61">
        <f>+C7-C8</f>
        <v>15001447.999999998</v>
      </c>
      <c r="D9" s="61">
        <f t="shared" ref="D9:K9" si="1">+D7-D8</f>
        <v>4110511.9999999995</v>
      </c>
      <c r="E9" s="61">
        <f t="shared" si="1"/>
        <v>16442047.999999998</v>
      </c>
      <c r="F9" s="61">
        <f t="shared" si="1"/>
        <v>8667610</v>
      </c>
      <c r="G9" s="61">
        <f t="shared" si="1"/>
        <v>1417550.4</v>
      </c>
      <c r="H9" s="61">
        <f t="shared" si="1"/>
        <v>1874700.7999999998</v>
      </c>
      <c r="I9" s="61">
        <f t="shared" si="1"/>
        <v>2031245.9999999998</v>
      </c>
      <c r="J9" s="61">
        <f t="shared" si="1"/>
        <v>20936720</v>
      </c>
      <c r="K9" s="61">
        <f t="shared" si="1"/>
        <v>8835680</v>
      </c>
      <c r="L9" s="61">
        <f t="shared" si="0"/>
        <v>79317515.199999988</v>
      </c>
      <c r="W9" s="60" t="s">
        <v>33</v>
      </c>
      <c r="AM9" s="59" t="s">
        <v>34</v>
      </c>
      <c r="AN9" s="60" t="s">
        <v>33</v>
      </c>
      <c r="AO9" s="55" t="s">
        <v>35</v>
      </c>
    </row>
    <row r="10" spans="1:41">
      <c r="A10" s="167">
        <v>4</v>
      </c>
      <c r="B10" s="59" t="s">
        <v>36</v>
      </c>
      <c r="C10" s="61">
        <f>C6*C33</f>
        <v>10501013.6</v>
      </c>
      <c r="D10" s="61">
        <f t="shared" ref="D10:K10" si="2">D6*D33</f>
        <v>2877358.4</v>
      </c>
      <c r="E10" s="61">
        <f t="shared" si="2"/>
        <v>11509433.6</v>
      </c>
      <c r="F10" s="61">
        <f t="shared" si="2"/>
        <v>6067326.9999999991</v>
      </c>
      <c r="G10" s="61">
        <f t="shared" si="2"/>
        <v>992285.28</v>
      </c>
      <c r="H10" s="61">
        <f t="shared" si="2"/>
        <v>1312290.5599999998</v>
      </c>
      <c r="I10" s="61">
        <f t="shared" si="2"/>
        <v>1421872.2</v>
      </c>
      <c r="J10" s="61">
        <f t="shared" si="2"/>
        <v>14655704</v>
      </c>
      <c r="K10" s="61">
        <f t="shared" si="2"/>
        <v>6184976</v>
      </c>
      <c r="L10" s="61">
        <f t="shared" si="0"/>
        <v>55522260.640000001</v>
      </c>
      <c r="W10" s="59" t="s">
        <v>36</v>
      </c>
      <c r="AM10" s="59" t="s">
        <v>37</v>
      </c>
      <c r="AN10" s="59" t="s">
        <v>36</v>
      </c>
      <c r="AO10" s="55" t="s">
        <v>38</v>
      </c>
    </row>
    <row r="11" spans="1:41">
      <c r="A11" s="167">
        <v>5</v>
      </c>
      <c r="B11" s="59" t="s">
        <v>39</v>
      </c>
      <c r="C11" s="61">
        <f>+C6*C36</f>
        <v>673222</v>
      </c>
      <c r="D11" s="61">
        <f t="shared" ref="D11:K11" si="3">+D6*D36</f>
        <v>184460</v>
      </c>
      <c r="E11" s="61">
        <f t="shared" si="3"/>
        <v>737840</v>
      </c>
      <c r="F11" s="61">
        <f t="shared" si="3"/>
        <v>389025</v>
      </c>
      <c r="G11" s="61">
        <f t="shared" si="3"/>
        <v>63612</v>
      </c>
      <c r="H11" s="61">
        <f t="shared" si="3"/>
        <v>84128</v>
      </c>
      <c r="I11" s="61">
        <f t="shared" si="3"/>
        <v>91155</v>
      </c>
      <c r="J11" s="61">
        <f t="shared" si="3"/>
        <v>939599.99999999988</v>
      </c>
      <c r="K11" s="61">
        <f t="shared" si="3"/>
        <v>396500</v>
      </c>
      <c r="L11" s="61">
        <f t="shared" si="0"/>
        <v>3559542</v>
      </c>
      <c r="W11" s="59" t="s">
        <v>39</v>
      </c>
      <c r="AM11" s="59" t="s">
        <v>40</v>
      </c>
      <c r="AN11" s="59" t="s">
        <v>39</v>
      </c>
    </row>
    <row r="12" spans="1:41">
      <c r="A12" s="167">
        <v>6</v>
      </c>
      <c r="B12" s="59" t="s">
        <v>41</v>
      </c>
      <c r="C12" s="61">
        <f>+C6*C37</f>
        <v>338954</v>
      </c>
      <c r="D12" s="61">
        <f t="shared" ref="D12:K12" si="4">+D6*D37</f>
        <v>92880</v>
      </c>
      <c r="E12" s="61">
        <f t="shared" si="4"/>
        <v>371520</v>
      </c>
      <c r="F12" s="61">
        <f t="shared" si="4"/>
        <v>195890</v>
      </c>
      <c r="G12" s="61">
        <f t="shared" si="4"/>
        <v>32028</v>
      </c>
      <c r="H12" s="61">
        <f t="shared" si="4"/>
        <v>42360</v>
      </c>
      <c r="I12" s="61">
        <f t="shared" si="4"/>
        <v>45900</v>
      </c>
      <c r="J12" s="61">
        <f t="shared" si="4"/>
        <v>473100</v>
      </c>
      <c r="K12" s="61">
        <f t="shared" si="4"/>
        <v>199600</v>
      </c>
      <c r="L12" s="61">
        <f t="shared" si="0"/>
        <v>1792232</v>
      </c>
      <c r="W12" s="59" t="s">
        <v>41</v>
      </c>
      <c r="AM12" s="59" t="s">
        <v>42</v>
      </c>
      <c r="AN12" s="59" t="s">
        <v>41</v>
      </c>
    </row>
    <row r="13" spans="1:41">
      <c r="A13" s="167">
        <v>7</v>
      </c>
      <c r="B13" s="59" t="s">
        <v>43</v>
      </c>
      <c r="C13" s="61">
        <f>+C6*C38</f>
        <v>499840</v>
      </c>
      <c r="D13" s="61">
        <f t="shared" ref="D13:K13" si="5">+D6*D38</f>
        <v>136960</v>
      </c>
      <c r="E13" s="61">
        <f t="shared" si="5"/>
        <v>547840</v>
      </c>
      <c r="F13" s="61">
        <f t="shared" si="5"/>
        <v>288800</v>
      </c>
      <c r="G13" s="61">
        <f t="shared" si="5"/>
        <v>47232</v>
      </c>
      <c r="H13" s="61">
        <f t="shared" si="5"/>
        <v>10344</v>
      </c>
      <c r="I13" s="61">
        <f t="shared" si="5"/>
        <v>67680</v>
      </c>
      <c r="J13" s="61">
        <f t="shared" si="5"/>
        <v>697600</v>
      </c>
      <c r="K13" s="61">
        <f t="shared" si="5"/>
        <v>294400</v>
      </c>
      <c r="L13" s="61">
        <f t="shared" si="0"/>
        <v>2590696</v>
      </c>
      <c r="W13" s="59" t="s">
        <v>43</v>
      </c>
      <c r="AM13" s="59" t="s">
        <v>44</v>
      </c>
      <c r="AN13" s="59" t="s">
        <v>43</v>
      </c>
      <c r="AO13" s="55" t="s">
        <v>27</v>
      </c>
    </row>
    <row r="14" spans="1:41">
      <c r="A14" s="167">
        <v>8</v>
      </c>
      <c r="B14" s="62" t="s">
        <v>45</v>
      </c>
      <c r="C14" s="61">
        <f>SUM(C11:C13)</f>
        <v>1512016</v>
      </c>
      <c r="D14" s="61">
        <f t="shared" ref="D14:K14" si="6">SUM(D11:D13)</f>
        <v>414300</v>
      </c>
      <c r="E14" s="61">
        <f t="shared" si="6"/>
        <v>1657200</v>
      </c>
      <c r="F14" s="61">
        <f t="shared" si="6"/>
        <v>873715</v>
      </c>
      <c r="G14" s="61">
        <f t="shared" si="6"/>
        <v>142872</v>
      </c>
      <c r="H14" s="61">
        <f t="shared" si="6"/>
        <v>136832</v>
      </c>
      <c r="I14" s="61">
        <f t="shared" si="6"/>
        <v>204735</v>
      </c>
      <c r="J14" s="61">
        <f t="shared" si="6"/>
        <v>2110300</v>
      </c>
      <c r="K14" s="61">
        <f t="shared" si="6"/>
        <v>890500</v>
      </c>
      <c r="L14" s="61">
        <f t="shared" si="0"/>
        <v>7942470</v>
      </c>
      <c r="W14" s="62" t="s">
        <v>45</v>
      </c>
      <c r="AM14" s="59" t="s">
        <v>46</v>
      </c>
      <c r="AN14" s="62" t="s">
        <v>45</v>
      </c>
    </row>
    <row r="15" spans="1:41">
      <c r="A15" s="167">
        <v>9</v>
      </c>
      <c r="B15" s="62" t="s">
        <v>47</v>
      </c>
      <c r="C15" s="61">
        <f>+C9-C10-C14</f>
        <v>2988418.3999999985</v>
      </c>
      <c r="D15" s="61">
        <f t="shared" ref="D15:K15" si="7">+D9-D10-D14</f>
        <v>818853.59999999963</v>
      </c>
      <c r="E15" s="61">
        <f t="shared" si="7"/>
        <v>3275414.3999999985</v>
      </c>
      <c r="F15" s="61">
        <f t="shared" si="7"/>
        <v>1726568.0000000009</v>
      </c>
      <c r="G15" s="61">
        <f t="shared" si="7"/>
        <v>282393.11999999988</v>
      </c>
      <c r="H15" s="61">
        <f t="shared" si="7"/>
        <v>425578.23999999999</v>
      </c>
      <c r="I15" s="61">
        <f t="shared" si="7"/>
        <v>404638.79999999981</v>
      </c>
      <c r="J15" s="61">
        <f t="shared" si="7"/>
        <v>4170716</v>
      </c>
      <c r="K15" s="61">
        <f t="shared" si="7"/>
        <v>1760204</v>
      </c>
      <c r="L15" s="61">
        <f t="shared" si="0"/>
        <v>15852784.559999999</v>
      </c>
      <c r="W15" s="62" t="s">
        <v>47</v>
      </c>
      <c r="AM15" s="59" t="s">
        <v>48</v>
      </c>
      <c r="AN15" s="62" t="s">
        <v>47</v>
      </c>
    </row>
    <row r="16" spans="1:41">
      <c r="A16" s="167">
        <v>10</v>
      </c>
      <c r="B16" s="59" t="s">
        <v>49</v>
      </c>
      <c r="C16" s="63">
        <f>+C15/C9</f>
        <v>0.19920866305705948</v>
      </c>
      <c r="D16" s="63">
        <f t="shared" ref="D16:K16" si="8">+D15/D9</f>
        <v>0.19920963617184423</v>
      </c>
      <c r="E16" s="63">
        <f t="shared" si="8"/>
        <v>0.19920963617184423</v>
      </c>
      <c r="F16" s="63">
        <f t="shared" si="8"/>
        <v>0.19919770271158957</v>
      </c>
      <c r="G16" s="63">
        <f t="shared" si="8"/>
        <v>0.19921204918005025</v>
      </c>
      <c r="H16" s="63">
        <f t="shared" si="8"/>
        <v>0.22701128628098949</v>
      </c>
      <c r="I16" s="63">
        <f t="shared" si="8"/>
        <v>0.19920718613107416</v>
      </c>
      <c r="J16" s="63">
        <f t="shared" si="8"/>
        <v>0.19920579727865684</v>
      </c>
      <c r="K16" s="63">
        <f t="shared" si="8"/>
        <v>0.19921545370588342</v>
      </c>
      <c r="L16" s="63">
        <f t="shared" ref="L16" si="9">+L15/L9</f>
        <v>0.19986486616514684</v>
      </c>
      <c r="W16" s="59" t="s">
        <v>49</v>
      </c>
      <c r="AM16" s="59" t="s">
        <v>50</v>
      </c>
      <c r="AN16" s="59" t="s">
        <v>49</v>
      </c>
    </row>
    <row r="17" spans="1:41">
      <c r="A17" s="167">
        <v>11</v>
      </c>
      <c r="B17" s="59" t="s">
        <v>51</v>
      </c>
      <c r="C17" s="61">
        <f>C6*C43+C18</f>
        <v>683010.71477663226</v>
      </c>
      <c r="D17" s="61">
        <f t="shared" ref="D17:K17" si="10">D6*D43+D18</f>
        <v>191815.53264604812</v>
      </c>
      <c r="E17" s="61">
        <f t="shared" si="10"/>
        <v>767262.13058419246</v>
      </c>
      <c r="F17" s="61">
        <f t="shared" si="10"/>
        <v>454363.78006872855</v>
      </c>
      <c r="G17" s="61">
        <f t="shared" si="10"/>
        <v>70965.319587628866</v>
      </c>
      <c r="H17" s="61">
        <f t="shared" si="10"/>
        <v>86422.213058419249</v>
      </c>
      <c r="I17" s="61">
        <f t="shared" si="10"/>
        <v>99611.649484536087</v>
      </c>
      <c r="J17" s="61">
        <f t="shared" si="10"/>
        <v>975177.66323024046</v>
      </c>
      <c r="K17" s="61">
        <f t="shared" si="10"/>
        <v>466177.66323024058</v>
      </c>
      <c r="L17" s="61">
        <f>SUM(C17:K17)</f>
        <v>3794806.666666666</v>
      </c>
      <c r="M17" s="76"/>
      <c r="W17" s="59" t="s">
        <v>51</v>
      </c>
      <c r="AM17" s="59" t="s">
        <v>52</v>
      </c>
      <c r="AN17" s="59" t="s">
        <v>51</v>
      </c>
    </row>
    <row r="18" spans="1:41" s="53" customFormat="1">
      <c r="A18" s="167">
        <v>12</v>
      </c>
      <c r="B18" s="64" t="s">
        <v>158</v>
      </c>
      <c r="C18" s="65">
        <f>$L$18/$L$6*C6</f>
        <v>51962.714776632311</v>
      </c>
      <c r="D18" s="65">
        <f t="shared" ref="D18:K18" si="11">$L$18/$L$6*D6</f>
        <v>18895.532646048116</v>
      </c>
      <c r="E18" s="65">
        <f t="shared" si="11"/>
        <v>75582.130584192462</v>
      </c>
      <c r="F18" s="65">
        <f t="shared" si="11"/>
        <v>89753.780068728534</v>
      </c>
      <c r="G18" s="65">
        <f t="shared" si="11"/>
        <v>11337.319587628868</v>
      </c>
      <c r="H18" s="65">
        <f t="shared" si="11"/>
        <v>7558.2130584192455</v>
      </c>
      <c r="I18" s="65">
        <f t="shared" si="11"/>
        <v>14171.649484536085</v>
      </c>
      <c r="J18" s="65">
        <f t="shared" si="11"/>
        <v>94477.663230240563</v>
      </c>
      <c r="K18" s="65">
        <f t="shared" si="11"/>
        <v>94477.663230240563</v>
      </c>
      <c r="L18" s="65">
        <f>项目投资!D26</f>
        <v>458216.66666666674</v>
      </c>
      <c r="M18" s="77" t="s">
        <v>159</v>
      </c>
      <c r="N18" s="77"/>
      <c r="O18" s="77"/>
    </row>
    <row r="19" spans="1:41">
      <c r="A19" s="167">
        <v>13</v>
      </c>
      <c r="B19" s="59" t="s">
        <v>53</v>
      </c>
      <c r="C19" s="61">
        <f>C6*C44</f>
        <v>82786</v>
      </c>
      <c r="D19" s="61">
        <f t="shared" ref="D19:K19" si="12">D6*D44</f>
        <v>22680</v>
      </c>
      <c r="E19" s="61">
        <f t="shared" si="12"/>
        <v>90720</v>
      </c>
      <c r="F19" s="61">
        <f t="shared" si="12"/>
        <v>47880</v>
      </c>
      <c r="G19" s="61">
        <f t="shared" si="12"/>
        <v>7823.9999999999991</v>
      </c>
      <c r="H19" s="61">
        <f t="shared" si="12"/>
        <v>62464</v>
      </c>
      <c r="I19" s="61">
        <f t="shared" si="12"/>
        <v>11205</v>
      </c>
      <c r="J19" s="61">
        <f t="shared" si="12"/>
        <v>115500</v>
      </c>
      <c r="K19" s="61">
        <f t="shared" si="12"/>
        <v>48800</v>
      </c>
      <c r="L19" s="61">
        <f>SUM(C19:K19)</f>
        <v>489859</v>
      </c>
      <c r="M19" s="53"/>
      <c r="W19" s="59" t="s">
        <v>53</v>
      </c>
      <c r="AM19" s="59" t="s">
        <v>54</v>
      </c>
      <c r="AN19" s="59" t="s">
        <v>53</v>
      </c>
      <c r="AO19" s="55" t="s">
        <v>27</v>
      </c>
    </row>
    <row r="20" spans="1:41">
      <c r="A20" s="167">
        <v>14</v>
      </c>
      <c r="B20" s="59" t="s">
        <v>55</v>
      </c>
      <c r="C20" s="61">
        <f>C6*C45</f>
        <v>424875</v>
      </c>
      <c r="D20" s="61">
        <f t="shared" ref="D20:K20" si="13">D6*D45</f>
        <v>116420</v>
      </c>
      <c r="E20" s="61">
        <f t="shared" si="13"/>
        <v>465680</v>
      </c>
      <c r="F20" s="61">
        <f t="shared" si="13"/>
        <v>245480</v>
      </c>
      <c r="G20" s="61">
        <f t="shared" si="13"/>
        <v>40152</v>
      </c>
      <c r="H20" s="61">
        <f t="shared" si="13"/>
        <v>53104</v>
      </c>
      <c r="I20" s="61">
        <f t="shared" si="13"/>
        <v>57525</v>
      </c>
      <c r="J20" s="61">
        <f t="shared" si="13"/>
        <v>593000</v>
      </c>
      <c r="K20" s="61">
        <f t="shared" si="13"/>
        <v>250200</v>
      </c>
      <c r="L20" s="61">
        <f>SUM(C20:K20)</f>
        <v>2246436</v>
      </c>
      <c r="W20" s="59" t="s">
        <v>55</v>
      </c>
      <c r="AM20" s="59" t="s">
        <v>56</v>
      </c>
      <c r="AN20" s="59" t="s">
        <v>55</v>
      </c>
    </row>
    <row r="21" spans="1:41">
      <c r="A21" s="167">
        <v>15</v>
      </c>
      <c r="B21" s="59" t="s">
        <v>57</v>
      </c>
      <c r="C21" s="66">
        <f>$L$21/$L$6*C6</f>
        <v>14364.261168384881</v>
      </c>
      <c r="D21" s="66">
        <f t="shared" ref="D21:K21" si="14">$L$21/$L$6*D6</f>
        <v>5223.3676975945018</v>
      </c>
      <c r="E21" s="66">
        <f t="shared" si="14"/>
        <v>20893.470790378007</v>
      </c>
      <c r="F21" s="66">
        <f t="shared" si="14"/>
        <v>24810.996563573884</v>
      </c>
      <c r="G21" s="66">
        <f t="shared" si="14"/>
        <v>3134.0206185567013</v>
      </c>
      <c r="H21" s="66">
        <f t="shared" si="14"/>
        <v>2089.3470790378005</v>
      </c>
      <c r="I21" s="66">
        <f t="shared" si="14"/>
        <v>3917.5257731958764</v>
      </c>
      <c r="J21" s="66">
        <f t="shared" si="14"/>
        <v>26116.838487972509</v>
      </c>
      <c r="K21" s="66">
        <f t="shared" si="14"/>
        <v>26116.838487972509</v>
      </c>
      <c r="L21" s="61">
        <f>项目投资!D27</f>
        <v>126666.66666666667</v>
      </c>
      <c r="W21" s="59" t="s">
        <v>57</v>
      </c>
      <c r="AM21" s="59"/>
      <c r="AN21" s="59"/>
    </row>
    <row r="22" spans="1:41">
      <c r="A22" s="167">
        <v>16</v>
      </c>
      <c r="B22" s="59" t="s">
        <v>58</v>
      </c>
      <c r="C22" s="61">
        <f>C6*C47</f>
        <v>468600</v>
      </c>
      <c r="D22" s="61">
        <f t="shared" ref="D22:K22" si="15">D6*D47</f>
        <v>128400</v>
      </c>
      <c r="E22" s="61">
        <f t="shared" si="15"/>
        <v>513600</v>
      </c>
      <c r="F22" s="61">
        <f t="shared" si="15"/>
        <v>270750</v>
      </c>
      <c r="G22" s="61">
        <f t="shared" si="15"/>
        <v>44280</v>
      </c>
      <c r="H22" s="61">
        <f t="shared" si="15"/>
        <v>58560</v>
      </c>
      <c r="I22" s="61">
        <f t="shared" si="15"/>
        <v>63449.999999999993</v>
      </c>
      <c r="J22" s="61">
        <f t="shared" si="15"/>
        <v>654000</v>
      </c>
      <c r="K22" s="61">
        <f t="shared" si="15"/>
        <v>276000</v>
      </c>
      <c r="L22" s="61">
        <f>+SUM(C22:K22)</f>
        <v>2477640</v>
      </c>
      <c r="W22" s="59" t="s">
        <v>58</v>
      </c>
      <c r="AM22" s="59" t="s">
        <v>59</v>
      </c>
      <c r="AN22" s="59" t="s">
        <v>58</v>
      </c>
    </row>
    <row r="23" spans="1:41">
      <c r="A23" s="167">
        <v>17</v>
      </c>
      <c r="B23" s="62" t="s">
        <v>60</v>
      </c>
      <c r="C23" s="66">
        <f>+C22+C21+C20+C19+C17</f>
        <v>1673635.9759450173</v>
      </c>
      <c r="D23" s="66">
        <f t="shared" ref="D23:K23" si="16">+D22+D21+D20+D19+D17</f>
        <v>464538.90034364263</v>
      </c>
      <c r="E23" s="66">
        <f t="shared" si="16"/>
        <v>1858155.6013745705</v>
      </c>
      <c r="F23" s="66">
        <f t="shared" si="16"/>
        <v>1043284.7766323024</v>
      </c>
      <c r="G23" s="66">
        <f t="shared" si="16"/>
        <v>166355.34020618559</v>
      </c>
      <c r="H23" s="66">
        <f t="shared" si="16"/>
        <v>262639.56013745704</v>
      </c>
      <c r="I23" s="66">
        <f t="shared" si="16"/>
        <v>235709.17525773196</v>
      </c>
      <c r="J23" s="66">
        <f t="shared" si="16"/>
        <v>2363794.5017182129</v>
      </c>
      <c r="K23" s="66">
        <f t="shared" si="16"/>
        <v>1067294.5017182131</v>
      </c>
      <c r="L23" s="66">
        <f t="shared" ref="L23" si="17">+L22+L21+L20+L19+L17</f>
        <v>9135408.3333333321</v>
      </c>
      <c r="W23" s="62" t="s">
        <v>60</v>
      </c>
      <c r="AM23" s="59" t="s">
        <v>61</v>
      </c>
      <c r="AN23" s="62" t="s">
        <v>60</v>
      </c>
    </row>
    <row r="24" spans="1:41">
      <c r="A24" s="167">
        <v>18</v>
      </c>
      <c r="B24" s="67" t="s">
        <v>62</v>
      </c>
      <c r="C24" s="66">
        <f>+C15-C23</f>
        <v>1314782.4240549812</v>
      </c>
      <c r="D24" s="66">
        <f t="shared" ref="D24:K24" si="18">+D15-D23</f>
        <v>354314.699656357</v>
      </c>
      <c r="E24" s="66">
        <f t="shared" si="18"/>
        <v>1417258.798625428</v>
      </c>
      <c r="F24" s="66">
        <f t="shared" si="18"/>
        <v>683283.22336769849</v>
      </c>
      <c r="G24" s="66">
        <f t="shared" si="18"/>
        <v>116037.77979381429</v>
      </c>
      <c r="H24" s="66">
        <f t="shared" si="18"/>
        <v>162938.67986254295</v>
      </c>
      <c r="I24" s="66">
        <f t="shared" si="18"/>
        <v>168929.62474226786</v>
      </c>
      <c r="J24" s="66">
        <f t="shared" si="18"/>
        <v>1806921.4982817871</v>
      </c>
      <c r="K24" s="66">
        <f t="shared" si="18"/>
        <v>692909.49828178692</v>
      </c>
      <c r="L24" s="66">
        <f t="shared" ref="L24" si="19">+L15-L23</f>
        <v>6717376.2266666666</v>
      </c>
      <c r="N24" s="78"/>
      <c r="W24" s="59" t="s">
        <v>62</v>
      </c>
      <c r="AM24" s="59" t="s">
        <v>63</v>
      </c>
      <c r="AN24" s="59" t="s">
        <v>62</v>
      </c>
    </row>
    <row r="25" spans="1:41">
      <c r="A25" s="167">
        <v>19</v>
      </c>
      <c r="B25" s="59" t="s">
        <v>160</v>
      </c>
      <c r="C25" s="66">
        <f>IF(C24&lt;0,0,C24*0.25)</f>
        <v>328695.6060137453</v>
      </c>
      <c r="D25" s="66">
        <f t="shared" ref="D25:K25" si="20">IF(D24&lt;0,0,D24*0.25)</f>
        <v>88578.67491408925</v>
      </c>
      <c r="E25" s="66">
        <f t="shared" si="20"/>
        <v>354314.699656357</v>
      </c>
      <c r="F25" s="66">
        <f t="shared" si="20"/>
        <v>170820.80584192462</v>
      </c>
      <c r="G25" s="66">
        <f t="shared" si="20"/>
        <v>29009.444948453573</v>
      </c>
      <c r="H25" s="66">
        <f t="shared" si="20"/>
        <v>40734.669965635738</v>
      </c>
      <c r="I25" s="66">
        <f t="shared" si="20"/>
        <v>42232.406185566964</v>
      </c>
      <c r="J25" s="66">
        <f t="shared" si="20"/>
        <v>451730.37457044679</v>
      </c>
      <c r="K25" s="66">
        <f t="shared" si="20"/>
        <v>173227.37457044673</v>
      </c>
      <c r="L25" s="66">
        <f t="shared" ref="L25" si="21">IF(L24&lt;0,0,L24*0.25)</f>
        <v>1679344.0566666666</v>
      </c>
      <c r="M25" s="184">
        <f>L24-L25</f>
        <v>5038032.17</v>
      </c>
      <c r="N25" s="74"/>
      <c r="O25" s="74"/>
      <c r="W25" s="59" t="s">
        <v>64</v>
      </c>
      <c r="AM25" s="59" t="s">
        <v>65</v>
      </c>
      <c r="AN25" s="59" t="s">
        <v>64</v>
      </c>
    </row>
    <row r="26" spans="1:41">
      <c r="A26" s="167">
        <v>20</v>
      </c>
      <c r="B26" s="59" t="s">
        <v>66</v>
      </c>
      <c r="C26" s="66">
        <f t="shared" ref="C26:K26" si="22">C24-C25</f>
        <v>986086.81804123591</v>
      </c>
      <c r="D26" s="66">
        <f t="shared" si="22"/>
        <v>265736.02474226773</v>
      </c>
      <c r="E26" s="66">
        <f t="shared" si="22"/>
        <v>1062944.0989690709</v>
      </c>
      <c r="F26" s="66">
        <f t="shared" si="22"/>
        <v>512462.41752577387</v>
      </c>
      <c r="G26" s="66">
        <f t="shared" si="22"/>
        <v>87028.334845360718</v>
      </c>
      <c r="H26" s="66">
        <f t="shared" si="22"/>
        <v>122204.00989690721</v>
      </c>
      <c r="I26" s="66">
        <f t="shared" si="22"/>
        <v>126697.21855670089</v>
      </c>
      <c r="J26" s="66">
        <f t="shared" si="22"/>
        <v>1355191.1237113404</v>
      </c>
      <c r="K26" s="66">
        <f t="shared" si="22"/>
        <v>519682.12371134019</v>
      </c>
      <c r="L26" s="61">
        <f>+SUM(C26:K26)</f>
        <v>5038032.1699999971</v>
      </c>
      <c r="M26" s="74"/>
      <c r="N26" s="74"/>
      <c r="O26" s="74"/>
      <c r="W26" s="59" t="s">
        <v>66</v>
      </c>
      <c r="AM26" s="59" t="s">
        <v>67</v>
      </c>
      <c r="AN26" s="59" t="s">
        <v>66</v>
      </c>
    </row>
    <row r="27" spans="1:41">
      <c r="A27" s="167">
        <v>21</v>
      </c>
      <c r="B27" s="59" t="s">
        <v>70</v>
      </c>
      <c r="C27" s="68">
        <f t="shared" ref="C27:L27" si="23">C26/C7</f>
        <v>6.3129757877159784E-2</v>
      </c>
      <c r="D27" s="68">
        <f t="shared" si="23"/>
        <v>6.2087856248193393E-2</v>
      </c>
      <c r="E27" s="68">
        <f t="shared" si="23"/>
        <v>6.2087856248193393E-2</v>
      </c>
      <c r="F27" s="68">
        <f t="shared" si="23"/>
        <v>5.6782539338035884E-2</v>
      </c>
      <c r="G27" s="68">
        <f t="shared" si="23"/>
        <v>5.896228648059669E-2</v>
      </c>
      <c r="H27" s="68">
        <f t="shared" si="23"/>
        <v>6.2604513266858203E-2</v>
      </c>
      <c r="I27" s="68">
        <f t="shared" si="23"/>
        <v>5.9904122249031154E-2</v>
      </c>
      <c r="J27" s="68">
        <f t="shared" si="23"/>
        <v>6.2164730445474325E-2</v>
      </c>
      <c r="K27" s="68">
        <f t="shared" si="23"/>
        <v>5.6487187359928283E-2</v>
      </c>
      <c r="L27" s="68">
        <f t="shared" si="23"/>
        <v>6.1001987819053582E-2</v>
      </c>
      <c r="M27" s="74"/>
      <c r="N27" s="74"/>
      <c r="O27" s="74"/>
      <c r="W27" s="59" t="s">
        <v>70</v>
      </c>
      <c r="AM27" s="59" t="s">
        <v>69</v>
      </c>
      <c r="AN27" s="59" t="s">
        <v>70</v>
      </c>
    </row>
    <row r="28" spans="1:41">
      <c r="M28" s="74"/>
      <c r="N28" s="74"/>
      <c r="O28" s="74"/>
      <c r="W28" s="59"/>
    </row>
    <row r="29" spans="1:41">
      <c r="A29" s="55" t="s">
        <v>71</v>
      </c>
      <c r="L29" s="56" t="s">
        <v>161</v>
      </c>
      <c r="M29" s="74"/>
      <c r="N29" s="74"/>
      <c r="O29" s="74"/>
      <c r="W29" s="59"/>
      <c r="AM29" s="55" t="s">
        <v>71</v>
      </c>
    </row>
    <row r="30" spans="1:41">
      <c r="A30" s="59" t="s">
        <v>76</v>
      </c>
      <c r="B30" s="62" t="s">
        <v>77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4"/>
      <c r="N30" s="74"/>
      <c r="O30" s="74"/>
      <c r="Q30" s="74"/>
      <c r="W30" s="62" t="s">
        <v>77</v>
      </c>
      <c r="AM30" s="59" t="s">
        <v>78</v>
      </c>
      <c r="AN30" s="62" t="s">
        <v>77</v>
      </c>
    </row>
    <row r="31" spans="1:41">
      <c r="A31" s="167">
        <v>1</v>
      </c>
      <c r="B31" s="64" t="s">
        <v>79</v>
      </c>
      <c r="C31" s="70">
        <f>销量!C8</f>
        <v>2840</v>
      </c>
      <c r="D31" s="70">
        <f>销量!D8</f>
        <v>2140</v>
      </c>
      <c r="E31" s="70">
        <f>销量!E8</f>
        <v>2140</v>
      </c>
      <c r="F31" s="70">
        <f>销量!F8</f>
        <v>950</v>
      </c>
      <c r="G31" s="70">
        <f>销量!G8</f>
        <v>1230</v>
      </c>
      <c r="H31" s="70">
        <f>销量!H8</f>
        <v>2440</v>
      </c>
      <c r="I31" s="70">
        <f>销量!I8</f>
        <v>1410</v>
      </c>
      <c r="J31" s="70">
        <f>销量!J8</f>
        <v>2180</v>
      </c>
      <c r="K31" s="70">
        <f>销量!K8</f>
        <v>920</v>
      </c>
      <c r="L31" s="66"/>
      <c r="M31" s="74"/>
      <c r="N31" s="74"/>
      <c r="O31" s="74"/>
      <c r="Q31" s="74"/>
      <c r="W31" s="59" t="s">
        <v>79</v>
      </c>
      <c r="AM31" s="59" t="s">
        <v>29</v>
      </c>
      <c r="AN31" s="59" t="s">
        <v>79</v>
      </c>
    </row>
    <row r="32" spans="1:41">
      <c r="A32" s="167">
        <v>2</v>
      </c>
      <c r="B32" s="59" t="s">
        <v>162</v>
      </c>
      <c r="C32" s="61">
        <f>C9/C6</f>
        <v>2727.5359999999996</v>
      </c>
      <c r="D32" s="61">
        <f t="shared" ref="D32:K32" si="24">D9/D6</f>
        <v>2055.2559999999999</v>
      </c>
      <c r="E32" s="61">
        <f t="shared" si="24"/>
        <v>2055.2559999999999</v>
      </c>
      <c r="F32" s="61">
        <f t="shared" si="24"/>
        <v>912.38</v>
      </c>
      <c r="G32" s="61">
        <f t="shared" si="24"/>
        <v>1181.2919999999999</v>
      </c>
      <c r="H32" s="61">
        <f t="shared" si="24"/>
        <v>2343.3759999999997</v>
      </c>
      <c r="I32" s="61">
        <f t="shared" si="24"/>
        <v>1354.1639999999998</v>
      </c>
      <c r="J32" s="61">
        <f t="shared" si="24"/>
        <v>2093.672</v>
      </c>
      <c r="K32" s="61">
        <f t="shared" si="24"/>
        <v>883.56799999999998</v>
      </c>
      <c r="L32" s="66"/>
      <c r="M32" s="74"/>
      <c r="N32" s="74"/>
      <c r="O32" s="74"/>
      <c r="P32" s="74"/>
      <c r="Q32" s="74"/>
      <c r="R32" s="74"/>
      <c r="S32" s="74"/>
      <c r="AM32" s="59"/>
      <c r="AN32" s="59"/>
    </row>
    <row r="33" spans="1:40">
      <c r="A33" s="167">
        <v>3</v>
      </c>
      <c r="B33" s="64" t="s">
        <v>80</v>
      </c>
      <c r="C33" s="61">
        <f>材料成本!J39</f>
        <v>1909.2751999999998</v>
      </c>
      <c r="D33" s="61">
        <f>材料成本!J40</f>
        <v>1438.6792</v>
      </c>
      <c r="E33" s="61">
        <f>材料成本!J41</f>
        <v>1438.6792</v>
      </c>
      <c r="F33" s="61">
        <f>材料成本!J42</f>
        <v>638.66599999999994</v>
      </c>
      <c r="G33" s="61">
        <f>材料成本!J43</f>
        <v>826.90440000000001</v>
      </c>
      <c r="H33" s="61">
        <f>材料成本!J44</f>
        <v>1640.3631999999998</v>
      </c>
      <c r="I33" s="61">
        <f>材料成本!J45</f>
        <v>947.9147999999999</v>
      </c>
      <c r="J33" s="61">
        <f>材料成本!J46</f>
        <v>1465.5704000000001</v>
      </c>
      <c r="K33" s="61">
        <f>材料成本!J47</f>
        <v>618.49760000000003</v>
      </c>
      <c r="L33" s="66"/>
      <c r="N33" s="74"/>
      <c r="O33" s="74"/>
      <c r="P33" s="74"/>
      <c r="Q33" s="74"/>
      <c r="R33" s="74"/>
      <c r="S33" s="74"/>
      <c r="W33" s="59" t="s">
        <v>80</v>
      </c>
      <c r="AM33" s="59" t="s">
        <v>31</v>
      </c>
      <c r="AN33" s="59" t="s">
        <v>80</v>
      </c>
    </row>
    <row r="34" spans="1:40" ht="17.25" customHeight="1">
      <c r="A34" s="167">
        <v>4</v>
      </c>
      <c r="B34" s="59" t="s">
        <v>82</v>
      </c>
      <c r="C34" s="71">
        <f>C32-C33</f>
        <v>818.26079999999979</v>
      </c>
      <c r="D34" s="71">
        <f t="shared" ref="D34:K34" si="25">D32-D33</f>
        <v>616.57679999999982</v>
      </c>
      <c r="E34" s="71">
        <f t="shared" si="25"/>
        <v>616.57679999999982</v>
      </c>
      <c r="F34" s="71">
        <f t="shared" si="25"/>
        <v>273.71400000000006</v>
      </c>
      <c r="G34" s="71">
        <f t="shared" si="25"/>
        <v>354.38759999999991</v>
      </c>
      <c r="H34" s="71">
        <f t="shared" si="25"/>
        <v>703.01279999999997</v>
      </c>
      <c r="I34" s="71">
        <f t="shared" si="25"/>
        <v>406.24919999999986</v>
      </c>
      <c r="J34" s="71">
        <f t="shared" si="25"/>
        <v>628.10159999999996</v>
      </c>
      <c r="K34" s="71">
        <f t="shared" si="25"/>
        <v>265.07039999999995</v>
      </c>
      <c r="L34" s="66"/>
      <c r="N34" s="74"/>
      <c r="O34" s="74"/>
      <c r="P34" s="74"/>
      <c r="Q34" s="74"/>
      <c r="R34" s="74"/>
      <c r="S34" s="74"/>
      <c r="W34" s="59" t="s">
        <v>82</v>
      </c>
      <c r="AM34" s="59" t="s">
        <v>81</v>
      </c>
      <c r="AN34" s="59" t="s">
        <v>82</v>
      </c>
    </row>
    <row r="35" spans="1:40">
      <c r="A35" s="59" t="s">
        <v>78</v>
      </c>
      <c r="B35" s="62" t="s">
        <v>10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2" t="s">
        <v>10</v>
      </c>
      <c r="AM35" s="59" t="s">
        <v>84</v>
      </c>
      <c r="AN35" s="62" t="s">
        <v>10</v>
      </c>
    </row>
    <row r="36" spans="1:40">
      <c r="A36" s="167">
        <v>1</v>
      </c>
      <c r="B36" s="59" t="s">
        <v>85</v>
      </c>
      <c r="C36" s="65">
        <v>122.404</v>
      </c>
      <c r="D36" s="65">
        <v>92.23</v>
      </c>
      <c r="E36" s="65">
        <v>92.23</v>
      </c>
      <c r="F36" s="65">
        <v>40.950000000000003</v>
      </c>
      <c r="G36" s="65">
        <v>53.01</v>
      </c>
      <c r="H36" s="65">
        <v>105.16</v>
      </c>
      <c r="I36" s="65">
        <v>60.77</v>
      </c>
      <c r="J36" s="65">
        <v>93.96</v>
      </c>
      <c r="K36" s="65">
        <v>39.65</v>
      </c>
      <c r="L36" s="70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9" t="s">
        <v>85</v>
      </c>
      <c r="AM36" s="59" t="s">
        <v>81</v>
      </c>
      <c r="AN36" s="59" t="s">
        <v>85</v>
      </c>
    </row>
    <row r="37" spans="1:40">
      <c r="A37" s="167">
        <v>2</v>
      </c>
      <c r="B37" s="59" t="s">
        <v>86</v>
      </c>
      <c r="C37" s="65">
        <v>61.628</v>
      </c>
      <c r="D37" s="65">
        <v>46.44</v>
      </c>
      <c r="E37" s="65">
        <v>46.44</v>
      </c>
      <c r="F37" s="65">
        <v>20.62</v>
      </c>
      <c r="G37" s="65">
        <v>26.69</v>
      </c>
      <c r="H37" s="65">
        <v>52.95</v>
      </c>
      <c r="I37" s="65">
        <v>30.6</v>
      </c>
      <c r="J37" s="65">
        <v>47.31</v>
      </c>
      <c r="K37" s="65">
        <v>19.96</v>
      </c>
      <c r="L37" s="70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59" t="s">
        <v>86</v>
      </c>
      <c r="AM37" s="59" t="s">
        <v>34</v>
      </c>
      <c r="AN37" s="59" t="s">
        <v>86</v>
      </c>
    </row>
    <row r="38" spans="1:40">
      <c r="A38" s="167">
        <v>3</v>
      </c>
      <c r="B38" s="59" t="s">
        <v>87</v>
      </c>
      <c r="C38" s="65">
        <v>90.88</v>
      </c>
      <c r="D38" s="65">
        <v>68.48</v>
      </c>
      <c r="E38" s="65">
        <v>68.48</v>
      </c>
      <c r="F38" s="65">
        <v>30.4</v>
      </c>
      <c r="G38" s="65">
        <v>39.36</v>
      </c>
      <c r="H38" s="65">
        <v>12.93</v>
      </c>
      <c r="I38" s="65">
        <v>45.12</v>
      </c>
      <c r="J38" s="65">
        <v>69.760000000000005</v>
      </c>
      <c r="K38" s="65">
        <v>29.44</v>
      </c>
      <c r="L38" s="70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9" t="s">
        <v>87</v>
      </c>
      <c r="AM38" s="59" t="s">
        <v>40</v>
      </c>
      <c r="AN38" s="59" t="s">
        <v>87</v>
      </c>
    </row>
    <row r="39" spans="1:40">
      <c r="A39" s="59" t="s">
        <v>84</v>
      </c>
      <c r="B39" s="62" t="s">
        <v>89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W39" s="62" t="s">
        <v>89</v>
      </c>
      <c r="AM39" s="59" t="s">
        <v>88</v>
      </c>
      <c r="AN39" s="62" t="s">
        <v>89</v>
      </c>
    </row>
    <row r="40" spans="1:40">
      <c r="A40" s="167">
        <v>1</v>
      </c>
      <c r="B40" s="59" t="s">
        <v>91</v>
      </c>
      <c r="C40" s="66">
        <f>C34-C36-C37-C38</f>
        <v>543.34879999999976</v>
      </c>
      <c r="D40" s="66">
        <f t="shared" ref="D40:K40" si="26">D34-D36-D37-D38</f>
        <v>409.42679999999979</v>
      </c>
      <c r="E40" s="66">
        <f t="shared" si="26"/>
        <v>409.42679999999979</v>
      </c>
      <c r="F40" s="66">
        <f t="shared" si="26"/>
        <v>181.74400000000006</v>
      </c>
      <c r="G40" s="66">
        <f t="shared" si="26"/>
        <v>235.3275999999999</v>
      </c>
      <c r="H40" s="66">
        <f t="shared" si="26"/>
        <v>531.97280000000001</v>
      </c>
      <c r="I40" s="66">
        <f t="shared" si="26"/>
        <v>269.75919999999985</v>
      </c>
      <c r="J40" s="66">
        <f t="shared" si="26"/>
        <v>417.07159999999993</v>
      </c>
      <c r="K40" s="66">
        <f t="shared" si="26"/>
        <v>176.02039999999994</v>
      </c>
      <c r="L40" s="66"/>
      <c r="W40" s="59" t="s">
        <v>91</v>
      </c>
      <c r="AM40" s="59" t="s">
        <v>29</v>
      </c>
      <c r="AN40" s="59" t="s">
        <v>91</v>
      </c>
    </row>
    <row r="41" spans="1:40">
      <c r="A41" s="167">
        <v>2</v>
      </c>
      <c r="B41" s="59" t="s">
        <v>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W41" s="59" t="s">
        <v>92</v>
      </c>
      <c r="AM41" s="59" t="s">
        <v>31</v>
      </c>
      <c r="AN41" s="59" t="s">
        <v>92</v>
      </c>
    </row>
    <row r="42" spans="1:40">
      <c r="A42" s="59" t="s">
        <v>88</v>
      </c>
      <c r="B42" s="62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W42" s="62" t="s">
        <v>94</v>
      </c>
      <c r="AM42" s="59" t="s">
        <v>93</v>
      </c>
      <c r="AN42" s="62" t="s">
        <v>94</v>
      </c>
    </row>
    <row r="43" spans="1:40">
      <c r="A43" s="167">
        <v>1</v>
      </c>
      <c r="B43" s="67" t="s">
        <v>95</v>
      </c>
      <c r="C43" s="65">
        <v>114.73599999999999</v>
      </c>
      <c r="D43" s="65">
        <v>86.46</v>
      </c>
      <c r="E43" s="65">
        <v>86.46</v>
      </c>
      <c r="F43" s="65">
        <v>38.380000000000003</v>
      </c>
      <c r="G43" s="65">
        <v>49.69</v>
      </c>
      <c r="H43" s="65">
        <v>98.58</v>
      </c>
      <c r="I43" s="65">
        <v>56.96</v>
      </c>
      <c r="J43" s="65">
        <v>88.07</v>
      </c>
      <c r="K43" s="65">
        <v>37.17</v>
      </c>
      <c r="L43" s="66"/>
      <c r="W43" s="59" t="s">
        <v>95</v>
      </c>
      <c r="AM43" s="59" t="s">
        <v>29</v>
      </c>
      <c r="AN43" s="59" t="s">
        <v>95</v>
      </c>
    </row>
    <row r="44" spans="1:40">
      <c r="A44" s="167">
        <v>2</v>
      </c>
      <c r="B44" s="67" t="s">
        <v>96</v>
      </c>
      <c r="C44" s="65">
        <v>15.052</v>
      </c>
      <c r="D44" s="65">
        <v>11.34</v>
      </c>
      <c r="E44" s="65">
        <v>11.34</v>
      </c>
      <c r="F44" s="65">
        <v>5.04</v>
      </c>
      <c r="G44" s="65">
        <v>6.52</v>
      </c>
      <c r="H44" s="65">
        <v>78.08</v>
      </c>
      <c r="I44" s="65">
        <v>7.47</v>
      </c>
      <c r="J44" s="65">
        <v>11.55</v>
      </c>
      <c r="K44" s="65">
        <v>4.88</v>
      </c>
      <c r="L44" s="66"/>
      <c r="W44" s="59" t="s">
        <v>96</v>
      </c>
      <c r="AM44" s="59" t="s">
        <v>31</v>
      </c>
      <c r="AN44" s="59" t="s">
        <v>96</v>
      </c>
    </row>
    <row r="45" spans="1:40">
      <c r="A45" s="167">
        <v>3</v>
      </c>
      <c r="B45" s="67" t="s">
        <v>97</v>
      </c>
      <c r="C45" s="65">
        <v>77.25</v>
      </c>
      <c r="D45" s="65">
        <v>58.21</v>
      </c>
      <c r="E45" s="65">
        <v>58.21</v>
      </c>
      <c r="F45" s="65">
        <v>25.84</v>
      </c>
      <c r="G45" s="65">
        <v>33.46</v>
      </c>
      <c r="H45" s="65">
        <v>66.38</v>
      </c>
      <c r="I45" s="65">
        <v>38.35</v>
      </c>
      <c r="J45" s="65">
        <v>59.3</v>
      </c>
      <c r="K45" s="65">
        <v>25.02</v>
      </c>
      <c r="L45" s="66"/>
      <c r="W45" s="59" t="s">
        <v>97</v>
      </c>
      <c r="AM45" s="59" t="s">
        <v>81</v>
      </c>
      <c r="AN45" s="59" t="s">
        <v>97</v>
      </c>
    </row>
    <row r="46" spans="1:40" s="54" customFormat="1">
      <c r="A46" s="167">
        <v>4</v>
      </c>
      <c r="B46" s="67" t="s">
        <v>98</v>
      </c>
      <c r="C46" s="72">
        <f>C21/C6</f>
        <v>2.6116838487972509</v>
      </c>
      <c r="D46" s="72">
        <f t="shared" ref="D46:K46" si="27">D21/D6</f>
        <v>2.6116838487972509</v>
      </c>
      <c r="E46" s="72">
        <f t="shared" si="27"/>
        <v>2.6116838487972509</v>
      </c>
      <c r="F46" s="72">
        <f t="shared" si="27"/>
        <v>2.6116838487972509</v>
      </c>
      <c r="G46" s="72">
        <f t="shared" si="27"/>
        <v>2.6116838487972509</v>
      </c>
      <c r="H46" s="72">
        <f t="shared" si="27"/>
        <v>2.6116838487972505</v>
      </c>
      <c r="I46" s="72">
        <f t="shared" si="27"/>
        <v>2.6116838487972509</v>
      </c>
      <c r="J46" s="72">
        <f t="shared" si="27"/>
        <v>2.6116838487972509</v>
      </c>
      <c r="K46" s="72">
        <f t="shared" si="27"/>
        <v>2.6116838487972509</v>
      </c>
      <c r="L46" s="72"/>
      <c r="W46" s="67" t="s">
        <v>100</v>
      </c>
      <c r="AM46" s="67" t="s">
        <v>37</v>
      </c>
      <c r="AN46" s="67" t="s">
        <v>100</v>
      </c>
    </row>
    <row r="47" spans="1:40" s="54" customFormat="1">
      <c r="A47" s="167">
        <v>5</v>
      </c>
      <c r="B47" s="67" t="s">
        <v>100</v>
      </c>
      <c r="C47" s="72">
        <v>85.2</v>
      </c>
      <c r="D47" s="72">
        <v>64.2</v>
      </c>
      <c r="E47" s="72">
        <v>64.2</v>
      </c>
      <c r="F47" s="72">
        <v>28.5</v>
      </c>
      <c r="G47" s="72">
        <v>36.9</v>
      </c>
      <c r="H47" s="72">
        <v>73.2</v>
      </c>
      <c r="I47" s="72">
        <v>42.3</v>
      </c>
      <c r="J47" s="72">
        <v>65.400000000000006</v>
      </c>
      <c r="K47" s="72">
        <v>27.6</v>
      </c>
      <c r="L47" s="72"/>
      <c r="W47" s="67" t="s">
        <v>100</v>
      </c>
      <c r="AM47" s="67" t="s">
        <v>37</v>
      </c>
      <c r="AN47" s="67" t="s">
        <v>100</v>
      </c>
    </row>
    <row r="48" spans="1:40">
      <c r="A48" s="59" t="s">
        <v>93</v>
      </c>
      <c r="B48" s="62" t="s">
        <v>111</v>
      </c>
      <c r="C48" s="66">
        <f>C40-C43-C44-C45-C47-C46</f>
        <v>248.49911615120251</v>
      </c>
      <c r="D48" s="66">
        <f t="shared" ref="D48:K48" si="28">D40-D43-D44-D45-D47-D46</f>
        <v>186.60511615120257</v>
      </c>
      <c r="E48" s="66">
        <f t="shared" si="28"/>
        <v>186.60511615120257</v>
      </c>
      <c r="F48" s="66">
        <f t="shared" si="28"/>
        <v>81.37231615120281</v>
      </c>
      <c r="G48" s="66">
        <f t="shared" si="28"/>
        <v>106.14591615120263</v>
      </c>
      <c r="H48" s="66">
        <f t="shared" si="28"/>
        <v>213.12111615120281</v>
      </c>
      <c r="I48" s="66">
        <f t="shared" si="28"/>
        <v>122.0675161512026</v>
      </c>
      <c r="J48" s="66">
        <f t="shared" si="28"/>
        <v>190.13991615120267</v>
      </c>
      <c r="K48" s="66">
        <f t="shared" si="28"/>
        <v>78.738716151202667</v>
      </c>
      <c r="L48" s="66"/>
      <c r="W48" s="62" t="s">
        <v>111</v>
      </c>
      <c r="AM48" s="59" t="s">
        <v>110</v>
      </c>
      <c r="AN48" s="62" t="s">
        <v>111</v>
      </c>
    </row>
    <row r="51" spans="2:17">
      <c r="C51" s="73"/>
      <c r="D51" s="73"/>
      <c r="E51" s="73"/>
      <c r="F51" s="73"/>
      <c r="G51" s="73"/>
      <c r="H51" s="73"/>
      <c r="I51" s="73"/>
      <c r="J51" s="73"/>
      <c r="K51" s="73"/>
    </row>
    <row r="54" spans="2:17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4"/>
      <c r="N54" s="74"/>
      <c r="O54" s="74"/>
      <c r="P54" s="74"/>
      <c r="Q54" s="74"/>
    </row>
    <row r="55" spans="2:17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4"/>
      <c r="N55" s="74"/>
      <c r="O55" s="74"/>
      <c r="P55" s="74"/>
      <c r="Q55" s="74"/>
    </row>
    <row r="56" spans="2:17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4"/>
      <c r="N56" s="74"/>
      <c r="O56" s="74"/>
      <c r="P56" s="74"/>
      <c r="Q56" s="74"/>
    </row>
    <row r="57" spans="2:17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4"/>
      <c r="N57" s="74"/>
      <c r="O57" s="74"/>
      <c r="P57" s="74"/>
      <c r="Q57" s="74"/>
    </row>
    <row r="58" spans="2:17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4"/>
      <c r="N58" s="74"/>
      <c r="O58" s="74"/>
      <c r="P58" s="74"/>
      <c r="Q58" s="74"/>
    </row>
    <row r="59" spans="2:17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4"/>
      <c r="N59" s="74"/>
      <c r="O59" s="74"/>
      <c r="P59" s="74"/>
      <c r="Q59" s="74"/>
    </row>
    <row r="60" spans="2:17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4"/>
      <c r="N60" s="74"/>
      <c r="O60" s="74"/>
      <c r="P60" s="74"/>
      <c r="Q60" s="74"/>
    </row>
    <row r="61" spans="2:17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4"/>
      <c r="N61" s="74"/>
      <c r="O61" s="74"/>
      <c r="P61" s="74"/>
      <c r="Q61" s="74"/>
    </row>
    <row r="62" spans="2:17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4"/>
      <c r="N62" s="74"/>
      <c r="O62" s="74"/>
      <c r="P62" s="74"/>
      <c r="Q62" s="74"/>
    </row>
    <row r="63" spans="2:17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4"/>
      <c r="N63" s="74"/>
      <c r="O63" s="74"/>
      <c r="P63" s="74"/>
      <c r="Q63" s="74"/>
    </row>
    <row r="64" spans="2:17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4"/>
      <c r="N64" s="74"/>
      <c r="O64" s="74"/>
      <c r="P64" s="74"/>
      <c r="Q64" s="74"/>
    </row>
    <row r="65" spans="2:17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</row>
    <row r="66" spans="2:17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</row>
    <row r="67" spans="2:17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4"/>
    </row>
    <row r="68" spans="2:17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2:17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4"/>
    </row>
    <row r="70" spans="2:17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4"/>
    </row>
    <row r="71" spans="2:17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4"/>
    </row>
    <row r="72" spans="2:17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4"/>
    </row>
    <row r="73" spans="2:17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4"/>
    </row>
    <row r="74" spans="2:17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32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55" customWidth="1"/>
    <col min="2" max="2" width="17.5" style="55" customWidth="1"/>
    <col min="3" max="7" width="13.25" style="56" customWidth="1"/>
    <col min="8" max="11" width="15.5" style="56" customWidth="1"/>
    <col min="12" max="12" width="18.75" style="56" customWidth="1"/>
    <col min="13" max="13" width="12.375" style="55" customWidth="1"/>
    <col min="14" max="14" width="10.125" style="55" customWidth="1"/>
    <col min="15" max="21" width="9" style="55" customWidth="1"/>
    <col min="22" max="38" width="9" style="55"/>
    <col min="39" max="39" width="4.375" style="55" customWidth="1"/>
    <col min="40" max="40" width="13.875" style="55" customWidth="1"/>
    <col min="41" max="16384" width="9" style="55"/>
  </cols>
  <sheetData>
    <row r="1" spans="1:41">
      <c r="A1" s="193" t="s">
        <v>151</v>
      </c>
      <c r="B1" s="193"/>
      <c r="C1" s="197" t="s">
        <v>295</v>
      </c>
      <c r="D1" s="198"/>
      <c r="E1" s="198"/>
      <c r="F1" s="198"/>
      <c r="G1" s="198"/>
      <c r="H1" s="198"/>
      <c r="I1" s="198"/>
      <c r="J1" s="198"/>
      <c r="K1" s="198"/>
      <c r="L1" s="199"/>
    </row>
    <row r="2" spans="1:41">
      <c r="A2" s="193" t="s">
        <v>153</v>
      </c>
      <c r="B2" s="193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41">
      <c r="A3" s="193" t="s">
        <v>154</v>
      </c>
      <c r="B3" s="193"/>
      <c r="C3" s="177" t="s">
        <v>273</v>
      </c>
      <c r="D3" s="178" t="s">
        <v>274</v>
      </c>
      <c r="E3" s="177" t="s">
        <v>275</v>
      </c>
      <c r="F3" s="177" t="s">
        <v>276</v>
      </c>
      <c r="G3" s="177" t="s">
        <v>277</v>
      </c>
      <c r="H3" s="177" t="s">
        <v>278</v>
      </c>
      <c r="I3" s="177" t="s">
        <v>279</v>
      </c>
      <c r="J3" s="177" t="s">
        <v>280</v>
      </c>
      <c r="K3" s="177" t="s">
        <v>281</v>
      </c>
      <c r="L3" s="194" t="s">
        <v>25</v>
      </c>
    </row>
    <row r="4" spans="1:41">
      <c r="A4" s="193" t="s">
        <v>155</v>
      </c>
      <c r="B4" s="193"/>
      <c r="C4" s="177" t="s">
        <v>282</v>
      </c>
      <c r="D4" s="178" t="s">
        <v>283</v>
      </c>
      <c r="E4" s="177" t="s">
        <v>284</v>
      </c>
      <c r="F4" s="177" t="s">
        <v>285</v>
      </c>
      <c r="G4" s="177" t="s">
        <v>286</v>
      </c>
      <c r="H4" s="177" t="s">
        <v>287</v>
      </c>
      <c r="I4" s="177" t="s">
        <v>288</v>
      </c>
      <c r="J4" s="177" t="s">
        <v>289</v>
      </c>
      <c r="K4" s="177" t="s">
        <v>290</v>
      </c>
      <c r="L4" s="195"/>
    </row>
    <row r="5" spans="1:41">
      <c r="A5" s="193" t="s">
        <v>156</v>
      </c>
      <c r="B5" s="193"/>
      <c r="C5" s="58"/>
      <c r="D5" s="58"/>
      <c r="E5" s="58"/>
      <c r="F5" s="58"/>
      <c r="G5" s="58"/>
      <c r="H5" s="58"/>
      <c r="I5" s="58"/>
      <c r="J5" s="58"/>
      <c r="K5" s="58"/>
      <c r="L5" s="196"/>
      <c r="AO5" s="55" t="s">
        <v>26</v>
      </c>
    </row>
    <row r="6" spans="1:41" ht="17.25">
      <c r="A6" s="59" t="s">
        <v>19</v>
      </c>
      <c r="B6" s="60" t="s">
        <v>157</v>
      </c>
      <c r="C6" s="27">
        <f>销量!C12</f>
        <v>0</v>
      </c>
      <c r="D6" s="27">
        <f>销量!D12</f>
        <v>0</v>
      </c>
      <c r="E6" s="27">
        <f>销量!E12</f>
        <v>0</v>
      </c>
      <c r="F6" s="27">
        <f>销量!F12</f>
        <v>0</v>
      </c>
      <c r="G6" s="27">
        <f>销量!G12</f>
        <v>0</v>
      </c>
      <c r="H6" s="27">
        <f>销量!H12</f>
        <v>0</v>
      </c>
      <c r="I6" s="27">
        <f>销量!I12</f>
        <v>0</v>
      </c>
      <c r="J6" s="27">
        <f>销量!J12</f>
        <v>0</v>
      </c>
      <c r="K6" s="27">
        <f>销量!K12</f>
        <v>0</v>
      </c>
      <c r="L6" s="61">
        <f t="shared" ref="L6:L15" si="0">+SUM(C6:K6)</f>
        <v>0</v>
      </c>
      <c r="W6" s="60" t="s">
        <v>3</v>
      </c>
      <c r="AM6" s="59" t="s">
        <v>19</v>
      </c>
      <c r="AN6" s="60" t="s">
        <v>3</v>
      </c>
      <c r="AO6" s="55" t="s">
        <v>27</v>
      </c>
    </row>
    <row r="7" spans="1:41">
      <c r="A7" s="167">
        <v>1</v>
      </c>
      <c r="B7" s="60" t="s">
        <v>28</v>
      </c>
      <c r="C7" s="61">
        <f>C6*销量!C8</f>
        <v>0</v>
      </c>
      <c r="D7" s="61"/>
      <c r="E7" s="61"/>
      <c r="F7" s="61"/>
      <c r="G7" s="61"/>
      <c r="H7" s="61">
        <f>H6*销量!D8</f>
        <v>0</v>
      </c>
      <c r="I7" s="61">
        <f>I6*销量!E8</f>
        <v>0</v>
      </c>
      <c r="J7" s="61">
        <f>J6*销量!J8</f>
        <v>0</v>
      </c>
      <c r="K7" s="61">
        <f>K6*销量!K8</f>
        <v>0</v>
      </c>
      <c r="L7" s="61">
        <f t="shared" si="0"/>
        <v>0</v>
      </c>
      <c r="M7" s="56"/>
      <c r="W7" s="60" t="s">
        <v>28</v>
      </c>
      <c r="AM7" s="59" t="s">
        <v>29</v>
      </c>
      <c r="AN7" s="60" t="s">
        <v>28</v>
      </c>
      <c r="AO7" s="55" t="s">
        <v>27</v>
      </c>
    </row>
    <row r="8" spans="1:41">
      <c r="A8" s="167">
        <v>2</v>
      </c>
      <c r="B8" s="167" t="s">
        <v>30</v>
      </c>
      <c r="C8" s="61">
        <f>C7*(1-销量!$P$9)</f>
        <v>0</v>
      </c>
      <c r="D8" s="61"/>
      <c r="E8" s="61"/>
      <c r="F8" s="61"/>
      <c r="G8" s="61"/>
      <c r="H8" s="61">
        <f>H7*(1-销量!$P$9)</f>
        <v>0</v>
      </c>
      <c r="I8" s="61"/>
      <c r="J8" s="61"/>
      <c r="K8" s="61"/>
      <c r="L8" s="61">
        <f t="shared" si="0"/>
        <v>0</v>
      </c>
      <c r="M8" s="76"/>
      <c r="W8" s="167" t="s">
        <v>32</v>
      </c>
      <c r="AM8" s="59" t="s">
        <v>31</v>
      </c>
      <c r="AN8" s="167" t="s">
        <v>32</v>
      </c>
      <c r="AO8" s="55" t="s">
        <v>27</v>
      </c>
    </row>
    <row r="9" spans="1:41">
      <c r="A9" s="167">
        <v>3</v>
      </c>
      <c r="B9" s="60" t="s">
        <v>33</v>
      </c>
      <c r="C9" s="61">
        <f>+C7-C8</f>
        <v>0</v>
      </c>
      <c r="D9" s="61"/>
      <c r="E9" s="61"/>
      <c r="F9" s="61"/>
      <c r="G9" s="61"/>
      <c r="H9" s="61">
        <f t="shared" ref="H9:K9" si="1">+H7-H8</f>
        <v>0</v>
      </c>
      <c r="I9" s="61">
        <f t="shared" si="1"/>
        <v>0</v>
      </c>
      <c r="J9" s="61">
        <f t="shared" si="1"/>
        <v>0</v>
      </c>
      <c r="K9" s="61">
        <f t="shared" si="1"/>
        <v>0</v>
      </c>
      <c r="L9" s="61">
        <f t="shared" si="0"/>
        <v>0</v>
      </c>
      <c r="W9" s="60" t="s">
        <v>33</v>
      </c>
      <c r="AM9" s="59" t="s">
        <v>34</v>
      </c>
      <c r="AN9" s="60" t="s">
        <v>33</v>
      </c>
      <c r="AO9" s="55" t="s">
        <v>35</v>
      </c>
    </row>
    <row r="10" spans="1:41">
      <c r="A10" s="167">
        <v>4</v>
      </c>
      <c r="B10" s="59" t="s">
        <v>36</v>
      </c>
      <c r="C10" s="61">
        <f>C6*C33</f>
        <v>0</v>
      </c>
      <c r="D10" s="61"/>
      <c r="E10" s="61"/>
      <c r="F10" s="61"/>
      <c r="G10" s="61"/>
      <c r="H10" s="61">
        <f>H6*材料成本!I33</f>
        <v>0</v>
      </c>
      <c r="I10" s="61">
        <f>I6*材料成本!J33</f>
        <v>0</v>
      </c>
      <c r="J10" s="61">
        <f>J6*材料成本!K33</f>
        <v>0</v>
      </c>
      <c r="K10" s="61">
        <f>K6*材料成本!L33</f>
        <v>0</v>
      </c>
      <c r="L10" s="61">
        <f t="shared" si="0"/>
        <v>0</v>
      </c>
      <c r="W10" s="59" t="s">
        <v>36</v>
      </c>
      <c r="AM10" s="59" t="s">
        <v>37</v>
      </c>
      <c r="AN10" s="59" t="s">
        <v>36</v>
      </c>
      <c r="AO10" s="55" t="s">
        <v>38</v>
      </c>
    </row>
    <row r="11" spans="1:41">
      <c r="A11" s="167">
        <v>5</v>
      </c>
      <c r="B11" s="59" t="s">
        <v>39</v>
      </c>
      <c r="C11" s="61">
        <f>+C6*C36</f>
        <v>0</v>
      </c>
      <c r="D11" s="61"/>
      <c r="E11" s="61"/>
      <c r="F11" s="61"/>
      <c r="G11" s="61"/>
      <c r="H11" s="61">
        <f>+H6*H36</f>
        <v>0</v>
      </c>
      <c r="I11" s="61">
        <f>+I6*I36</f>
        <v>0</v>
      </c>
      <c r="J11" s="61">
        <f>+J6*J36</f>
        <v>0</v>
      </c>
      <c r="K11" s="61">
        <f>+K6*K36</f>
        <v>0</v>
      </c>
      <c r="L11" s="61">
        <f t="shared" si="0"/>
        <v>0</v>
      </c>
      <c r="W11" s="59" t="s">
        <v>39</v>
      </c>
      <c r="AM11" s="59" t="s">
        <v>40</v>
      </c>
      <c r="AN11" s="59" t="s">
        <v>39</v>
      </c>
    </row>
    <row r="12" spans="1:41">
      <c r="A12" s="167">
        <v>6</v>
      </c>
      <c r="B12" s="59" t="s">
        <v>41</v>
      </c>
      <c r="C12" s="61">
        <f>+C6*C37</f>
        <v>0</v>
      </c>
      <c r="D12" s="61"/>
      <c r="E12" s="61"/>
      <c r="F12" s="61"/>
      <c r="G12" s="61"/>
      <c r="H12" s="61">
        <f>+H6*H37</f>
        <v>0</v>
      </c>
      <c r="I12" s="61">
        <f>+I6*I37</f>
        <v>0</v>
      </c>
      <c r="J12" s="61">
        <f>+J6*J37</f>
        <v>0</v>
      </c>
      <c r="K12" s="61">
        <f>+K6*K37</f>
        <v>0</v>
      </c>
      <c r="L12" s="61">
        <f t="shared" si="0"/>
        <v>0</v>
      </c>
      <c r="W12" s="59" t="s">
        <v>41</v>
      </c>
      <c r="AM12" s="59" t="s">
        <v>42</v>
      </c>
      <c r="AN12" s="59" t="s">
        <v>41</v>
      </c>
    </row>
    <row r="13" spans="1:41">
      <c r="A13" s="167">
        <v>7</v>
      </c>
      <c r="B13" s="59" t="s">
        <v>43</v>
      </c>
      <c r="C13" s="61">
        <f>+C6*C38</f>
        <v>0</v>
      </c>
      <c r="D13" s="61"/>
      <c r="E13" s="61"/>
      <c r="F13" s="61"/>
      <c r="G13" s="61"/>
      <c r="H13" s="61">
        <f t="shared" ref="H13:K13" si="2">+H6*H38</f>
        <v>0</v>
      </c>
      <c r="I13" s="61">
        <f t="shared" si="2"/>
        <v>0</v>
      </c>
      <c r="J13" s="61">
        <f t="shared" si="2"/>
        <v>0</v>
      </c>
      <c r="K13" s="61">
        <f t="shared" si="2"/>
        <v>0</v>
      </c>
      <c r="L13" s="61">
        <f t="shared" si="0"/>
        <v>0</v>
      </c>
      <c r="W13" s="59" t="s">
        <v>43</v>
      </c>
      <c r="AM13" s="59" t="s">
        <v>44</v>
      </c>
      <c r="AN13" s="59" t="s">
        <v>43</v>
      </c>
      <c r="AO13" s="55" t="s">
        <v>27</v>
      </c>
    </row>
    <row r="14" spans="1:41">
      <c r="A14" s="167">
        <v>8</v>
      </c>
      <c r="B14" s="62" t="s">
        <v>45</v>
      </c>
      <c r="C14" s="61">
        <f>SUM(C11:C13)</f>
        <v>0</v>
      </c>
      <c r="D14" s="61"/>
      <c r="E14" s="61"/>
      <c r="F14" s="61"/>
      <c r="G14" s="61"/>
      <c r="H14" s="61">
        <f t="shared" ref="H14:K14" si="3">SUM(H11:H13)</f>
        <v>0</v>
      </c>
      <c r="I14" s="61">
        <f t="shared" si="3"/>
        <v>0</v>
      </c>
      <c r="J14" s="61">
        <f t="shared" si="3"/>
        <v>0</v>
      </c>
      <c r="K14" s="61">
        <f t="shared" si="3"/>
        <v>0</v>
      </c>
      <c r="L14" s="61">
        <f t="shared" si="0"/>
        <v>0</v>
      </c>
      <c r="W14" s="62" t="s">
        <v>45</v>
      </c>
      <c r="AM14" s="59" t="s">
        <v>46</v>
      </c>
      <c r="AN14" s="62" t="s">
        <v>45</v>
      </c>
    </row>
    <row r="15" spans="1:41">
      <c r="A15" s="167">
        <v>9</v>
      </c>
      <c r="B15" s="62" t="s">
        <v>47</v>
      </c>
      <c r="C15" s="61">
        <f>+C9-C10-C14</f>
        <v>0</v>
      </c>
      <c r="D15" s="61"/>
      <c r="E15" s="61"/>
      <c r="F15" s="61"/>
      <c r="G15" s="61"/>
      <c r="H15" s="61">
        <f t="shared" ref="H15:K15" si="4">+H9-H10-H14</f>
        <v>0</v>
      </c>
      <c r="I15" s="61">
        <f t="shared" si="4"/>
        <v>0</v>
      </c>
      <c r="J15" s="61">
        <f t="shared" si="4"/>
        <v>0</v>
      </c>
      <c r="K15" s="61">
        <f t="shared" si="4"/>
        <v>0</v>
      </c>
      <c r="L15" s="61">
        <f t="shared" si="0"/>
        <v>0</v>
      </c>
      <c r="W15" s="62" t="s">
        <v>47</v>
      </c>
      <c r="AM15" s="59" t="s">
        <v>48</v>
      </c>
      <c r="AN15" s="62" t="s">
        <v>47</v>
      </c>
    </row>
    <row r="16" spans="1:41">
      <c r="A16" s="167">
        <v>10</v>
      </c>
      <c r="B16" s="59" t="s">
        <v>49</v>
      </c>
      <c r="C16" s="63" t="e">
        <f>+C15/C9</f>
        <v>#DIV/0!</v>
      </c>
      <c r="D16" s="63" t="e">
        <f t="shared" ref="D16:K16" si="5">+D15/D9</f>
        <v>#DIV/0!</v>
      </c>
      <c r="E16" s="63" t="e">
        <f t="shared" si="5"/>
        <v>#DIV/0!</v>
      </c>
      <c r="F16" s="63" t="e">
        <f t="shared" si="5"/>
        <v>#DIV/0!</v>
      </c>
      <c r="G16" s="63" t="e">
        <f t="shared" si="5"/>
        <v>#DIV/0!</v>
      </c>
      <c r="H16" s="63" t="e">
        <f t="shared" si="5"/>
        <v>#DIV/0!</v>
      </c>
      <c r="I16" s="63" t="e">
        <f t="shared" si="5"/>
        <v>#DIV/0!</v>
      </c>
      <c r="J16" s="63" t="e">
        <f t="shared" si="5"/>
        <v>#DIV/0!</v>
      </c>
      <c r="K16" s="63" t="e">
        <f t="shared" si="5"/>
        <v>#DIV/0!</v>
      </c>
      <c r="L16" s="63" t="e">
        <f t="shared" ref="L16" si="6">+L15/L9</f>
        <v>#DIV/0!</v>
      </c>
      <c r="W16" s="59" t="s">
        <v>49</v>
      </c>
      <c r="AM16" s="59" t="s">
        <v>50</v>
      </c>
      <c r="AN16" s="59" t="s">
        <v>49</v>
      </c>
    </row>
    <row r="17" spans="1:41">
      <c r="A17" s="167">
        <v>11</v>
      </c>
      <c r="B17" s="59" t="s">
        <v>51</v>
      </c>
      <c r="C17" s="61" t="e">
        <f>C6*C43+C18</f>
        <v>#DIV/0!</v>
      </c>
      <c r="D17" s="61">
        <f t="shared" ref="D17:K17" si="7">D6*D43+D18</f>
        <v>0</v>
      </c>
      <c r="E17" s="61">
        <f t="shared" si="7"/>
        <v>0</v>
      </c>
      <c r="F17" s="61">
        <f t="shared" si="7"/>
        <v>0</v>
      </c>
      <c r="G17" s="61">
        <f t="shared" si="7"/>
        <v>0</v>
      </c>
      <c r="H17" s="61" t="e">
        <f t="shared" si="7"/>
        <v>#DIV/0!</v>
      </c>
      <c r="I17" s="61" t="e">
        <f t="shared" si="7"/>
        <v>#DIV/0!</v>
      </c>
      <c r="J17" s="61" t="e">
        <f t="shared" si="7"/>
        <v>#DIV/0!</v>
      </c>
      <c r="K17" s="61" t="e">
        <f t="shared" si="7"/>
        <v>#DIV/0!</v>
      </c>
      <c r="L17" s="61" t="e">
        <f>SUM(C17:K17)</f>
        <v>#DIV/0!</v>
      </c>
      <c r="M17" s="76"/>
      <c r="W17" s="59" t="s">
        <v>51</v>
      </c>
      <c r="AM17" s="59" t="s">
        <v>52</v>
      </c>
      <c r="AN17" s="59" t="s">
        <v>51</v>
      </c>
    </row>
    <row r="18" spans="1:41" s="53" customFormat="1">
      <c r="A18" s="167">
        <v>12</v>
      </c>
      <c r="B18" s="64" t="s">
        <v>158</v>
      </c>
      <c r="C18" s="65" t="e">
        <f>$L$18/$L$6*C6</f>
        <v>#DIV/0!</v>
      </c>
      <c r="D18" s="65"/>
      <c r="E18" s="65"/>
      <c r="F18" s="65"/>
      <c r="G18" s="65"/>
      <c r="H18" s="65" t="e">
        <f>$L$18/$L$6*H6</f>
        <v>#DIV/0!</v>
      </c>
      <c r="I18" s="65" t="e">
        <f>$L$18/$L$6*I6</f>
        <v>#DIV/0!</v>
      </c>
      <c r="J18" s="65" t="e">
        <f>$L$18/$L$6*J6</f>
        <v>#DIV/0!</v>
      </c>
      <c r="K18" s="65" t="e">
        <f>$L$18/$L$6*K6</f>
        <v>#DIV/0!</v>
      </c>
      <c r="L18" s="65">
        <f>项目投资!G26</f>
        <v>0</v>
      </c>
      <c r="M18" s="77" t="s">
        <v>159</v>
      </c>
      <c r="N18" s="77"/>
      <c r="O18" s="77"/>
    </row>
    <row r="19" spans="1:41">
      <c r="A19" s="167">
        <v>13</v>
      </c>
      <c r="B19" s="59" t="s">
        <v>53</v>
      </c>
      <c r="C19" s="61">
        <f>C6*C44</f>
        <v>0</v>
      </c>
      <c r="D19" s="61"/>
      <c r="E19" s="61"/>
      <c r="F19" s="61"/>
      <c r="G19" s="61"/>
      <c r="H19" s="61">
        <f>H6*H44</f>
        <v>0</v>
      </c>
      <c r="I19" s="61">
        <f>I6*I44</f>
        <v>0</v>
      </c>
      <c r="J19" s="61">
        <f>J6*J44</f>
        <v>0</v>
      </c>
      <c r="K19" s="61">
        <f>K6*K44</f>
        <v>0</v>
      </c>
      <c r="L19" s="61">
        <f>SUM(C19:K19)</f>
        <v>0</v>
      </c>
      <c r="M19" s="53"/>
      <c r="W19" s="59" t="s">
        <v>53</v>
      </c>
      <c r="AM19" s="59" t="s">
        <v>54</v>
      </c>
      <c r="AN19" s="59" t="s">
        <v>53</v>
      </c>
      <c r="AO19" s="55" t="s">
        <v>27</v>
      </c>
    </row>
    <row r="20" spans="1:41">
      <c r="A20" s="167">
        <v>14</v>
      </c>
      <c r="B20" s="59" t="s">
        <v>55</v>
      </c>
      <c r="C20" s="61">
        <f>C6*C45</f>
        <v>0</v>
      </c>
      <c r="D20" s="61"/>
      <c r="E20" s="61"/>
      <c r="F20" s="61"/>
      <c r="G20" s="61"/>
      <c r="H20" s="61">
        <f>H6*H45</f>
        <v>0</v>
      </c>
      <c r="I20" s="61">
        <f>I6*I45</f>
        <v>0</v>
      </c>
      <c r="J20" s="61">
        <f>J6*J45</f>
        <v>0</v>
      </c>
      <c r="K20" s="61">
        <f>K6*K45</f>
        <v>0</v>
      </c>
      <c r="L20" s="61">
        <f>SUM(C20:K20)</f>
        <v>0</v>
      </c>
      <c r="W20" s="59" t="s">
        <v>55</v>
      </c>
      <c r="AM20" s="59" t="s">
        <v>56</v>
      </c>
      <c r="AN20" s="59" t="s">
        <v>55</v>
      </c>
    </row>
    <row r="21" spans="1:41">
      <c r="A21" s="167">
        <v>15</v>
      </c>
      <c r="B21" s="59" t="s">
        <v>57</v>
      </c>
      <c r="C21" s="66" t="e">
        <f>$L$21/$L$6*C6</f>
        <v>#DIV/0!</v>
      </c>
      <c r="D21" s="66"/>
      <c r="E21" s="66"/>
      <c r="F21" s="66"/>
      <c r="G21" s="66"/>
      <c r="H21" s="66" t="e">
        <f>$L$21/$L$6*H6</f>
        <v>#DIV/0!</v>
      </c>
      <c r="I21" s="66" t="e">
        <f>$L$21/$L$6*I6</f>
        <v>#DIV/0!</v>
      </c>
      <c r="J21" s="66" t="e">
        <f>$L$21/$L$6*J6</f>
        <v>#DIV/0!</v>
      </c>
      <c r="K21" s="66" t="e">
        <f>$L$21/$L$6*K6</f>
        <v>#DIV/0!</v>
      </c>
      <c r="L21" s="61">
        <f>项目投资!J27</f>
        <v>0</v>
      </c>
      <c r="W21" s="59" t="s">
        <v>57</v>
      </c>
      <c r="AM21" s="59"/>
      <c r="AN21" s="59"/>
    </row>
    <row r="22" spans="1:41">
      <c r="A22" s="167">
        <v>16</v>
      </c>
      <c r="B22" s="59" t="s">
        <v>58</v>
      </c>
      <c r="C22" s="61">
        <f>C6*C47</f>
        <v>0</v>
      </c>
      <c r="D22" s="61"/>
      <c r="E22" s="61"/>
      <c r="F22" s="61"/>
      <c r="G22" s="61"/>
      <c r="H22" s="61">
        <f>H6*H47</f>
        <v>0</v>
      </c>
      <c r="I22" s="61">
        <f>I6*I47</f>
        <v>0</v>
      </c>
      <c r="J22" s="61">
        <f>J6*J47</f>
        <v>0</v>
      </c>
      <c r="K22" s="61">
        <f>K6*K47</f>
        <v>0</v>
      </c>
      <c r="L22" s="61">
        <f>+SUM(C22:K22)</f>
        <v>0</v>
      </c>
      <c r="W22" s="59" t="s">
        <v>58</v>
      </c>
      <c r="AM22" s="59" t="s">
        <v>59</v>
      </c>
      <c r="AN22" s="59" t="s">
        <v>58</v>
      </c>
    </row>
    <row r="23" spans="1:41">
      <c r="A23" s="167">
        <v>17</v>
      </c>
      <c r="B23" s="62" t="s">
        <v>60</v>
      </c>
      <c r="C23" s="66" t="e">
        <f>+C22+C21+C20+C19+C17</f>
        <v>#DIV/0!</v>
      </c>
      <c r="D23" s="66"/>
      <c r="E23" s="66"/>
      <c r="F23" s="66"/>
      <c r="G23" s="66"/>
      <c r="H23" s="66" t="e">
        <f>+H22+H21+H20+H19+H17</f>
        <v>#DIV/0!</v>
      </c>
      <c r="I23" s="66" t="e">
        <f>+I22+I21+I20+I19+I17</f>
        <v>#DIV/0!</v>
      </c>
      <c r="J23" s="66" t="e">
        <f>+J22+J21+J20+J19+J17</f>
        <v>#DIV/0!</v>
      </c>
      <c r="K23" s="66" t="e">
        <f>+K22+K21+K20+K19+K17</f>
        <v>#DIV/0!</v>
      </c>
      <c r="L23" s="66" t="e">
        <f t="shared" ref="L23" si="8">+L22+L21+L20+L19+L17</f>
        <v>#DIV/0!</v>
      </c>
      <c r="W23" s="62" t="s">
        <v>60</v>
      </c>
      <c r="AM23" s="59" t="s">
        <v>61</v>
      </c>
      <c r="AN23" s="62" t="s">
        <v>60</v>
      </c>
    </row>
    <row r="24" spans="1:41">
      <c r="A24" s="167">
        <v>18</v>
      </c>
      <c r="B24" s="67" t="s">
        <v>62</v>
      </c>
      <c r="C24" s="66" t="e">
        <f>+C15-C23</f>
        <v>#DIV/0!</v>
      </c>
      <c r="D24" s="66"/>
      <c r="E24" s="66"/>
      <c r="F24" s="66"/>
      <c r="G24" s="66"/>
      <c r="H24" s="66" t="e">
        <f>+H15-H23</f>
        <v>#DIV/0!</v>
      </c>
      <c r="I24" s="66" t="e">
        <f>+I15-I23</f>
        <v>#DIV/0!</v>
      </c>
      <c r="J24" s="66" t="e">
        <f>+J15-J23</f>
        <v>#DIV/0!</v>
      </c>
      <c r="K24" s="66" t="e">
        <f>+K15-K23</f>
        <v>#DIV/0!</v>
      </c>
      <c r="L24" s="66" t="e">
        <f t="shared" ref="L24" si="9">+L15-L23</f>
        <v>#DIV/0!</v>
      </c>
      <c r="N24" s="78"/>
      <c r="W24" s="59" t="s">
        <v>62</v>
      </c>
      <c r="AM24" s="59" t="s">
        <v>63</v>
      </c>
      <c r="AN24" s="59" t="s">
        <v>62</v>
      </c>
    </row>
    <row r="25" spans="1:41">
      <c r="A25" s="167">
        <v>19</v>
      </c>
      <c r="B25" s="59" t="s">
        <v>160</v>
      </c>
      <c r="C25" s="66" t="e">
        <f>IF(C24&lt;0,0,C24*0.25)</f>
        <v>#DIV/0!</v>
      </c>
      <c r="D25" s="66"/>
      <c r="E25" s="66"/>
      <c r="F25" s="66"/>
      <c r="G25" s="66"/>
      <c r="H25" s="66" t="e">
        <f>IF(H24&lt;0,0,H24*0.25)</f>
        <v>#DIV/0!</v>
      </c>
      <c r="I25" s="66" t="e">
        <f>IF(I24&lt;0,0,I24*0.25)</f>
        <v>#DIV/0!</v>
      </c>
      <c r="J25" s="66" t="e">
        <f>IF(J24&lt;0,0,J24*0.25)</f>
        <v>#DIV/0!</v>
      </c>
      <c r="K25" s="66" t="e">
        <f>IF(K24&lt;0,0,K24*0.25)</f>
        <v>#DIV/0!</v>
      </c>
      <c r="L25" s="66" t="e">
        <f t="shared" ref="L25" si="10">IF(L24&lt;0,0,L24*0.25)</f>
        <v>#DIV/0!</v>
      </c>
      <c r="M25" s="74"/>
      <c r="N25" s="74"/>
      <c r="O25" s="74"/>
      <c r="W25" s="59" t="s">
        <v>64</v>
      </c>
      <c r="AM25" s="59" t="s">
        <v>65</v>
      </c>
      <c r="AN25" s="59" t="s">
        <v>64</v>
      </c>
    </row>
    <row r="26" spans="1:41">
      <c r="A26" s="167">
        <v>20</v>
      </c>
      <c r="B26" s="59" t="s">
        <v>66</v>
      </c>
      <c r="C26" s="66" t="e">
        <f t="shared" ref="C26" si="11">C24-C25</f>
        <v>#DIV/0!</v>
      </c>
      <c r="D26" s="66"/>
      <c r="E26" s="66"/>
      <c r="F26" s="66"/>
      <c r="G26" s="66"/>
      <c r="H26" s="66" t="e">
        <f>H24-H25</f>
        <v>#DIV/0!</v>
      </c>
      <c r="I26" s="66" t="e">
        <f>I24-I25</f>
        <v>#DIV/0!</v>
      </c>
      <c r="J26" s="66" t="e">
        <f>J24-J25</f>
        <v>#DIV/0!</v>
      </c>
      <c r="K26" s="66" t="e">
        <f>K24-K25</f>
        <v>#DIV/0!</v>
      </c>
      <c r="L26" s="61" t="e">
        <f>+SUM(C26:K26)</f>
        <v>#DIV/0!</v>
      </c>
      <c r="M26" s="74"/>
      <c r="N26" s="74"/>
      <c r="O26" s="74"/>
      <c r="W26" s="59" t="s">
        <v>66</v>
      </c>
      <c r="AM26" s="59" t="s">
        <v>67</v>
      </c>
      <c r="AN26" s="59" t="s">
        <v>66</v>
      </c>
    </row>
    <row r="27" spans="1:41">
      <c r="A27" s="167">
        <v>21</v>
      </c>
      <c r="B27" s="59" t="s">
        <v>70</v>
      </c>
      <c r="C27" s="68" t="e">
        <f t="shared" ref="C27:L27" si="12">C26/C7</f>
        <v>#DIV/0!</v>
      </c>
      <c r="D27" s="68"/>
      <c r="E27" s="68"/>
      <c r="F27" s="68"/>
      <c r="G27" s="68"/>
      <c r="H27" s="68" t="e">
        <f t="shared" si="12"/>
        <v>#DIV/0!</v>
      </c>
      <c r="I27" s="68" t="e">
        <f t="shared" si="12"/>
        <v>#DIV/0!</v>
      </c>
      <c r="J27" s="68" t="e">
        <f t="shared" si="12"/>
        <v>#DIV/0!</v>
      </c>
      <c r="K27" s="68" t="e">
        <f t="shared" si="12"/>
        <v>#DIV/0!</v>
      </c>
      <c r="L27" s="68" t="e">
        <f t="shared" si="12"/>
        <v>#DIV/0!</v>
      </c>
      <c r="M27" s="74"/>
      <c r="N27" s="74"/>
      <c r="O27" s="74"/>
      <c r="W27" s="59" t="s">
        <v>70</v>
      </c>
      <c r="AM27" s="59" t="s">
        <v>69</v>
      </c>
      <c r="AN27" s="59" t="s">
        <v>70</v>
      </c>
    </row>
    <row r="28" spans="1:41">
      <c r="M28" s="74"/>
      <c r="N28" s="74"/>
      <c r="O28" s="74"/>
      <c r="W28" s="59"/>
    </row>
    <row r="29" spans="1:41">
      <c r="A29" s="55" t="s">
        <v>71</v>
      </c>
      <c r="L29" s="56" t="s">
        <v>161</v>
      </c>
      <c r="M29" s="74"/>
      <c r="N29" s="74"/>
      <c r="O29" s="74"/>
      <c r="W29" s="59"/>
      <c r="AM29" s="55" t="s">
        <v>71</v>
      </c>
    </row>
    <row r="30" spans="1:41">
      <c r="A30" s="59" t="s">
        <v>76</v>
      </c>
      <c r="B30" s="62" t="s">
        <v>77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4"/>
      <c r="N30" s="74"/>
      <c r="O30" s="74"/>
      <c r="Q30" s="74"/>
      <c r="W30" s="62" t="s">
        <v>77</v>
      </c>
      <c r="AM30" s="59" t="s">
        <v>78</v>
      </c>
      <c r="AN30" s="62" t="s">
        <v>77</v>
      </c>
    </row>
    <row r="31" spans="1:41">
      <c r="A31" s="167">
        <v>1</v>
      </c>
      <c r="B31" s="64" t="s">
        <v>79</v>
      </c>
      <c r="C31" s="70">
        <f>销量!C12</f>
        <v>0</v>
      </c>
      <c r="D31" s="70">
        <f>销量!D12</f>
        <v>0</v>
      </c>
      <c r="E31" s="70">
        <f>销量!E12</f>
        <v>0</v>
      </c>
      <c r="F31" s="70">
        <f>销量!F12</f>
        <v>0</v>
      </c>
      <c r="G31" s="70">
        <f>销量!G12</f>
        <v>0</v>
      </c>
      <c r="H31" s="70">
        <f>销量!H12</f>
        <v>0</v>
      </c>
      <c r="I31" s="70">
        <f>销量!I12</f>
        <v>0</v>
      </c>
      <c r="J31" s="70">
        <f>销量!J12</f>
        <v>0</v>
      </c>
      <c r="K31" s="70">
        <f>销量!K12</f>
        <v>0</v>
      </c>
      <c r="L31" s="66"/>
      <c r="M31" s="74"/>
      <c r="N31" s="74"/>
      <c r="O31" s="74"/>
      <c r="Q31" s="74"/>
      <c r="W31" s="59" t="s">
        <v>79</v>
      </c>
      <c r="AM31" s="59" t="s">
        <v>29</v>
      </c>
      <c r="AN31" s="59" t="s">
        <v>79</v>
      </c>
    </row>
    <row r="32" spans="1:41">
      <c r="A32" s="167">
        <v>2</v>
      </c>
      <c r="B32" s="59" t="s">
        <v>162</v>
      </c>
      <c r="C32" s="61" t="e">
        <f>C9/C6</f>
        <v>#DIV/0!</v>
      </c>
      <c r="D32" s="61"/>
      <c r="E32" s="61"/>
      <c r="F32" s="61"/>
      <c r="G32" s="61"/>
      <c r="H32" s="61" t="e">
        <f>H9/H6</f>
        <v>#DIV/0!</v>
      </c>
      <c r="I32" s="61">
        <f t="shared" ref="I32:K32" si="13">I31*1</f>
        <v>0</v>
      </c>
      <c r="J32" s="61">
        <f t="shared" si="13"/>
        <v>0</v>
      </c>
      <c r="K32" s="61">
        <f t="shared" si="13"/>
        <v>0</v>
      </c>
      <c r="L32" s="66"/>
      <c r="M32" s="74"/>
      <c r="N32" s="74"/>
      <c r="O32" s="74"/>
      <c r="P32" s="74"/>
      <c r="Q32" s="74"/>
      <c r="R32" s="74"/>
      <c r="S32" s="74"/>
      <c r="AM32" s="59"/>
      <c r="AN32" s="59"/>
    </row>
    <row r="33" spans="1:40">
      <c r="A33" s="167">
        <v>3</v>
      </c>
      <c r="B33" s="64" t="s">
        <v>80</v>
      </c>
      <c r="C33" s="61">
        <f>材料成本!K39</f>
        <v>0</v>
      </c>
      <c r="D33" s="61"/>
      <c r="E33" s="61"/>
      <c r="F33" s="61"/>
      <c r="G33" s="61"/>
      <c r="H33" s="61">
        <f>材料成本!K40</f>
        <v>0</v>
      </c>
      <c r="I33" s="61">
        <f>材料成本!J33</f>
        <v>986.99999999999989</v>
      </c>
      <c r="J33" s="61">
        <f>材料成本!K33</f>
        <v>1526</v>
      </c>
      <c r="K33" s="61">
        <f>材料成本!L33</f>
        <v>644</v>
      </c>
      <c r="L33" s="66"/>
      <c r="N33" s="74"/>
      <c r="O33" s="74"/>
      <c r="P33" s="74"/>
      <c r="Q33" s="74"/>
      <c r="R33" s="74"/>
      <c r="S33" s="74"/>
      <c r="W33" s="59" t="s">
        <v>80</v>
      </c>
      <c r="AM33" s="59" t="s">
        <v>31</v>
      </c>
      <c r="AN33" s="59" t="s">
        <v>80</v>
      </c>
    </row>
    <row r="34" spans="1:40" ht="17.25" customHeight="1">
      <c r="A34" s="167">
        <v>4</v>
      </c>
      <c r="B34" s="59" t="s">
        <v>82</v>
      </c>
      <c r="C34" s="71" t="e">
        <f>C32-C33</f>
        <v>#DIV/0!</v>
      </c>
      <c r="D34" s="71"/>
      <c r="E34" s="71"/>
      <c r="F34" s="71"/>
      <c r="G34" s="71"/>
      <c r="H34" s="71" t="e">
        <f t="shared" ref="H34:K34" si="14">H32-H33</f>
        <v>#DIV/0!</v>
      </c>
      <c r="I34" s="71">
        <f t="shared" si="14"/>
        <v>-986.99999999999989</v>
      </c>
      <c r="J34" s="71">
        <f t="shared" si="14"/>
        <v>-1526</v>
      </c>
      <c r="K34" s="71">
        <f t="shared" si="14"/>
        <v>-644</v>
      </c>
      <c r="L34" s="66"/>
      <c r="N34" s="74"/>
      <c r="O34" s="74"/>
      <c r="P34" s="74"/>
      <c r="Q34" s="74"/>
      <c r="R34" s="74"/>
      <c r="S34" s="74"/>
      <c r="W34" s="59" t="s">
        <v>82</v>
      </c>
      <c r="AM34" s="59" t="s">
        <v>81</v>
      </c>
      <c r="AN34" s="59" t="s">
        <v>82</v>
      </c>
    </row>
    <row r="35" spans="1:40">
      <c r="A35" s="59" t="s">
        <v>78</v>
      </c>
      <c r="B35" s="62" t="s">
        <v>10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2" t="s">
        <v>10</v>
      </c>
      <c r="AM35" s="59" t="s">
        <v>84</v>
      </c>
      <c r="AN35" s="62" t="s">
        <v>10</v>
      </c>
    </row>
    <row r="36" spans="1:40">
      <c r="A36" s="167">
        <v>1</v>
      </c>
      <c r="B36" s="59" t="s">
        <v>85</v>
      </c>
      <c r="C36" s="65">
        <f>标准成本!E4</f>
        <v>39.652000000000001</v>
      </c>
      <c r="D36" s="65"/>
      <c r="E36" s="65"/>
      <c r="F36" s="65"/>
      <c r="G36" s="65"/>
      <c r="H36" s="65">
        <f>C36</f>
        <v>39.652000000000001</v>
      </c>
      <c r="I36" s="65">
        <f t="shared" ref="I36:K38" si="15">H36</f>
        <v>39.652000000000001</v>
      </c>
      <c r="J36" s="65">
        <f t="shared" si="15"/>
        <v>39.652000000000001</v>
      </c>
      <c r="K36" s="65">
        <f t="shared" si="15"/>
        <v>39.652000000000001</v>
      </c>
      <c r="L36" s="70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9" t="s">
        <v>85</v>
      </c>
      <c r="AM36" s="59" t="s">
        <v>81</v>
      </c>
      <c r="AN36" s="59" t="s">
        <v>85</v>
      </c>
    </row>
    <row r="37" spans="1:40">
      <c r="A37" s="167">
        <v>2</v>
      </c>
      <c r="B37" s="59" t="s">
        <v>86</v>
      </c>
      <c r="C37" s="65">
        <f>标准成本!E6</f>
        <v>19.964000000000002</v>
      </c>
      <c r="D37" s="65"/>
      <c r="E37" s="65"/>
      <c r="F37" s="65"/>
      <c r="G37" s="65"/>
      <c r="H37" s="65">
        <f>C37</f>
        <v>19.964000000000002</v>
      </c>
      <c r="I37" s="65">
        <f t="shared" si="15"/>
        <v>19.964000000000002</v>
      </c>
      <c r="J37" s="65">
        <f t="shared" si="15"/>
        <v>19.964000000000002</v>
      </c>
      <c r="K37" s="65">
        <f t="shared" si="15"/>
        <v>19.964000000000002</v>
      </c>
      <c r="L37" s="70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59" t="s">
        <v>86</v>
      </c>
      <c r="AM37" s="59" t="s">
        <v>34</v>
      </c>
      <c r="AN37" s="59" t="s">
        <v>86</v>
      </c>
    </row>
    <row r="38" spans="1:40">
      <c r="A38" s="167">
        <v>3</v>
      </c>
      <c r="B38" s="59" t="s">
        <v>87</v>
      </c>
      <c r="C38" s="65">
        <f>标准成本!E10</f>
        <v>29.44</v>
      </c>
      <c r="D38" s="65"/>
      <c r="E38" s="65"/>
      <c r="F38" s="65"/>
      <c r="G38" s="65"/>
      <c r="H38" s="65">
        <f>C38</f>
        <v>29.44</v>
      </c>
      <c r="I38" s="65">
        <f t="shared" si="15"/>
        <v>29.44</v>
      </c>
      <c r="J38" s="65">
        <f t="shared" si="15"/>
        <v>29.44</v>
      </c>
      <c r="K38" s="65">
        <f t="shared" si="15"/>
        <v>29.44</v>
      </c>
      <c r="L38" s="70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9" t="s">
        <v>87</v>
      </c>
      <c r="AM38" s="59" t="s">
        <v>40</v>
      </c>
      <c r="AN38" s="59" t="s">
        <v>87</v>
      </c>
    </row>
    <row r="39" spans="1:40">
      <c r="A39" s="59" t="s">
        <v>84</v>
      </c>
      <c r="B39" s="62" t="s">
        <v>89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W39" s="62" t="s">
        <v>89</v>
      </c>
      <c r="AM39" s="59" t="s">
        <v>88</v>
      </c>
      <c r="AN39" s="62" t="s">
        <v>89</v>
      </c>
    </row>
    <row r="40" spans="1:40">
      <c r="A40" s="167">
        <v>1</v>
      </c>
      <c r="B40" s="59" t="s">
        <v>91</v>
      </c>
      <c r="C40" s="66" t="e">
        <f>C34-C36-C37-C38</f>
        <v>#DIV/0!</v>
      </c>
      <c r="D40" s="66"/>
      <c r="E40" s="66"/>
      <c r="F40" s="66"/>
      <c r="G40" s="66"/>
      <c r="H40" s="66" t="e">
        <f t="shared" ref="H40:K40" si="16">H34-H36-H37-H38</f>
        <v>#DIV/0!</v>
      </c>
      <c r="I40" s="66">
        <f t="shared" si="16"/>
        <v>-1076.0559999999998</v>
      </c>
      <c r="J40" s="66">
        <f t="shared" si="16"/>
        <v>-1615.056</v>
      </c>
      <c r="K40" s="66">
        <f t="shared" si="16"/>
        <v>-733.05600000000015</v>
      </c>
      <c r="L40" s="66"/>
      <c r="W40" s="59" t="s">
        <v>91</v>
      </c>
      <c r="AM40" s="59" t="s">
        <v>29</v>
      </c>
      <c r="AN40" s="59" t="s">
        <v>91</v>
      </c>
    </row>
    <row r="41" spans="1:40">
      <c r="A41" s="167">
        <v>2</v>
      </c>
      <c r="B41" s="59" t="s">
        <v>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W41" s="59" t="s">
        <v>92</v>
      </c>
      <c r="AM41" s="59" t="s">
        <v>31</v>
      </c>
      <c r="AN41" s="59" t="s">
        <v>92</v>
      </c>
    </row>
    <row r="42" spans="1:40">
      <c r="A42" s="59" t="s">
        <v>88</v>
      </c>
      <c r="B42" s="62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W42" s="62" t="s">
        <v>94</v>
      </c>
      <c r="AM42" s="59" t="s">
        <v>93</v>
      </c>
      <c r="AN42" s="62" t="s">
        <v>94</v>
      </c>
    </row>
    <row r="43" spans="1:40">
      <c r="A43" s="167">
        <v>1</v>
      </c>
      <c r="B43" s="67" t="s">
        <v>95</v>
      </c>
      <c r="C43" s="65">
        <f>标准成本!E5</f>
        <v>37.167999999999999</v>
      </c>
      <c r="D43" s="65"/>
      <c r="E43" s="65"/>
      <c r="F43" s="65"/>
      <c r="G43" s="65"/>
      <c r="H43" s="65">
        <f>C43</f>
        <v>37.167999999999999</v>
      </c>
      <c r="I43" s="65">
        <f t="shared" ref="I43:K45" si="17">H43</f>
        <v>37.167999999999999</v>
      </c>
      <c r="J43" s="65">
        <f t="shared" si="17"/>
        <v>37.167999999999999</v>
      </c>
      <c r="K43" s="65">
        <f t="shared" si="17"/>
        <v>37.167999999999999</v>
      </c>
      <c r="L43" s="66"/>
      <c r="W43" s="59" t="s">
        <v>95</v>
      </c>
      <c r="AM43" s="59" t="s">
        <v>29</v>
      </c>
      <c r="AN43" s="59" t="s">
        <v>95</v>
      </c>
    </row>
    <row r="44" spans="1:40">
      <c r="A44" s="167">
        <v>2</v>
      </c>
      <c r="B44" s="67" t="s">
        <v>96</v>
      </c>
      <c r="C44" s="65">
        <f>标准成本!E9</f>
        <v>4.8760000000000003</v>
      </c>
      <c r="D44" s="65"/>
      <c r="E44" s="65"/>
      <c r="F44" s="65"/>
      <c r="G44" s="65"/>
      <c r="H44" s="65">
        <f>C44</f>
        <v>4.8760000000000003</v>
      </c>
      <c r="I44" s="65">
        <f t="shared" si="17"/>
        <v>4.8760000000000003</v>
      </c>
      <c r="J44" s="65">
        <f t="shared" si="17"/>
        <v>4.8760000000000003</v>
      </c>
      <c r="K44" s="65">
        <f t="shared" si="17"/>
        <v>4.8760000000000003</v>
      </c>
      <c r="L44" s="66"/>
      <c r="W44" s="59" t="s">
        <v>96</v>
      </c>
      <c r="AM44" s="59" t="s">
        <v>31</v>
      </c>
      <c r="AN44" s="59" t="s">
        <v>96</v>
      </c>
    </row>
    <row r="45" spans="1:40">
      <c r="A45" s="167">
        <v>3</v>
      </c>
      <c r="B45" s="67" t="s">
        <v>97</v>
      </c>
      <c r="C45" s="65"/>
      <c r="D45" s="65"/>
      <c r="E45" s="65"/>
      <c r="F45" s="65"/>
      <c r="G45" s="65"/>
      <c r="H45" s="65">
        <f>C45</f>
        <v>0</v>
      </c>
      <c r="I45" s="65">
        <f t="shared" si="17"/>
        <v>0</v>
      </c>
      <c r="J45" s="65">
        <f t="shared" si="17"/>
        <v>0</v>
      </c>
      <c r="K45" s="65">
        <f t="shared" si="17"/>
        <v>0</v>
      </c>
      <c r="L45" s="66"/>
      <c r="W45" s="59" t="s">
        <v>97</v>
      </c>
      <c r="AM45" s="59" t="s">
        <v>81</v>
      </c>
      <c r="AN45" s="59" t="s">
        <v>97</v>
      </c>
    </row>
    <row r="46" spans="1:40" s="54" customFormat="1">
      <c r="A46" s="167">
        <v>4</v>
      </c>
      <c r="B46" s="67" t="s">
        <v>98</v>
      </c>
      <c r="C46" s="72" t="e">
        <f>C21/C6</f>
        <v>#DIV/0!</v>
      </c>
      <c r="D46" s="72"/>
      <c r="E46" s="72"/>
      <c r="F46" s="72"/>
      <c r="G46" s="72"/>
      <c r="H46" s="72" t="e">
        <f>H21/H6</f>
        <v>#DIV/0!</v>
      </c>
      <c r="I46" s="72" t="e">
        <f>I21/I6</f>
        <v>#DIV/0!</v>
      </c>
      <c r="J46" s="72" t="e">
        <f>J21/J6</f>
        <v>#DIV/0!</v>
      </c>
      <c r="K46" s="72" t="e">
        <f>K21/K6</f>
        <v>#DIV/0!</v>
      </c>
      <c r="L46" s="72"/>
      <c r="W46" s="67" t="s">
        <v>100</v>
      </c>
      <c r="AM46" s="67" t="s">
        <v>37</v>
      </c>
      <c r="AN46" s="67" t="s">
        <v>100</v>
      </c>
    </row>
    <row r="47" spans="1:40" s="54" customFormat="1">
      <c r="A47" s="167">
        <v>5</v>
      </c>
      <c r="B47" s="67" t="s">
        <v>100</v>
      </c>
      <c r="C47" s="72">
        <f>标准成本!E11</f>
        <v>27.599999999999998</v>
      </c>
      <c r="D47" s="72"/>
      <c r="E47" s="72"/>
      <c r="F47" s="72"/>
      <c r="G47" s="72"/>
      <c r="H47" s="72">
        <f>C47</f>
        <v>27.599999999999998</v>
      </c>
      <c r="I47" s="72">
        <f>H47</f>
        <v>27.599999999999998</v>
      </c>
      <c r="J47" s="72">
        <f>I47</f>
        <v>27.599999999999998</v>
      </c>
      <c r="K47" s="72">
        <f>J47</f>
        <v>27.599999999999998</v>
      </c>
      <c r="L47" s="72"/>
      <c r="W47" s="67" t="s">
        <v>100</v>
      </c>
      <c r="AM47" s="67" t="s">
        <v>37</v>
      </c>
      <c r="AN47" s="67" t="s">
        <v>100</v>
      </c>
    </row>
    <row r="48" spans="1:40">
      <c r="A48" s="59" t="s">
        <v>93</v>
      </c>
      <c r="B48" s="62" t="s">
        <v>111</v>
      </c>
      <c r="C48" s="66" t="e">
        <f>C40-C43-C44-C45-C47-C46</f>
        <v>#DIV/0!</v>
      </c>
      <c r="D48" s="66"/>
      <c r="E48" s="66"/>
      <c r="F48" s="66"/>
      <c r="G48" s="66"/>
      <c r="H48" s="66" t="e">
        <f>H40-H43-H44-H45-H47-H46</f>
        <v>#DIV/0!</v>
      </c>
      <c r="I48" s="66" t="e">
        <f>I40-I43-I44-I45-I47-I46</f>
        <v>#DIV/0!</v>
      </c>
      <c r="J48" s="66" t="e">
        <f>J40-J43-J44-J45-J47-J46</f>
        <v>#DIV/0!</v>
      </c>
      <c r="K48" s="66" t="e">
        <f>K40-K43-K44-K45-K47-K46</f>
        <v>#DIV/0!</v>
      </c>
      <c r="L48" s="66"/>
      <c r="W48" s="62" t="s">
        <v>111</v>
      </c>
      <c r="AM48" s="59" t="s">
        <v>110</v>
      </c>
      <c r="AN48" s="62" t="s">
        <v>111</v>
      </c>
    </row>
    <row r="51" spans="2:17">
      <c r="C51" s="73"/>
      <c r="D51" s="73"/>
      <c r="E51" s="73"/>
      <c r="F51" s="73"/>
      <c r="G51" s="73"/>
      <c r="H51" s="73"/>
      <c r="I51" s="73"/>
      <c r="J51" s="73"/>
      <c r="K51" s="73"/>
    </row>
    <row r="54" spans="2:17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4"/>
      <c r="N54" s="74"/>
      <c r="O54" s="74"/>
      <c r="P54" s="74"/>
      <c r="Q54" s="74"/>
    </row>
    <row r="55" spans="2:17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4"/>
      <c r="N55" s="74"/>
      <c r="O55" s="74"/>
      <c r="P55" s="74"/>
      <c r="Q55" s="74"/>
    </row>
    <row r="56" spans="2:17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4"/>
      <c r="N56" s="74"/>
      <c r="O56" s="74"/>
      <c r="P56" s="74"/>
      <c r="Q56" s="74"/>
    </row>
    <row r="57" spans="2:17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4"/>
      <c r="N57" s="74"/>
      <c r="O57" s="74"/>
      <c r="P57" s="74"/>
      <c r="Q57" s="74"/>
    </row>
    <row r="58" spans="2:17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4"/>
      <c r="N58" s="74"/>
      <c r="O58" s="74"/>
      <c r="P58" s="74"/>
      <c r="Q58" s="74"/>
    </row>
    <row r="59" spans="2:17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4"/>
      <c r="N59" s="74"/>
      <c r="O59" s="74"/>
      <c r="P59" s="74"/>
      <c r="Q59" s="74"/>
    </row>
    <row r="60" spans="2:17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4"/>
      <c r="N60" s="74"/>
      <c r="O60" s="74"/>
      <c r="P60" s="74"/>
      <c r="Q60" s="74"/>
    </row>
    <row r="61" spans="2:17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4"/>
      <c r="N61" s="74"/>
      <c r="O61" s="74"/>
      <c r="P61" s="74"/>
      <c r="Q61" s="74"/>
    </row>
    <row r="62" spans="2:17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4"/>
      <c r="N62" s="74"/>
      <c r="O62" s="74"/>
      <c r="P62" s="74"/>
      <c r="Q62" s="74"/>
    </row>
    <row r="63" spans="2:17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4"/>
      <c r="N63" s="74"/>
      <c r="O63" s="74"/>
      <c r="P63" s="74"/>
      <c r="Q63" s="74"/>
    </row>
    <row r="64" spans="2:17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4"/>
      <c r="N64" s="74"/>
      <c r="O64" s="74"/>
      <c r="P64" s="74"/>
      <c r="Q64" s="74"/>
    </row>
    <row r="65" spans="2:17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</row>
    <row r="66" spans="2:17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</row>
    <row r="67" spans="2:17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4"/>
    </row>
    <row r="68" spans="2:17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2:17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4"/>
    </row>
    <row r="70" spans="2:17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4"/>
    </row>
    <row r="71" spans="2:17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4"/>
    </row>
    <row r="72" spans="2:17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4"/>
    </row>
    <row r="73" spans="2:17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4"/>
    </row>
    <row r="74" spans="2:17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F8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55" customWidth="1"/>
    <col min="2" max="2" width="17.5" style="55" customWidth="1"/>
    <col min="3" max="7" width="13.25" style="56" customWidth="1"/>
    <col min="8" max="11" width="15.5" style="56" customWidth="1"/>
    <col min="12" max="12" width="18.75" style="56" customWidth="1"/>
    <col min="13" max="13" width="12.375" style="55" customWidth="1"/>
    <col min="14" max="14" width="10.125" style="55" customWidth="1"/>
    <col min="15" max="21" width="9" style="55" customWidth="1"/>
    <col min="22" max="38" width="9" style="55"/>
    <col min="39" max="39" width="4.375" style="55" customWidth="1"/>
    <col min="40" max="40" width="13.875" style="55" customWidth="1"/>
    <col min="41" max="16384" width="9" style="55"/>
  </cols>
  <sheetData>
    <row r="1" spans="1:41">
      <c r="A1" s="193" t="s">
        <v>151</v>
      </c>
      <c r="B1" s="193"/>
      <c r="C1" s="197" t="s">
        <v>296</v>
      </c>
      <c r="D1" s="198"/>
      <c r="E1" s="198"/>
      <c r="F1" s="198"/>
      <c r="G1" s="198"/>
      <c r="H1" s="198"/>
      <c r="I1" s="198"/>
      <c r="J1" s="198"/>
      <c r="K1" s="198"/>
      <c r="L1" s="199"/>
    </row>
    <row r="2" spans="1:41">
      <c r="A2" s="193" t="s">
        <v>153</v>
      </c>
      <c r="B2" s="193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41">
      <c r="A3" s="193" t="s">
        <v>154</v>
      </c>
      <c r="B3" s="193"/>
      <c r="C3" s="177" t="s">
        <v>273</v>
      </c>
      <c r="D3" s="178" t="s">
        <v>274</v>
      </c>
      <c r="E3" s="177" t="s">
        <v>275</v>
      </c>
      <c r="F3" s="177" t="s">
        <v>276</v>
      </c>
      <c r="G3" s="177" t="s">
        <v>277</v>
      </c>
      <c r="H3" s="177" t="s">
        <v>278</v>
      </c>
      <c r="I3" s="177" t="s">
        <v>279</v>
      </c>
      <c r="J3" s="177" t="s">
        <v>280</v>
      </c>
      <c r="K3" s="177" t="s">
        <v>281</v>
      </c>
      <c r="L3" s="194" t="s">
        <v>25</v>
      </c>
    </row>
    <row r="4" spans="1:41">
      <c r="A4" s="193" t="s">
        <v>155</v>
      </c>
      <c r="B4" s="193"/>
      <c r="C4" s="177" t="s">
        <v>282</v>
      </c>
      <c r="D4" s="178" t="s">
        <v>283</v>
      </c>
      <c r="E4" s="177" t="s">
        <v>284</v>
      </c>
      <c r="F4" s="177" t="s">
        <v>285</v>
      </c>
      <c r="G4" s="177" t="s">
        <v>286</v>
      </c>
      <c r="H4" s="177" t="s">
        <v>287</v>
      </c>
      <c r="I4" s="177" t="s">
        <v>288</v>
      </c>
      <c r="J4" s="177" t="s">
        <v>289</v>
      </c>
      <c r="K4" s="177" t="s">
        <v>290</v>
      </c>
      <c r="L4" s="195"/>
    </row>
    <row r="5" spans="1:41">
      <c r="A5" s="193" t="s">
        <v>156</v>
      </c>
      <c r="B5" s="193"/>
      <c r="C5" s="58"/>
      <c r="D5" s="58"/>
      <c r="E5" s="58"/>
      <c r="F5" s="58"/>
      <c r="G5" s="58"/>
      <c r="H5" s="58"/>
      <c r="I5" s="58"/>
      <c r="J5" s="58"/>
      <c r="K5" s="58"/>
      <c r="L5" s="196"/>
      <c r="AO5" s="55" t="s">
        <v>26</v>
      </c>
    </row>
    <row r="6" spans="1:41" ht="17.25">
      <c r="A6" s="59" t="s">
        <v>19</v>
      </c>
      <c r="B6" s="60" t="s">
        <v>157</v>
      </c>
      <c r="C6" s="27">
        <f>销量!C13</f>
        <v>0</v>
      </c>
      <c r="D6" s="27">
        <f>销量!D13</f>
        <v>0</v>
      </c>
      <c r="E6" s="27">
        <f>销量!E13</f>
        <v>0</v>
      </c>
      <c r="F6" s="27">
        <f>销量!F13</f>
        <v>0</v>
      </c>
      <c r="G6" s="27">
        <f>销量!G13</f>
        <v>0</v>
      </c>
      <c r="H6" s="27">
        <f>销量!H13</f>
        <v>0</v>
      </c>
      <c r="I6" s="27">
        <f>销量!I13</f>
        <v>0</v>
      </c>
      <c r="J6" s="27">
        <f>销量!J13</f>
        <v>0</v>
      </c>
      <c r="K6" s="27">
        <f>销量!K13</f>
        <v>0</v>
      </c>
      <c r="L6" s="61">
        <f t="shared" ref="L6:L15" si="0">+SUM(C6:K6)</f>
        <v>0</v>
      </c>
      <c r="W6" s="60" t="s">
        <v>3</v>
      </c>
      <c r="AM6" s="59" t="s">
        <v>19</v>
      </c>
      <c r="AN6" s="60" t="s">
        <v>3</v>
      </c>
      <c r="AO6" s="55" t="s">
        <v>27</v>
      </c>
    </row>
    <row r="7" spans="1:41">
      <c r="A7" s="167">
        <v>1</v>
      </c>
      <c r="B7" s="60" t="s">
        <v>28</v>
      </c>
      <c r="C7" s="61">
        <f>C6*销量!C8</f>
        <v>0</v>
      </c>
      <c r="D7" s="61"/>
      <c r="E7" s="61"/>
      <c r="F7" s="61"/>
      <c r="G7" s="61"/>
      <c r="H7" s="61">
        <f>H6*销量!D8</f>
        <v>0</v>
      </c>
      <c r="I7" s="61">
        <f>I6*销量!E8</f>
        <v>0</v>
      </c>
      <c r="J7" s="61">
        <f>J6*销量!J8</f>
        <v>0</v>
      </c>
      <c r="K7" s="61">
        <f>K6*销量!K8</f>
        <v>0</v>
      </c>
      <c r="L7" s="61">
        <f t="shared" si="0"/>
        <v>0</v>
      </c>
      <c r="M7" s="56"/>
      <c r="W7" s="60" t="s">
        <v>28</v>
      </c>
      <c r="AM7" s="59" t="s">
        <v>29</v>
      </c>
      <c r="AN7" s="60" t="s">
        <v>28</v>
      </c>
      <c r="AO7" s="55" t="s">
        <v>27</v>
      </c>
    </row>
    <row r="8" spans="1:41">
      <c r="A8" s="167">
        <v>2</v>
      </c>
      <c r="B8" s="167" t="s">
        <v>30</v>
      </c>
      <c r="C8" s="61">
        <f>C7*(1-销量!$P$10)</f>
        <v>0</v>
      </c>
      <c r="D8" s="61"/>
      <c r="E8" s="61"/>
      <c r="F8" s="61"/>
      <c r="G8" s="61"/>
      <c r="H8" s="61">
        <f>H7*(1-销量!$P$10)</f>
        <v>0</v>
      </c>
      <c r="I8" s="61"/>
      <c r="J8" s="61"/>
      <c r="K8" s="61"/>
      <c r="L8" s="61">
        <f t="shared" si="0"/>
        <v>0</v>
      </c>
      <c r="M8" s="76"/>
      <c r="W8" s="167" t="s">
        <v>32</v>
      </c>
      <c r="AM8" s="59" t="s">
        <v>31</v>
      </c>
      <c r="AN8" s="167" t="s">
        <v>32</v>
      </c>
      <c r="AO8" s="55" t="s">
        <v>27</v>
      </c>
    </row>
    <row r="9" spans="1:41">
      <c r="A9" s="167">
        <v>3</v>
      </c>
      <c r="B9" s="60" t="s">
        <v>33</v>
      </c>
      <c r="C9" s="61">
        <f>+C7-C8</f>
        <v>0</v>
      </c>
      <c r="D9" s="61"/>
      <c r="E9" s="61"/>
      <c r="F9" s="61"/>
      <c r="G9" s="61"/>
      <c r="H9" s="61">
        <f t="shared" ref="H9:K9" si="1">+H7-H8</f>
        <v>0</v>
      </c>
      <c r="I9" s="61">
        <f t="shared" si="1"/>
        <v>0</v>
      </c>
      <c r="J9" s="61">
        <f t="shared" si="1"/>
        <v>0</v>
      </c>
      <c r="K9" s="61">
        <f t="shared" si="1"/>
        <v>0</v>
      </c>
      <c r="L9" s="61">
        <f t="shared" si="0"/>
        <v>0</v>
      </c>
      <c r="W9" s="60" t="s">
        <v>33</v>
      </c>
      <c r="AM9" s="59" t="s">
        <v>34</v>
      </c>
      <c r="AN9" s="60" t="s">
        <v>33</v>
      </c>
      <c r="AO9" s="55" t="s">
        <v>35</v>
      </c>
    </row>
    <row r="10" spans="1:41">
      <c r="A10" s="167">
        <v>4</v>
      </c>
      <c r="B10" s="59" t="s">
        <v>36</v>
      </c>
      <c r="C10" s="61">
        <f>C6*C33</f>
        <v>0</v>
      </c>
      <c r="D10" s="61"/>
      <c r="E10" s="61"/>
      <c r="F10" s="61"/>
      <c r="G10" s="61"/>
      <c r="H10" s="61">
        <f>H6*材料成本!I33</f>
        <v>0</v>
      </c>
      <c r="I10" s="61">
        <f>I6*材料成本!J33</f>
        <v>0</v>
      </c>
      <c r="J10" s="61">
        <f>J6*材料成本!K33</f>
        <v>0</v>
      </c>
      <c r="K10" s="61">
        <f>K6*材料成本!L33</f>
        <v>0</v>
      </c>
      <c r="L10" s="61">
        <f t="shared" si="0"/>
        <v>0</v>
      </c>
      <c r="W10" s="59" t="s">
        <v>36</v>
      </c>
      <c r="AM10" s="59" t="s">
        <v>37</v>
      </c>
      <c r="AN10" s="59" t="s">
        <v>36</v>
      </c>
      <c r="AO10" s="55" t="s">
        <v>38</v>
      </c>
    </row>
    <row r="11" spans="1:41">
      <c r="A11" s="167">
        <v>5</v>
      </c>
      <c r="B11" s="59" t="s">
        <v>39</v>
      </c>
      <c r="C11" s="61">
        <f>+C6*C36</f>
        <v>0</v>
      </c>
      <c r="D11" s="61"/>
      <c r="E11" s="61"/>
      <c r="F11" s="61"/>
      <c r="G11" s="61"/>
      <c r="H11" s="61">
        <f>+H6*H36</f>
        <v>0</v>
      </c>
      <c r="I11" s="61">
        <f>+I6*I36</f>
        <v>0</v>
      </c>
      <c r="J11" s="61">
        <f>+J6*J36</f>
        <v>0</v>
      </c>
      <c r="K11" s="61">
        <f>+K6*K36</f>
        <v>0</v>
      </c>
      <c r="L11" s="61">
        <f t="shared" si="0"/>
        <v>0</v>
      </c>
      <c r="W11" s="59" t="s">
        <v>39</v>
      </c>
      <c r="AM11" s="59" t="s">
        <v>40</v>
      </c>
      <c r="AN11" s="59" t="s">
        <v>39</v>
      </c>
    </row>
    <row r="12" spans="1:41">
      <c r="A12" s="167">
        <v>6</v>
      </c>
      <c r="B12" s="59" t="s">
        <v>41</v>
      </c>
      <c r="C12" s="61">
        <f>+C6*C37</f>
        <v>0</v>
      </c>
      <c r="D12" s="61"/>
      <c r="E12" s="61"/>
      <c r="F12" s="61"/>
      <c r="G12" s="61"/>
      <c r="H12" s="61">
        <f>+H6*H37</f>
        <v>0</v>
      </c>
      <c r="I12" s="61">
        <f>+I6*I37</f>
        <v>0</v>
      </c>
      <c r="J12" s="61">
        <f>+J6*J37</f>
        <v>0</v>
      </c>
      <c r="K12" s="61">
        <f>+K6*K37</f>
        <v>0</v>
      </c>
      <c r="L12" s="61">
        <f t="shared" si="0"/>
        <v>0</v>
      </c>
      <c r="W12" s="59" t="s">
        <v>41</v>
      </c>
      <c r="AM12" s="59" t="s">
        <v>42</v>
      </c>
      <c r="AN12" s="59" t="s">
        <v>41</v>
      </c>
    </row>
    <row r="13" spans="1:41">
      <c r="A13" s="167">
        <v>7</v>
      </c>
      <c r="B13" s="59" t="s">
        <v>43</v>
      </c>
      <c r="C13" s="61">
        <f>+C6*C38</f>
        <v>0</v>
      </c>
      <c r="D13" s="61"/>
      <c r="E13" s="61"/>
      <c r="F13" s="61"/>
      <c r="G13" s="61"/>
      <c r="H13" s="61">
        <f t="shared" ref="H13:K13" si="2">+H6*H38</f>
        <v>0</v>
      </c>
      <c r="I13" s="61">
        <f t="shared" si="2"/>
        <v>0</v>
      </c>
      <c r="J13" s="61">
        <f t="shared" si="2"/>
        <v>0</v>
      </c>
      <c r="K13" s="61">
        <f t="shared" si="2"/>
        <v>0</v>
      </c>
      <c r="L13" s="61">
        <f t="shared" si="0"/>
        <v>0</v>
      </c>
      <c r="W13" s="59" t="s">
        <v>43</v>
      </c>
      <c r="AM13" s="59" t="s">
        <v>44</v>
      </c>
      <c r="AN13" s="59" t="s">
        <v>43</v>
      </c>
      <c r="AO13" s="55" t="s">
        <v>27</v>
      </c>
    </row>
    <row r="14" spans="1:41">
      <c r="A14" s="167">
        <v>8</v>
      </c>
      <c r="B14" s="62" t="s">
        <v>45</v>
      </c>
      <c r="C14" s="61">
        <f>SUM(C11:C13)</f>
        <v>0</v>
      </c>
      <c r="D14" s="61"/>
      <c r="E14" s="61"/>
      <c r="F14" s="61"/>
      <c r="G14" s="61"/>
      <c r="H14" s="61">
        <f t="shared" ref="H14:K14" si="3">SUM(H11:H13)</f>
        <v>0</v>
      </c>
      <c r="I14" s="61">
        <f t="shared" si="3"/>
        <v>0</v>
      </c>
      <c r="J14" s="61">
        <f t="shared" si="3"/>
        <v>0</v>
      </c>
      <c r="K14" s="61">
        <f t="shared" si="3"/>
        <v>0</v>
      </c>
      <c r="L14" s="61">
        <f t="shared" si="0"/>
        <v>0</v>
      </c>
      <c r="W14" s="62" t="s">
        <v>45</v>
      </c>
      <c r="AM14" s="59" t="s">
        <v>46</v>
      </c>
      <c r="AN14" s="62" t="s">
        <v>45</v>
      </c>
    </row>
    <row r="15" spans="1:41">
      <c r="A15" s="167">
        <v>9</v>
      </c>
      <c r="B15" s="62" t="s">
        <v>47</v>
      </c>
      <c r="C15" s="61">
        <f>+C9-C10-C14</f>
        <v>0</v>
      </c>
      <c r="D15" s="61"/>
      <c r="E15" s="61"/>
      <c r="F15" s="61"/>
      <c r="G15" s="61"/>
      <c r="H15" s="61">
        <f t="shared" ref="H15:K15" si="4">+H9-H10-H14</f>
        <v>0</v>
      </c>
      <c r="I15" s="61">
        <f t="shared" si="4"/>
        <v>0</v>
      </c>
      <c r="J15" s="61">
        <f t="shared" si="4"/>
        <v>0</v>
      </c>
      <c r="K15" s="61">
        <f t="shared" si="4"/>
        <v>0</v>
      </c>
      <c r="L15" s="61">
        <f t="shared" si="0"/>
        <v>0</v>
      </c>
      <c r="W15" s="62" t="s">
        <v>47</v>
      </c>
      <c r="AM15" s="59" t="s">
        <v>48</v>
      </c>
      <c r="AN15" s="62" t="s">
        <v>47</v>
      </c>
    </row>
    <row r="16" spans="1:41">
      <c r="A16" s="167">
        <v>10</v>
      </c>
      <c r="B16" s="59" t="s">
        <v>49</v>
      </c>
      <c r="C16" s="63" t="e">
        <f>+C15/C9</f>
        <v>#DIV/0!</v>
      </c>
      <c r="D16" s="63"/>
      <c r="E16" s="63"/>
      <c r="F16" s="63"/>
      <c r="G16" s="63"/>
      <c r="H16" s="63" t="e">
        <f t="shared" ref="H16:L16" si="5">+H15/H9</f>
        <v>#DIV/0!</v>
      </c>
      <c r="I16" s="63" t="e">
        <f t="shared" si="5"/>
        <v>#DIV/0!</v>
      </c>
      <c r="J16" s="63" t="e">
        <f t="shared" si="5"/>
        <v>#DIV/0!</v>
      </c>
      <c r="K16" s="63" t="e">
        <f t="shared" si="5"/>
        <v>#DIV/0!</v>
      </c>
      <c r="L16" s="63" t="e">
        <f t="shared" si="5"/>
        <v>#DIV/0!</v>
      </c>
      <c r="W16" s="59" t="s">
        <v>49</v>
      </c>
      <c r="AM16" s="59" t="s">
        <v>50</v>
      </c>
      <c r="AN16" s="59" t="s">
        <v>49</v>
      </c>
    </row>
    <row r="17" spans="1:41">
      <c r="A17" s="167">
        <v>11</v>
      </c>
      <c r="B17" s="59" t="s">
        <v>51</v>
      </c>
      <c r="C17" s="61" t="e">
        <f>C6*C43+C18</f>
        <v>#DIV/0!</v>
      </c>
      <c r="D17" s="61"/>
      <c r="E17" s="61"/>
      <c r="F17" s="61"/>
      <c r="G17" s="61"/>
      <c r="H17" s="61" t="e">
        <f>H6*H43+H18</f>
        <v>#DIV/0!</v>
      </c>
      <c r="I17" s="61" t="e">
        <f>I6*I43+I18</f>
        <v>#DIV/0!</v>
      </c>
      <c r="J17" s="61" t="e">
        <f>J6*J43+J18</f>
        <v>#DIV/0!</v>
      </c>
      <c r="K17" s="61" t="e">
        <f>K6*K43+K18</f>
        <v>#DIV/0!</v>
      </c>
      <c r="L17" s="61" t="e">
        <f>SUM(C17:K17)</f>
        <v>#DIV/0!</v>
      </c>
      <c r="M17" s="76"/>
      <c r="W17" s="59" t="s">
        <v>51</v>
      </c>
      <c r="AM17" s="59" t="s">
        <v>52</v>
      </c>
      <c r="AN17" s="59" t="s">
        <v>51</v>
      </c>
    </row>
    <row r="18" spans="1:41" s="53" customFormat="1">
      <c r="A18" s="167">
        <v>12</v>
      </c>
      <c r="B18" s="64" t="s">
        <v>158</v>
      </c>
      <c r="C18" s="65" t="e">
        <f>$L$18/$L$6*C6</f>
        <v>#DIV/0!</v>
      </c>
      <c r="D18" s="65"/>
      <c r="E18" s="65"/>
      <c r="F18" s="65"/>
      <c r="G18" s="65"/>
      <c r="H18" s="65" t="e">
        <f>$L$18/$L$6*H6</f>
        <v>#DIV/0!</v>
      </c>
      <c r="I18" s="65" t="e">
        <f>$L$18/$L$6*I6</f>
        <v>#DIV/0!</v>
      </c>
      <c r="J18" s="65" t="e">
        <f>$L$18/$L$6*J6</f>
        <v>#DIV/0!</v>
      </c>
      <c r="K18" s="65" t="e">
        <f>$L$18/$L$6*K6</f>
        <v>#DIV/0!</v>
      </c>
      <c r="L18" s="65">
        <f>项目投资!H26</f>
        <v>0</v>
      </c>
      <c r="M18" s="77" t="s">
        <v>159</v>
      </c>
      <c r="N18" s="77"/>
      <c r="O18" s="77"/>
    </row>
    <row r="19" spans="1:41">
      <c r="A19" s="167">
        <v>13</v>
      </c>
      <c r="B19" s="59" t="s">
        <v>53</v>
      </c>
      <c r="C19" s="61">
        <f>C6*C44</f>
        <v>0</v>
      </c>
      <c r="D19" s="61"/>
      <c r="E19" s="61"/>
      <c r="F19" s="61"/>
      <c r="G19" s="61"/>
      <c r="H19" s="61">
        <f>H6*H44</f>
        <v>0</v>
      </c>
      <c r="I19" s="61">
        <f>I6*I44</f>
        <v>0</v>
      </c>
      <c r="J19" s="61">
        <f>J6*J44</f>
        <v>0</v>
      </c>
      <c r="K19" s="61">
        <f>K6*K44</f>
        <v>0</v>
      </c>
      <c r="L19" s="61">
        <f>SUM(C19:K19)</f>
        <v>0</v>
      </c>
      <c r="M19" s="53"/>
      <c r="W19" s="59" t="s">
        <v>53</v>
      </c>
      <c r="AM19" s="59" t="s">
        <v>54</v>
      </c>
      <c r="AN19" s="59" t="s">
        <v>53</v>
      </c>
      <c r="AO19" s="55" t="s">
        <v>27</v>
      </c>
    </row>
    <row r="20" spans="1:41">
      <c r="A20" s="167">
        <v>14</v>
      </c>
      <c r="B20" s="59" t="s">
        <v>55</v>
      </c>
      <c r="C20" s="61">
        <f>C6*C45</f>
        <v>0</v>
      </c>
      <c r="D20" s="61"/>
      <c r="E20" s="61"/>
      <c r="F20" s="61"/>
      <c r="G20" s="61"/>
      <c r="H20" s="61">
        <f>H6*H45</f>
        <v>0</v>
      </c>
      <c r="I20" s="61">
        <f>I6*I45</f>
        <v>0</v>
      </c>
      <c r="J20" s="61">
        <f>J6*J45</f>
        <v>0</v>
      </c>
      <c r="K20" s="61">
        <f>K6*K45</f>
        <v>0</v>
      </c>
      <c r="L20" s="61">
        <f>SUM(C20:K20)</f>
        <v>0</v>
      </c>
      <c r="W20" s="59" t="s">
        <v>55</v>
      </c>
      <c r="AM20" s="59" t="s">
        <v>56</v>
      </c>
      <c r="AN20" s="59" t="s">
        <v>55</v>
      </c>
    </row>
    <row r="21" spans="1:41">
      <c r="A21" s="167">
        <v>15</v>
      </c>
      <c r="B21" s="59" t="s">
        <v>57</v>
      </c>
      <c r="C21" s="66" t="e">
        <f>$L$21/$L$6*C6</f>
        <v>#DIV/0!</v>
      </c>
      <c r="D21" s="66"/>
      <c r="E21" s="66"/>
      <c r="F21" s="66"/>
      <c r="G21" s="66"/>
      <c r="H21" s="66" t="e">
        <f>$L$21/$L$6*H6</f>
        <v>#DIV/0!</v>
      </c>
      <c r="I21" s="66" t="e">
        <f>$L$21/$L$6*I6</f>
        <v>#DIV/0!</v>
      </c>
      <c r="J21" s="66" t="e">
        <f>$L$21/$L$6*J6</f>
        <v>#DIV/0!</v>
      </c>
      <c r="K21" s="66" t="e">
        <f>$L$21/$L$6*K6</f>
        <v>#DIV/0!</v>
      </c>
      <c r="L21" s="61">
        <f>项目投资!H27</f>
        <v>0</v>
      </c>
      <c r="W21" s="59" t="s">
        <v>57</v>
      </c>
      <c r="AM21" s="59"/>
      <c r="AN21" s="59"/>
    </row>
    <row r="22" spans="1:41">
      <c r="A22" s="167">
        <v>16</v>
      </c>
      <c r="B22" s="59" t="s">
        <v>58</v>
      </c>
      <c r="C22" s="61">
        <f>C6*C47</f>
        <v>0</v>
      </c>
      <c r="D22" s="61"/>
      <c r="E22" s="61"/>
      <c r="F22" s="61"/>
      <c r="G22" s="61"/>
      <c r="H22" s="61">
        <f>H6*H47</f>
        <v>0</v>
      </c>
      <c r="I22" s="61">
        <f>I6*I47</f>
        <v>0</v>
      </c>
      <c r="J22" s="61">
        <f>J6*J47</f>
        <v>0</v>
      </c>
      <c r="K22" s="61">
        <f>K6*K47</f>
        <v>0</v>
      </c>
      <c r="L22" s="61">
        <f>+SUM(C22:K22)</f>
        <v>0</v>
      </c>
      <c r="W22" s="59" t="s">
        <v>58</v>
      </c>
      <c r="AM22" s="59" t="s">
        <v>59</v>
      </c>
      <c r="AN22" s="59" t="s">
        <v>58</v>
      </c>
    </row>
    <row r="23" spans="1:41">
      <c r="A23" s="167">
        <v>17</v>
      </c>
      <c r="B23" s="62" t="s">
        <v>60</v>
      </c>
      <c r="C23" s="66" t="e">
        <f>+C22+C21+C20+C19+C17</f>
        <v>#DIV/0!</v>
      </c>
      <c r="D23" s="66"/>
      <c r="E23" s="66"/>
      <c r="F23" s="66"/>
      <c r="G23" s="66"/>
      <c r="H23" s="66" t="e">
        <f>+H22+H21+H20+H19+H17</f>
        <v>#DIV/0!</v>
      </c>
      <c r="I23" s="66" t="e">
        <f>+I22+I21+I20+I19+I17</f>
        <v>#DIV/0!</v>
      </c>
      <c r="J23" s="66" t="e">
        <f>+J22+J21+J20+J19+J17</f>
        <v>#DIV/0!</v>
      </c>
      <c r="K23" s="66" t="e">
        <f>+K22+K21+K20+K19+K17</f>
        <v>#DIV/0!</v>
      </c>
      <c r="L23" s="66" t="e">
        <f t="shared" ref="L23" si="6">+L22+L21+L20+L19+L17</f>
        <v>#DIV/0!</v>
      </c>
      <c r="W23" s="62" t="s">
        <v>60</v>
      </c>
      <c r="AM23" s="59" t="s">
        <v>61</v>
      </c>
      <c r="AN23" s="62" t="s">
        <v>60</v>
      </c>
    </row>
    <row r="24" spans="1:41">
      <c r="A24" s="167">
        <v>18</v>
      </c>
      <c r="B24" s="67" t="s">
        <v>62</v>
      </c>
      <c r="C24" s="66" t="e">
        <f>+C15-C23</f>
        <v>#DIV/0!</v>
      </c>
      <c r="D24" s="66"/>
      <c r="E24" s="66"/>
      <c r="F24" s="66"/>
      <c r="G24" s="66"/>
      <c r="H24" s="66" t="e">
        <f>+H15-H23</f>
        <v>#DIV/0!</v>
      </c>
      <c r="I24" s="66" t="e">
        <f>+I15-I23</f>
        <v>#DIV/0!</v>
      </c>
      <c r="J24" s="66" t="e">
        <f>+J15-J23</f>
        <v>#DIV/0!</v>
      </c>
      <c r="K24" s="66" t="e">
        <f>+K15-K23</f>
        <v>#DIV/0!</v>
      </c>
      <c r="L24" s="66" t="e">
        <f t="shared" ref="L24" si="7">+L15-L23</f>
        <v>#DIV/0!</v>
      </c>
      <c r="N24" s="78"/>
      <c r="W24" s="59" t="s">
        <v>62</v>
      </c>
      <c r="AM24" s="59" t="s">
        <v>63</v>
      </c>
      <c r="AN24" s="59" t="s">
        <v>62</v>
      </c>
    </row>
    <row r="25" spans="1:41">
      <c r="A25" s="167">
        <v>19</v>
      </c>
      <c r="B25" s="59" t="s">
        <v>160</v>
      </c>
      <c r="C25" s="66" t="e">
        <f>IF(C24&lt;0,0,C24*0.25)</f>
        <v>#DIV/0!</v>
      </c>
      <c r="D25" s="66"/>
      <c r="E25" s="66"/>
      <c r="F25" s="66"/>
      <c r="G25" s="66"/>
      <c r="H25" s="66" t="e">
        <f>IF(H24&lt;0,0,H24*0.25)</f>
        <v>#DIV/0!</v>
      </c>
      <c r="I25" s="66" t="e">
        <f>IF(I24&lt;0,0,I24*0.25)</f>
        <v>#DIV/0!</v>
      </c>
      <c r="J25" s="66" t="e">
        <f>IF(J24&lt;0,0,J24*0.25)</f>
        <v>#DIV/0!</v>
      </c>
      <c r="K25" s="66" t="e">
        <f>IF(K24&lt;0,0,K24*0.25)</f>
        <v>#DIV/0!</v>
      </c>
      <c r="L25" s="66" t="e">
        <f t="shared" ref="L25" si="8">IF(L24&lt;0,0,L24*0.25)</f>
        <v>#DIV/0!</v>
      </c>
      <c r="M25" s="74"/>
      <c r="N25" s="74"/>
      <c r="O25" s="74"/>
      <c r="W25" s="59" t="s">
        <v>64</v>
      </c>
      <c r="AM25" s="59" t="s">
        <v>65</v>
      </c>
      <c r="AN25" s="59" t="s">
        <v>64</v>
      </c>
    </row>
    <row r="26" spans="1:41">
      <c r="A26" s="167">
        <v>20</v>
      </c>
      <c r="B26" s="59" t="s">
        <v>66</v>
      </c>
      <c r="C26" s="66" t="e">
        <f t="shared" ref="C26" si="9">C24-C25</f>
        <v>#DIV/0!</v>
      </c>
      <c r="D26" s="66"/>
      <c r="E26" s="66"/>
      <c r="F26" s="66"/>
      <c r="G26" s="66"/>
      <c r="H26" s="66" t="e">
        <f>H24-H25</f>
        <v>#DIV/0!</v>
      </c>
      <c r="I26" s="66" t="e">
        <f>I24-I25</f>
        <v>#DIV/0!</v>
      </c>
      <c r="J26" s="66" t="e">
        <f>J24-J25</f>
        <v>#DIV/0!</v>
      </c>
      <c r="K26" s="66" t="e">
        <f>K24-K25</f>
        <v>#DIV/0!</v>
      </c>
      <c r="L26" s="61" t="e">
        <f>+SUM(C26:K26)</f>
        <v>#DIV/0!</v>
      </c>
      <c r="M26" s="74"/>
      <c r="N26" s="74"/>
      <c r="O26" s="74"/>
      <c r="W26" s="59" t="s">
        <v>66</v>
      </c>
      <c r="AM26" s="59" t="s">
        <v>67</v>
      </c>
      <c r="AN26" s="59" t="s">
        <v>66</v>
      </c>
    </row>
    <row r="27" spans="1:41">
      <c r="A27" s="167">
        <v>21</v>
      </c>
      <c r="B27" s="59" t="s">
        <v>70</v>
      </c>
      <c r="C27" s="68" t="e">
        <f t="shared" ref="C27:L27" si="10">C26/C7</f>
        <v>#DIV/0!</v>
      </c>
      <c r="D27" s="68"/>
      <c r="E27" s="68"/>
      <c r="F27" s="68"/>
      <c r="G27" s="68"/>
      <c r="H27" s="68" t="e">
        <f t="shared" si="10"/>
        <v>#DIV/0!</v>
      </c>
      <c r="I27" s="68" t="e">
        <f t="shared" si="10"/>
        <v>#DIV/0!</v>
      </c>
      <c r="J27" s="68" t="e">
        <f t="shared" si="10"/>
        <v>#DIV/0!</v>
      </c>
      <c r="K27" s="68" t="e">
        <f t="shared" si="10"/>
        <v>#DIV/0!</v>
      </c>
      <c r="L27" s="68" t="e">
        <f t="shared" si="10"/>
        <v>#DIV/0!</v>
      </c>
      <c r="M27" s="74"/>
      <c r="N27" s="74"/>
      <c r="O27" s="74"/>
      <c r="W27" s="59" t="s">
        <v>70</v>
      </c>
      <c r="AM27" s="59" t="s">
        <v>69</v>
      </c>
      <c r="AN27" s="59" t="s">
        <v>70</v>
      </c>
    </row>
    <row r="28" spans="1:41">
      <c r="M28" s="74"/>
      <c r="N28" s="74"/>
      <c r="O28" s="74"/>
      <c r="W28" s="59"/>
    </row>
    <row r="29" spans="1:41">
      <c r="A29" s="55" t="s">
        <v>71</v>
      </c>
      <c r="L29" s="56" t="s">
        <v>161</v>
      </c>
      <c r="M29" s="74"/>
      <c r="N29" s="74"/>
      <c r="O29" s="74"/>
      <c r="W29" s="59"/>
      <c r="AM29" s="55" t="s">
        <v>71</v>
      </c>
    </row>
    <row r="30" spans="1:41">
      <c r="A30" s="59" t="s">
        <v>76</v>
      </c>
      <c r="B30" s="62" t="s">
        <v>77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4"/>
      <c r="N30" s="74"/>
      <c r="O30" s="74"/>
      <c r="Q30" s="74"/>
      <c r="W30" s="62" t="s">
        <v>77</v>
      </c>
      <c r="AM30" s="59" t="s">
        <v>78</v>
      </c>
      <c r="AN30" s="62" t="s">
        <v>77</v>
      </c>
    </row>
    <row r="31" spans="1:41">
      <c r="A31" s="167">
        <v>1</v>
      </c>
      <c r="B31" s="64" t="s">
        <v>79</v>
      </c>
      <c r="C31" s="70">
        <f>销量!C8</f>
        <v>2840</v>
      </c>
      <c r="D31" s="70"/>
      <c r="E31" s="70"/>
      <c r="F31" s="70"/>
      <c r="G31" s="70"/>
      <c r="H31" s="70">
        <f>销量!D8</f>
        <v>2140</v>
      </c>
      <c r="I31" s="70">
        <f>销量!E8</f>
        <v>2140</v>
      </c>
      <c r="J31" s="70">
        <f>销量!J8</f>
        <v>2180</v>
      </c>
      <c r="K31" s="70">
        <f>销量!K8</f>
        <v>920</v>
      </c>
      <c r="L31" s="66"/>
      <c r="M31" s="74"/>
      <c r="N31" s="74"/>
      <c r="O31" s="74"/>
      <c r="Q31" s="74"/>
      <c r="W31" s="59" t="s">
        <v>79</v>
      </c>
      <c r="AM31" s="59" t="s">
        <v>29</v>
      </c>
      <c r="AN31" s="59" t="s">
        <v>79</v>
      </c>
    </row>
    <row r="32" spans="1:41">
      <c r="A32" s="167">
        <v>2</v>
      </c>
      <c r="B32" s="59" t="s">
        <v>162</v>
      </c>
      <c r="C32" s="61" t="e">
        <f>C9/C6</f>
        <v>#DIV/0!</v>
      </c>
      <c r="D32" s="61"/>
      <c r="E32" s="61"/>
      <c r="F32" s="61"/>
      <c r="G32" s="61"/>
      <c r="H32" s="61" t="e">
        <f>H9/H6</f>
        <v>#DIV/0!</v>
      </c>
      <c r="I32" s="61">
        <f t="shared" ref="I32:K32" si="11">I31*1</f>
        <v>2140</v>
      </c>
      <c r="J32" s="61">
        <f t="shared" si="11"/>
        <v>2180</v>
      </c>
      <c r="K32" s="61">
        <f t="shared" si="11"/>
        <v>920</v>
      </c>
      <c r="L32" s="66"/>
      <c r="M32" s="74"/>
      <c r="N32" s="74"/>
      <c r="O32" s="74"/>
      <c r="P32" s="74"/>
      <c r="Q32" s="74"/>
      <c r="R32" s="74"/>
      <c r="S32" s="74"/>
      <c r="AM32" s="59"/>
      <c r="AN32" s="59"/>
    </row>
    <row r="33" spans="1:40">
      <c r="A33" s="167">
        <v>3</v>
      </c>
      <c r="B33" s="64" t="s">
        <v>80</v>
      </c>
      <c r="C33" s="61">
        <f>材料成本!L39</f>
        <v>0</v>
      </c>
      <c r="D33" s="61"/>
      <c r="E33" s="61"/>
      <c r="F33" s="61"/>
      <c r="G33" s="61"/>
      <c r="H33" s="61">
        <f>材料成本!L40</f>
        <v>0</v>
      </c>
      <c r="I33" s="61">
        <f>材料成本!J33</f>
        <v>986.99999999999989</v>
      </c>
      <c r="J33" s="61">
        <f>材料成本!K33</f>
        <v>1526</v>
      </c>
      <c r="K33" s="61">
        <f>材料成本!L33</f>
        <v>644</v>
      </c>
      <c r="L33" s="66"/>
      <c r="N33" s="74"/>
      <c r="O33" s="74"/>
      <c r="P33" s="74"/>
      <c r="Q33" s="74"/>
      <c r="R33" s="74"/>
      <c r="S33" s="74"/>
      <c r="W33" s="59" t="s">
        <v>80</v>
      </c>
      <c r="AM33" s="59" t="s">
        <v>31</v>
      </c>
      <c r="AN33" s="59" t="s">
        <v>80</v>
      </c>
    </row>
    <row r="34" spans="1:40" ht="17.25" customHeight="1">
      <c r="A34" s="167">
        <v>4</v>
      </c>
      <c r="B34" s="59" t="s">
        <v>82</v>
      </c>
      <c r="C34" s="71" t="e">
        <f>C32-C33</f>
        <v>#DIV/0!</v>
      </c>
      <c r="D34" s="71"/>
      <c r="E34" s="71"/>
      <c r="F34" s="71"/>
      <c r="G34" s="71"/>
      <c r="H34" s="71" t="e">
        <f t="shared" ref="H34:K34" si="12">H32-H33</f>
        <v>#DIV/0!</v>
      </c>
      <c r="I34" s="71">
        <f t="shared" si="12"/>
        <v>1153</v>
      </c>
      <c r="J34" s="71">
        <f t="shared" si="12"/>
        <v>654</v>
      </c>
      <c r="K34" s="71">
        <f t="shared" si="12"/>
        <v>276</v>
      </c>
      <c r="L34" s="66"/>
      <c r="N34" s="74"/>
      <c r="O34" s="74"/>
      <c r="P34" s="74"/>
      <c r="Q34" s="74"/>
      <c r="R34" s="74"/>
      <c r="S34" s="74"/>
      <c r="W34" s="59" t="s">
        <v>82</v>
      </c>
      <c r="AM34" s="59" t="s">
        <v>81</v>
      </c>
      <c r="AN34" s="59" t="s">
        <v>82</v>
      </c>
    </row>
    <row r="35" spans="1:40">
      <c r="A35" s="59" t="s">
        <v>78</v>
      </c>
      <c r="B35" s="62" t="s">
        <v>10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62" t="s">
        <v>10</v>
      </c>
      <c r="AM35" s="59" t="s">
        <v>84</v>
      </c>
      <c r="AN35" s="62" t="s">
        <v>10</v>
      </c>
    </row>
    <row r="36" spans="1:40">
      <c r="A36" s="167">
        <v>1</v>
      </c>
      <c r="B36" s="59" t="s">
        <v>85</v>
      </c>
      <c r="C36" s="65">
        <f>标准成本!E4</f>
        <v>39.652000000000001</v>
      </c>
      <c r="D36" s="65"/>
      <c r="E36" s="65"/>
      <c r="F36" s="65"/>
      <c r="G36" s="65"/>
      <c r="H36" s="65">
        <f>C36</f>
        <v>39.652000000000001</v>
      </c>
      <c r="I36" s="65">
        <f t="shared" ref="I36:K38" si="13">H36</f>
        <v>39.652000000000001</v>
      </c>
      <c r="J36" s="65">
        <f t="shared" si="13"/>
        <v>39.652000000000001</v>
      </c>
      <c r="K36" s="65">
        <f t="shared" si="13"/>
        <v>39.652000000000001</v>
      </c>
      <c r="L36" s="70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59" t="s">
        <v>85</v>
      </c>
      <c r="AM36" s="59" t="s">
        <v>81</v>
      </c>
      <c r="AN36" s="59" t="s">
        <v>85</v>
      </c>
    </row>
    <row r="37" spans="1:40">
      <c r="A37" s="167">
        <v>2</v>
      </c>
      <c r="B37" s="59" t="s">
        <v>86</v>
      </c>
      <c r="C37" s="65">
        <f>标准成本!E6</f>
        <v>19.964000000000002</v>
      </c>
      <c r="D37" s="65"/>
      <c r="E37" s="65"/>
      <c r="F37" s="65"/>
      <c r="G37" s="65"/>
      <c r="H37" s="65">
        <f>C37</f>
        <v>19.964000000000002</v>
      </c>
      <c r="I37" s="65">
        <f t="shared" si="13"/>
        <v>19.964000000000002</v>
      </c>
      <c r="J37" s="65">
        <f t="shared" si="13"/>
        <v>19.964000000000002</v>
      </c>
      <c r="K37" s="65">
        <f t="shared" si="13"/>
        <v>19.964000000000002</v>
      </c>
      <c r="L37" s="70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59" t="s">
        <v>86</v>
      </c>
      <c r="AM37" s="59" t="s">
        <v>34</v>
      </c>
      <c r="AN37" s="59" t="s">
        <v>86</v>
      </c>
    </row>
    <row r="38" spans="1:40">
      <c r="A38" s="167">
        <v>3</v>
      </c>
      <c r="B38" s="59" t="s">
        <v>87</v>
      </c>
      <c r="C38" s="65">
        <f>标准成本!E10</f>
        <v>29.44</v>
      </c>
      <c r="D38" s="65"/>
      <c r="E38" s="65"/>
      <c r="F38" s="65"/>
      <c r="G38" s="65"/>
      <c r="H38" s="65">
        <f>C38</f>
        <v>29.44</v>
      </c>
      <c r="I38" s="65">
        <f t="shared" si="13"/>
        <v>29.44</v>
      </c>
      <c r="J38" s="65">
        <f t="shared" si="13"/>
        <v>29.44</v>
      </c>
      <c r="K38" s="65">
        <f t="shared" si="13"/>
        <v>29.44</v>
      </c>
      <c r="L38" s="70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59" t="s">
        <v>87</v>
      </c>
      <c r="AM38" s="59" t="s">
        <v>40</v>
      </c>
      <c r="AN38" s="59" t="s">
        <v>87</v>
      </c>
    </row>
    <row r="39" spans="1:40">
      <c r="A39" s="59" t="s">
        <v>84</v>
      </c>
      <c r="B39" s="62" t="s">
        <v>89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W39" s="62" t="s">
        <v>89</v>
      </c>
      <c r="AM39" s="59" t="s">
        <v>88</v>
      </c>
      <c r="AN39" s="62" t="s">
        <v>89</v>
      </c>
    </row>
    <row r="40" spans="1:40">
      <c r="A40" s="167">
        <v>1</v>
      </c>
      <c r="B40" s="59" t="s">
        <v>91</v>
      </c>
      <c r="C40" s="66" t="e">
        <f>C34-C36-C37-C38</f>
        <v>#DIV/0!</v>
      </c>
      <c r="D40" s="66"/>
      <c r="E40" s="66"/>
      <c r="F40" s="66"/>
      <c r="G40" s="66"/>
      <c r="H40" s="66" t="e">
        <f t="shared" ref="H40:K40" si="14">H34-H36-H37-H38</f>
        <v>#DIV/0!</v>
      </c>
      <c r="I40" s="66">
        <f t="shared" si="14"/>
        <v>1063.944</v>
      </c>
      <c r="J40" s="66">
        <f t="shared" si="14"/>
        <v>564.94399999999985</v>
      </c>
      <c r="K40" s="66">
        <f t="shared" si="14"/>
        <v>186.94400000000002</v>
      </c>
      <c r="L40" s="66"/>
      <c r="W40" s="59" t="s">
        <v>91</v>
      </c>
      <c r="AM40" s="59" t="s">
        <v>29</v>
      </c>
      <c r="AN40" s="59" t="s">
        <v>91</v>
      </c>
    </row>
    <row r="41" spans="1:40">
      <c r="A41" s="167">
        <v>2</v>
      </c>
      <c r="B41" s="59" t="s">
        <v>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W41" s="59" t="s">
        <v>92</v>
      </c>
      <c r="AM41" s="59" t="s">
        <v>31</v>
      </c>
      <c r="AN41" s="59" t="s">
        <v>92</v>
      </c>
    </row>
    <row r="42" spans="1:40">
      <c r="A42" s="59" t="s">
        <v>88</v>
      </c>
      <c r="B42" s="62" t="s">
        <v>94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W42" s="62" t="s">
        <v>94</v>
      </c>
      <c r="AM42" s="59" t="s">
        <v>93</v>
      </c>
      <c r="AN42" s="62" t="s">
        <v>94</v>
      </c>
    </row>
    <row r="43" spans="1:40">
      <c r="A43" s="167">
        <v>1</v>
      </c>
      <c r="B43" s="67" t="s">
        <v>95</v>
      </c>
      <c r="C43" s="65">
        <f>标准成本!E5</f>
        <v>37.167999999999999</v>
      </c>
      <c r="D43" s="65"/>
      <c r="E43" s="65"/>
      <c r="F43" s="65"/>
      <c r="G43" s="65"/>
      <c r="H43" s="65">
        <f>C43</f>
        <v>37.167999999999999</v>
      </c>
      <c r="I43" s="65">
        <f t="shared" ref="I43:K45" si="15">H43</f>
        <v>37.167999999999999</v>
      </c>
      <c r="J43" s="65">
        <f t="shared" si="15"/>
        <v>37.167999999999999</v>
      </c>
      <c r="K43" s="65">
        <f t="shared" si="15"/>
        <v>37.167999999999999</v>
      </c>
      <c r="L43" s="66"/>
      <c r="W43" s="59" t="s">
        <v>95</v>
      </c>
      <c r="AM43" s="59" t="s">
        <v>29</v>
      </c>
      <c r="AN43" s="59" t="s">
        <v>95</v>
      </c>
    </row>
    <row r="44" spans="1:40">
      <c r="A44" s="167">
        <v>2</v>
      </c>
      <c r="B44" s="67" t="s">
        <v>96</v>
      </c>
      <c r="C44" s="65">
        <f>标准成本!E9</f>
        <v>4.8760000000000003</v>
      </c>
      <c r="D44" s="65"/>
      <c r="E44" s="65"/>
      <c r="F44" s="65"/>
      <c r="G44" s="65"/>
      <c r="H44" s="65">
        <f>C44</f>
        <v>4.8760000000000003</v>
      </c>
      <c r="I44" s="65">
        <f t="shared" si="15"/>
        <v>4.8760000000000003</v>
      </c>
      <c r="J44" s="65">
        <f t="shared" si="15"/>
        <v>4.8760000000000003</v>
      </c>
      <c r="K44" s="65">
        <f t="shared" si="15"/>
        <v>4.8760000000000003</v>
      </c>
      <c r="L44" s="66"/>
      <c r="W44" s="59" t="s">
        <v>96</v>
      </c>
      <c r="AM44" s="59" t="s">
        <v>31</v>
      </c>
      <c r="AN44" s="59" t="s">
        <v>96</v>
      </c>
    </row>
    <row r="45" spans="1:40">
      <c r="A45" s="167">
        <v>3</v>
      </c>
      <c r="B45" s="67" t="s">
        <v>97</v>
      </c>
      <c r="C45" s="65"/>
      <c r="D45" s="65"/>
      <c r="E45" s="65"/>
      <c r="F45" s="65"/>
      <c r="G45" s="65"/>
      <c r="H45" s="65">
        <f>C45</f>
        <v>0</v>
      </c>
      <c r="I45" s="65">
        <f t="shared" si="15"/>
        <v>0</v>
      </c>
      <c r="J45" s="65">
        <f t="shared" si="15"/>
        <v>0</v>
      </c>
      <c r="K45" s="65">
        <f t="shared" si="15"/>
        <v>0</v>
      </c>
      <c r="L45" s="66"/>
      <c r="W45" s="59" t="s">
        <v>97</v>
      </c>
      <c r="AM45" s="59" t="s">
        <v>81</v>
      </c>
      <c r="AN45" s="59" t="s">
        <v>97</v>
      </c>
    </row>
    <row r="46" spans="1:40" s="54" customFormat="1">
      <c r="A46" s="167">
        <v>4</v>
      </c>
      <c r="B46" s="67" t="s">
        <v>98</v>
      </c>
      <c r="C46" s="72" t="e">
        <f>C21/C6</f>
        <v>#DIV/0!</v>
      </c>
      <c r="D46" s="72"/>
      <c r="E46" s="72"/>
      <c r="F46" s="72"/>
      <c r="G46" s="72"/>
      <c r="H46" s="72" t="e">
        <f>H21/H6</f>
        <v>#DIV/0!</v>
      </c>
      <c r="I46" s="72" t="e">
        <f>I21/I6</f>
        <v>#DIV/0!</v>
      </c>
      <c r="J46" s="72" t="e">
        <f>J21/J6</f>
        <v>#DIV/0!</v>
      </c>
      <c r="K46" s="72" t="e">
        <f>K21/K6</f>
        <v>#DIV/0!</v>
      </c>
      <c r="L46" s="72"/>
      <c r="W46" s="67" t="s">
        <v>100</v>
      </c>
      <c r="AM46" s="67" t="s">
        <v>37</v>
      </c>
      <c r="AN46" s="67" t="s">
        <v>100</v>
      </c>
    </row>
    <row r="47" spans="1:40" s="54" customFormat="1">
      <c r="A47" s="167">
        <v>5</v>
      </c>
      <c r="B47" s="67" t="s">
        <v>100</v>
      </c>
      <c r="C47" s="72">
        <f>标准成本!E11</f>
        <v>27.599999999999998</v>
      </c>
      <c r="D47" s="72"/>
      <c r="E47" s="72"/>
      <c r="F47" s="72"/>
      <c r="G47" s="72"/>
      <c r="H47" s="72">
        <f>C47</f>
        <v>27.599999999999998</v>
      </c>
      <c r="I47" s="72">
        <f>H47</f>
        <v>27.599999999999998</v>
      </c>
      <c r="J47" s="72">
        <f>I47</f>
        <v>27.599999999999998</v>
      </c>
      <c r="K47" s="72">
        <f>J47</f>
        <v>27.599999999999998</v>
      </c>
      <c r="L47" s="72"/>
      <c r="W47" s="67" t="s">
        <v>100</v>
      </c>
      <c r="AM47" s="67" t="s">
        <v>37</v>
      </c>
      <c r="AN47" s="67" t="s">
        <v>100</v>
      </c>
    </row>
    <row r="48" spans="1:40">
      <c r="A48" s="59" t="s">
        <v>93</v>
      </c>
      <c r="B48" s="62" t="s">
        <v>111</v>
      </c>
      <c r="C48" s="66" t="e">
        <f>C40-C43-C44-C45-C47-C46</f>
        <v>#DIV/0!</v>
      </c>
      <c r="D48" s="66"/>
      <c r="E48" s="66"/>
      <c r="F48" s="66"/>
      <c r="G48" s="66"/>
      <c r="H48" s="66" t="e">
        <f>H40-H43-H44-H45-H47-H46</f>
        <v>#DIV/0!</v>
      </c>
      <c r="I48" s="66" t="e">
        <f>I40-I43-I44-I45-I47-I46</f>
        <v>#DIV/0!</v>
      </c>
      <c r="J48" s="66" t="e">
        <f>J40-J43-J44-J45-J47-J46</f>
        <v>#DIV/0!</v>
      </c>
      <c r="K48" s="66" t="e">
        <f>K40-K43-K44-K45-K47-K46</f>
        <v>#DIV/0!</v>
      </c>
      <c r="L48" s="66"/>
      <c r="W48" s="62" t="s">
        <v>111</v>
      </c>
      <c r="AM48" s="59" t="s">
        <v>110</v>
      </c>
      <c r="AN48" s="62" t="s">
        <v>111</v>
      </c>
    </row>
    <row r="51" spans="2:17">
      <c r="C51" s="73"/>
      <c r="D51" s="73"/>
      <c r="E51" s="73"/>
      <c r="F51" s="73"/>
      <c r="G51" s="73"/>
      <c r="H51" s="73"/>
      <c r="I51" s="73"/>
      <c r="J51" s="73"/>
      <c r="K51" s="73"/>
    </row>
    <row r="54" spans="2:17"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4"/>
      <c r="N54" s="74"/>
      <c r="O54" s="74"/>
      <c r="P54" s="74"/>
      <c r="Q54" s="74"/>
    </row>
    <row r="55" spans="2:17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4"/>
      <c r="N55" s="74"/>
      <c r="O55" s="74"/>
      <c r="P55" s="74"/>
      <c r="Q55" s="74"/>
    </row>
    <row r="56" spans="2:17"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4"/>
      <c r="N56" s="74"/>
      <c r="O56" s="74"/>
      <c r="P56" s="74"/>
      <c r="Q56" s="74"/>
    </row>
    <row r="57" spans="2:17"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4"/>
      <c r="N57" s="74"/>
      <c r="O57" s="74"/>
      <c r="P57" s="74"/>
      <c r="Q57" s="74"/>
    </row>
    <row r="58" spans="2:17"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4"/>
      <c r="N58" s="74"/>
      <c r="O58" s="74"/>
      <c r="P58" s="74"/>
      <c r="Q58" s="74"/>
    </row>
    <row r="59" spans="2:17"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4"/>
      <c r="N59" s="74"/>
      <c r="O59" s="74"/>
      <c r="P59" s="74"/>
      <c r="Q59" s="74"/>
    </row>
    <row r="60" spans="2:17"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4"/>
      <c r="N60" s="74"/>
      <c r="O60" s="74"/>
      <c r="P60" s="74"/>
      <c r="Q60" s="74"/>
    </row>
    <row r="61" spans="2:17"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4"/>
      <c r="N61" s="74"/>
      <c r="O61" s="74"/>
      <c r="P61" s="74"/>
      <c r="Q61" s="74"/>
    </row>
    <row r="62" spans="2:17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4"/>
      <c r="N62" s="74"/>
      <c r="O62" s="74"/>
      <c r="P62" s="74"/>
      <c r="Q62" s="74"/>
    </row>
    <row r="63" spans="2:17">
      <c r="B63" s="7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4"/>
      <c r="N63" s="74"/>
      <c r="O63" s="74"/>
      <c r="P63" s="74"/>
      <c r="Q63" s="74"/>
    </row>
    <row r="64" spans="2:17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4"/>
      <c r="N64" s="74"/>
      <c r="O64" s="74"/>
      <c r="P64" s="74"/>
      <c r="Q64" s="74"/>
    </row>
    <row r="65" spans="2:17"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</row>
    <row r="66" spans="2:17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</row>
    <row r="67" spans="2:17"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4"/>
    </row>
    <row r="68" spans="2:17"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2:17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4"/>
    </row>
    <row r="70" spans="2:17"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4"/>
    </row>
    <row r="71" spans="2:17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4"/>
    </row>
    <row r="72" spans="2:17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4"/>
    </row>
    <row r="73" spans="2:17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4"/>
    </row>
    <row r="74" spans="2:17">
      <c r="B74" s="74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5" activePane="bottomRight" state="frozen"/>
      <selection pane="topRight"/>
      <selection pane="bottomLeft"/>
      <selection pane="bottomRight" activeCell="B26" sqref="B26:B27"/>
    </sheetView>
  </sheetViews>
  <sheetFormatPr defaultColWidth="9" defaultRowHeight="13.5"/>
  <cols>
    <col min="1" max="1" width="20.625" customWidth="1"/>
    <col min="2" max="2" width="14.25" style="32" customWidth="1"/>
    <col min="3" max="3" width="13.125" customWidth="1"/>
    <col min="4" max="6" width="14.5" customWidth="1"/>
    <col min="7" max="7" width="19.375" bestFit="1" customWidth="1"/>
    <col min="8" max="8" width="14.5" customWidth="1"/>
    <col min="9" max="9" width="15" customWidth="1"/>
    <col min="10" max="10" width="14.125" customWidth="1"/>
  </cols>
  <sheetData>
    <row r="1" spans="1:8" ht="20.25">
      <c r="A1" s="201" t="s">
        <v>163</v>
      </c>
      <c r="B1" s="201"/>
      <c r="C1" s="201"/>
      <c r="E1" s="202" t="s">
        <v>270</v>
      </c>
      <c r="F1" s="203"/>
      <c r="G1" s="203"/>
      <c r="H1" s="204"/>
    </row>
    <row r="2" spans="1:8" ht="23.45" customHeight="1">
      <c r="A2" s="33" t="s">
        <v>1</v>
      </c>
      <c r="B2" s="34" t="s">
        <v>164</v>
      </c>
      <c r="C2" s="35" t="s">
        <v>165</v>
      </c>
      <c r="E2" s="1" t="s">
        <v>166</v>
      </c>
      <c r="F2" s="1" t="s">
        <v>1</v>
      </c>
      <c r="G2" s="36" t="s">
        <v>167</v>
      </c>
      <c r="H2" s="1" t="s">
        <v>165</v>
      </c>
    </row>
    <row r="3" spans="1:8" ht="15.75" customHeight="1">
      <c r="A3" s="37" t="s">
        <v>168</v>
      </c>
      <c r="B3" s="38"/>
      <c r="C3" s="39"/>
      <c r="E3" s="209" t="s">
        <v>169</v>
      </c>
      <c r="F3" s="2" t="s">
        <v>170</v>
      </c>
      <c r="G3" s="40"/>
      <c r="H3" s="2"/>
    </row>
    <row r="4" spans="1:8" ht="15.75" customHeight="1">
      <c r="A4" s="37" t="s">
        <v>171</v>
      </c>
      <c r="B4" s="38"/>
      <c r="C4" s="41"/>
      <c r="E4" s="210"/>
      <c r="F4" s="2" t="s">
        <v>172</v>
      </c>
      <c r="G4" s="40"/>
      <c r="H4" s="2"/>
    </row>
    <row r="5" spans="1:8" ht="15.75" customHeight="1">
      <c r="A5" s="37" t="s">
        <v>173</v>
      </c>
      <c r="B5" s="42">
        <f>SUM(G3:G4)</f>
        <v>0</v>
      </c>
      <c r="C5" s="39"/>
      <c r="E5" s="211" t="s">
        <v>174</v>
      </c>
      <c r="F5" s="43" t="s">
        <v>175</v>
      </c>
      <c r="G5" s="40">
        <v>65.7</v>
      </c>
      <c r="H5" s="43"/>
    </row>
    <row r="6" spans="1:8" ht="15.75" customHeight="1">
      <c r="A6" s="37" t="s">
        <v>176</v>
      </c>
      <c r="B6" s="38"/>
      <c r="C6" s="39"/>
      <c r="E6" s="212"/>
      <c r="F6" s="43" t="s">
        <v>177</v>
      </c>
      <c r="G6" s="40">
        <v>46</v>
      </c>
      <c r="H6" s="2"/>
    </row>
    <row r="7" spans="1:8" ht="15.75" customHeight="1">
      <c r="A7" s="44" t="s">
        <v>178</v>
      </c>
      <c r="B7" s="42">
        <f>SUM(B3:B6)</f>
        <v>0</v>
      </c>
      <c r="C7" s="39"/>
      <c r="E7" s="212"/>
      <c r="F7" s="43" t="s">
        <v>179</v>
      </c>
      <c r="G7" s="40">
        <v>6.2</v>
      </c>
      <c r="H7" s="2"/>
    </row>
    <row r="8" spans="1:8" ht="15.75" customHeight="1">
      <c r="A8" s="45" t="s">
        <v>180</v>
      </c>
      <c r="B8" s="42">
        <f>SUM(G5:G12)</f>
        <v>144.70000000000002</v>
      </c>
      <c r="C8" s="46"/>
      <c r="E8" s="212"/>
      <c r="F8" s="43" t="s">
        <v>181</v>
      </c>
      <c r="G8" s="40"/>
      <c r="H8" s="2"/>
    </row>
    <row r="9" spans="1:8" ht="15.75" customHeight="1">
      <c r="A9" s="37" t="s">
        <v>182</v>
      </c>
      <c r="B9" s="42">
        <f>SUM(G13:G21)</f>
        <v>38</v>
      </c>
      <c r="C9" s="39"/>
      <c r="E9" s="212"/>
      <c r="F9" s="2" t="s">
        <v>183</v>
      </c>
      <c r="G9" s="40">
        <v>15</v>
      </c>
      <c r="H9" s="169" t="s">
        <v>263</v>
      </c>
    </row>
    <row r="10" spans="1:8" ht="15.75" customHeight="1">
      <c r="A10" s="41" t="s">
        <v>25</v>
      </c>
      <c r="B10" s="42">
        <f>B7+B8+B9</f>
        <v>182.70000000000002</v>
      </c>
      <c r="C10" s="39"/>
      <c r="E10" s="212"/>
      <c r="F10" s="2" t="s">
        <v>184</v>
      </c>
      <c r="G10" s="40">
        <v>11.8</v>
      </c>
      <c r="H10" s="2"/>
    </row>
    <row r="11" spans="1:8" ht="15.75" customHeight="1">
      <c r="E11" s="212"/>
      <c r="F11" s="2" t="s">
        <v>185</v>
      </c>
      <c r="G11" s="40"/>
      <c r="H11" s="2"/>
    </row>
    <row r="12" spans="1:8" ht="15.75" customHeight="1">
      <c r="E12" s="213"/>
      <c r="F12" s="2" t="s">
        <v>186</v>
      </c>
      <c r="G12" s="40"/>
      <c r="H12" s="169" t="s">
        <v>267</v>
      </c>
    </row>
    <row r="13" spans="1:8" ht="15.75" customHeight="1">
      <c r="E13" s="209" t="s">
        <v>57</v>
      </c>
      <c r="F13" s="2" t="s">
        <v>187</v>
      </c>
      <c r="G13" s="40">
        <v>10</v>
      </c>
      <c r="H13" s="47"/>
    </row>
    <row r="14" spans="1:8" ht="15.75" customHeight="1">
      <c r="E14" s="210"/>
      <c r="F14" s="2" t="s">
        <v>188</v>
      </c>
      <c r="G14" s="40"/>
      <c r="H14" s="2"/>
    </row>
    <row r="15" spans="1:8" ht="15.75" customHeight="1">
      <c r="E15" s="210"/>
      <c r="F15" s="2" t="s">
        <v>189</v>
      </c>
      <c r="G15" s="40"/>
      <c r="H15" s="2"/>
    </row>
    <row r="16" spans="1:8" ht="15.75" customHeight="1">
      <c r="E16" s="210"/>
      <c r="F16" s="2" t="s">
        <v>190</v>
      </c>
      <c r="G16" s="40"/>
      <c r="H16" s="2"/>
    </row>
    <row r="17" spans="1:10" ht="15.75" customHeight="1">
      <c r="E17" s="210"/>
      <c r="F17" s="2" t="s">
        <v>191</v>
      </c>
      <c r="G17" s="40"/>
      <c r="H17" s="2"/>
    </row>
    <row r="18" spans="1:10" ht="15.75" customHeight="1">
      <c r="E18" s="210"/>
      <c r="F18" s="2" t="s">
        <v>192</v>
      </c>
      <c r="G18" s="40">
        <v>18</v>
      </c>
      <c r="H18" s="2"/>
    </row>
    <row r="19" spans="1:10" ht="15.75" customHeight="1">
      <c r="E19" s="210"/>
      <c r="F19" s="2" t="s">
        <v>193</v>
      </c>
      <c r="G19" s="40">
        <v>10</v>
      </c>
      <c r="H19" s="2"/>
    </row>
    <row r="20" spans="1:10" ht="15.75" customHeight="1">
      <c r="E20" s="210"/>
      <c r="F20" s="2" t="s">
        <v>194</v>
      </c>
      <c r="G20" s="40"/>
      <c r="H20" s="2"/>
    </row>
    <row r="21" spans="1:10" ht="15.75" customHeight="1">
      <c r="E21" s="214"/>
      <c r="F21" s="2" t="s">
        <v>139</v>
      </c>
      <c r="G21" s="40"/>
      <c r="H21" s="2"/>
    </row>
    <row r="22" spans="1:10" ht="15.75" customHeight="1">
      <c r="E22" s="1" t="s">
        <v>25</v>
      </c>
      <c r="F22" s="2"/>
      <c r="G22" s="36">
        <f>SUM(G3:G21)</f>
        <v>182.70000000000002</v>
      </c>
      <c r="H22" s="2"/>
    </row>
    <row r="23" spans="1:10" ht="30.75" customHeight="1">
      <c r="E23" s="205" t="s">
        <v>195</v>
      </c>
      <c r="F23" s="205"/>
      <c r="G23" s="205"/>
      <c r="H23" s="205"/>
    </row>
    <row r="25" spans="1:10" ht="17.25">
      <c r="A25" s="22" t="s">
        <v>1</v>
      </c>
      <c r="B25" s="22" t="s">
        <v>164</v>
      </c>
      <c r="C25" s="22" t="s">
        <v>196</v>
      </c>
      <c r="D25" s="26" t="s">
        <v>20</v>
      </c>
      <c r="E25" s="26" t="s">
        <v>21</v>
      </c>
      <c r="F25" s="26" t="s">
        <v>197</v>
      </c>
      <c r="G25" s="26" t="s">
        <v>198</v>
      </c>
      <c r="H25" s="26" t="s">
        <v>199</v>
      </c>
      <c r="I25" s="26" t="s">
        <v>25</v>
      </c>
      <c r="J25" s="51" t="s">
        <v>200</v>
      </c>
    </row>
    <row r="26" spans="1:10" ht="16.5">
      <c r="A26" s="48" t="s">
        <v>158</v>
      </c>
      <c r="B26" s="49">
        <f>(B5+B8)*10000</f>
        <v>1447000.0000000002</v>
      </c>
      <c r="C26" s="50">
        <v>0.05</v>
      </c>
      <c r="D26" s="15">
        <f>B26*(1-C26)/3</f>
        <v>458216.66666666674</v>
      </c>
      <c r="E26" s="15">
        <f t="shared" ref="E26:H27" si="0">D26</f>
        <v>458216.66666666674</v>
      </c>
      <c r="F26" s="15">
        <f t="shared" si="0"/>
        <v>458216.66666666674</v>
      </c>
      <c r="G26" s="15">
        <v>0</v>
      </c>
      <c r="H26" s="15">
        <f t="shared" si="0"/>
        <v>0</v>
      </c>
      <c r="I26" s="15">
        <f>SUM(D26:H26)</f>
        <v>1374650.0000000002</v>
      </c>
      <c r="J26" s="15">
        <f>B26*0.05</f>
        <v>72350.000000000015</v>
      </c>
    </row>
    <row r="27" spans="1:10" ht="16.5">
      <c r="A27" s="48" t="s">
        <v>201</v>
      </c>
      <c r="B27" s="49">
        <f>B9*10000</f>
        <v>380000</v>
      </c>
      <c r="C27" s="15"/>
      <c r="D27" s="15">
        <f>B27/3</f>
        <v>126666.66666666667</v>
      </c>
      <c r="E27" s="15">
        <f t="shared" si="0"/>
        <v>126666.66666666667</v>
      </c>
      <c r="F27" s="15">
        <f t="shared" si="0"/>
        <v>126666.66666666667</v>
      </c>
      <c r="G27" s="15">
        <v>0</v>
      </c>
      <c r="H27" s="15">
        <f t="shared" si="0"/>
        <v>0</v>
      </c>
      <c r="I27" s="15">
        <f>SUM(D27:H27)</f>
        <v>380000</v>
      </c>
      <c r="J27" s="15"/>
    </row>
    <row r="28" spans="1:10" ht="16.5">
      <c r="A28" s="206" t="s">
        <v>119</v>
      </c>
      <c r="B28" s="207"/>
      <c r="C28" s="208"/>
      <c r="D28" s="15">
        <f>SUM(D26:D27)</f>
        <v>584883.33333333337</v>
      </c>
      <c r="E28" s="15">
        <f t="shared" ref="E28:H28" si="1">SUM(E26:E27)</f>
        <v>584883.33333333337</v>
      </c>
      <c r="F28" s="15">
        <f t="shared" si="1"/>
        <v>584883.33333333337</v>
      </c>
      <c r="G28" s="15">
        <f t="shared" si="1"/>
        <v>0</v>
      </c>
      <c r="H28" s="15">
        <f t="shared" si="1"/>
        <v>0</v>
      </c>
      <c r="I28" s="52"/>
      <c r="J28" s="5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2021年</vt:lpstr>
      <vt:lpstr>2022年</vt:lpstr>
      <vt:lpstr>2023年</vt:lpstr>
      <vt:lpstr>2024年</vt:lpstr>
      <vt:lpstr>2025年</vt:lpstr>
      <vt:lpstr>项目投资</vt:lpstr>
      <vt:lpstr>销量</vt:lpstr>
      <vt:lpstr>材料成本</vt:lpstr>
      <vt:lpstr>其他</vt:lpstr>
      <vt:lpstr>标准成本</vt:lpstr>
      <vt:lpstr>'2021年'!Print_Area</vt:lpstr>
      <vt:lpstr>'2022年'!Print_Area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2021-08-10T06:43:13Z</cp:lastPrinted>
  <dcterms:created xsi:type="dcterms:W3CDTF">2006-09-13T11:21:00Z</dcterms:created>
  <dcterms:modified xsi:type="dcterms:W3CDTF">2021-08-13T01:10:22Z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