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5\项目\X5000S\"/>
    </mc:Choice>
  </mc:AlternateContent>
  <bookViews>
    <workbookView xWindow="0" yWindow="0" windowWidth="20745" windowHeight="10200" tabRatio="862" activeTab="10"/>
  </bookViews>
  <sheets>
    <sheet name="假设条件" sheetId="34" r:id="rId1"/>
    <sheet name="现金" sheetId="36" state="hidden" r:id="rId2"/>
    <sheet name="损益表" sheetId="56" r:id="rId3"/>
    <sheet name="2025年" sheetId="61" r:id="rId4"/>
    <sheet name="2026年" sheetId="43" r:id="rId5"/>
    <sheet name="2027年" sheetId="57" r:id="rId6"/>
    <sheet name="2028年" sheetId="58" r:id="rId7"/>
    <sheet name="2029年" sheetId="59" r:id="rId8"/>
    <sheet name="2030年" sheetId="60" r:id="rId9"/>
    <sheet name="2031年" sheetId="62" r:id="rId10"/>
    <sheet name="项目投资" sheetId="51" r:id="rId11"/>
    <sheet name="销量" sheetId="55" r:id="rId12"/>
    <sheet name="材料成本" sheetId="53" r:id="rId13"/>
    <sheet name="其他" sheetId="54" r:id="rId14"/>
    <sheet name="标准成本" sheetId="50" r:id="rId15"/>
  </sheets>
  <externalReferences>
    <externalReference r:id="rId16"/>
    <externalReference r:id="rId17"/>
  </externalReferences>
  <definedNames>
    <definedName name="_xlnm.Print_Area" localSheetId="4">'2026年'!$A$1:$E$48</definedName>
    <definedName name="_xlnm.Print_Area" localSheetId="5">'2027年'!$A$1:$E$48</definedName>
    <definedName name="_xlnm.Print_Area" localSheetId="6">'2028年'!$A$1:$E$48</definedName>
    <definedName name="_xlnm.Print_Area" localSheetId="10">项目投资!$A$1:$C$35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62" l="1"/>
  <c r="E18" i="62"/>
  <c r="E21" i="60"/>
  <c r="E18" i="60"/>
  <c r="D28" i="56" l="1"/>
  <c r="E28" i="56"/>
  <c r="F28" i="56"/>
  <c r="G28" i="56"/>
  <c r="H28" i="56"/>
  <c r="I28" i="56"/>
  <c r="C28" i="56"/>
  <c r="D4" i="53"/>
  <c r="E4" i="53"/>
  <c r="D5" i="53"/>
  <c r="E5" i="53"/>
  <c r="C8" i="55"/>
  <c r="C2" i="62"/>
  <c r="C2" i="60"/>
  <c r="C2" i="59"/>
  <c r="C2" i="58"/>
  <c r="C2" i="57"/>
  <c r="C2" i="43"/>
  <c r="C3" i="57"/>
  <c r="C3" i="61"/>
  <c r="C3" i="62" s="1"/>
  <c r="D3" i="61"/>
  <c r="D3" i="59" s="1"/>
  <c r="C4" i="61"/>
  <c r="C4" i="62" s="1"/>
  <c r="D4" i="61"/>
  <c r="D4" i="62" s="1"/>
  <c r="C5" i="61"/>
  <c r="C5" i="60" s="1"/>
  <c r="D5" i="61"/>
  <c r="D5" i="59" s="1"/>
  <c r="C3" i="43" l="1"/>
  <c r="C3" i="58"/>
  <c r="C3" i="59"/>
  <c r="C3" i="60"/>
  <c r="D3" i="58"/>
  <c r="D3" i="62"/>
  <c r="D3" i="57"/>
  <c r="D3" i="60"/>
  <c r="D3" i="43"/>
  <c r="D4" i="43"/>
  <c r="D4" i="57"/>
  <c r="D4" i="58"/>
  <c r="D4" i="59"/>
  <c r="D4" i="60"/>
  <c r="D5" i="57"/>
  <c r="D5" i="60"/>
  <c r="D5" i="58"/>
  <c r="D5" i="62"/>
  <c r="D5" i="43"/>
  <c r="C5" i="43"/>
  <c r="C5" i="59"/>
  <c r="C5" i="58"/>
  <c r="C5" i="62"/>
  <c r="C5" i="57"/>
  <c r="C4" i="43"/>
  <c r="C4" i="57"/>
  <c r="C4" i="58"/>
  <c r="C4" i="59"/>
  <c r="C4" i="60"/>
  <c r="C53" i="50"/>
  <c r="C40" i="50"/>
  <c r="C27" i="50"/>
  <c r="C14" i="50"/>
  <c r="H55" i="50"/>
  <c r="H56" i="50"/>
  <c r="H57" i="50"/>
  <c r="H59" i="50"/>
  <c r="H60" i="50"/>
  <c r="H61" i="50"/>
  <c r="H62" i="50"/>
  <c r="H42" i="50"/>
  <c r="H43" i="50"/>
  <c r="H44" i="50"/>
  <c r="H46" i="50"/>
  <c r="H47" i="50"/>
  <c r="H48" i="50"/>
  <c r="H49" i="50"/>
  <c r="H29" i="50"/>
  <c r="H30" i="50"/>
  <c r="H31" i="50"/>
  <c r="H33" i="50"/>
  <c r="H34" i="50"/>
  <c r="H35" i="50"/>
  <c r="H36" i="50"/>
  <c r="H16" i="50"/>
  <c r="H17" i="50"/>
  <c r="H18" i="50"/>
  <c r="H20" i="50"/>
  <c r="H21" i="50"/>
  <c r="H22" i="50"/>
  <c r="H23" i="50"/>
  <c r="I61" i="50"/>
  <c r="I58" i="50"/>
  <c r="E56" i="50"/>
  <c r="I54" i="50"/>
  <c r="E62" i="50" s="1"/>
  <c r="I48" i="50"/>
  <c r="I45" i="50"/>
  <c r="I41" i="50"/>
  <c r="E42" i="50" s="1"/>
  <c r="I35" i="50"/>
  <c r="I32" i="50"/>
  <c r="I28" i="50"/>
  <c r="E46" i="50" s="1"/>
  <c r="I15" i="50"/>
  <c r="E20" i="50" s="1"/>
  <c r="I13" i="50"/>
  <c r="H7" i="50"/>
  <c r="H58" i="50" s="1"/>
  <c r="I3" i="50"/>
  <c r="E6" i="50" s="1"/>
  <c r="I1" i="50"/>
  <c r="H24" i="53"/>
  <c r="G18" i="55" s="1"/>
  <c r="G19" i="55" s="1"/>
  <c r="G20" i="55" s="1"/>
  <c r="G24" i="53"/>
  <c r="F18" i="55" s="1"/>
  <c r="F19" i="55" s="1"/>
  <c r="F20" i="55" s="1"/>
  <c r="F24" i="53"/>
  <c r="E24" i="53"/>
  <c r="E25" i="53" s="1"/>
  <c r="E26" i="53" s="1"/>
  <c r="E27" i="53" s="1"/>
  <c r="E28" i="53" s="1"/>
  <c r="D24" i="53"/>
  <c r="D25" i="53" s="1"/>
  <c r="D26" i="53" s="1"/>
  <c r="D27" i="53" s="1"/>
  <c r="D28" i="53" s="1"/>
  <c r="C18" i="55"/>
  <c r="C19" i="55" s="1"/>
  <c r="G16" i="55"/>
  <c r="F16" i="55"/>
  <c r="E16" i="55"/>
  <c r="D16" i="55"/>
  <c r="C16" i="55"/>
  <c r="H15" i="55"/>
  <c r="H14" i="55"/>
  <c r="H13" i="55"/>
  <c r="H12" i="55"/>
  <c r="H11" i="55"/>
  <c r="H10" i="55"/>
  <c r="H9" i="55"/>
  <c r="H8" i="55"/>
  <c r="J7" i="55"/>
  <c r="J8" i="55" s="1"/>
  <c r="G22" i="51"/>
  <c r="B9" i="51"/>
  <c r="B27" i="51" s="1"/>
  <c r="D27" i="51" s="1"/>
  <c r="B8" i="51"/>
  <c r="B26" i="51" s="1"/>
  <c r="D26" i="51" s="1"/>
  <c r="B5" i="51"/>
  <c r="B7" i="51" s="1"/>
  <c r="D31" i="62"/>
  <c r="D32" i="62" s="1"/>
  <c r="C31" i="62"/>
  <c r="C32" i="62" s="1"/>
  <c r="D6" i="62"/>
  <c r="C6" i="62"/>
  <c r="D32" i="60"/>
  <c r="C32" i="60"/>
  <c r="D31" i="60"/>
  <c r="C31" i="60"/>
  <c r="D6" i="60"/>
  <c r="C6" i="60"/>
  <c r="C7" i="60" s="1"/>
  <c r="C32" i="59"/>
  <c r="D31" i="59"/>
  <c r="D32" i="59" s="1"/>
  <c r="C31" i="59"/>
  <c r="D6" i="59"/>
  <c r="C6" i="59"/>
  <c r="D31" i="58"/>
  <c r="D32" i="58" s="1"/>
  <c r="C31" i="58"/>
  <c r="C32" i="58" s="1"/>
  <c r="D6" i="58"/>
  <c r="E6" i="58" s="1"/>
  <c r="F4" i="56" s="1"/>
  <c r="C6" i="58"/>
  <c r="D32" i="57"/>
  <c r="D31" i="57"/>
  <c r="C31" i="57"/>
  <c r="C32" i="57" s="1"/>
  <c r="D6" i="57"/>
  <c r="C6" i="57"/>
  <c r="E6" i="57" s="1"/>
  <c r="D33" i="43"/>
  <c r="C33" i="43"/>
  <c r="C32" i="43"/>
  <c r="D31" i="43"/>
  <c r="D32" i="43" s="1"/>
  <c r="C31" i="43"/>
  <c r="D6" i="43"/>
  <c r="E6" i="43" s="1"/>
  <c r="C6" i="43"/>
  <c r="D33" i="61"/>
  <c r="C32" i="61"/>
  <c r="D31" i="61"/>
  <c r="D32" i="61" s="1"/>
  <c r="D34" i="61" s="1"/>
  <c r="C31" i="61"/>
  <c r="E8" i="61"/>
  <c r="C6" i="56" s="1"/>
  <c r="D6" i="61"/>
  <c r="C6" i="61"/>
  <c r="E6" i="61" s="1"/>
  <c r="C4" i="56" s="1"/>
  <c r="J61" i="56"/>
  <c r="D61" i="56"/>
  <c r="D56" i="56"/>
  <c r="J16" i="56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I10" i="36" s="1"/>
  <c r="H11" i="36"/>
  <c r="G11" i="36"/>
  <c r="G10" i="36" s="1"/>
  <c r="F11" i="36"/>
  <c r="E11" i="36"/>
  <c r="D11" i="36"/>
  <c r="C11" i="36"/>
  <c r="D10" i="36"/>
  <c r="D17" i="36" s="1"/>
  <c r="D19" i="36" s="1"/>
  <c r="M9" i="36"/>
  <c r="M8" i="36"/>
  <c r="L7" i="36"/>
  <c r="K7" i="36"/>
  <c r="J7" i="36"/>
  <c r="I7" i="36"/>
  <c r="H7" i="36"/>
  <c r="G7" i="36"/>
  <c r="F7" i="36"/>
  <c r="E7" i="36"/>
  <c r="L6" i="36"/>
  <c r="K6" i="36"/>
  <c r="J6" i="36"/>
  <c r="I6" i="36"/>
  <c r="H6" i="36"/>
  <c r="G6" i="36"/>
  <c r="F6" i="36"/>
  <c r="E6" i="36"/>
  <c r="M6" i="36" s="1"/>
  <c r="L5" i="36"/>
  <c r="K5" i="36"/>
  <c r="J5" i="36"/>
  <c r="I5" i="36"/>
  <c r="H5" i="36"/>
  <c r="G5" i="36"/>
  <c r="F5" i="36"/>
  <c r="E5" i="36"/>
  <c r="D5" i="36"/>
  <c r="C5" i="36"/>
  <c r="D4" i="36"/>
  <c r="E4" i="36" s="1"/>
  <c r="F4" i="36" s="1"/>
  <c r="G4" i="36" s="1"/>
  <c r="H4" i="36" s="1"/>
  <c r="I4" i="36" s="1"/>
  <c r="J4" i="36" s="1"/>
  <c r="K4" i="36" s="1"/>
  <c r="L4" i="36" s="1"/>
  <c r="K8" i="55" l="1"/>
  <c r="J9" i="55"/>
  <c r="H10" i="36"/>
  <c r="H17" i="36" s="1"/>
  <c r="H19" i="36" s="1"/>
  <c r="M13" i="36"/>
  <c r="J10" i="36"/>
  <c r="J17" i="36" s="1"/>
  <c r="J19" i="36" s="1"/>
  <c r="M11" i="36"/>
  <c r="M15" i="36"/>
  <c r="K7" i="55"/>
  <c r="E61" i="50"/>
  <c r="H19" i="50"/>
  <c r="E19" i="50" s="1"/>
  <c r="H32" i="50"/>
  <c r="H45" i="50"/>
  <c r="L10" i="36"/>
  <c r="L17" i="36" s="1"/>
  <c r="L19" i="36" s="1"/>
  <c r="H16" i="55"/>
  <c r="D18" i="55"/>
  <c r="D19" i="55" s="1"/>
  <c r="D20" i="55" s="1"/>
  <c r="E10" i="36"/>
  <c r="M12" i="36"/>
  <c r="E22" i="50"/>
  <c r="D38" i="58" s="1"/>
  <c r="D13" i="58" s="1"/>
  <c r="D34" i="43"/>
  <c r="F10" i="36"/>
  <c r="F17" i="36" s="1"/>
  <c r="F19" i="36" s="1"/>
  <c r="C33" i="57"/>
  <c r="C34" i="57" s="1"/>
  <c r="C33" i="61"/>
  <c r="C34" i="61" s="1"/>
  <c r="I17" i="36"/>
  <c r="I19" i="36" s="1"/>
  <c r="M14" i="36"/>
  <c r="G17" i="36"/>
  <c r="G19" i="36" s="1"/>
  <c r="M7" i="36"/>
  <c r="K10" i="36"/>
  <c r="K17" i="36" s="1"/>
  <c r="K19" i="36" s="1"/>
  <c r="E17" i="36"/>
  <c r="E19" i="36" s="1"/>
  <c r="M5" i="36"/>
  <c r="C10" i="36"/>
  <c r="D33" i="57"/>
  <c r="D10" i="57" s="1"/>
  <c r="C33" i="59"/>
  <c r="C34" i="59" s="1"/>
  <c r="C33" i="62"/>
  <c r="C34" i="62" s="1"/>
  <c r="C33" i="58"/>
  <c r="C10" i="58" s="1"/>
  <c r="C33" i="60"/>
  <c r="C34" i="60" s="1"/>
  <c r="E31" i="50"/>
  <c r="E33" i="50"/>
  <c r="E45" i="50"/>
  <c r="E47" i="50"/>
  <c r="E49" i="50"/>
  <c r="E18" i="55"/>
  <c r="E19" i="55" s="1"/>
  <c r="E20" i="55" s="1"/>
  <c r="H18" i="55"/>
  <c r="E29" i="50"/>
  <c r="E32" i="50"/>
  <c r="E34" i="50"/>
  <c r="E36" i="50"/>
  <c r="E43" i="50"/>
  <c r="E48" i="50"/>
  <c r="E57" i="50"/>
  <c r="E59" i="50"/>
  <c r="E30" i="50"/>
  <c r="E35" i="50"/>
  <c r="E44" i="50"/>
  <c r="E55" i="50"/>
  <c r="E58" i="50"/>
  <c r="E60" i="50"/>
  <c r="H19" i="55"/>
  <c r="H20" i="55" s="1"/>
  <c r="E4" i="50"/>
  <c r="E11" i="50"/>
  <c r="C47" i="57" s="1"/>
  <c r="C22" i="57" s="1"/>
  <c r="E8" i="50"/>
  <c r="C45" i="62" s="1"/>
  <c r="E6" i="60"/>
  <c r="H4" i="56" s="1"/>
  <c r="E6" i="59"/>
  <c r="G4" i="56" s="1"/>
  <c r="C37" i="60"/>
  <c r="C12" i="60" s="1"/>
  <c r="C37" i="58"/>
  <c r="C12" i="58" s="1"/>
  <c r="C37" i="43"/>
  <c r="C12" i="43" s="1"/>
  <c r="C37" i="61"/>
  <c r="C37" i="62"/>
  <c r="C12" i="62" s="1"/>
  <c r="C37" i="59"/>
  <c r="C37" i="57"/>
  <c r="C12" i="57" s="1"/>
  <c r="D45" i="58"/>
  <c r="D20" i="58" s="1"/>
  <c r="D45" i="57"/>
  <c r="D45" i="43"/>
  <c r="D45" i="61"/>
  <c r="D20" i="61" s="1"/>
  <c r="D45" i="62"/>
  <c r="D45" i="60"/>
  <c r="D20" i="60" s="1"/>
  <c r="D45" i="59"/>
  <c r="C20" i="55"/>
  <c r="C45" i="57"/>
  <c r="C20" i="57" s="1"/>
  <c r="E10" i="50"/>
  <c r="C38" i="61" s="1"/>
  <c r="C13" i="61" s="1"/>
  <c r="E7" i="50"/>
  <c r="E16" i="50"/>
  <c r="E21" i="50"/>
  <c r="E17" i="50"/>
  <c r="E18" i="50"/>
  <c r="D37" i="62" s="1"/>
  <c r="D12" i="62" s="1"/>
  <c r="C45" i="59"/>
  <c r="C20" i="59" s="1"/>
  <c r="C45" i="60"/>
  <c r="C20" i="60" s="1"/>
  <c r="E5" i="50"/>
  <c r="E9" i="50"/>
  <c r="E23" i="50"/>
  <c r="D37" i="60"/>
  <c r="D12" i="60" s="1"/>
  <c r="D37" i="57"/>
  <c r="D12" i="57" s="1"/>
  <c r="D37" i="43"/>
  <c r="D12" i="43" s="1"/>
  <c r="D37" i="59"/>
  <c r="D12" i="59" s="1"/>
  <c r="D37" i="58"/>
  <c r="D12" i="58" s="1"/>
  <c r="D37" i="61"/>
  <c r="D12" i="61" s="1"/>
  <c r="D38" i="61"/>
  <c r="D13" i="61" s="1"/>
  <c r="D38" i="57"/>
  <c r="C45" i="43"/>
  <c r="C20" i="43" s="1"/>
  <c r="C45" i="58"/>
  <c r="C20" i="58" s="1"/>
  <c r="C47" i="62"/>
  <c r="C22" i="62" s="1"/>
  <c r="C45" i="61"/>
  <c r="C20" i="61" s="1"/>
  <c r="C58" i="56"/>
  <c r="L26" i="51"/>
  <c r="C57" i="56"/>
  <c r="B10" i="51"/>
  <c r="C7" i="61"/>
  <c r="D7" i="61"/>
  <c r="D9" i="61" s="1"/>
  <c r="C10" i="61"/>
  <c r="C12" i="61"/>
  <c r="D10" i="61"/>
  <c r="D20" i="62"/>
  <c r="E6" i="62"/>
  <c r="D7" i="62"/>
  <c r="C7" i="62"/>
  <c r="C20" i="62"/>
  <c r="D7" i="60"/>
  <c r="E7" i="60" s="1"/>
  <c r="H5" i="56" s="1"/>
  <c r="D7" i="59"/>
  <c r="D20" i="59"/>
  <c r="C7" i="59"/>
  <c r="C12" i="59"/>
  <c r="C7" i="58"/>
  <c r="D7" i="58"/>
  <c r="E4" i="56"/>
  <c r="C7" i="57"/>
  <c r="D7" i="57"/>
  <c r="D20" i="57"/>
  <c r="D20" i="43"/>
  <c r="D4" i="56"/>
  <c r="D7" i="43"/>
  <c r="D10" i="43"/>
  <c r="C34" i="43"/>
  <c r="C7" i="43"/>
  <c r="C10" i="43"/>
  <c r="E10" i="43" s="1"/>
  <c r="D8" i="56" s="1"/>
  <c r="D38" i="60" l="1"/>
  <c r="D38" i="62"/>
  <c r="D13" i="62" s="1"/>
  <c r="D38" i="59"/>
  <c r="D13" i="59" s="1"/>
  <c r="J10" i="55"/>
  <c r="K9" i="55"/>
  <c r="D38" i="43"/>
  <c r="D13" i="43" s="1"/>
  <c r="D34" i="57"/>
  <c r="C10" i="57"/>
  <c r="E10" i="57" s="1"/>
  <c r="E8" i="56" s="1"/>
  <c r="E31" i="56" s="1"/>
  <c r="C10" i="59"/>
  <c r="C10" i="60"/>
  <c r="C34" i="58"/>
  <c r="C17" i="36"/>
  <c r="M10" i="36"/>
  <c r="C10" i="62"/>
  <c r="D33" i="58"/>
  <c r="D33" i="59"/>
  <c r="D33" i="62"/>
  <c r="D33" i="60"/>
  <c r="C47" i="60"/>
  <c r="C22" i="60" s="1"/>
  <c r="C47" i="58"/>
  <c r="C22" i="58" s="1"/>
  <c r="C47" i="43"/>
  <c r="C22" i="43" s="1"/>
  <c r="C47" i="61"/>
  <c r="C22" i="61" s="1"/>
  <c r="C47" i="59"/>
  <c r="C22" i="59" s="1"/>
  <c r="E22" i="59" s="1"/>
  <c r="E20" i="60"/>
  <c r="H18" i="56" s="1"/>
  <c r="H44" i="56" s="1"/>
  <c r="D47" i="61"/>
  <c r="D22" i="61" s="1"/>
  <c r="D47" i="62"/>
  <c r="D22" i="62" s="1"/>
  <c r="D47" i="60"/>
  <c r="D22" i="60" s="1"/>
  <c r="D47" i="59"/>
  <c r="D22" i="59" s="1"/>
  <c r="D47" i="58"/>
  <c r="D22" i="58" s="1"/>
  <c r="D47" i="43"/>
  <c r="D22" i="43" s="1"/>
  <c r="D47" i="57"/>
  <c r="D22" i="57" s="1"/>
  <c r="E22" i="57" s="1"/>
  <c r="D43" i="60"/>
  <c r="D43" i="59"/>
  <c r="D43" i="58"/>
  <c r="D43" i="43"/>
  <c r="D43" i="57"/>
  <c r="D43" i="61"/>
  <c r="D43" i="62"/>
  <c r="E22" i="58"/>
  <c r="F20" i="56" s="1"/>
  <c r="C44" i="57"/>
  <c r="C19" i="57" s="1"/>
  <c r="C44" i="61"/>
  <c r="C19" i="61" s="1"/>
  <c r="C44" i="62"/>
  <c r="C19" i="62" s="1"/>
  <c r="C44" i="60"/>
  <c r="C19" i="60" s="1"/>
  <c r="C44" i="59"/>
  <c r="C19" i="59" s="1"/>
  <c r="E19" i="59" s="1"/>
  <c r="G17" i="56" s="1"/>
  <c r="G43" i="56" s="1"/>
  <c r="C44" i="58"/>
  <c r="C19" i="58" s="1"/>
  <c r="C44" i="43"/>
  <c r="C19" i="43" s="1"/>
  <c r="D44" i="62"/>
  <c r="D19" i="62" s="1"/>
  <c r="D44" i="60"/>
  <c r="D19" i="60" s="1"/>
  <c r="D44" i="59"/>
  <c r="D19" i="59" s="1"/>
  <c r="D44" i="58"/>
  <c r="D19" i="58" s="1"/>
  <c r="D44" i="43"/>
  <c r="D19" i="43" s="1"/>
  <c r="D44" i="57"/>
  <c r="D19" i="57" s="1"/>
  <c r="D44" i="61"/>
  <c r="D19" i="61" s="1"/>
  <c r="C38" i="62"/>
  <c r="C13" i="62" s="1"/>
  <c r="E13" i="62" s="1"/>
  <c r="I11" i="56" s="1"/>
  <c r="C38" i="59"/>
  <c r="C13" i="59" s="1"/>
  <c r="E13" i="59" s="1"/>
  <c r="G11" i="56" s="1"/>
  <c r="G37" i="56" s="1"/>
  <c r="C38" i="57"/>
  <c r="C13" i="57" s="1"/>
  <c r="C38" i="60"/>
  <c r="C13" i="60" s="1"/>
  <c r="C38" i="58"/>
  <c r="C13" i="58" s="1"/>
  <c r="E13" i="58" s="1"/>
  <c r="F11" i="56" s="1"/>
  <c r="C38" i="43"/>
  <c r="C13" i="43" s="1"/>
  <c r="E12" i="60"/>
  <c r="H10" i="56" s="1"/>
  <c r="H36" i="56" s="1"/>
  <c r="C43" i="62"/>
  <c r="C43" i="60"/>
  <c r="C43" i="59"/>
  <c r="C43" i="58"/>
  <c r="C43" i="43"/>
  <c r="C43" i="57"/>
  <c r="C43" i="61"/>
  <c r="D36" i="60"/>
  <c r="D11" i="60" s="1"/>
  <c r="D36" i="58"/>
  <c r="D11" i="58" s="1"/>
  <c r="D14" i="58" s="1"/>
  <c r="D36" i="43"/>
  <c r="D36" i="61"/>
  <c r="D11" i="61" s="1"/>
  <c r="D14" i="61" s="1"/>
  <c r="D15" i="61" s="1"/>
  <c r="D36" i="62"/>
  <c r="D36" i="59"/>
  <c r="D36" i="57"/>
  <c r="D11" i="57" s="1"/>
  <c r="D13" i="57"/>
  <c r="E13" i="57" s="1"/>
  <c r="E11" i="56" s="1"/>
  <c r="E37" i="56" s="1"/>
  <c r="D13" i="60"/>
  <c r="E13" i="60" s="1"/>
  <c r="H11" i="56" s="1"/>
  <c r="H37" i="56" s="1"/>
  <c r="E12" i="58"/>
  <c r="F10" i="56" s="1"/>
  <c r="F36" i="56" s="1"/>
  <c r="E20" i="59"/>
  <c r="G18" i="56" s="1"/>
  <c r="G44" i="56" s="1"/>
  <c r="E12" i="59"/>
  <c r="G10" i="56" s="1"/>
  <c r="G36" i="56" s="1"/>
  <c r="E12" i="43"/>
  <c r="D10" i="56" s="1"/>
  <c r="D36" i="56" s="1"/>
  <c r="E20" i="62"/>
  <c r="I18" i="56" s="1"/>
  <c r="E22" i="62"/>
  <c r="I20" i="56" s="1"/>
  <c r="C56" i="56"/>
  <c r="E18" i="61"/>
  <c r="E26" i="51"/>
  <c r="E18" i="43"/>
  <c r="D28" i="51"/>
  <c r="E21" i="43"/>
  <c r="E21" i="61"/>
  <c r="E27" i="51"/>
  <c r="E13" i="61"/>
  <c r="C11" i="56" s="1"/>
  <c r="E10" i="61"/>
  <c r="C8" i="56" s="1"/>
  <c r="C31" i="56" s="1"/>
  <c r="E7" i="61"/>
  <c r="C5" i="56" s="1"/>
  <c r="C9" i="61"/>
  <c r="E20" i="61"/>
  <c r="C18" i="56" s="1"/>
  <c r="E12" i="61"/>
  <c r="C10" i="56" s="1"/>
  <c r="C36" i="56" s="1"/>
  <c r="E12" i="62"/>
  <c r="I10" i="56" s="1"/>
  <c r="E7" i="62"/>
  <c r="I5" i="56" s="1"/>
  <c r="I4" i="56"/>
  <c r="J4" i="56" s="1"/>
  <c r="E7" i="59"/>
  <c r="G5" i="56" s="1"/>
  <c r="C8" i="58"/>
  <c r="E7" i="58"/>
  <c r="F5" i="56" s="1"/>
  <c r="D8" i="58"/>
  <c r="D9" i="58" s="1"/>
  <c r="E20" i="58"/>
  <c r="F18" i="56" s="1"/>
  <c r="E7" i="57"/>
  <c r="E5" i="56" s="1"/>
  <c r="C8" i="57"/>
  <c r="C9" i="57" s="1"/>
  <c r="E20" i="57"/>
  <c r="E18" i="56" s="1"/>
  <c r="D8" i="57"/>
  <c r="D9" i="57" s="1"/>
  <c r="E12" i="57"/>
  <c r="E10" i="56" s="1"/>
  <c r="E36" i="56" s="1"/>
  <c r="C8" i="43"/>
  <c r="E7" i="43"/>
  <c r="D5" i="56" s="1"/>
  <c r="D8" i="43"/>
  <c r="D9" i="43"/>
  <c r="E20" i="43"/>
  <c r="D18" i="56" s="1"/>
  <c r="D31" i="56"/>
  <c r="D14" i="60" l="1"/>
  <c r="E13" i="43"/>
  <c r="D11" i="56" s="1"/>
  <c r="J11" i="55"/>
  <c r="K10" i="55"/>
  <c r="E8" i="43"/>
  <c r="D6" i="56" s="1"/>
  <c r="E23" i="36"/>
  <c r="C18" i="36"/>
  <c r="D18" i="36" s="1"/>
  <c r="E18" i="36" s="1"/>
  <c r="F18" i="36" s="1"/>
  <c r="G18" i="36" s="1"/>
  <c r="H18" i="36" s="1"/>
  <c r="M17" i="36"/>
  <c r="E22" i="36"/>
  <c r="C19" i="36"/>
  <c r="I37" i="56"/>
  <c r="D10" i="62"/>
  <c r="E10" i="62" s="1"/>
  <c r="I8" i="56" s="1"/>
  <c r="I31" i="56" s="1"/>
  <c r="D34" i="62"/>
  <c r="D40" i="62" s="1"/>
  <c r="D34" i="60"/>
  <c r="D40" i="60" s="1"/>
  <c r="D10" i="60"/>
  <c r="E10" i="60" s="1"/>
  <c r="H8" i="56" s="1"/>
  <c r="H31" i="56" s="1"/>
  <c r="D34" i="58"/>
  <c r="D40" i="58" s="1"/>
  <c r="D10" i="58"/>
  <c r="E10" i="58" s="1"/>
  <c r="F8" i="56" s="1"/>
  <c r="F31" i="56" s="1"/>
  <c r="D34" i="59"/>
  <c r="D10" i="59"/>
  <c r="E10" i="59" s="1"/>
  <c r="G8" i="56" s="1"/>
  <c r="G31" i="56" s="1"/>
  <c r="D14" i="57"/>
  <c r="D15" i="57" s="1"/>
  <c r="D16" i="57" s="1"/>
  <c r="E19" i="43"/>
  <c r="D17" i="56" s="1"/>
  <c r="D43" i="56" s="1"/>
  <c r="E19" i="60"/>
  <c r="H17" i="56" s="1"/>
  <c r="H43" i="56" s="1"/>
  <c r="E22" i="61"/>
  <c r="E22" i="43"/>
  <c r="D20" i="56" s="1"/>
  <c r="D46" i="56" s="1"/>
  <c r="E22" i="60"/>
  <c r="H20" i="56" s="1"/>
  <c r="H46" i="56" s="1"/>
  <c r="E19" i="61"/>
  <c r="C17" i="56" s="1"/>
  <c r="C43" i="56" s="1"/>
  <c r="E19" i="57"/>
  <c r="E17" i="56" s="1"/>
  <c r="E43" i="56" s="1"/>
  <c r="E8" i="58"/>
  <c r="F6" i="56" s="1"/>
  <c r="D40" i="59"/>
  <c r="D11" i="59"/>
  <c r="D14" i="59" s="1"/>
  <c r="D40" i="43"/>
  <c r="D11" i="43"/>
  <c r="D14" i="43" s="1"/>
  <c r="D15" i="43" s="1"/>
  <c r="D16" i="43" s="1"/>
  <c r="D11" i="62"/>
  <c r="D14" i="62" s="1"/>
  <c r="D40" i="61"/>
  <c r="E19" i="58"/>
  <c r="F17" i="56" s="1"/>
  <c r="F43" i="56" s="1"/>
  <c r="E19" i="62"/>
  <c r="I17" i="56" s="1"/>
  <c r="I43" i="56" s="1"/>
  <c r="D40" i="57"/>
  <c r="D18" i="61"/>
  <c r="D17" i="61" s="1"/>
  <c r="C18" i="61"/>
  <c r="C17" i="61" s="1"/>
  <c r="D18" i="43"/>
  <c r="D17" i="43" s="1"/>
  <c r="C18" i="43"/>
  <c r="C17" i="43" s="1"/>
  <c r="F26" i="51"/>
  <c r="E18" i="57"/>
  <c r="F27" i="51"/>
  <c r="E28" i="51"/>
  <c r="E21" i="57"/>
  <c r="C21" i="43"/>
  <c r="D21" i="43"/>
  <c r="D19" i="56"/>
  <c r="D45" i="56" s="1"/>
  <c r="D21" i="61"/>
  <c r="C19" i="56"/>
  <c r="C21" i="61"/>
  <c r="D16" i="61"/>
  <c r="C44" i="56"/>
  <c r="J10" i="56"/>
  <c r="J36" i="56" s="1"/>
  <c r="E9" i="61"/>
  <c r="C7" i="56" s="1"/>
  <c r="C37" i="56"/>
  <c r="C20" i="56"/>
  <c r="I36" i="56"/>
  <c r="I44" i="56"/>
  <c r="I46" i="56"/>
  <c r="G20" i="56"/>
  <c r="F37" i="56"/>
  <c r="F46" i="56"/>
  <c r="F44" i="56"/>
  <c r="C9" i="58"/>
  <c r="E44" i="56"/>
  <c r="E9" i="57"/>
  <c r="E7" i="56" s="1"/>
  <c r="E8" i="57"/>
  <c r="E6" i="56" s="1"/>
  <c r="E20" i="56"/>
  <c r="J5" i="56"/>
  <c r="D7" i="56"/>
  <c r="J11" i="56"/>
  <c r="D37" i="56"/>
  <c r="D44" i="56"/>
  <c r="J18" i="56"/>
  <c r="C9" i="43"/>
  <c r="D8" i="59" l="1"/>
  <c r="D9" i="59" s="1"/>
  <c r="C8" i="59"/>
  <c r="K11" i="55"/>
  <c r="J12" i="55"/>
  <c r="K12" i="55" s="1"/>
  <c r="C20" i="36"/>
  <c r="D20" i="36" s="1"/>
  <c r="E20" i="36" s="1"/>
  <c r="F20" i="36" s="1"/>
  <c r="G20" i="36" s="1"/>
  <c r="H20" i="36" s="1"/>
  <c r="M19" i="36"/>
  <c r="I23" i="36"/>
  <c r="I22" i="36"/>
  <c r="E24" i="36"/>
  <c r="I18" i="36"/>
  <c r="J18" i="36" s="1"/>
  <c r="K18" i="36" s="1"/>
  <c r="L18" i="36" s="1"/>
  <c r="D15" i="58"/>
  <c r="D16" i="58" s="1"/>
  <c r="D15" i="59"/>
  <c r="D16" i="59" s="1"/>
  <c r="J8" i="56"/>
  <c r="J31" i="56" s="1"/>
  <c r="J20" i="56"/>
  <c r="J17" i="56"/>
  <c r="J43" i="56" s="1"/>
  <c r="E17" i="61"/>
  <c r="E18" i="58"/>
  <c r="G26" i="51"/>
  <c r="H26" i="51" s="1"/>
  <c r="E18" i="59"/>
  <c r="C18" i="57"/>
  <c r="C17" i="57" s="1"/>
  <c r="D18" i="57"/>
  <c r="D17" i="57" s="1"/>
  <c r="E17" i="43"/>
  <c r="D46" i="43"/>
  <c r="D48" i="43" s="1"/>
  <c r="D23" i="43"/>
  <c r="D24" i="43" s="1"/>
  <c r="C46" i="61"/>
  <c r="C23" i="61"/>
  <c r="C46" i="43"/>
  <c r="C23" i="43"/>
  <c r="D46" i="61"/>
  <c r="D48" i="61" s="1"/>
  <c r="D23" i="61"/>
  <c r="D24" i="61" s="1"/>
  <c r="E19" i="56"/>
  <c r="E45" i="56" s="1"/>
  <c r="D21" i="57"/>
  <c r="C21" i="57"/>
  <c r="C45" i="56"/>
  <c r="G27" i="51"/>
  <c r="F28" i="51"/>
  <c r="E21" i="59"/>
  <c r="E21" i="58"/>
  <c r="C46" i="56"/>
  <c r="C52" i="56"/>
  <c r="C48" i="56"/>
  <c r="C30" i="56"/>
  <c r="C32" i="56" s="1"/>
  <c r="C33" i="56" s="1"/>
  <c r="C51" i="56"/>
  <c r="C50" i="56"/>
  <c r="G46" i="56"/>
  <c r="E9" i="58"/>
  <c r="F7" i="56" s="1"/>
  <c r="E30" i="56"/>
  <c r="E32" i="56" s="1"/>
  <c r="E33" i="56" s="1"/>
  <c r="E48" i="56"/>
  <c r="E52" i="56"/>
  <c r="E46" i="56"/>
  <c r="E50" i="56"/>
  <c r="E9" i="43"/>
  <c r="D30" i="56"/>
  <c r="D32" i="56" s="1"/>
  <c r="D33" i="56" s="1"/>
  <c r="D51" i="56"/>
  <c r="D52" i="56"/>
  <c r="D50" i="56"/>
  <c r="D48" i="56"/>
  <c r="J46" i="56"/>
  <c r="J44" i="56"/>
  <c r="J37" i="56"/>
  <c r="C8" i="62" l="1"/>
  <c r="D8" i="62"/>
  <c r="D9" i="62" s="1"/>
  <c r="D15" i="62" s="1"/>
  <c r="D16" i="62" s="1"/>
  <c r="D25" i="43"/>
  <c r="D26" i="43" s="1"/>
  <c r="D27" i="43" s="1"/>
  <c r="C8" i="60"/>
  <c r="C9" i="60" s="1"/>
  <c r="D8" i="60"/>
  <c r="E8" i="59"/>
  <c r="G6" i="56" s="1"/>
  <c r="C9" i="59"/>
  <c r="E9" i="59" s="1"/>
  <c r="G7" i="56" s="1"/>
  <c r="G52" i="56" s="1"/>
  <c r="D25" i="61"/>
  <c r="D26" i="61" s="1"/>
  <c r="D27" i="61" s="1"/>
  <c r="I20" i="36"/>
  <c r="J20" i="36" s="1"/>
  <c r="K20" i="36" s="1"/>
  <c r="L20" i="36" s="1"/>
  <c r="I24" i="36"/>
  <c r="K26" i="51"/>
  <c r="E51" i="56"/>
  <c r="C15" i="56"/>
  <c r="E23" i="61"/>
  <c r="D15" i="56"/>
  <c r="E23" i="43"/>
  <c r="C18" i="62"/>
  <c r="C17" i="62" s="1"/>
  <c r="D18" i="62"/>
  <c r="D17" i="62" s="1"/>
  <c r="C18" i="60"/>
  <c r="C17" i="60" s="1"/>
  <c r="D18" i="60"/>
  <c r="D17" i="60" s="1"/>
  <c r="E17" i="57"/>
  <c r="C18" i="59"/>
  <c r="C17" i="59" s="1"/>
  <c r="D18" i="59"/>
  <c r="D17" i="59" s="1"/>
  <c r="C18" i="58"/>
  <c r="C17" i="58" s="1"/>
  <c r="D18" i="58"/>
  <c r="D17" i="58" s="1"/>
  <c r="I19" i="56"/>
  <c r="I21" i="56" s="1"/>
  <c r="C21" i="62"/>
  <c r="D21" i="62"/>
  <c r="F19" i="56"/>
  <c r="D21" i="58"/>
  <c r="C21" i="58"/>
  <c r="C46" i="57"/>
  <c r="C23" i="57"/>
  <c r="H19" i="56"/>
  <c r="H21" i="56" s="1"/>
  <c r="C21" i="60"/>
  <c r="D21" i="60"/>
  <c r="C21" i="59"/>
  <c r="G19" i="56"/>
  <c r="D21" i="59"/>
  <c r="G28" i="51"/>
  <c r="H27" i="51"/>
  <c r="D46" i="57"/>
  <c r="D48" i="57" s="1"/>
  <c r="D23" i="57"/>
  <c r="D24" i="57" s="1"/>
  <c r="D25" i="57" s="1"/>
  <c r="F30" i="56"/>
  <c r="F32" i="56" s="1"/>
  <c r="F33" i="56" s="1"/>
  <c r="F48" i="56"/>
  <c r="F52" i="56"/>
  <c r="F50" i="56"/>
  <c r="E8" i="60" l="1"/>
  <c r="H6" i="56" s="1"/>
  <c r="J6" i="56" s="1"/>
  <c r="D9" i="60"/>
  <c r="D15" i="60" s="1"/>
  <c r="D16" i="60" s="1"/>
  <c r="E9" i="60"/>
  <c r="H7" i="56" s="1"/>
  <c r="G48" i="56"/>
  <c r="J7" i="56"/>
  <c r="J48" i="56" s="1"/>
  <c r="G51" i="56"/>
  <c r="G50" i="56"/>
  <c r="G30" i="56"/>
  <c r="G32" i="56" s="1"/>
  <c r="G33" i="56" s="1"/>
  <c r="C9" i="62"/>
  <c r="E9" i="62" s="1"/>
  <c r="I7" i="56" s="1"/>
  <c r="E8" i="62"/>
  <c r="I6" i="56" s="1"/>
  <c r="J19" i="56"/>
  <c r="F51" i="56"/>
  <c r="J30" i="56"/>
  <c r="J32" i="56" s="1"/>
  <c r="J33" i="56" s="1"/>
  <c r="J50" i="56"/>
  <c r="J52" i="56"/>
  <c r="C42" i="56"/>
  <c r="C21" i="56"/>
  <c r="E17" i="59"/>
  <c r="E17" i="60"/>
  <c r="E17" i="58"/>
  <c r="E15" i="56"/>
  <c r="E23" i="57"/>
  <c r="E17" i="62"/>
  <c r="D42" i="56"/>
  <c r="D21" i="56"/>
  <c r="H28" i="51"/>
  <c r="D46" i="58"/>
  <c r="D48" i="58" s="1"/>
  <c r="D23" i="58"/>
  <c r="D24" i="58" s="1"/>
  <c r="J45" i="56"/>
  <c r="G45" i="56"/>
  <c r="H45" i="56"/>
  <c r="H51" i="56"/>
  <c r="F45" i="56"/>
  <c r="C46" i="62"/>
  <c r="C23" i="62"/>
  <c r="D46" i="59"/>
  <c r="D48" i="59" s="1"/>
  <c r="D23" i="59"/>
  <c r="D24" i="59" s="1"/>
  <c r="D25" i="59" s="1"/>
  <c r="C46" i="60"/>
  <c r="C23" i="60"/>
  <c r="D46" i="62"/>
  <c r="D48" i="62" s="1"/>
  <c r="D23" i="62"/>
  <c r="D24" i="62" s="1"/>
  <c r="D26" i="57"/>
  <c r="D27" i="57" s="1"/>
  <c r="C46" i="59"/>
  <c r="C23" i="59"/>
  <c r="D46" i="60"/>
  <c r="D48" i="60" s="1"/>
  <c r="D23" i="60"/>
  <c r="D24" i="60" s="1"/>
  <c r="C46" i="58"/>
  <c r="C23" i="58"/>
  <c r="I45" i="56"/>
  <c r="I51" i="56"/>
  <c r="D25" i="60" l="1"/>
  <c r="D26" i="60" s="1"/>
  <c r="D27" i="60" s="1"/>
  <c r="D25" i="58"/>
  <c r="D26" i="58" s="1"/>
  <c r="D27" i="58" s="1"/>
  <c r="J51" i="56"/>
  <c r="H30" i="56"/>
  <c r="H32" i="56" s="1"/>
  <c r="H33" i="56" s="1"/>
  <c r="H48" i="56"/>
  <c r="H52" i="56"/>
  <c r="H50" i="56"/>
  <c r="D25" i="62"/>
  <c r="D26" i="62" s="1"/>
  <c r="D27" i="62" s="1"/>
  <c r="I52" i="56"/>
  <c r="I50" i="56"/>
  <c r="I48" i="56"/>
  <c r="I30" i="56"/>
  <c r="I32" i="56" s="1"/>
  <c r="I33" i="56" s="1"/>
  <c r="E23" i="62"/>
  <c r="E23" i="60"/>
  <c r="F15" i="56"/>
  <c r="E23" i="58"/>
  <c r="E42" i="56"/>
  <c r="E21" i="56"/>
  <c r="G15" i="56"/>
  <c r="E23" i="59"/>
  <c r="D26" i="59"/>
  <c r="I28" i="51"/>
  <c r="F42" i="56" l="1"/>
  <c r="F21" i="56"/>
  <c r="J15" i="56"/>
  <c r="G42" i="56"/>
  <c r="G21" i="56"/>
  <c r="H42" i="56"/>
  <c r="I42" i="56"/>
  <c r="D27" i="59"/>
  <c r="J28" i="51"/>
  <c r="K27" i="51"/>
  <c r="K28" i="51" s="1"/>
  <c r="J42" i="56" l="1"/>
  <c r="J21" i="56"/>
  <c r="C36" i="43"/>
  <c r="C40" i="43" s="1"/>
  <c r="C48" i="43" s="1"/>
  <c r="C11" i="43"/>
  <c r="E11" i="43" s="1"/>
  <c r="D9" i="56" s="1"/>
  <c r="D49" i="56" s="1"/>
  <c r="C36" i="61"/>
  <c r="C40" i="61" s="1"/>
  <c r="C48" i="61" s="1"/>
  <c r="C36" i="62"/>
  <c r="C40" i="62" s="1"/>
  <c r="C48" i="62" s="1"/>
  <c r="C11" i="62"/>
  <c r="C14" i="62" s="1"/>
  <c r="C36" i="58"/>
  <c r="C36" i="57"/>
  <c r="C40" i="57" s="1"/>
  <c r="C48" i="57" s="1"/>
  <c r="C36" i="59"/>
  <c r="C11" i="59" s="1"/>
  <c r="C14" i="59" s="1"/>
  <c r="C36" i="60"/>
  <c r="C40" i="60" s="1"/>
  <c r="C48" i="60" s="1"/>
  <c r="C11" i="61" l="1"/>
  <c r="C14" i="61" s="1"/>
  <c r="E11" i="62"/>
  <c r="I9" i="56" s="1"/>
  <c r="I12" i="56" s="1"/>
  <c r="C11" i="60"/>
  <c r="E11" i="60" s="1"/>
  <c r="H9" i="56" s="1"/>
  <c r="C14" i="43"/>
  <c r="C15" i="43" s="1"/>
  <c r="E14" i="59"/>
  <c r="C15" i="59"/>
  <c r="C11" i="57"/>
  <c r="E14" i="62"/>
  <c r="C15" i="62"/>
  <c r="I49" i="56"/>
  <c r="E11" i="59"/>
  <c r="G9" i="56" s="1"/>
  <c r="C11" i="58"/>
  <c r="C40" i="58"/>
  <c r="C48" i="58" s="1"/>
  <c r="D35" i="56"/>
  <c r="D12" i="56"/>
  <c r="C40" i="59"/>
  <c r="C48" i="59" s="1"/>
  <c r="E14" i="43" l="1"/>
  <c r="I35" i="56"/>
  <c r="E11" i="61"/>
  <c r="C9" i="56" s="1"/>
  <c r="C49" i="56" s="1"/>
  <c r="C14" i="60"/>
  <c r="C15" i="60" s="1"/>
  <c r="C16" i="59"/>
  <c r="E15" i="59"/>
  <c r="C24" i="59"/>
  <c r="C25" i="59" s="1"/>
  <c r="G12" i="56"/>
  <c r="G35" i="56"/>
  <c r="G49" i="56"/>
  <c r="C16" i="62"/>
  <c r="C24" i="62"/>
  <c r="E15" i="62"/>
  <c r="H35" i="56"/>
  <c r="H49" i="56"/>
  <c r="H12" i="56"/>
  <c r="E11" i="58"/>
  <c r="F9" i="56" s="1"/>
  <c r="C14" i="58"/>
  <c r="C16" i="43"/>
  <c r="C24" i="43"/>
  <c r="C25" i="43" s="1"/>
  <c r="E15" i="43"/>
  <c r="E14" i="61"/>
  <c r="C15" i="61"/>
  <c r="C14" i="57"/>
  <c r="E11" i="57"/>
  <c r="E9" i="56" s="1"/>
  <c r="E14" i="60" l="1"/>
  <c r="C12" i="56"/>
  <c r="C25" i="62"/>
  <c r="C26" i="62" s="1"/>
  <c r="C35" i="56"/>
  <c r="J9" i="56"/>
  <c r="J35" i="56" s="1"/>
  <c r="E14" i="57"/>
  <c r="C15" i="57"/>
  <c r="E14" i="58"/>
  <c r="C15" i="58"/>
  <c r="C16" i="61"/>
  <c r="E15" i="61"/>
  <c r="C24" i="61"/>
  <c r="C25" i="61" s="1"/>
  <c r="F35" i="56"/>
  <c r="F49" i="56"/>
  <c r="F12" i="56"/>
  <c r="G13" i="56"/>
  <c r="E16" i="59"/>
  <c r="E24" i="59"/>
  <c r="E25" i="59" s="1"/>
  <c r="C16" i="60"/>
  <c r="C24" i="60"/>
  <c r="E15" i="60"/>
  <c r="D13" i="56"/>
  <c r="E24" i="43"/>
  <c r="E25" i="43" s="1"/>
  <c r="E16" i="43"/>
  <c r="I13" i="56"/>
  <c r="I39" i="56" s="1"/>
  <c r="I40" i="56" s="1"/>
  <c r="E24" i="62"/>
  <c r="E25" i="62" s="1"/>
  <c r="E16" i="62"/>
  <c r="I14" i="56" s="1"/>
  <c r="C26" i="59"/>
  <c r="C26" i="43"/>
  <c r="E35" i="56"/>
  <c r="E49" i="56"/>
  <c r="E12" i="56"/>
  <c r="J49" i="56" l="1"/>
  <c r="E26" i="62"/>
  <c r="C27" i="62"/>
  <c r="C25" i="60"/>
  <c r="C26" i="60" s="1"/>
  <c r="J12" i="56"/>
  <c r="C27" i="43"/>
  <c r="E26" i="43"/>
  <c r="G23" i="56"/>
  <c r="G22" i="56"/>
  <c r="G54" i="56" s="1"/>
  <c r="E26" i="59"/>
  <c r="C27" i="59"/>
  <c r="I54" i="56"/>
  <c r="D23" i="56"/>
  <c r="D22" i="56"/>
  <c r="D54" i="56" s="1"/>
  <c r="E15" i="57"/>
  <c r="C24" i="57"/>
  <c r="C25" i="57" s="1"/>
  <c r="C16" i="57"/>
  <c r="E16" i="60"/>
  <c r="H13" i="56"/>
  <c r="E24" i="60"/>
  <c r="E25" i="60" s="1"/>
  <c r="E27" i="62"/>
  <c r="E16" i="61"/>
  <c r="C13" i="56"/>
  <c r="E24" i="61"/>
  <c r="E25" i="61" s="1"/>
  <c r="D14" i="56"/>
  <c r="D39" i="56"/>
  <c r="D40" i="56" s="1"/>
  <c r="G14" i="56"/>
  <c r="G39" i="56"/>
  <c r="G40" i="56" s="1"/>
  <c r="C26" i="61"/>
  <c r="E15" i="58"/>
  <c r="C24" i="58"/>
  <c r="C25" i="58" s="1"/>
  <c r="C16" i="58"/>
  <c r="E26" i="60" l="1"/>
  <c r="C27" i="60"/>
  <c r="H54" i="56"/>
  <c r="C22" i="56"/>
  <c r="C23" i="56"/>
  <c r="C26" i="57"/>
  <c r="E27" i="59"/>
  <c r="G24" i="56"/>
  <c r="E27" i="43"/>
  <c r="D24" i="56"/>
  <c r="E24" i="58"/>
  <c r="E25" i="58" s="1"/>
  <c r="F13" i="56"/>
  <c r="E16" i="58"/>
  <c r="E27" i="60"/>
  <c r="C27" i="61"/>
  <c r="E26" i="61"/>
  <c r="H14" i="56"/>
  <c r="H39" i="56"/>
  <c r="H40" i="56" s="1"/>
  <c r="C26" i="58"/>
  <c r="C14" i="56"/>
  <c r="C39" i="56"/>
  <c r="C40" i="56" s="1"/>
  <c r="I25" i="56"/>
  <c r="I60" i="56"/>
  <c r="I59" i="56" s="1"/>
  <c r="I53" i="56"/>
  <c r="E16" i="57"/>
  <c r="E24" i="57"/>
  <c r="E25" i="57" s="1"/>
  <c r="E13" i="56"/>
  <c r="E14" i="56" l="1"/>
  <c r="E39" i="56"/>
  <c r="E40" i="56" s="1"/>
  <c r="J13" i="56"/>
  <c r="C27" i="58"/>
  <c r="E26" i="58"/>
  <c r="F14" i="56"/>
  <c r="F39" i="56"/>
  <c r="F40" i="56" s="1"/>
  <c r="C27" i="57"/>
  <c r="E26" i="57"/>
  <c r="C54" i="56"/>
  <c r="E23" i="56"/>
  <c r="E22" i="56"/>
  <c r="E54" i="56" s="1"/>
  <c r="C24" i="56"/>
  <c r="E27" i="61"/>
  <c r="H53" i="56"/>
  <c r="H60" i="56"/>
  <c r="H59" i="56" s="1"/>
  <c r="H25" i="56"/>
  <c r="F23" i="56"/>
  <c r="F22" i="56"/>
  <c r="F54" i="56" s="1"/>
  <c r="G53" i="56"/>
  <c r="G25" i="56"/>
  <c r="G60" i="56"/>
  <c r="G59" i="56" s="1"/>
  <c r="D25" i="56"/>
  <c r="D60" i="56"/>
  <c r="D59" i="56" s="1"/>
  <c r="D53" i="56"/>
  <c r="J14" i="56" l="1"/>
  <c r="J39" i="56"/>
  <c r="J40" i="56" s="1"/>
  <c r="C25" i="56"/>
  <c r="C60" i="56"/>
  <c r="C59" i="56" s="1"/>
  <c r="C53" i="56"/>
  <c r="E27" i="58"/>
  <c r="F24" i="56"/>
  <c r="E24" i="56"/>
  <c r="E27" i="57"/>
  <c r="J22" i="56"/>
  <c r="J54" i="56" l="1"/>
  <c r="J23" i="56"/>
  <c r="J24" i="56" s="1"/>
  <c r="E25" i="56"/>
  <c r="E53" i="56"/>
  <c r="E60" i="56"/>
  <c r="E59" i="56" s="1"/>
  <c r="F53" i="56"/>
  <c r="F25" i="56"/>
  <c r="F60" i="56"/>
  <c r="F59" i="56" s="1"/>
  <c r="J53" i="56" l="1"/>
  <c r="J25" i="56"/>
  <c r="J60" i="56"/>
  <c r="J59" i="56" s="1"/>
</calcChain>
</file>

<file path=xl/comments1.xml><?xml version="1.0" encoding="utf-8"?>
<comments xmlns="http://schemas.openxmlformats.org/spreadsheetml/2006/main">
  <authors>
    <author>作者</author>
    <author>ghrc</author>
  </authors>
  <commentList>
    <comment ref="I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23" authorId="1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西安系统数据</t>
        </r>
      </text>
    </comment>
  </commentList>
</comments>
</file>

<file path=xl/sharedStrings.xml><?xml version="1.0" encoding="utf-8"?>
<sst xmlns="http://schemas.openxmlformats.org/spreadsheetml/2006/main" count="1471" uniqueCount="304">
  <si>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</si>
  <si>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</si>
  <si>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</si>
  <si>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</si>
  <si>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</si>
  <si>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</si>
  <si>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</si>
  <si>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</si>
  <si>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成本预估由项目经理提供。供应商年度降价与销价降价同步。</t>
  </si>
  <si>
    <t>单台材料成本为未税价格，面套、骨架、底支架自制。</t>
  </si>
  <si>
    <t>变动费用</t>
  </si>
  <si>
    <t>变动费用参考河北工厂2022年实际及2023预算暂估。</t>
  </si>
  <si>
    <t>固定费用</t>
  </si>
  <si>
    <t>预测工厂产能满足客户订单。</t>
  </si>
  <si>
    <t>研发费用按照产销量摊销。</t>
  </si>
  <si>
    <t>财务费用按集团综合。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</si>
  <si>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</si>
  <si>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</si>
  <si>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</si>
  <si>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</si>
  <si>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</si>
  <si>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</si>
  <si>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</si>
  <si>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</si>
  <si>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</si>
  <si>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</si>
  <si>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</si>
  <si>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</si>
  <si>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</si>
  <si>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</si>
  <si>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</si>
  <si>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</si>
  <si>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</si>
  <si>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</si>
  <si>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</si>
  <si>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</si>
  <si>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</si>
  <si>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</si>
  <si>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</si>
  <si>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</si>
  <si>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</si>
  <si>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</si>
  <si>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</si>
  <si>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</si>
  <si>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</si>
  <si>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</si>
  <si>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</si>
  <si>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</si>
  <si>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</si>
  <si>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</si>
  <si>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</si>
  <si>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2025年</t>
  </si>
  <si>
    <t>2026年</t>
  </si>
  <si>
    <t>2027年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</si>
  <si>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</si>
  <si>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</si>
  <si>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</si>
  <si>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</si>
  <si>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</si>
  <si>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</si>
  <si>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</si>
  <si>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</si>
  <si>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</si>
  <si>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</si>
  <si>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</si>
  <si>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5、</t>
  </si>
  <si>
    <t>直接材料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</si>
  <si>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</si>
  <si>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</si>
  <si>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</si>
  <si>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</si>
  <si>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</si>
  <si>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</si>
  <si>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</si>
  <si>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</si>
  <si>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</si>
  <si>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</si>
  <si>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</si>
  <si>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</si>
  <si>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</si>
  <si>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</si>
  <si>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</si>
  <si>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</si>
  <si>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</si>
  <si>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</si>
  <si>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</si>
  <si>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</si>
  <si>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</si>
  <si>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</si>
  <si>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</si>
  <si>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</si>
  <si>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</si>
  <si>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</si>
  <si>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</si>
  <si>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</si>
  <si>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</si>
  <si>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</si>
  <si>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</si>
  <si>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</si>
  <si>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</si>
  <si>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</si>
  <si>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</si>
  <si>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</si>
  <si>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</si>
  <si>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</si>
  <si>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</si>
  <si>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</si>
  <si>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</si>
  <si>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</si>
  <si>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</si>
  <si>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</si>
  <si>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</si>
  <si>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</si>
  <si>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</si>
  <si>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</si>
  <si>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</si>
  <si>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</si>
  <si>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</si>
  <si>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</si>
  <si>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</si>
  <si>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</si>
  <si>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</si>
  <si>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</si>
  <si>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</si>
  <si>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</si>
  <si>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</si>
  <si>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</si>
  <si>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</si>
  <si>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</si>
  <si>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</si>
  <si>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</si>
  <si>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</si>
  <si>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</si>
  <si>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</si>
  <si>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</si>
  <si>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</si>
  <si>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</si>
  <si>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</si>
  <si>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</si>
  <si>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</si>
  <si>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</si>
  <si>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</si>
  <si>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</si>
  <si>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</si>
  <si>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</si>
  <si>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</si>
  <si>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</si>
  <si>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</si>
  <si>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</si>
  <si>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</si>
  <si>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</si>
  <si>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</si>
  <si>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</si>
  <si>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</si>
  <si>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</si>
  <si>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</si>
  <si>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</si>
  <si>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</si>
  <si>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</si>
  <si>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</si>
  <si>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</si>
  <si>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</si>
  <si>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</si>
  <si>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</si>
  <si>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</si>
  <si>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</si>
  <si>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</si>
  <si>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</si>
  <si>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</si>
  <si>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</si>
  <si>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</si>
  <si>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</si>
  <si>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</si>
  <si>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</si>
  <si>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</si>
  <si>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</si>
  <si>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</si>
  <si>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</si>
  <si>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</si>
  <si>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</si>
  <si>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</si>
  <si>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</si>
  <si>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</si>
  <si>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</si>
  <si>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</si>
  <si>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</si>
  <si>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</si>
  <si>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</si>
  <si>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2028年</t>
  </si>
  <si>
    <t>2029年</t>
  </si>
  <si>
    <t>2030年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</si>
  <si>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</si>
  <si>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</si>
  <si>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</si>
  <si>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</si>
  <si>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</si>
  <si>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</si>
  <si>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</si>
  <si>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t>配置</t>
  </si>
  <si>
    <t xml:space="preserve">销售价格
（元，未税）  </t>
  </si>
  <si>
    <t>销量（件）</t>
  </si>
  <si>
    <t>原材料成本</t>
  </si>
  <si>
    <t>附加值率</t>
  </si>
  <si>
    <t>预估原材料成本（单位：元，未税）</t>
  </si>
  <si>
    <t>供应商年降：       年5 %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</si>
  <si>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</si>
  <si>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</si>
  <si>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</si>
  <si>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</si>
  <si>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</si>
  <si>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</si>
  <si>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</si>
  <si>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</si>
  <si>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</si>
  <si>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</si>
  <si>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</si>
  <si>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</si>
  <si>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</si>
  <si>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</si>
  <si>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</si>
  <si>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通风加热</t>
  </si>
  <si>
    <t>安全带</t>
  </si>
  <si>
    <t>SBR</t>
  </si>
  <si>
    <t>喷涂</t>
  </si>
  <si>
    <t>预计材料成本</t>
  </si>
  <si>
    <t>汇总</t>
  </si>
  <si>
    <t>项    目</t>
  </si>
  <si>
    <t>内容</t>
  </si>
  <si>
    <t>说明</t>
  </si>
  <si>
    <t>生产地点</t>
  </si>
  <si>
    <t>客户地点</t>
  </si>
  <si>
    <t>送货地点</t>
  </si>
  <si>
    <t>客户付款方式</t>
  </si>
  <si>
    <t>承兑</t>
  </si>
  <si>
    <t>喷涂件生产地点</t>
  </si>
  <si>
    <t>委外加工</t>
  </si>
  <si>
    <t>物流包装信息</t>
  </si>
  <si>
    <t>客户现场服务要求</t>
  </si>
  <si>
    <t>现场服务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</si>
  <si>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</si>
  <si>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</si>
  <si>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</si>
  <si>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</si>
  <si>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</si>
  <si>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</si>
  <si>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</si>
  <si>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</si>
  <si>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三包周期</t>
  </si>
  <si>
    <t>涂红色处为必填项</t>
  </si>
  <si>
    <t>单位：元、%、未税</t>
  </si>
  <si>
    <t>科目</t>
  </si>
  <si>
    <t>西安工厂平均值</t>
  </si>
  <si>
    <t>预计</t>
  </si>
  <si>
    <t>座椅单件金额</t>
  </si>
  <si>
    <t>后视镜单件金额</t>
  </si>
  <si>
    <t>综合单件金额</t>
  </si>
  <si>
    <t>座椅占收入比率</t>
  </si>
  <si>
    <t>后视镜占收入比率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</si>
  <si>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</si>
  <si>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</si>
  <si>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</si>
  <si>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</si>
  <si>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</si>
  <si>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</si>
  <si>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</si>
  <si>
    <t xml:space="preserve">座椅项目研发费用预算表 </t>
    <phoneticPr fontId="47" type="noConversion"/>
  </si>
  <si>
    <r>
      <rPr>
        <sz val="11"/>
        <color theme="1"/>
        <rFont val="宋体"/>
        <family val="3"/>
        <charset val="134"/>
        <scheme val="minor"/>
      </rPr>
      <t>2024</t>
    </r>
    <r>
      <rPr>
        <sz val="11"/>
        <color theme="1"/>
        <rFont val="宋体"/>
        <family val="3"/>
        <charset val="134"/>
        <scheme val="minor"/>
      </rPr>
      <t>占收入比率</t>
    </r>
    <phoneticPr fontId="47" type="noConversion"/>
  </si>
  <si>
    <t>左空气悬浮座椅总成/一体式头枕/X5000/扶手/报警锁扣/斜滑轨</t>
  </si>
  <si>
    <t>2031年</t>
  </si>
  <si>
    <t>西安工厂</t>
  </si>
  <si>
    <t>山西运城</t>
  </si>
  <si>
    <t>纸箱</t>
  </si>
  <si>
    <t>牵引车</t>
  </si>
  <si>
    <t>陕汽重型汽车有限公司</t>
    <phoneticPr fontId="47" type="noConversion"/>
  </si>
  <si>
    <t>DZ14251510207/8</t>
    <phoneticPr fontId="47" type="noConversion"/>
  </si>
  <si>
    <t>与X5000配置一致，需要重新开发滑轨+底座总成</t>
    <phoneticPr fontId="47" type="noConversion"/>
  </si>
  <si>
    <t>DZ14251510122</t>
  </si>
  <si>
    <t>副司机座椅</t>
    <phoneticPr fontId="47" type="noConversion"/>
  </si>
  <si>
    <t>X5000斜滑轨项目</t>
    <phoneticPr fontId="47" type="noConversion"/>
  </si>
  <si>
    <t>ZY2512</t>
    <phoneticPr fontId="47" type="noConversion"/>
  </si>
  <si>
    <t xml:space="preserve">2031年  </t>
    <phoneticPr fontId="47" type="noConversion"/>
  </si>
  <si>
    <t xml:space="preserve">2030年  </t>
    <phoneticPr fontId="47" type="noConversion"/>
  </si>
  <si>
    <t xml:space="preserve">2029年  </t>
    <phoneticPr fontId="47" type="noConversion"/>
  </si>
  <si>
    <t xml:space="preserve">2028年  </t>
    <phoneticPr fontId="47" type="noConversion"/>
  </si>
  <si>
    <t xml:space="preserve">2027年  </t>
    <phoneticPr fontId="47" type="noConversion"/>
  </si>
  <si>
    <t xml:space="preserve">2026年  </t>
    <phoneticPr fontId="47" type="noConversion"/>
  </si>
  <si>
    <t xml:space="preserve">2025年  </t>
    <phoneticPr fontId="47" type="noConversion"/>
  </si>
  <si>
    <r>
      <t>2025</t>
    </r>
    <r>
      <rPr>
        <b/>
        <sz val="10"/>
        <rFont val="宋体"/>
        <family val="3"/>
        <charset val="134"/>
      </rPr>
      <t>年</t>
    </r>
    <phoneticPr fontId="47" type="noConversion"/>
  </si>
  <si>
    <r>
      <t>2026年</t>
    </r>
    <r>
      <rPr>
        <b/>
        <sz val="10"/>
        <rFont val="宋体"/>
        <family val="3"/>
        <charset val="134"/>
      </rPr>
      <t/>
    </r>
  </si>
  <si>
    <r>
      <t>2027年</t>
    </r>
    <r>
      <rPr>
        <b/>
        <sz val="10"/>
        <rFont val="宋体"/>
        <family val="3"/>
        <charset val="134"/>
      </rPr>
      <t/>
    </r>
  </si>
  <si>
    <r>
      <t>2028年</t>
    </r>
    <r>
      <rPr>
        <b/>
        <sz val="10"/>
        <rFont val="宋体"/>
        <family val="3"/>
        <charset val="134"/>
      </rPr>
      <t/>
    </r>
  </si>
  <si>
    <r>
      <t>2029年</t>
    </r>
    <r>
      <rPr>
        <b/>
        <sz val="10"/>
        <rFont val="宋体"/>
        <family val="3"/>
        <charset val="134"/>
      </rPr>
      <t/>
    </r>
  </si>
  <si>
    <r>
      <t>2030年</t>
    </r>
    <r>
      <rPr>
        <b/>
        <sz val="10"/>
        <rFont val="宋体"/>
        <family val="3"/>
        <charset val="134"/>
      </rPr>
      <t/>
    </r>
  </si>
  <si>
    <r>
      <t>2031年</t>
    </r>
    <r>
      <rPr>
        <b/>
        <sz val="10"/>
        <rFont val="宋体"/>
        <family val="3"/>
        <charset val="134"/>
      </rPr>
      <t/>
    </r>
  </si>
  <si>
    <t>X5000斜滑轨项目投资收益分析</t>
    <phoneticPr fontId="47" type="noConversion"/>
  </si>
  <si>
    <t>单位：未税、元</t>
    <phoneticPr fontId="47" type="noConversion"/>
  </si>
  <si>
    <t>直接材料</t>
    <phoneticPr fontId="47" type="noConversion"/>
  </si>
  <si>
    <t>河北工厂/西安工厂/北京研发/</t>
    <phoneticPr fontId="25" type="noConversion"/>
  </si>
  <si>
    <t>河北工厂/西安工厂/北京研发/实验室/主机厂</t>
    <phoneticPr fontId="25" type="noConversion"/>
  </si>
  <si>
    <r>
      <t>内部验证样件+客户评审样件+小批量试装样件（每台主副3000，前期验证2台、强检实验3台，</t>
    </r>
    <r>
      <rPr>
        <sz val="10"/>
        <color rgb="FFFF0000"/>
        <rFont val="宋体"/>
        <family val="3"/>
        <charset val="134"/>
      </rPr>
      <t>客户交流样件5台</t>
    </r>
    <r>
      <rPr>
        <sz val="10"/>
        <color rgb="FF000000"/>
        <rFont val="宋体"/>
        <family val="3"/>
        <charset val="134"/>
      </rPr>
      <t>，DVP实验5台份，</t>
    </r>
    <r>
      <rPr>
        <sz val="10"/>
        <color rgb="FFFF0000"/>
        <rFont val="宋体"/>
        <family val="3"/>
        <charset val="134"/>
      </rPr>
      <t>小批试装10台份</t>
    </r>
    <r>
      <rPr>
        <sz val="10"/>
        <color rgb="FF000000"/>
        <rFont val="宋体"/>
        <family val="3"/>
        <charset val="134"/>
      </rPr>
      <t>，，预算7万（涂色部分需客户支付订单费用）</t>
    </r>
    <phoneticPr fontId="25" type="noConversion"/>
  </si>
  <si>
    <t>强检实验及DVP验证</t>
    <phoneticPr fontId="25" type="noConversion"/>
  </si>
  <si>
    <t>2025年</t>
    <phoneticPr fontId="47" type="noConversion"/>
  </si>
  <si>
    <t>单件边际贡献</t>
    <phoneticPr fontId="47" type="noConversion"/>
  </si>
  <si>
    <t>所得税(税率15%）</t>
    <phoneticPr fontId="4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</si>
</sst>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76" formatCode="#,##0.00_ "/>
    <numFmt numFmtId="177" formatCode="_ * #,##0_ ;_ * \-#,##0_ ;_ * &quot;-&quot;??_ ;_ @_ "/>
    <numFmt numFmtId="178" formatCode="0.0%"/>
    <numFmt numFmtId="179" formatCode="0_ "/>
    <numFmt numFmtId="180" formatCode="0.00_ "/>
    <numFmt numFmtId="181" formatCode="&quot;$&quot;#,##0.00_);[Red]\(&quot;$&quot;#,##0.00\)"/>
  </numFmts>
  <fonts count="56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微软雅黑"/>
      <family val="2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1"/>
      <name val="宋体"/>
      <family val="3"/>
      <charset val="134"/>
    </font>
    <font>
      <b/>
      <sz val="12"/>
      <color rgb="FFFF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1"/>
      <color rgb="FFFF0000"/>
      <name val="宋体"/>
      <family val="3"/>
      <charset val="134"/>
    </font>
    <font>
      <sz val="10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9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9"/>
      <name val="Arial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FF0000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6"/>
      <color theme="1"/>
      <name val="微软雅黑"/>
      <family val="2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069185460982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43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0" fontId="38" fillId="0" borderId="0"/>
    <xf numFmtId="0" fontId="39" fillId="0" borderId="2" applyNumberFormat="0" applyFill="0" applyBorder="0" applyAlignment="0" applyProtection="0">
      <alignment vertical="center"/>
    </xf>
    <xf numFmtId="0" fontId="46" fillId="0" borderId="0">
      <alignment vertical="center"/>
    </xf>
    <xf numFmtId="0" fontId="40" fillId="0" borderId="0"/>
    <xf numFmtId="0" fontId="41" fillId="0" borderId="0"/>
    <xf numFmtId="1" fontId="42" fillId="0" borderId="2" applyBorder="0"/>
    <xf numFmtId="43" fontId="43" fillId="0" borderId="0" applyFont="0" applyFill="0" applyBorder="0" applyAlignment="0" applyProtection="0">
      <alignment vertical="center"/>
    </xf>
    <xf numFmtId="0" fontId="40" fillId="0" borderId="0"/>
    <xf numFmtId="0" fontId="40" fillId="0" borderId="0"/>
  </cellStyleXfs>
  <cellXfs count="26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2" applyNumberFormat="1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3" fontId="1" fillId="0" borderId="2" xfId="1" applyFont="1" applyFill="1" applyBorder="1">
      <alignment vertical="center"/>
    </xf>
    <xf numFmtId="10" fontId="0" fillId="0" borderId="2" xfId="2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43" fontId="6" fillId="4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3" fontId="11" fillId="4" borderId="2" xfId="1" applyFont="1" applyFill="1" applyBorder="1" applyAlignment="1">
      <alignment horizontal="center" vertical="center" wrapText="1"/>
    </xf>
    <xf numFmtId="43" fontId="6" fillId="5" borderId="2" xfId="1" applyFont="1" applyFill="1" applyBorder="1" applyAlignment="1">
      <alignment horizontal="center" vertical="center" wrapText="1"/>
    </xf>
    <xf numFmtId="43" fontId="6" fillId="5" borderId="0" xfId="1" applyFont="1" applyFill="1" applyAlignment="1">
      <alignment horizontal="center" vertical="center" wrapText="1"/>
    </xf>
    <xf numFmtId="43" fontId="6" fillId="5" borderId="2" xfId="1" applyFont="1" applyFill="1" applyBorder="1" applyAlignment="1">
      <alignment vertical="center" wrapText="1"/>
    </xf>
    <xf numFmtId="43" fontId="11" fillId="0" borderId="2" xfId="1" applyFont="1" applyBorder="1" applyAlignment="1">
      <alignment vertical="center" wrapText="1"/>
    </xf>
    <xf numFmtId="43" fontId="6" fillId="0" borderId="0" xfId="0" applyNumberFormat="1" applyFont="1" applyAlignment="1">
      <alignment horizontal="center" vertical="center" wrapText="1"/>
    </xf>
    <xf numFmtId="43" fontId="3" fillId="0" borderId="0" xfId="0" applyNumberFormat="1" applyFont="1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3" fillId="0" borderId="0" xfId="0" applyFont="1" applyFill="1">
      <alignment vertical="center"/>
    </xf>
    <xf numFmtId="176" fontId="3" fillId="0" borderId="0" xfId="0" applyNumberFormat="1" applyFont="1" applyFill="1">
      <alignment vertical="center"/>
    </xf>
    <xf numFmtId="0" fontId="12" fillId="0" borderId="0" xfId="0" applyFont="1" applyFill="1" applyAlignment="1">
      <alignment vertical="center" wrapText="1"/>
    </xf>
    <xf numFmtId="177" fontId="3" fillId="0" borderId="0" xfId="1" applyNumberFormat="1" applyFont="1" applyFill="1">
      <alignment vertical="center"/>
    </xf>
    <xf numFmtId="0" fontId="12" fillId="0" borderId="0" xfId="0" applyFont="1" applyFill="1" applyAlignment="1">
      <alignment vertical="center"/>
    </xf>
    <xf numFmtId="10" fontId="3" fillId="0" borderId="0" xfId="0" applyNumberFormat="1" applyFont="1" applyFill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177" fontId="13" fillId="0" borderId="2" xfId="1" applyNumberFormat="1" applyFont="1" applyFill="1" applyBorder="1" applyAlignment="1">
      <alignment horizontal="center" vertical="center" wrapText="1" readingOrder="1"/>
    </xf>
    <xf numFmtId="176" fontId="13" fillId="0" borderId="2" xfId="0" applyNumberFormat="1" applyFont="1" applyFill="1" applyBorder="1" applyAlignment="1">
      <alignment horizontal="center" vertical="center" wrapText="1" readingOrder="1"/>
    </xf>
    <xf numFmtId="0" fontId="13" fillId="0" borderId="2" xfId="0" applyFont="1" applyFill="1" applyBorder="1" applyAlignment="1">
      <alignment horizontal="center" vertical="center" wrapText="1" readingOrder="1"/>
    </xf>
    <xf numFmtId="177" fontId="5" fillId="0" borderId="2" xfId="0" applyNumberFormat="1" applyFont="1" applyFill="1" applyBorder="1" applyAlignment="1">
      <alignment horizontal="center" wrapText="1" readingOrder="1"/>
    </xf>
    <xf numFmtId="43" fontId="3" fillId="0" borderId="0" xfId="1" applyFont="1" applyFill="1">
      <alignment vertical="center"/>
    </xf>
    <xf numFmtId="0" fontId="15" fillId="0" borderId="0" xfId="0" applyFont="1" applyBorder="1" applyAlignment="1">
      <alignment horizontal="center" vertical="center" wrapText="1"/>
    </xf>
    <xf numFmtId="43" fontId="0" fillId="0" borderId="0" xfId="1" applyFont="1">
      <alignment vertical="center"/>
    </xf>
    <xf numFmtId="179" fontId="17" fillId="7" borderId="2" xfId="7" applyNumberFormat="1" applyFont="1" applyFill="1" applyBorder="1" applyAlignment="1">
      <alignment horizontal="center" vertical="center" wrapText="1"/>
    </xf>
    <xf numFmtId="43" fontId="17" fillId="7" borderId="2" xfId="1" applyFont="1" applyFill="1" applyBorder="1" applyAlignment="1">
      <alignment horizontal="center" vertical="center" wrapText="1"/>
    </xf>
    <xf numFmtId="0" fontId="17" fillId="7" borderId="2" xfId="3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179" fontId="18" fillId="0" borderId="2" xfId="7" applyNumberFormat="1" applyFont="1" applyFill="1" applyBorder="1" applyAlignment="1">
      <alignment horizontal="left" vertical="center"/>
    </xf>
    <xf numFmtId="43" fontId="18" fillId="4" borderId="2" xfId="1" applyFont="1" applyFill="1" applyBorder="1" applyAlignment="1">
      <alignment horizontal="center" vertical="center"/>
    </xf>
    <xf numFmtId="0" fontId="19" fillId="6" borderId="2" xfId="3" applyNumberFormat="1" applyFont="1" applyFill="1" applyBorder="1" applyAlignment="1" applyProtection="1">
      <alignment horizontal="center" vertical="center"/>
    </xf>
    <xf numFmtId="0" fontId="0" fillId="0" borderId="2" xfId="0" applyBorder="1">
      <alignment vertical="center"/>
    </xf>
    <xf numFmtId="43" fontId="4" fillId="3" borderId="2" xfId="1" applyFont="1" applyFill="1" applyBorder="1" applyAlignment="1" applyProtection="1">
      <alignment horizontal="center" vertical="center"/>
    </xf>
    <xf numFmtId="0" fontId="20" fillId="6" borderId="2" xfId="3" applyNumberFormat="1" applyFont="1" applyFill="1" applyBorder="1" applyAlignment="1" applyProtection="1">
      <alignment horizontal="center" vertical="center"/>
    </xf>
    <xf numFmtId="43" fontId="18" fillId="0" borderId="2" xfId="1" applyFont="1" applyFill="1" applyBorder="1" applyAlignment="1">
      <alignment horizontal="center" vertical="center"/>
    </xf>
    <xf numFmtId="0" fontId="0" fillId="8" borderId="2" xfId="0" applyFill="1" applyBorder="1">
      <alignment vertical="center"/>
    </xf>
    <xf numFmtId="179" fontId="18" fillId="0" borderId="3" xfId="7" applyNumberFormat="1" applyFont="1" applyFill="1" applyBorder="1" applyAlignment="1">
      <alignment horizontal="center" vertical="center"/>
    </xf>
    <xf numFmtId="179" fontId="18" fillId="0" borderId="3" xfId="7" applyNumberFormat="1" applyFont="1" applyFill="1" applyBorder="1" applyAlignment="1">
      <alignment horizontal="left" vertical="center" wrapText="1"/>
    </xf>
    <xf numFmtId="0" fontId="19" fillId="6" borderId="2" xfId="3" applyNumberFormat="1" applyFont="1" applyFill="1" applyBorder="1" applyAlignment="1" applyProtection="1">
      <alignment horizontal="center" vertical="center" wrapText="1"/>
    </xf>
    <xf numFmtId="43" fontId="18" fillId="3" borderId="2" xfId="1" applyFont="1" applyFill="1" applyBorder="1" applyAlignment="1" applyProtection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readingOrder="1"/>
    </xf>
    <xf numFmtId="43" fontId="10" fillId="0" borderId="2" xfId="0" applyNumberFormat="1" applyFont="1" applyBorder="1">
      <alignment vertical="center"/>
    </xf>
    <xf numFmtId="43" fontId="10" fillId="0" borderId="2" xfId="1" applyNumberFormat="1" applyFont="1" applyBorder="1">
      <alignment vertical="center"/>
    </xf>
    <xf numFmtId="43" fontId="10" fillId="0" borderId="2" xfId="1" applyFont="1" applyBorder="1">
      <alignment vertical="center"/>
    </xf>
    <xf numFmtId="0" fontId="3" fillId="0" borderId="6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22" fillId="0" borderId="0" xfId="0" applyFont="1" applyFill="1">
      <alignment vertical="center"/>
    </xf>
    <xf numFmtId="0" fontId="23" fillId="0" borderId="0" xfId="0" applyFont="1" applyFill="1">
      <alignment vertical="center"/>
    </xf>
    <xf numFmtId="0" fontId="24" fillId="0" borderId="0" xfId="0" applyFont="1" applyFill="1">
      <alignment vertical="center"/>
    </xf>
    <xf numFmtId="43" fontId="22" fillId="0" borderId="0" xfId="1" applyFont="1" applyFill="1">
      <alignment vertical="center"/>
    </xf>
    <xf numFmtId="0" fontId="22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>
      <alignment vertical="center"/>
    </xf>
    <xf numFmtId="0" fontId="28" fillId="0" borderId="2" xfId="0" applyFont="1" applyFill="1" applyBorder="1" applyAlignment="1">
      <alignment horizontal="center" vertical="center"/>
    </xf>
    <xf numFmtId="0" fontId="29" fillId="4" borderId="2" xfId="0" applyFont="1" applyFill="1" applyBorder="1" applyAlignment="1">
      <alignment horizontal="center" vertical="center" wrapText="1" readingOrder="1"/>
    </xf>
    <xf numFmtId="43" fontId="22" fillId="0" borderId="2" xfId="1" applyFont="1" applyFill="1" applyBorder="1" applyAlignment="1">
      <alignment horizontal="center" vertical="center"/>
    </xf>
    <xf numFmtId="43" fontId="22" fillId="0" borderId="0" xfId="0" applyNumberFormat="1" applyFont="1" applyFill="1">
      <alignment vertical="center"/>
    </xf>
    <xf numFmtId="0" fontId="28" fillId="0" borderId="2" xfId="0" applyFont="1" applyFill="1" applyBorder="1">
      <alignment vertical="center"/>
    </xf>
    <xf numFmtId="10" fontId="22" fillId="0" borderId="2" xfId="2" applyNumberFormat="1" applyFont="1" applyFill="1" applyBorder="1" applyAlignment="1">
      <alignment horizontal="center" vertical="center"/>
    </xf>
    <xf numFmtId="10" fontId="22" fillId="0" borderId="0" xfId="0" applyNumberFormat="1" applyFont="1" applyFill="1">
      <alignment vertical="center"/>
    </xf>
    <xf numFmtId="0" fontId="23" fillId="0" borderId="2" xfId="0" applyFont="1" applyFill="1" applyBorder="1">
      <alignment vertical="center"/>
    </xf>
    <xf numFmtId="43" fontId="23" fillId="0" borderId="2" xfId="1" applyFont="1" applyFill="1" applyBorder="1">
      <alignment vertical="center"/>
    </xf>
    <xf numFmtId="0" fontId="30" fillId="0" borderId="0" xfId="0" applyFont="1" applyFill="1">
      <alignment vertical="center"/>
    </xf>
    <xf numFmtId="43" fontId="22" fillId="0" borderId="2" xfId="1" applyFont="1" applyFill="1" applyBorder="1">
      <alignment vertical="center"/>
    </xf>
    <xf numFmtId="0" fontId="24" fillId="0" borderId="2" xfId="0" applyFont="1" applyFill="1" applyBorder="1">
      <alignment vertical="center"/>
    </xf>
    <xf numFmtId="180" fontId="22" fillId="0" borderId="0" xfId="0" applyNumberFormat="1" applyFont="1" applyFill="1">
      <alignment vertical="center"/>
    </xf>
    <xf numFmtId="10" fontId="22" fillId="0" borderId="2" xfId="2" applyNumberFormat="1" applyFont="1" applyFill="1" applyBorder="1">
      <alignment vertical="center"/>
    </xf>
    <xf numFmtId="43" fontId="23" fillId="0" borderId="2" xfId="1" applyFont="1" applyFill="1" applyBorder="1" applyAlignment="1">
      <alignment horizontal="center" vertical="center"/>
    </xf>
    <xf numFmtId="43" fontId="22" fillId="0" borderId="2" xfId="0" applyNumberFormat="1" applyFont="1" applyFill="1" applyBorder="1">
      <alignment vertical="center"/>
    </xf>
    <xf numFmtId="43" fontId="24" fillId="0" borderId="2" xfId="1" applyFont="1" applyFill="1" applyBorder="1">
      <alignment vertical="center"/>
    </xf>
    <xf numFmtId="43" fontId="22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0" fontId="13" fillId="4" borderId="2" xfId="0" applyFont="1" applyFill="1" applyBorder="1" applyAlignment="1">
      <alignment horizontal="center" vertical="center" wrapText="1" readingOrder="1"/>
    </xf>
    <xf numFmtId="0" fontId="24" fillId="0" borderId="0" xfId="0" applyFont="1">
      <alignment vertical="center"/>
    </xf>
    <xf numFmtId="0" fontId="22" fillId="0" borderId="0" xfId="0" applyFont="1" applyBorder="1">
      <alignment vertical="center"/>
    </xf>
    <xf numFmtId="0" fontId="22" fillId="0" borderId="0" xfId="0" applyFont="1">
      <alignment vertical="center"/>
    </xf>
    <xf numFmtId="43" fontId="22" fillId="0" borderId="0" xfId="1" applyFont="1">
      <alignment vertical="center"/>
    </xf>
    <xf numFmtId="43" fontId="31" fillId="0" borderId="2" xfId="1" applyFont="1" applyFill="1" applyBorder="1" applyAlignment="1">
      <alignment horizontal="center" vertical="center" wrapText="1"/>
    </xf>
    <xf numFmtId="177" fontId="22" fillId="0" borderId="2" xfId="1" applyNumberFormat="1" applyFont="1" applyFill="1" applyBorder="1" applyAlignment="1">
      <alignment horizontal="center" vertical="center"/>
    </xf>
    <xf numFmtId="177" fontId="24" fillId="0" borderId="2" xfId="1" applyNumberFormat="1" applyFont="1" applyFill="1" applyBorder="1" applyAlignment="1">
      <alignment horizontal="center" vertical="center"/>
    </xf>
    <xf numFmtId="0" fontId="28" fillId="9" borderId="2" xfId="0" applyFont="1" applyFill="1" applyBorder="1">
      <alignment vertical="center"/>
    </xf>
    <xf numFmtId="177" fontId="24" fillId="9" borderId="2" xfId="1" applyNumberFormat="1" applyFont="1" applyFill="1" applyBorder="1" applyAlignment="1">
      <alignment horizontal="center" vertical="center"/>
    </xf>
    <xf numFmtId="0" fontId="32" fillId="0" borderId="2" xfId="0" applyFont="1" applyFill="1" applyBorder="1">
      <alignment vertical="center"/>
    </xf>
    <xf numFmtId="0" fontId="22" fillId="0" borderId="2" xfId="0" applyFont="1" applyBorder="1">
      <alignment vertical="center"/>
    </xf>
    <xf numFmtId="10" fontId="24" fillId="0" borderId="2" xfId="2" applyNumberFormat="1" applyFont="1" applyBorder="1" applyAlignment="1">
      <alignment vertical="center"/>
    </xf>
    <xf numFmtId="177" fontId="24" fillId="0" borderId="2" xfId="1" applyNumberFormat="1" applyFont="1" applyBorder="1" applyAlignment="1">
      <alignment horizontal="center" vertical="center"/>
    </xf>
    <xf numFmtId="177" fontId="22" fillId="0" borderId="2" xfId="1" applyNumberFormat="1" applyFont="1" applyFill="1" applyBorder="1">
      <alignment vertical="center"/>
    </xf>
    <xf numFmtId="0" fontId="32" fillId="9" borderId="2" xfId="0" applyFont="1" applyFill="1" applyBorder="1">
      <alignment vertical="center"/>
    </xf>
    <xf numFmtId="177" fontId="22" fillId="0" borderId="2" xfId="1" applyNumberFormat="1" applyFont="1" applyBorder="1" applyAlignment="1">
      <alignment horizontal="center" vertical="center"/>
    </xf>
    <xf numFmtId="10" fontId="22" fillId="0" borderId="2" xfId="2" applyNumberFormat="1" applyFont="1" applyBorder="1">
      <alignment vertical="center"/>
    </xf>
    <xf numFmtId="10" fontId="22" fillId="0" borderId="0" xfId="2" applyNumberFormat="1" applyFont="1" applyBorder="1">
      <alignment vertical="center"/>
    </xf>
    <xf numFmtId="43" fontId="22" fillId="0" borderId="0" xfId="1" applyFont="1" applyBorder="1">
      <alignment vertical="center"/>
    </xf>
    <xf numFmtId="0" fontId="28" fillId="0" borderId="2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vertical="center" wrapText="1"/>
    </xf>
    <xf numFmtId="43" fontId="22" fillId="0" borderId="2" xfId="1" applyFont="1" applyBorder="1">
      <alignment vertical="center"/>
    </xf>
    <xf numFmtId="177" fontId="22" fillId="0" borderId="2" xfId="1" applyNumberFormat="1" applyFont="1" applyBorder="1">
      <alignment vertical="center"/>
    </xf>
    <xf numFmtId="43" fontId="26" fillId="0" borderId="2" xfId="1" applyFont="1" applyFill="1" applyBorder="1" applyAlignment="1">
      <alignment horizontal="center" vertical="center" wrapText="1"/>
    </xf>
    <xf numFmtId="0" fontId="24" fillId="0" borderId="2" xfId="0" applyFont="1" applyBorder="1">
      <alignment vertical="center"/>
    </xf>
    <xf numFmtId="0" fontId="32" fillId="0" borderId="2" xfId="0" applyFont="1" applyBorder="1">
      <alignment vertical="center"/>
    </xf>
    <xf numFmtId="0" fontId="22" fillId="0" borderId="6" xfId="0" applyFont="1" applyBorder="1">
      <alignment vertical="center"/>
    </xf>
    <xf numFmtId="1" fontId="18" fillId="6" borderId="0" xfId="3" applyNumberFormat="1" applyFont="1" applyFill="1" applyProtection="1"/>
    <xf numFmtId="0" fontId="18" fillId="6" borderId="0" xfId="3" applyFont="1" applyFill="1" applyProtection="1"/>
    <xf numFmtId="0" fontId="33" fillId="6" borderId="0" xfId="3" applyFont="1" applyFill="1" applyAlignment="1" applyProtection="1">
      <alignment horizontal="centerContinuous"/>
    </xf>
    <xf numFmtId="0" fontId="18" fillId="6" borderId="0" xfId="3" applyFont="1" applyFill="1" applyAlignment="1">
      <alignment horizontal="centerContinuous"/>
    </xf>
    <xf numFmtId="0" fontId="18" fillId="6" borderId="0" xfId="3" applyFont="1" applyFill="1" applyAlignment="1" applyProtection="1">
      <alignment horizontal="centerContinuous"/>
    </xf>
    <xf numFmtId="9" fontId="18" fillId="6" borderId="0" xfId="3" applyNumberFormat="1" applyFont="1" applyFill="1" applyProtection="1"/>
    <xf numFmtId="0" fontId="18" fillId="6" borderId="6" xfId="3" applyFont="1" applyFill="1" applyBorder="1" applyAlignment="1" applyProtection="1">
      <alignment horizontal="center"/>
    </xf>
    <xf numFmtId="0" fontId="20" fillId="6" borderId="2" xfId="3" applyFont="1" applyFill="1" applyBorder="1" applyAlignment="1" applyProtection="1">
      <alignment horizontal="center"/>
    </xf>
    <xf numFmtId="0" fontId="20" fillId="6" borderId="4" xfId="3" applyFont="1" applyFill="1" applyBorder="1" applyAlignment="1" applyProtection="1">
      <alignment horizontal="center"/>
    </xf>
    <xf numFmtId="1" fontId="20" fillId="6" borderId="4" xfId="8" applyFont="1" applyFill="1" applyBorder="1"/>
    <xf numFmtId="1" fontId="18" fillId="6" borderId="4" xfId="8" applyFont="1" applyFill="1" applyBorder="1"/>
    <xf numFmtId="0" fontId="18" fillId="6" borderId="7" xfId="3" applyFont="1" applyFill="1" applyBorder="1" applyProtection="1"/>
    <xf numFmtId="0" fontId="18" fillId="6" borderId="2" xfId="3" applyFont="1" applyFill="1" applyBorder="1" applyAlignment="1" applyProtection="1">
      <alignment horizontal="center"/>
    </xf>
    <xf numFmtId="0" fontId="18" fillId="6" borderId="2" xfId="3" applyFont="1" applyFill="1" applyBorder="1" applyAlignment="1" applyProtection="1">
      <alignment horizontal="left"/>
    </xf>
    <xf numFmtId="0" fontId="18" fillId="9" borderId="2" xfId="3" applyFont="1" applyFill="1" applyBorder="1" applyProtection="1"/>
    <xf numFmtId="177" fontId="18" fillId="9" borderId="2" xfId="1" applyNumberFormat="1" applyFont="1" applyFill="1" applyBorder="1" applyAlignment="1" applyProtection="1"/>
    <xf numFmtId="0" fontId="18" fillId="6" borderId="2" xfId="3" applyFont="1" applyFill="1" applyBorder="1" applyProtection="1"/>
    <xf numFmtId="177" fontId="18" fillId="6" borderId="2" xfId="1" applyNumberFormat="1" applyFont="1" applyFill="1" applyBorder="1" applyAlignment="1" applyProtection="1"/>
    <xf numFmtId="0" fontId="18" fillId="6" borderId="2" xfId="3" applyNumberFormat="1" applyFont="1" applyFill="1" applyBorder="1" applyAlignment="1" applyProtection="1">
      <alignment horizontal="left"/>
    </xf>
    <xf numFmtId="1" fontId="18" fillId="6" borderId="2" xfId="3" applyNumberFormat="1" applyFont="1" applyFill="1" applyBorder="1" applyProtection="1"/>
    <xf numFmtId="1" fontId="18" fillId="6" borderId="2" xfId="3" applyNumberFormat="1" applyFont="1" applyFill="1" applyBorder="1" applyAlignment="1" applyProtection="1">
      <alignment horizontal="left"/>
    </xf>
    <xf numFmtId="0" fontId="18" fillId="6" borderId="8" xfId="3" applyFont="1" applyFill="1" applyBorder="1" applyProtection="1"/>
    <xf numFmtId="0" fontId="18" fillId="6" borderId="11" xfId="3" applyFont="1" applyFill="1" applyBorder="1" applyProtection="1"/>
    <xf numFmtId="0" fontId="18" fillId="6" borderId="12" xfId="3" applyFont="1" applyFill="1" applyBorder="1" applyProtection="1"/>
    <xf numFmtId="0" fontId="18" fillId="6" borderId="0" xfId="3" applyFont="1" applyFill="1" applyBorder="1" applyProtection="1"/>
    <xf numFmtId="181" fontId="18" fillId="6" borderId="0" xfId="3" applyNumberFormat="1" applyFont="1" applyFill="1" applyBorder="1" applyProtection="1"/>
    <xf numFmtId="10" fontId="18" fillId="6" borderId="0" xfId="3" applyNumberFormat="1" applyFont="1" applyFill="1" applyBorder="1" applyProtection="1"/>
    <xf numFmtId="1" fontId="18" fillId="6" borderId="0" xfId="3" applyNumberFormat="1" applyFont="1" applyFill="1" applyBorder="1" applyProtection="1"/>
    <xf numFmtId="0" fontId="18" fillId="6" borderId="13" xfId="3" applyFont="1" applyFill="1" applyBorder="1" applyProtection="1"/>
    <xf numFmtId="0" fontId="18" fillId="6" borderId="1" xfId="3" applyFont="1" applyFill="1" applyBorder="1" applyProtection="1"/>
    <xf numFmtId="2" fontId="18" fillId="6" borderId="1" xfId="3" applyNumberFormat="1" applyFont="1" applyFill="1" applyBorder="1" applyProtection="1"/>
    <xf numFmtId="0" fontId="18" fillId="6" borderId="5" xfId="3" applyFont="1" applyFill="1" applyBorder="1"/>
    <xf numFmtId="1" fontId="18" fillId="6" borderId="7" xfId="8" applyFont="1" applyFill="1" applyBorder="1" applyAlignment="1">
      <alignment horizontal="center"/>
    </xf>
    <xf numFmtId="0" fontId="18" fillId="6" borderId="9" xfId="3" applyFont="1" applyFill="1" applyBorder="1" applyProtection="1"/>
    <xf numFmtId="0" fontId="18" fillId="6" borderId="14" xfId="3" applyFont="1" applyFill="1" applyBorder="1" applyProtection="1"/>
    <xf numFmtId="0" fontId="18" fillId="6" borderId="15" xfId="3" applyFont="1" applyFill="1" applyBorder="1" applyProtection="1"/>
    <xf numFmtId="0" fontId="34" fillId="0" borderId="0" xfId="0" applyFont="1">
      <alignment vertical="center"/>
    </xf>
    <xf numFmtId="0" fontId="35" fillId="0" borderId="2" xfId="0" applyFont="1" applyBorder="1" applyAlignment="1">
      <alignment horizontal="center" vertical="center" wrapText="1" readingOrder="1"/>
    </xf>
    <xf numFmtId="0" fontId="34" fillId="0" borderId="0" xfId="0" applyFont="1" applyFill="1">
      <alignment vertical="center"/>
    </xf>
    <xf numFmtId="0" fontId="13" fillId="0" borderId="2" xfId="0" applyFont="1" applyBorder="1" applyAlignment="1">
      <alignment horizontal="center" vertical="center" wrapText="1" readingOrder="1"/>
    </xf>
    <xf numFmtId="0" fontId="36" fillId="0" borderId="2" xfId="0" applyFont="1" applyBorder="1" applyAlignment="1">
      <alignment horizontal="left" vertical="center" wrapText="1" readingOrder="1"/>
    </xf>
    <xf numFmtId="0" fontId="36" fillId="0" borderId="2" xfId="0" applyFont="1" applyFill="1" applyBorder="1" applyAlignment="1">
      <alignment horizontal="left" vertical="center" wrapText="1" readingOrder="1"/>
    </xf>
    <xf numFmtId="0" fontId="36" fillId="0" borderId="2" xfId="0" applyFont="1" applyBorder="1" applyAlignment="1">
      <alignment horizontal="center" vertical="center" wrapText="1" readingOrder="1"/>
    </xf>
    <xf numFmtId="0" fontId="36" fillId="0" borderId="0" xfId="0" applyFont="1" applyFill="1" applyBorder="1" applyAlignment="1">
      <alignment horizontal="left" vertical="center" wrapText="1" readingOrder="1"/>
    </xf>
    <xf numFmtId="0" fontId="37" fillId="0" borderId="2" xfId="0" applyFont="1" applyFill="1" applyBorder="1" applyAlignment="1">
      <alignment horizontal="center" vertical="center" wrapText="1"/>
    </xf>
    <xf numFmtId="0" fontId="48" fillId="0" borderId="2" xfId="0" applyFont="1" applyFill="1" applyBorder="1" applyAlignment="1">
      <alignment horizontal="center" vertical="center" wrapText="1"/>
    </xf>
    <xf numFmtId="0" fontId="48" fillId="0" borderId="9" xfId="0" applyFont="1" applyFill="1" applyBorder="1" applyAlignment="1">
      <alignment horizontal="center" vertical="center" wrapText="1"/>
    </xf>
    <xf numFmtId="0" fontId="49" fillId="0" borderId="2" xfId="0" applyFont="1" applyFill="1" applyBorder="1" applyAlignment="1">
      <alignment horizontal="center" vertical="center" wrapText="1" readingOrder="1"/>
    </xf>
    <xf numFmtId="0" fontId="22" fillId="0" borderId="1" xfId="0" applyFont="1" applyBorder="1" applyAlignment="1">
      <alignment vertical="center"/>
    </xf>
    <xf numFmtId="0" fontId="2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2" fillId="0" borderId="2" xfId="0" applyFont="1" applyBorder="1" applyAlignment="1">
      <alignment horizontal="center" vertical="center" wrapText="1"/>
    </xf>
    <xf numFmtId="0" fontId="51" fillId="0" borderId="2" xfId="0" applyFont="1" applyBorder="1" applyAlignment="1">
      <alignment horizontal="center" vertical="center" wrapText="1"/>
    </xf>
    <xf numFmtId="0" fontId="3" fillId="0" borderId="2" xfId="0" applyFont="1" applyFill="1" applyBorder="1">
      <alignment vertical="center"/>
    </xf>
    <xf numFmtId="43" fontId="3" fillId="0" borderId="2" xfId="0" applyNumberFormat="1" applyFont="1" applyFill="1" applyBorder="1">
      <alignment vertical="center"/>
    </xf>
    <xf numFmtId="43" fontId="3" fillId="0" borderId="2" xfId="1" applyFont="1" applyFill="1" applyBorder="1">
      <alignment vertical="center"/>
    </xf>
    <xf numFmtId="178" fontId="3" fillId="0" borderId="2" xfId="2" applyNumberFormat="1" applyFont="1" applyFill="1" applyBorder="1">
      <alignment vertical="center"/>
    </xf>
    <xf numFmtId="178" fontId="3" fillId="5" borderId="2" xfId="2" applyNumberFormat="1" applyFont="1" applyFill="1" applyBorder="1">
      <alignment vertical="center"/>
    </xf>
    <xf numFmtId="43" fontId="22" fillId="0" borderId="2" xfId="1" applyFont="1" applyFill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 readingOrder="1"/>
    </xf>
    <xf numFmtId="0" fontId="13" fillId="0" borderId="10" xfId="0" applyFont="1" applyBorder="1" applyAlignment="1">
      <alignment horizontal="center" vertical="center" wrapText="1" readingOrder="1"/>
    </xf>
    <xf numFmtId="0" fontId="20" fillId="6" borderId="2" xfId="3" applyFont="1" applyFill="1" applyBorder="1" applyAlignment="1" applyProtection="1">
      <alignment horizontal="center"/>
    </xf>
    <xf numFmtId="0" fontId="28" fillId="0" borderId="6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50" fillId="0" borderId="0" xfId="0" applyFont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43" fontId="26" fillId="0" borderId="6" xfId="1" applyFont="1" applyFill="1" applyBorder="1" applyAlignment="1">
      <alignment horizontal="center" vertical="center" wrapText="1"/>
    </xf>
    <xf numFmtId="43" fontId="26" fillId="0" borderId="10" xfId="1" applyFont="1" applyFill="1" applyBorder="1" applyAlignment="1">
      <alignment horizontal="center" vertical="center" wrapText="1"/>
    </xf>
    <xf numFmtId="43" fontId="26" fillId="0" borderId="7" xfId="1" applyFont="1" applyFill="1" applyBorder="1" applyAlignment="1">
      <alignment horizontal="center" vertical="center" wrapText="1"/>
    </xf>
    <xf numFmtId="43" fontId="22" fillId="0" borderId="3" xfId="1" applyFont="1" applyFill="1" applyBorder="1" applyAlignment="1">
      <alignment horizontal="center" vertical="center"/>
    </xf>
    <xf numFmtId="43" fontId="22" fillId="0" borderId="4" xfId="1" applyFont="1" applyFill="1" applyBorder="1" applyAlignment="1">
      <alignment horizontal="center" vertical="center"/>
    </xf>
    <xf numFmtId="43" fontId="22" fillId="0" borderId="5" xfId="1" applyFont="1" applyFill="1" applyBorder="1" applyAlignment="1">
      <alignment horizontal="center" vertical="center"/>
    </xf>
    <xf numFmtId="43" fontId="22" fillId="4" borderId="2" xfId="1" applyFont="1" applyFill="1" applyBorder="1" applyAlignment="1">
      <alignment horizontal="center" vertical="center"/>
    </xf>
    <xf numFmtId="0" fontId="16" fillId="6" borderId="1" xfId="3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 readingOrder="1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 readingOrder="1"/>
    </xf>
    <xf numFmtId="0" fontId="13" fillId="0" borderId="10" xfId="0" applyFont="1" applyFill="1" applyBorder="1" applyAlignment="1">
      <alignment horizontal="center" vertical="center" wrapText="1" readingOrder="1"/>
    </xf>
    <xf numFmtId="0" fontId="13" fillId="0" borderId="7" xfId="0" applyFont="1" applyFill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43" fontId="6" fillId="0" borderId="6" xfId="0" applyNumberFormat="1" applyFont="1" applyBorder="1" applyAlignment="1">
      <alignment horizontal="center" vertical="center" wrapText="1"/>
    </xf>
    <xf numFmtId="43" fontId="6" fillId="0" borderId="10" xfId="0" applyNumberFormat="1" applyFont="1" applyBorder="1" applyAlignment="1">
      <alignment horizontal="center" vertical="center" wrapText="1"/>
    </xf>
    <xf numFmtId="43" fontId="6" fillId="0" borderId="7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</cellXfs>
  <cellStyles count="12">
    <cellStyle name="_x000a_mouse.drv=lm" xfId="3"/>
    <cellStyle name="BOM_Level_Below3" xfId="4"/>
    <cellStyle name="百分比" xfId="2" builtinId="5"/>
    <cellStyle name="常规" xfId="0" builtinId="0"/>
    <cellStyle name="常规 11 2" xfId="5"/>
    <cellStyle name="常规 2" xfId="6"/>
    <cellStyle name="常规_20061221C2项目损益分析（概念稿）" xfId="7"/>
    <cellStyle name="普通_销售收入.XLS" xfId="8"/>
    <cellStyle name="千位分隔" xfId="1" builtinId="3"/>
    <cellStyle name="千位分隔 2 25" xfId="9"/>
    <cellStyle name="样式 1" xfId="10"/>
    <cellStyle name="样式 1 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1487;&#34892;&#24615;&#20998;&#26512;\&#36731;&#21345;\&#19968;&#27773;&#39046;&#36884;&#36731;&#21345;&#24231;&#26885;&#39033;&#30446;&#25237;&#36164;&#25910;&#30410;&#20998;&#26512;2022.11.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假设条件"/>
      <sheetName val="损益表"/>
      <sheetName val="现金"/>
      <sheetName val="2023年"/>
      <sheetName val="2024年"/>
      <sheetName val="2025年"/>
      <sheetName val="2026年"/>
      <sheetName val="2027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>
        <row r="18">
          <cell r="I18">
            <v>0</v>
          </cell>
        </row>
      </sheetData>
      <sheetData sheetId="4"/>
      <sheetData sheetId="5"/>
      <sheetData sheetId="6"/>
      <sheetData sheetId="7"/>
      <sheetData sheetId="8">
        <row r="26">
          <cell r="G26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8" sqref="C8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77" customFormat="1" ht="35.25" customHeight="1">
      <c r="A2" s="178" t="s">
        <v>0</v>
      </c>
      <c r="B2" s="178" t="s">
        <v>1</v>
      </c>
      <c r="C2" s="178" t="s">
        <v>2</v>
      </c>
      <c r="D2" s="179"/>
    </row>
    <row r="3" spans="1:4" s="177" customFormat="1" ht="33.75" customHeight="1">
      <c r="A3" s="180">
        <v>1</v>
      </c>
      <c r="B3" s="180" t="s">
        <v>3</v>
      </c>
      <c r="C3" s="181" t="s">
        <v>4</v>
      </c>
      <c r="D3" s="179"/>
    </row>
    <row r="4" spans="1:4" s="177" customFormat="1" ht="33.75" customHeight="1">
      <c r="A4" s="180">
        <v>2</v>
      </c>
      <c r="B4" s="180" t="s">
        <v>5</v>
      </c>
      <c r="C4" s="181" t="s">
        <v>6</v>
      </c>
    </row>
    <row r="5" spans="1:4" s="177" customFormat="1" ht="33.75" customHeight="1">
      <c r="A5" s="180">
        <v>3</v>
      </c>
      <c r="B5" s="201" t="s">
        <v>7</v>
      </c>
      <c r="C5" s="182" t="s">
        <v>8</v>
      </c>
    </row>
    <row r="6" spans="1:4" s="177" customFormat="1" ht="33.75" customHeight="1">
      <c r="A6" s="180">
        <v>4</v>
      </c>
      <c r="B6" s="202"/>
      <c r="C6" s="181" t="s">
        <v>9</v>
      </c>
    </row>
    <row r="7" spans="1:4" s="177" customFormat="1" ht="33.75" customHeight="1">
      <c r="A7" s="180">
        <v>5</v>
      </c>
      <c r="B7" s="183" t="s">
        <v>10</v>
      </c>
      <c r="C7" s="181" t="s">
        <v>11</v>
      </c>
    </row>
    <row r="8" spans="1:4" s="177" customFormat="1" ht="33.75" customHeight="1">
      <c r="A8" s="180">
        <v>6</v>
      </c>
      <c r="B8" s="201" t="s">
        <v>12</v>
      </c>
      <c r="C8" s="181" t="s">
        <v>13</v>
      </c>
    </row>
    <row r="9" spans="1:4" s="177" customFormat="1" ht="33.75" customHeight="1">
      <c r="A9" s="180">
        <v>7</v>
      </c>
      <c r="B9" s="202"/>
      <c r="C9" s="181" t="s">
        <v>14</v>
      </c>
    </row>
    <row r="10" spans="1:4" s="177" customFormat="1" ht="33.75" customHeight="1">
      <c r="A10" s="180">
        <v>8</v>
      </c>
      <c r="B10" s="202"/>
      <c r="C10" s="182" t="s">
        <v>15</v>
      </c>
    </row>
    <row r="11" spans="1:4" s="177" customFormat="1" ht="33.75" customHeight="1">
      <c r="A11" s="180">
        <v>9</v>
      </c>
      <c r="B11" s="202"/>
      <c r="C11" s="181" t="s">
        <v>16</v>
      </c>
    </row>
    <row r="12" spans="1:4" s="177" customFormat="1" ht="33.75" customHeight="1">
      <c r="A12" s="180">
        <v>10</v>
      </c>
      <c r="B12" s="183" t="s">
        <v>17</v>
      </c>
      <c r="C12" s="181" t="s">
        <v>18</v>
      </c>
    </row>
    <row r="13" spans="1:4" ht="33.75" customHeight="1"/>
    <row r="14" spans="1:4" ht="33.75" customHeight="1"/>
    <row r="15" spans="1:4" ht="33.75" customHeight="1">
      <c r="C15" s="184"/>
    </row>
  </sheetData>
  <mergeCells count="2">
    <mergeCell ref="B5:B6"/>
    <mergeCell ref="B8:B11"/>
  </mergeCells>
  <phoneticPr fontId="47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4"/>
  <sheetViews>
    <sheetView topLeftCell="A10" workbookViewId="0">
      <selection activeCell="H28" sqref="H28"/>
    </sheetView>
  </sheetViews>
  <sheetFormatPr defaultColWidth="9" defaultRowHeight="16.5"/>
  <cols>
    <col min="1" max="1" width="5.125" style="86" customWidth="1"/>
    <col min="2" max="2" width="17.5" style="86" customWidth="1"/>
    <col min="3" max="4" width="14.375" style="89" customWidth="1"/>
    <col min="5" max="5" width="18.75" style="89" customWidth="1"/>
    <col min="6" max="6" width="12.375" style="86" customWidth="1"/>
    <col min="7" max="7" width="10.125" style="86" customWidth="1"/>
    <col min="8" max="14" width="9" style="86" customWidth="1"/>
    <col min="15" max="16384" width="9" style="86"/>
  </cols>
  <sheetData>
    <row r="1" spans="1:16">
      <c r="A1" s="207" t="s">
        <v>144</v>
      </c>
      <c r="B1" s="207"/>
      <c r="C1" s="211" t="s">
        <v>280</v>
      </c>
      <c r="D1" s="212"/>
      <c r="E1" s="213"/>
    </row>
    <row r="2" spans="1:16">
      <c r="A2" s="207" t="s">
        <v>145</v>
      </c>
      <c r="B2" s="207"/>
      <c r="C2" s="214" t="str">
        <f>'2025年'!$C$2</f>
        <v>陕汽重型汽车有限公司</v>
      </c>
      <c r="D2" s="214"/>
      <c r="E2" s="214"/>
    </row>
    <row r="3" spans="1:16" ht="45">
      <c r="A3" s="207" t="s">
        <v>146</v>
      </c>
      <c r="B3" s="207"/>
      <c r="C3" s="91" t="str">
        <f>'2025年'!C3</f>
        <v>左空气悬浮座椅总成/一体式头枕/X5000/扶手/报警锁扣/斜滑轨</v>
      </c>
      <c r="D3" s="91" t="str">
        <f>'2025年'!D3</f>
        <v>副司机座椅</v>
      </c>
      <c r="E3" s="208" t="s">
        <v>54</v>
      </c>
    </row>
    <row r="4" spans="1:16">
      <c r="A4" s="207" t="s">
        <v>147</v>
      </c>
      <c r="B4" s="207"/>
      <c r="C4" s="91" t="str">
        <f>'2025年'!C4</f>
        <v>DZ14251510207/8</v>
      </c>
      <c r="D4" s="91" t="str">
        <f>'2025年'!D4</f>
        <v>DZ14251510122</v>
      </c>
      <c r="E4" s="209"/>
    </row>
    <row r="5" spans="1:16" ht="42.75">
      <c r="A5" s="207" t="s">
        <v>148</v>
      </c>
      <c r="B5" s="207"/>
      <c r="C5" s="92" t="str">
        <f>'2025年'!C5</f>
        <v>与X5000配置一致，需要重新开发滑轨+底座总成</v>
      </c>
      <c r="D5" s="92">
        <f>'2025年'!D5</f>
        <v>0</v>
      </c>
      <c r="E5" s="210"/>
    </row>
    <row r="6" spans="1:16">
      <c r="A6" s="93" t="s">
        <v>21</v>
      </c>
      <c r="B6" s="94" t="s">
        <v>149</v>
      </c>
      <c r="C6" s="95">
        <f>销量!C15</f>
        <v>0</v>
      </c>
      <c r="D6" s="95">
        <f>销量!D15</f>
        <v>0</v>
      </c>
      <c r="E6" s="96">
        <f t="shared" ref="E6:E15" si="0">+SUM(C6:D6)</f>
        <v>0</v>
      </c>
      <c r="P6" s="94" t="s">
        <v>3</v>
      </c>
    </row>
    <row r="7" spans="1:16">
      <c r="A7" s="90">
        <v>1</v>
      </c>
      <c r="B7" s="94" t="s">
        <v>57</v>
      </c>
      <c r="C7" s="96">
        <f>C6*销量!C8</f>
        <v>0</v>
      </c>
      <c r="D7" s="96">
        <f>D6*销量!D8</f>
        <v>0</v>
      </c>
      <c r="E7" s="96">
        <f t="shared" si="0"/>
        <v>0</v>
      </c>
      <c r="F7" s="89"/>
      <c r="P7" s="94" t="s">
        <v>57</v>
      </c>
    </row>
    <row r="8" spans="1:16">
      <c r="A8" s="90">
        <v>2</v>
      </c>
      <c r="B8" s="90" t="s">
        <v>59</v>
      </c>
      <c r="C8" s="96">
        <f>C7*(1-销量!$K$12)</f>
        <v>0</v>
      </c>
      <c r="D8" s="96">
        <f>D7*(1-销量!$K$12)</f>
        <v>0</v>
      </c>
      <c r="E8" s="96">
        <f t="shared" si="0"/>
        <v>0</v>
      </c>
      <c r="F8" s="97"/>
      <c r="P8" s="90" t="s">
        <v>61</v>
      </c>
    </row>
    <row r="9" spans="1:16">
      <c r="A9" s="90">
        <v>3</v>
      </c>
      <c r="B9" s="94" t="s">
        <v>62</v>
      </c>
      <c r="C9" s="96">
        <f>+C7-C8</f>
        <v>0</v>
      </c>
      <c r="D9" s="96">
        <f>+D7-D8</f>
        <v>0</v>
      </c>
      <c r="E9" s="96">
        <f t="shared" si="0"/>
        <v>0</v>
      </c>
      <c r="P9" s="94" t="s">
        <v>62</v>
      </c>
    </row>
    <row r="10" spans="1:16">
      <c r="A10" s="90">
        <v>4</v>
      </c>
      <c r="B10" s="93" t="s">
        <v>66</v>
      </c>
      <c r="C10" s="96">
        <f>C6*C33</f>
        <v>0</v>
      </c>
      <c r="D10" s="96">
        <f>D6*D33</f>
        <v>0</v>
      </c>
      <c r="E10" s="96">
        <f t="shared" si="0"/>
        <v>0</v>
      </c>
      <c r="P10" s="93" t="s">
        <v>66</v>
      </c>
    </row>
    <row r="11" spans="1:16">
      <c r="A11" s="90">
        <v>5</v>
      </c>
      <c r="B11" s="93" t="s">
        <v>68</v>
      </c>
      <c r="C11" s="96">
        <f>+C6*C36</f>
        <v>0</v>
      </c>
      <c r="D11" s="96">
        <f>+D6*D36</f>
        <v>0</v>
      </c>
      <c r="E11" s="96">
        <f t="shared" si="0"/>
        <v>0</v>
      </c>
      <c r="P11" s="93" t="s">
        <v>68</v>
      </c>
    </row>
    <row r="12" spans="1:16">
      <c r="A12" s="90">
        <v>6</v>
      </c>
      <c r="B12" s="93" t="s">
        <v>70</v>
      </c>
      <c r="C12" s="96">
        <f>+C6*C37</f>
        <v>0</v>
      </c>
      <c r="D12" s="96">
        <f>+D6*D37</f>
        <v>0</v>
      </c>
      <c r="E12" s="96">
        <f t="shared" si="0"/>
        <v>0</v>
      </c>
      <c r="P12" s="93" t="s">
        <v>70</v>
      </c>
    </row>
    <row r="13" spans="1:16">
      <c r="A13" s="90">
        <v>7</v>
      </c>
      <c r="B13" s="93" t="s">
        <v>72</v>
      </c>
      <c r="C13" s="96">
        <f>+C6*C38</f>
        <v>0</v>
      </c>
      <c r="D13" s="96">
        <f>+D6*D38</f>
        <v>0</v>
      </c>
      <c r="E13" s="96">
        <f t="shared" si="0"/>
        <v>0</v>
      </c>
      <c r="P13" s="93" t="s">
        <v>72</v>
      </c>
    </row>
    <row r="14" spans="1:16">
      <c r="A14" s="90">
        <v>8</v>
      </c>
      <c r="B14" s="98" t="s">
        <v>74</v>
      </c>
      <c r="C14" s="96">
        <f>SUM(C11:C13)</f>
        <v>0</v>
      </c>
      <c r="D14" s="96">
        <f>SUM(D11:D13)</f>
        <v>0</v>
      </c>
      <c r="E14" s="96">
        <f t="shared" si="0"/>
        <v>0</v>
      </c>
      <c r="P14" s="98" t="s">
        <v>74</v>
      </c>
    </row>
    <row r="15" spans="1:16">
      <c r="A15" s="90">
        <v>9</v>
      </c>
      <c r="B15" s="98" t="s">
        <v>76</v>
      </c>
      <c r="C15" s="96">
        <f>+C9-C10-C14</f>
        <v>0</v>
      </c>
      <c r="D15" s="96">
        <f>+D9-D10-D14</f>
        <v>0</v>
      </c>
      <c r="E15" s="96">
        <f t="shared" si="0"/>
        <v>0</v>
      </c>
      <c r="P15" s="98" t="s">
        <v>76</v>
      </c>
    </row>
    <row r="16" spans="1:16">
      <c r="A16" s="90">
        <v>10</v>
      </c>
      <c r="B16" s="93" t="s">
        <v>78</v>
      </c>
      <c r="C16" s="99" t="e">
        <f>+C15/C9</f>
        <v>#DIV/0!</v>
      </c>
      <c r="D16" s="99" t="e">
        <f>+D15/D9</f>
        <v>#DIV/0!</v>
      </c>
      <c r="E16" s="99" t="e">
        <f>+E15/E9</f>
        <v>#DIV/0!</v>
      </c>
      <c r="F16" s="100"/>
      <c r="G16" s="100"/>
      <c r="H16" s="100"/>
      <c r="P16" s="93" t="s">
        <v>78</v>
      </c>
    </row>
    <row r="17" spans="1:16">
      <c r="A17" s="90">
        <v>11</v>
      </c>
      <c r="B17" s="93" t="s">
        <v>80</v>
      </c>
      <c r="C17" s="96" t="e">
        <f>C6*C43+C18</f>
        <v>#DIV/0!</v>
      </c>
      <c r="D17" s="96" t="e">
        <f>D6*D43+D18</f>
        <v>#DIV/0!</v>
      </c>
      <c r="E17" s="96" t="e">
        <f>+SUM(C17:D17)</f>
        <v>#DIV/0!</v>
      </c>
      <c r="F17" s="97"/>
      <c r="P17" s="93" t="s">
        <v>80</v>
      </c>
    </row>
    <row r="18" spans="1:16" s="87" customFormat="1">
      <c r="A18" s="90">
        <v>12</v>
      </c>
      <c r="B18" s="101" t="s">
        <v>150</v>
      </c>
      <c r="C18" s="102" t="e">
        <f>$E$18/$E$6*C6</f>
        <v>#DIV/0!</v>
      </c>
      <c r="D18" s="102" t="e">
        <f>$E$18/$E$6*D6</f>
        <v>#DIV/0!</v>
      </c>
      <c r="E18" s="96">
        <f>项目投资!J26</f>
        <v>0</v>
      </c>
      <c r="F18" s="103" t="s">
        <v>151</v>
      </c>
      <c r="G18" s="103"/>
      <c r="H18" s="103"/>
    </row>
    <row r="19" spans="1:16">
      <c r="A19" s="90">
        <v>13</v>
      </c>
      <c r="B19" s="93" t="s">
        <v>82</v>
      </c>
      <c r="C19" s="96">
        <f>C6*C44</f>
        <v>0</v>
      </c>
      <c r="D19" s="96">
        <f>D6*D44</f>
        <v>0</v>
      </c>
      <c r="E19" s="96">
        <f>+SUM(C19:D19)</f>
        <v>0</v>
      </c>
      <c r="F19" s="87"/>
      <c r="P19" s="93" t="s">
        <v>82</v>
      </c>
    </row>
    <row r="20" spans="1:16">
      <c r="A20" s="90">
        <v>14</v>
      </c>
      <c r="B20" s="93" t="s">
        <v>84</v>
      </c>
      <c r="C20" s="96">
        <f>C6*C45</f>
        <v>0</v>
      </c>
      <c r="D20" s="96">
        <f>D6*D45</f>
        <v>0</v>
      </c>
      <c r="E20" s="96">
        <f>+SUM(C20:D20)</f>
        <v>0</v>
      </c>
      <c r="P20" s="93" t="s">
        <v>84</v>
      </c>
    </row>
    <row r="21" spans="1:16">
      <c r="A21" s="90">
        <v>15</v>
      </c>
      <c r="B21" s="93" t="s">
        <v>86</v>
      </c>
      <c r="C21" s="104" t="e">
        <f>$E$21/$E$6*C6</f>
        <v>#DIV/0!</v>
      </c>
      <c r="D21" s="104" t="e">
        <f>$E$21/$E$6*D6</f>
        <v>#DIV/0!</v>
      </c>
      <c r="E21" s="96">
        <f>项目投资!J27</f>
        <v>0</v>
      </c>
      <c r="P21" s="93" t="s">
        <v>86</v>
      </c>
    </row>
    <row r="22" spans="1:16">
      <c r="A22" s="90">
        <v>16</v>
      </c>
      <c r="B22" s="93" t="s">
        <v>87</v>
      </c>
      <c r="C22" s="96">
        <f>C6*C47</f>
        <v>0</v>
      </c>
      <c r="D22" s="96">
        <f>D6*D47</f>
        <v>0</v>
      </c>
      <c r="E22" s="96">
        <f>+SUM(C22:D22)</f>
        <v>0</v>
      </c>
      <c r="P22" s="93" t="s">
        <v>87</v>
      </c>
    </row>
    <row r="23" spans="1:16">
      <c r="A23" s="90">
        <v>17</v>
      </c>
      <c r="B23" s="98" t="s">
        <v>89</v>
      </c>
      <c r="C23" s="104" t="e">
        <f>+C22+C21+C20+C19+C17</f>
        <v>#DIV/0!</v>
      </c>
      <c r="D23" s="104" t="e">
        <f>+D22+D21+D20+D19+D17</f>
        <v>#DIV/0!</v>
      </c>
      <c r="E23" s="104" t="e">
        <f>+E22+E21+E20+E19+E17</f>
        <v>#DIV/0!</v>
      </c>
      <c r="P23" s="98" t="s">
        <v>89</v>
      </c>
    </row>
    <row r="24" spans="1:16">
      <c r="A24" s="90">
        <v>18</v>
      </c>
      <c r="B24" s="105" t="s">
        <v>91</v>
      </c>
      <c r="C24" s="104" t="e">
        <f>+C15-C23</f>
        <v>#DIV/0!</v>
      </c>
      <c r="D24" s="104" t="e">
        <f>+D15-D23</f>
        <v>#DIV/0!</v>
      </c>
      <c r="E24" s="104" t="e">
        <f>+E15-E23</f>
        <v>#DIV/0!</v>
      </c>
      <c r="G24" s="106"/>
      <c r="P24" s="93" t="s">
        <v>91</v>
      </c>
    </row>
    <row r="25" spans="1:16">
      <c r="A25" s="90">
        <v>19</v>
      </c>
      <c r="B25" s="93" t="s">
        <v>303</v>
      </c>
      <c r="C25" s="104" t="e">
        <f>IF(C24&lt;0,0,C24*0.15)</f>
        <v>#DIV/0!</v>
      </c>
      <c r="D25" s="104" t="e">
        <f t="shared" ref="D25:E25" si="1">IF(D24&lt;0,0,D24*0.15)</f>
        <v>#DIV/0!</v>
      </c>
      <c r="E25" s="104" t="e">
        <f t="shared" si="1"/>
        <v>#DIV/0!</v>
      </c>
      <c r="F25" s="2"/>
      <c r="G25" s="2"/>
      <c r="H25" s="2"/>
      <c r="P25" s="93" t="s">
        <v>38</v>
      </c>
    </row>
    <row r="26" spans="1:16">
      <c r="A26" s="90">
        <v>20</v>
      </c>
      <c r="B26" s="93" t="s">
        <v>94</v>
      </c>
      <c r="C26" s="104" t="e">
        <f>C24-C25</f>
        <v>#DIV/0!</v>
      </c>
      <c r="D26" s="104" t="e">
        <f>D24-D25</f>
        <v>#DIV/0!</v>
      </c>
      <c r="E26" s="96" t="e">
        <f>+SUM(C26:D26)</f>
        <v>#DIV/0!</v>
      </c>
      <c r="F26" s="2"/>
      <c r="G26" s="2"/>
      <c r="H26" s="2"/>
      <c r="P26" s="93" t="s">
        <v>94</v>
      </c>
    </row>
    <row r="27" spans="1:16">
      <c r="A27" s="90">
        <v>21</v>
      </c>
      <c r="B27" s="93" t="s">
        <v>98</v>
      </c>
      <c r="C27" s="107" t="e">
        <f>C26/C7</f>
        <v>#DIV/0!</v>
      </c>
      <c r="D27" s="107" t="e">
        <f>D26/D7</f>
        <v>#DIV/0!</v>
      </c>
      <c r="E27" s="107" t="e">
        <f>E26/E7</f>
        <v>#DIV/0!</v>
      </c>
      <c r="F27" s="2"/>
      <c r="G27" s="2"/>
      <c r="H27" s="2"/>
      <c r="P27" s="93" t="s">
        <v>98</v>
      </c>
    </row>
    <row r="28" spans="1:16">
      <c r="F28" s="2"/>
      <c r="G28" s="2"/>
      <c r="H28" s="2"/>
      <c r="P28" s="93"/>
    </row>
    <row r="29" spans="1:16">
      <c r="A29" s="86" t="s">
        <v>99</v>
      </c>
      <c r="E29" s="89" t="s">
        <v>152</v>
      </c>
      <c r="F29" s="2"/>
      <c r="G29" s="2"/>
      <c r="H29" s="2"/>
      <c r="P29" s="93"/>
    </row>
    <row r="30" spans="1:16">
      <c r="A30" s="93" t="s">
        <v>100</v>
      </c>
      <c r="B30" s="98" t="s">
        <v>101</v>
      </c>
      <c r="C30" s="104"/>
      <c r="D30" s="104"/>
      <c r="E30" s="104"/>
      <c r="F30" s="2"/>
      <c r="G30" s="2"/>
      <c r="H30" s="2"/>
      <c r="J30" s="2"/>
      <c r="P30" s="98" t="s">
        <v>101</v>
      </c>
    </row>
    <row r="31" spans="1:16">
      <c r="A31" s="90">
        <v>1</v>
      </c>
      <c r="B31" s="101" t="s">
        <v>103</v>
      </c>
      <c r="C31" s="108">
        <f>销量!C8</f>
        <v>1835</v>
      </c>
      <c r="D31" s="108">
        <f>销量!D8</f>
        <v>590</v>
      </c>
      <c r="E31" s="104"/>
      <c r="F31" s="2"/>
      <c r="G31" s="2"/>
      <c r="H31" s="2"/>
      <c r="J31" s="2"/>
      <c r="P31" s="93" t="s">
        <v>103</v>
      </c>
    </row>
    <row r="32" spans="1:16">
      <c r="A32" s="90">
        <v>2</v>
      </c>
      <c r="B32" s="93" t="s">
        <v>153</v>
      </c>
      <c r="C32" s="96">
        <f>C31*1</f>
        <v>1835</v>
      </c>
      <c r="D32" s="96">
        <f>D31*1</f>
        <v>590</v>
      </c>
      <c r="E32" s="104"/>
      <c r="F32" s="2"/>
      <c r="G32" s="2"/>
      <c r="H32" s="2"/>
      <c r="I32" s="2"/>
      <c r="J32" s="2"/>
      <c r="K32" s="2"/>
      <c r="L32" s="2"/>
    </row>
    <row r="33" spans="1:16">
      <c r="A33" s="90">
        <v>3</v>
      </c>
      <c r="B33" s="101" t="s">
        <v>104</v>
      </c>
      <c r="C33" s="96">
        <f>材料成本!D26</f>
        <v>1101.0237339105827</v>
      </c>
      <c r="D33" s="96">
        <f>材料成本!E26</f>
        <v>355.31424999999996</v>
      </c>
      <c r="E33" s="104"/>
      <c r="G33" s="2"/>
      <c r="H33" s="2"/>
      <c r="I33" s="2"/>
      <c r="J33" s="2"/>
      <c r="K33" s="2"/>
      <c r="L33" s="2"/>
      <c r="P33" s="93" t="s">
        <v>104</v>
      </c>
    </row>
    <row r="34" spans="1:16" ht="17.25" customHeight="1">
      <c r="A34" s="90">
        <v>4</v>
      </c>
      <c r="B34" s="93" t="s">
        <v>106</v>
      </c>
      <c r="C34" s="109">
        <f>C32-C33</f>
        <v>733.97626608941732</v>
      </c>
      <c r="D34" s="109">
        <f>D32-D33</f>
        <v>234.68575000000004</v>
      </c>
      <c r="E34" s="104"/>
      <c r="G34" s="2"/>
      <c r="H34" s="2"/>
      <c r="I34" s="2"/>
      <c r="J34" s="2"/>
      <c r="K34" s="2"/>
      <c r="L34" s="2"/>
      <c r="P34" s="93" t="s">
        <v>106</v>
      </c>
    </row>
    <row r="35" spans="1:16">
      <c r="A35" s="93" t="s">
        <v>102</v>
      </c>
      <c r="B35" s="98" t="s">
        <v>10</v>
      </c>
      <c r="C35" s="104"/>
      <c r="D35" s="104"/>
      <c r="E35" s="104"/>
      <c r="F35" s="2"/>
      <c r="G35" s="2"/>
      <c r="H35" s="2"/>
      <c r="I35" s="2"/>
      <c r="J35" s="2"/>
      <c r="K35" s="2"/>
      <c r="L35" s="2"/>
      <c r="M35" s="2"/>
      <c r="N35" s="2"/>
      <c r="O35" s="2"/>
      <c r="P35" s="98" t="s">
        <v>10</v>
      </c>
    </row>
    <row r="36" spans="1:16">
      <c r="A36" s="90">
        <v>1</v>
      </c>
      <c r="B36" s="93" t="s">
        <v>109</v>
      </c>
      <c r="C36" s="102">
        <f>标准成本!E4</f>
        <v>53.765499999999996</v>
      </c>
      <c r="D36" s="102">
        <f>标准成本!E16</f>
        <v>17.286999999999999</v>
      </c>
      <c r="E36" s="108"/>
      <c r="F36" s="2"/>
      <c r="G36" s="2"/>
      <c r="H36" s="2"/>
      <c r="I36" s="2"/>
      <c r="J36" s="2"/>
      <c r="K36" s="2"/>
      <c r="L36" s="2"/>
      <c r="M36" s="2"/>
      <c r="N36" s="2"/>
      <c r="O36" s="2"/>
      <c r="P36" s="93" t="s">
        <v>109</v>
      </c>
    </row>
    <row r="37" spans="1:16">
      <c r="A37" s="90">
        <v>2</v>
      </c>
      <c r="B37" s="93" t="s">
        <v>110</v>
      </c>
      <c r="C37" s="102">
        <f>标准成本!E6</f>
        <v>15.964499999999999</v>
      </c>
      <c r="D37" s="102">
        <f>标准成本!E18</f>
        <v>5.133</v>
      </c>
      <c r="E37" s="108"/>
      <c r="F37" s="2"/>
      <c r="G37" s="2"/>
      <c r="H37" s="2"/>
      <c r="I37" s="2"/>
      <c r="J37" s="2"/>
      <c r="K37" s="2"/>
      <c r="L37" s="2"/>
      <c r="M37" s="2"/>
      <c r="N37" s="2"/>
      <c r="O37" s="2"/>
      <c r="P37" s="93" t="s">
        <v>110</v>
      </c>
    </row>
    <row r="38" spans="1:16">
      <c r="A38" s="90">
        <v>3</v>
      </c>
      <c r="B38" s="93" t="s">
        <v>111</v>
      </c>
      <c r="C38" s="102">
        <f>标准成本!E10</f>
        <v>75.602000000000004</v>
      </c>
      <c r="D38" s="102">
        <f>标准成本!E22</f>
        <v>24.308</v>
      </c>
      <c r="E38" s="108"/>
      <c r="F38" s="2"/>
      <c r="G38" s="2"/>
      <c r="H38" s="2"/>
      <c r="I38" s="2"/>
      <c r="J38" s="2"/>
      <c r="K38" s="2"/>
      <c r="L38" s="2"/>
      <c r="M38" s="2"/>
      <c r="N38" s="2"/>
      <c r="O38" s="2"/>
      <c r="P38" s="93" t="s">
        <v>111</v>
      </c>
    </row>
    <row r="39" spans="1:16">
      <c r="A39" s="93" t="s">
        <v>108</v>
      </c>
      <c r="B39" s="98" t="s">
        <v>113</v>
      </c>
      <c r="C39" s="104"/>
      <c r="D39" s="104"/>
      <c r="E39" s="104"/>
      <c r="P39" s="98" t="s">
        <v>113</v>
      </c>
    </row>
    <row r="40" spans="1:16">
      <c r="A40" s="90">
        <v>1</v>
      </c>
      <c r="B40" s="93" t="s">
        <v>114</v>
      </c>
      <c r="C40" s="104">
        <f>C34-C36-C37-C38</f>
        <v>588.64426608941733</v>
      </c>
      <c r="D40" s="104">
        <f>D34-D36-D37-D38</f>
        <v>187.95775000000003</v>
      </c>
      <c r="E40" s="104"/>
      <c r="P40" s="93" t="s">
        <v>114</v>
      </c>
    </row>
    <row r="41" spans="1:16">
      <c r="A41" s="90">
        <v>2</v>
      </c>
      <c r="B41" s="93" t="s">
        <v>115</v>
      </c>
      <c r="C41" s="104"/>
      <c r="D41" s="104"/>
      <c r="E41" s="104"/>
      <c r="P41" s="93" t="s">
        <v>115</v>
      </c>
    </row>
    <row r="42" spans="1:16">
      <c r="A42" s="93" t="s">
        <v>112</v>
      </c>
      <c r="B42" s="98" t="s">
        <v>117</v>
      </c>
      <c r="C42" s="104"/>
      <c r="D42" s="104"/>
      <c r="E42" s="104"/>
      <c r="P42" s="98" t="s">
        <v>117</v>
      </c>
    </row>
    <row r="43" spans="1:16">
      <c r="A43" s="90">
        <v>1</v>
      </c>
      <c r="B43" s="105" t="s">
        <v>118</v>
      </c>
      <c r="C43" s="102">
        <f>标准成本!E5</f>
        <v>118.72449999999999</v>
      </c>
      <c r="D43" s="102">
        <f>标准成本!E17</f>
        <v>38.172999999999995</v>
      </c>
      <c r="E43" s="104"/>
      <c r="P43" s="93" t="s">
        <v>118</v>
      </c>
    </row>
    <row r="44" spans="1:16">
      <c r="A44" s="90">
        <v>2</v>
      </c>
      <c r="B44" s="105" t="s">
        <v>119</v>
      </c>
      <c r="C44" s="102">
        <f>标准成本!E9</f>
        <v>25.139500000000002</v>
      </c>
      <c r="D44" s="102">
        <f>标准成本!E21</f>
        <v>8.0830000000000002</v>
      </c>
      <c r="E44" s="104"/>
      <c r="P44" s="93" t="s">
        <v>119</v>
      </c>
    </row>
    <row r="45" spans="1:16">
      <c r="A45" s="90">
        <v>3</v>
      </c>
      <c r="B45" s="105" t="s">
        <v>120</v>
      </c>
      <c r="C45" s="102">
        <f>标准成本!E8</f>
        <v>37.6175</v>
      </c>
      <c r="D45" s="102">
        <f>标准成本!E20</f>
        <v>12.095000000000001</v>
      </c>
      <c r="E45" s="104"/>
      <c r="P45" s="93" t="s">
        <v>120</v>
      </c>
    </row>
    <row r="46" spans="1:16" s="88" customFormat="1">
      <c r="A46" s="90">
        <v>4</v>
      </c>
      <c r="B46" s="105" t="s">
        <v>121</v>
      </c>
      <c r="C46" s="110" t="e">
        <f>C21/C6</f>
        <v>#DIV/0!</v>
      </c>
      <c r="D46" s="110" t="e">
        <f>D21/D6</f>
        <v>#DIV/0!</v>
      </c>
      <c r="E46" s="110"/>
      <c r="P46" s="105" t="s">
        <v>123</v>
      </c>
    </row>
    <row r="47" spans="1:16" s="88" customFormat="1">
      <c r="A47" s="90">
        <v>5</v>
      </c>
      <c r="B47" s="105" t="s">
        <v>123</v>
      </c>
      <c r="C47" s="110">
        <f>标准成本!E11</f>
        <v>80.006</v>
      </c>
      <c r="D47" s="110">
        <f>标准成本!E23</f>
        <v>25.724</v>
      </c>
      <c r="E47" s="110"/>
      <c r="P47" s="105" t="s">
        <v>123</v>
      </c>
    </row>
    <row r="48" spans="1:16">
      <c r="A48" s="93" t="s">
        <v>116</v>
      </c>
      <c r="B48" s="98" t="s">
        <v>134</v>
      </c>
      <c r="C48" s="104" t="e">
        <f>C40-C43-C44-C45-C47-C46</f>
        <v>#DIV/0!</v>
      </c>
      <c r="D48" s="104" t="e">
        <f>D40-D43-D44-D45-D47-D46</f>
        <v>#DIV/0!</v>
      </c>
      <c r="E48" s="104"/>
      <c r="P48" s="98" t="s">
        <v>134</v>
      </c>
    </row>
    <row r="51" spans="2:10">
      <c r="C51" s="111"/>
      <c r="D51" s="111"/>
    </row>
    <row r="54" spans="2:10">
      <c r="B54" s="2"/>
      <c r="C54" s="112"/>
      <c r="D54" s="112"/>
      <c r="E54" s="112"/>
      <c r="F54" s="2"/>
      <c r="G54" s="2"/>
      <c r="H54" s="2"/>
      <c r="I54" s="2"/>
      <c r="J54" s="2"/>
    </row>
    <row r="55" spans="2:10">
      <c r="B55" s="2"/>
      <c r="C55" s="112"/>
      <c r="D55" s="112"/>
      <c r="E55" s="112"/>
      <c r="F55" s="2"/>
      <c r="G55" s="2"/>
      <c r="H55" s="2"/>
      <c r="I55" s="2"/>
      <c r="J55" s="2"/>
    </row>
    <row r="56" spans="2:10">
      <c r="B56" s="2"/>
      <c r="C56" s="112"/>
      <c r="D56" s="112"/>
      <c r="E56" s="112"/>
      <c r="F56" s="2"/>
      <c r="G56" s="2"/>
      <c r="H56" s="2"/>
      <c r="I56" s="2"/>
      <c r="J56" s="2"/>
    </row>
    <row r="57" spans="2:10">
      <c r="B57" s="2"/>
      <c r="C57" s="112"/>
      <c r="D57" s="112"/>
      <c r="E57" s="112"/>
      <c r="F57" s="2"/>
      <c r="G57" s="2"/>
      <c r="H57" s="2"/>
      <c r="I57" s="2"/>
      <c r="J57" s="2"/>
    </row>
    <row r="58" spans="2:10">
      <c r="B58" s="2"/>
      <c r="C58" s="112"/>
      <c r="D58" s="112"/>
      <c r="E58" s="112"/>
      <c r="F58" s="2"/>
      <c r="G58" s="2"/>
      <c r="H58" s="2"/>
      <c r="I58" s="2"/>
      <c r="J58" s="2"/>
    </row>
    <row r="59" spans="2:10">
      <c r="B59" s="2"/>
      <c r="C59" s="112"/>
      <c r="D59" s="112"/>
      <c r="E59" s="112"/>
      <c r="F59" s="2"/>
      <c r="G59" s="2"/>
      <c r="H59" s="2"/>
      <c r="I59" s="2"/>
      <c r="J59" s="2"/>
    </row>
    <row r="60" spans="2:10">
      <c r="B60" s="2"/>
      <c r="C60" s="112"/>
      <c r="D60" s="112"/>
      <c r="E60" s="112"/>
      <c r="F60" s="2"/>
      <c r="G60" s="2"/>
      <c r="H60" s="2"/>
      <c r="I60" s="2"/>
      <c r="J60" s="2"/>
    </row>
    <row r="61" spans="2:10">
      <c r="B61" s="2"/>
      <c r="C61" s="112"/>
      <c r="D61" s="112"/>
      <c r="E61" s="112"/>
      <c r="F61" s="2"/>
      <c r="G61" s="2"/>
      <c r="H61" s="2"/>
      <c r="I61" s="2"/>
      <c r="J61" s="2"/>
    </row>
    <row r="62" spans="2:10">
      <c r="B62" s="2"/>
      <c r="C62" s="112"/>
      <c r="D62" s="112"/>
      <c r="E62" s="112"/>
      <c r="F62" s="2"/>
      <c r="G62" s="2"/>
      <c r="H62" s="2"/>
      <c r="I62" s="2"/>
      <c r="J62" s="2"/>
    </row>
    <row r="63" spans="2:10">
      <c r="B63" s="2"/>
      <c r="C63" s="112"/>
      <c r="D63" s="112"/>
      <c r="E63" s="112"/>
      <c r="F63" s="2"/>
      <c r="G63" s="2"/>
      <c r="H63" s="2"/>
      <c r="I63" s="2"/>
      <c r="J63" s="2"/>
    </row>
    <row r="64" spans="2:10">
      <c r="B64" s="2"/>
      <c r="C64" s="112"/>
      <c r="D64" s="112"/>
      <c r="E64" s="112"/>
      <c r="F64" s="2"/>
      <c r="G64" s="2"/>
      <c r="H64" s="2"/>
      <c r="I64" s="2"/>
      <c r="J64" s="2"/>
    </row>
    <row r="65" spans="2:10">
      <c r="B65" s="2"/>
      <c r="C65" s="112"/>
      <c r="D65" s="112"/>
      <c r="E65" s="112"/>
      <c r="F65" s="2"/>
      <c r="G65" s="2"/>
      <c r="H65" s="2"/>
      <c r="I65" s="2"/>
      <c r="J65" s="2"/>
    </row>
    <row r="66" spans="2:10">
      <c r="B66" s="2"/>
      <c r="C66" s="112"/>
      <c r="D66" s="112"/>
      <c r="E66" s="112"/>
      <c r="F66" s="2"/>
      <c r="G66" s="2"/>
      <c r="H66" s="2"/>
      <c r="I66" s="2"/>
      <c r="J66" s="2"/>
    </row>
    <row r="67" spans="2:10">
      <c r="B67" s="2"/>
      <c r="C67" s="112"/>
      <c r="D67" s="112"/>
      <c r="E67" s="112"/>
      <c r="F67" s="2"/>
    </row>
    <row r="68" spans="2:10">
      <c r="B68" s="2"/>
      <c r="C68" s="112"/>
      <c r="D68" s="112"/>
      <c r="E68" s="112"/>
      <c r="F68" s="2"/>
    </row>
    <row r="69" spans="2:10">
      <c r="B69" s="2"/>
      <c r="C69" s="112"/>
      <c r="D69" s="112"/>
      <c r="E69" s="112"/>
      <c r="F69" s="2"/>
    </row>
    <row r="70" spans="2:10">
      <c r="B70" s="2"/>
      <c r="C70" s="112"/>
      <c r="D70" s="112"/>
      <c r="E70" s="112"/>
      <c r="F70" s="2"/>
    </row>
    <row r="71" spans="2:10">
      <c r="B71" s="2"/>
      <c r="C71" s="112"/>
      <c r="D71" s="112"/>
      <c r="E71" s="112"/>
      <c r="F71" s="2"/>
    </row>
    <row r="72" spans="2:10">
      <c r="B72" s="2"/>
      <c r="C72" s="112"/>
      <c r="D72" s="112"/>
      <c r="E72" s="112"/>
      <c r="F72" s="2"/>
    </row>
    <row r="73" spans="2:10">
      <c r="B73" s="2"/>
      <c r="C73" s="112"/>
      <c r="D73" s="112"/>
      <c r="E73" s="112"/>
      <c r="F73" s="2"/>
    </row>
    <row r="74" spans="2:10">
      <c r="B74" s="2"/>
      <c r="C74" s="112"/>
      <c r="D74" s="112"/>
      <c r="E74" s="112"/>
      <c r="F74" s="2"/>
    </row>
  </sheetData>
  <mergeCells count="8">
    <mergeCell ref="A4:B4"/>
    <mergeCell ref="A5:B5"/>
    <mergeCell ref="E3:E5"/>
    <mergeCell ref="A1:B1"/>
    <mergeCell ref="C1:E1"/>
    <mergeCell ref="A2:B2"/>
    <mergeCell ref="C2:E2"/>
    <mergeCell ref="A3:B3"/>
  </mergeCells>
  <phoneticPr fontId="47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workbookViewId="0">
      <pane xSplit="6" ySplit="2" topLeftCell="G3" activePane="bottomRight" state="frozen"/>
      <selection pane="topRight"/>
      <selection pane="bottomLeft"/>
      <selection pane="bottomRight" activeCell="J14" sqref="J14"/>
    </sheetView>
  </sheetViews>
  <sheetFormatPr defaultColWidth="9" defaultRowHeight="13.5"/>
  <cols>
    <col min="1" max="1" width="19.5" customWidth="1"/>
    <col min="2" max="2" width="14.875" style="59" customWidth="1"/>
    <col min="3" max="3" width="9.25" customWidth="1"/>
    <col min="4" max="4" width="15.5" customWidth="1"/>
    <col min="5" max="5" width="19.25" customWidth="1"/>
    <col min="6" max="6" width="15.5" customWidth="1"/>
    <col min="7" max="7" width="15.125" customWidth="1"/>
    <col min="8" max="8" width="13" customWidth="1"/>
    <col min="9" max="9" width="14.875" customWidth="1"/>
    <col min="10" max="10" width="13" customWidth="1"/>
    <col min="11" max="11" width="15.625"/>
    <col min="12" max="12" width="12.5"/>
  </cols>
  <sheetData>
    <row r="1" spans="1:10" ht="20.25">
      <c r="A1" s="215" t="s">
        <v>154</v>
      </c>
      <c r="B1" s="215"/>
      <c r="C1" s="215"/>
      <c r="E1" s="216" t="s">
        <v>265</v>
      </c>
      <c r="F1" s="217"/>
      <c r="G1" s="217"/>
      <c r="H1" s="218"/>
    </row>
    <row r="2" spans="1:10" ht="23.45" customHeight="1">
      <c r="A2" s="60" t="s">
        <v>1</v>
      </c>
      <c r="B2" s="61" t="s">
        <v>155</v>
      </c>
      <c r="C2" s="62" t="s">
        <v>156</v>
      </c>
      <c r="E2" s="63" t="s">
        <v>157</v>
      </c>
      <c r="F2" s="63" t="s">
        <v>1</v>
      </c>
      <c r="G2" s="64" t="s">
        <v>158</v>
      </c>
      <c r="H2" s="63" t="s">
        <v>156</v>
      </c>
    </row>
    <row r="3" spans="1:10" ht="15.75" customHeight="1">
      <c r="A3" s="65" t="s">
        <v>159</v>
      </c>
      <c r="B3" s="66"/>
      <c r="C3" s="67"/>
      <c r="E3" s="223" t="s">
        <v>160</v>
      </c>
      <c r="F3" s="68" t="s">
        <v>161</v>
      </c>
      <c r="G3" s="69"/>
      <c r="H3" s="68"/>
    </row>
    <row r="4" spans="1:10" ht="15.75" customHeight="1">
      <c r="A4" s="65" t="s">
        <v>162</v>
      </c>
      <c r="B4" s="66"/>
      <c r="C4" s="70"/>
      <c r="E4" s="224"/>
      <c r="F4" s="68" t="s">
        <v>163</v>
      </c>
      <c r="G4" s="69"/>
      <c r="H4" s="68"/>
    </row>
    <row r="5" spans="1:10" ht="15.75" customHeight="1">
      <c r="A5" s="65" t="s">
        <v>164</v>
      </c>
      <c r="B5" s="71">
        <f>SUM(G3:G4)</f>
        <v>0</v>
      </c>
      <c r="C5" s="67"/>
      <c r="E5" s="225" t="s">
        <v>165</v>
      </c>
      <c r="F5" s="72" t="s">
        <v>166</v>
      </c>
      <c r="G5" s="69"/>
      <c r="H5" s="72"/>
    </row>
    <row r="6" spans="1:10" ht="15.75" customHeight="1">
      <c r="A6" s="65" t="s">
        <v>167</v>
      </c>
      <c r="B6" s="66"/>
      <c r="C6" s="67"/>
      <c r="E6" s="226"/>
      <c r="F6" s="72" t="s">
        <v>168</v>
      </c>
      <c r="G6" s="69">
        <v>38</v>
      </c>
      <c r="H6" s="191"/>
      <c r="J6">
        <v>10000</v>
      </c>
    </row>
    <row r="7" spans="1:10" ht="15.75" customHeight="1">
      <c r="A7" s="73" t="s">
        <v>169</v>
      </c>
      <c r="B7" s="71">
        <f>SUM(B3:B6)</f>
        <v>0</v>
      </c>
      <c r="C7" s="67"/>
      <c r="E7" s="226"/>
      <c r="F7" s="72" t="s">
        <v>170</v>
      </c>
      <c r="G7" s="69"/>
      <c r="H7" s="191"/>
    </row>
    <row r="8" spans="1:10" ht="15.75" customHeight="1">
      <c r="A8" s="74" t="s">
        <v>171</v>
      </c>
      <c r="B8" s="71">
        <f>SUM(G5:G12)</f>
        <v>43</v>
      </c>
      <c r="C8" s="75"/>
      <c r="E8" s="226"/>
      <c r="F8" s="72" t="s">
        <v>172</v>
      </c>
      <c r="G8" s="69"/>
      <c r="H8" s="191"/>
    </row>
    <row r="9" spans="1:10" ht="15.75" customHeight="1">
      <c r="A9" s="65" t="s">
        <v>173</v>
      </c>
      <c r="B9" s="71">
        <f>SUM(G13:G21)</f>
        <v>19</v>
      </c>
      <c r="C9" s="67"/>
      <c r="E9" s="226"/>
      <c r="F9" s="68" t="s">
        <v>174</v>
      </c>
      <c r="G9" s="69">
        <v>5</v>
      </c>
      <c r="H9" s="191"/>
    </row>
    <row r="10" spans="1:10" ht="15.75" customHeight="1">
      <c r="A10" s="70" t="s">
        <v>54</v>
      </c>
      <c r="B10" s="71">
        <f>B7+B8+B9</f>
        <v>62</v>
      </c>
      <c r="C10" s="67"/>
      <c r="E10" s="226"/>
      <c r="F10" s="68" t="s">
        <v>175</v>
      </c>
      <c r="G10" s="76"/>
      <c r="H10" s="191"/>
    </row>
    <row r="11" spans="1:10" ht="15.75" customHeight="1">
      <c r="E11" s="226"/>
      <c r="F11" s="68" t="s">
        <v>176</v>
      </c>
      <c r="G11" s="76"/>
      <c r="H11" s="191"/>
    </row>
    <row r="12" spans="1:10" ht="15.75" customHeight="1">
      <c r="E12" s="227"/>
      <c r="F12" s="68" t="s">
        <v>177</v>
      </c>
      <c r="G12" s="69" t="s">
        <v>31</v>
      </c>
      <c r="H12" s="191"/>
    </row>
    <row r="13" spans="1:10" ht="15.75" customHeight="1">
      <c r="E13" s="223" t="s">
        <v>86</v>
      </c>
      <c r="F13" s="68" t="s">
        <v>178</v>
      </c>
      <c r="G13" s="69"/>
      <c r="H13" s="192"/>
    </row>
    <row r="14" spans="1:10" ht="15.75" customHeight="1">
      <c r="E14" s="224"/>
      <c r="F14" s="68" t="s">
        <v>179</v>
      </c>
      <c r="G14" s="69">
        <v>3</v>
      </c>
      <c r="H14" s="194" t="s">
        <v>297</v>
      </c>
    </row>
    <row r="15" spans="1:10" ht="15.75" customHeight="1">
      <c r="E15" s="224"/>
      <c r="F15" s="68" t="s">
        <v>180</v>
      </c>
      <c r="G15" s="69"/>
      <c r="H15" s="194"/>
    </row>
    <row r="16" spans="1:10" ht="15.75" customHeight="1">
      <c r="E16" s="224"/>
      <c r="F16" s="68" t="s">
        <v>181</v>
      </c>
      <c r="G16" s="69">
        <v>3</v>
      </c>
      <c r="H16" s="194" t="s">
        <v>298</v>
      </c>
    </row>
    <row r="17" spans="1:12" ht="15.75" customHeight="1">
      <c r="E17" s="224"/>
      <c r="F17" s="68" t="s">
        <v>182</v>
      </c>
      <c r="G17" s="69">
        <v>2</v>
      </c>
      <c r="H17" s="192"/>
    </row>
    <row r="18" spans="1:12" ht="15.75" customHeight="1">
      <c r="E18" s="224"/>
      <c r="F18" s="68" t="s">
        <v>183</v>
      </c>
      <c r="G18" s="69">
        <v>7</v>
      </c>
      <c r="H18" s="193" t="s">
        <v>299</v>
      </c>
    </row>
    <row r="19" spans="1:12" ht="15.75" customHeight="1">
      <c r="E19" s="224"/>
      <c r="F19" s="68" t="s">
        <v>184</v>
      </c>
      <c r="G19" s="69">
        <v>4</v>
      </c>
      <c r="H19" s="193" t="s">
        <v>300</v>
      </c>
    </row>
    <row r="20" spans="1:12" ht="15.75" customHeight="1">
      <c r="E20" s="224"/>
      <c r="F20" s="68" t="s">
        <v>185</v>
      </c>
      <c r="G20" s="69"/>
      <c r="H20" s="68"/>
    </row>
    <row r="21" spans="1:12" ht="15.75" customHeight="1">
      <c r="E21" s="228"/>
      <c r="F21" s="68" t="s">
        <v>39</v>
      </c>
      <c r="G21" s="69">
        <v>0</v>
      </c>
      <c r="H21" s="68"/>
    </row>
    <row r="22" spans="1:12">
      <c r="E22" s="63" t="s">
        <v>54</v>
      </c>
      <c r="F22" s="68"/>
      <c r="G22" s="64">
        <f>SUM(G3:G21)</f>
        <v>62</v>
      </c>
      <c r="H22" s="77"/>
    </row>
    <row r="23" spans="1:12" ht="30.75" customHeight="1">
      <c r="E23" s="219" t="s">
        <v>186</v>
      </c>
      <c r="F23" s="219"/>
      <c r="G23" s="219"/>
      <c r="H23" s="219"/>
    </row>
    <row r="25" spans="1:12" ht="17.25">
      <c r="A25" s="78" t="s">
        <v>1</v>
      </c>
      <c r="B25" s="78" t="s">
        <v>155</v>
      </c>
      <c r="C25" s="78" t="s">
        <v>187</v>
      </c>
      <c r="D25" s="79" t="s">
        <v>301</v>
      </c>
      <c r="E25" s="79" t="s">
        <v>52</v>
      </c>
      <c r="F25" s="79" t="s">
        <v>53</v>
      </c>
      <c r="G25" s="79" t="s">
        <v>188</v>
      </c>
      <c r="H25" s="79" t="s">
        <v>189</v>
      </c>
      <c r="I25" s="79" t="s">
        <v>190</v>
      </c>
      <c r="J25" s="79" t="s">
        <v>268</v>
      </c>
      <c r="K25" s="79" t="s">
        <v>54</v>
      </c>
      <c r="L25" s="84" t="s">
        <v>191</v>
      </c>
    </row>
    <row r="26" spans="1:12" ht="16.5">
      <c r="A26" s="80" t="s">
        <v>150</v>
      </c>
      <c r="B26" s="81">
        <f>(B5+B8)*10000</f>
        <v>430000</v>
      </c>
      <c r="C26" s="82">
        <v>0.05</v>
      </c>
      <c r="D26" s="83">
        <f>B26*(1-C26)/5</f>
        <v>81700</v>
      </c>
      <c r="E26" s="83">
        <f t="shared" ref="E26:H26" si="0">D26</f>
        <v>81700</v>
      </c>
      <c r="F26" s="83">
        <f t="shared" si="0"/>
        <v>81700</v>
      </c>
      <c r="G26" s="83">
        <f t="shared" si="0"/>
        <v>81700</v>
      </c>
      <c r="H26" s="83">
        <f t="shared" si="0"/>
        <v>81700</v>
      </c>
      <c r="I26" s="83"/>
      <c r="J26" s="83"/>
      <c r="K26" s="83">
        <f>SUM(D26:J26)</f>
        <v>408500</v>
      </c>
      <c r="L26" s="83">
        <f>B26*0.05</f>
        <v>21500</v>
      </c>
    </row>
    <row r="27" spans="1:12" ht="16.5">
      <c r="A27" s="80" t="s">
        <v>192</v>
      </c>
      <c r="B27" s="81">
        <f>B9*10000</f>
        <v>190000</v>
      </c>
      <c r="C27" s="83"/>
      <c r="D27" s="83">
        <f>B27/5</f>
        <v>38000</v>
      </c>
      <c r="E27" s="83">
        <f t="shared" ref="E27:F27" si="1">D27</f>
        <v>38000</v>
      </c>
      <c r="F27" s="83">
        <f t="shared" si="1"/>
        <v>38000</v>
      </c>
      <c r="G27" s="83">
        <f>F27</f>
        <v>38000</v>
      </c>
      <c r="H27" s="83">
        <f>G27</f>
        <v>38000</v>
      </c>
      <c r="I27" s="83"/>
      <c r="J27" s="83"/>
      <c r="K27" s="83">
        <f>SUM(D27:J27)</f>
        <v>190000</v>
      </c>
      <c r="L27" s="83"/>
    </row>
    <row r="28" spans="1:12" ht="16.5">
      <c r="A28" s="220" t="s">
        <v>142</v>
      </c>
      <c r="B28" s="221"/>
      <c r="C28" s="222"/>
      <c r="D28" s="83">
        <f>SUM(D26:D27)</f>
        <v>119700</v>
      </c>
      <c r="E28" s="83">
        <f t="shared" ref="E28:K28" si="2">SUM(E26:E27)</f>
        <v>119700</v>
      </c>
      <c r="F28" s="83">
        <f t="shared" si="2"/>
        <v>119700</v>
      </c>
      <c r="G28" s="83">
        <f t="shared" si="2"/>
        <v>119700</v>
      </c>
      <c r="H28" s="83">
        <f t="shared" si="2"/>
        <v>119700</v>
      </c>
      <c r="I28" s="83">
        <f t="shared" si="2"/>
        <v>0</v>
      </c>
      <c r="J28" s="83">
        <f t="shared" si="2"/>
        <v>0</v>
      </c>
      <c r="K28" s="83">
        <f t="shared" si="2"/>
        <v>598500</v>
      </c>
      <c r="L28" s="85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47" type="noConversion"/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zoomScale="85" zoomScaleNormal="85" workbookViewId="0">
      <selection activeCell="K26" sqref="K26"/>
    </sheetView>
  </sheetViews>
  <sheetFormatPr defaultColWidth="9" defaultRowHeight="16.5"/>
  <cols>
    <col min="1" max="1" width="14" style="44" customWidth="1"/>
    <col min="2" max="2" width="14.125" style="44" customWidth="1"/>
    <col min="3" max="3" width="19.875" style="44" customWidth="1"/>
    <col min="4" max="4" width="11.125" style="44" customWidth="1"/>
    <col min="5" max="5" width="12.875" style="44" customWidth="1"/>
    <col min="6" max="6" width="11.125" style="44" customWidth="1"/>
    <col min="7" max="7" width="13.25" style="44" customWidth="1"/>
    <col min="8" max="8" width="11.625" style="44" customWidth="1"/>
    <col min="9" max="9" width="9.25" style="44" customWidth="1"/>
    <col min="10" max="10" width="9.125" style="45" customWidth="1"/>
    <col min="11" max="11" width="12.875" style="45"/>
    <col min="12" max="16384" width="9" style="44"/>
  </cols>
  <sheetData>
    <row r="1" spans="1:11" ht="29.25" customHeight="1">
      <c r="A1" s="46" t="s">
        <v>193</v>
      </c>
      <c r="E1" s="47"/>
      <c r="F1" s="47"/>
      <c r="G1" s="47"/>
      <c r="H1" s="47"/>
    </row>
    <row r="2" spans="1:11" ht="24" customHeight="1">
      <c r="A2" s="48" t="s">
        <v>194</v>
      </c>
      <c r="E2" s="47"/>
      <c r="F2" s="47"/>
      <c r="G2" s="47"/>
      <c r="H2" s="47"/>
    </row>
    <row r="3" spans="1:11">
      <c r="C3" s="44" t="s">
        <v>195</v>
      </c>
      <c r="D3" s="44" t="s">
        <v>196</v>
      </c>
      <c r="E3" s="49">
        <v>0.05</v>
      </c>
    </row>
    <row r="5" spans="1:11" ht="45" customHeight="1">
      <c r="A5" s="230" t="s">
        <v>197</v>
      </c>
      <c r="B5" s="50" t="s">
        <v>146</v>
      </c>
      <c r="C5" s="187" t="s">
        <v>267</v>
      </c>
      <c r="D5" s="187" t="s">
        <v>277</v>
      </c>
      <c r="E5" s="14"/>
      <c r="F5" s="14"/>
      <c r="G5" s="14"/>
      <c r="H5" s="234" t="s">
        <v>54</v>
      </c>
    </row>
    <row r="6" spans="1:11" ht="31.5" customHeight="1">
      <c r="A6" s="230"/>
      <c r="B6" s="50" t="s">
        <v>147</v>
      </c>
      <c r="C6" s="186" t="s">
        <v>274</v>
      </c>
      <c r="D6" s="186" t="s">
        <v>276</v>
      </c>
      <c r="E6" s="14"/>
      <c r="F6" s="14"/>
      <c r="G6" s="14"/>
      <c r="H6" s="235"/>
      <c r="J6" s="45">
        <v>100</v>
      </c>
    </row>
    <row r="7" spans="1:11" ht="42.95" customHeight="1">
      <c r="A7" s="230"/>
      <c r="B7" s="16" t="s">
        <v>198</v>
      </c>
      <c r="C7" s="186" t="s">
        <v>275</v>
      </c>
      <c r="D7" s="186"/>
      <c r="E7" s="16"/>
      <c r="F7" s="16"/>
      <c r="G7" s="51"/>
      <c r="H7" s="236"/>
      <c r="I7" s="44">
        <v>2025</v>
      </c>
      <c r="J7" s="45">
        <f>J6*(1-$E$3)</f>
        <v>95</v>
      </c>
      <c r="K7" s="45">
        <f>J7/$J$6</f>
        <v>0.95</v>
      </c>
    </row>
    <row r="8" spans="1:11" ht="33">
      <c r="A8" s="230"/>
      <c r="B8" s="16" t="s">
        <v>199</v>
      </c>
      <c r="C8" s="186">
        <f>1750+85</f>
        <v>1835</v>
      </c>
      <c r="D8" s="186">
        <v>590</v>
      </c>
      <c r="E8" s="52"/>
      <c r="F8" s="52"/>
      <c r="G8" s="52"/>
      <c r="H8" s="53">
        <f>SUM(C8:G8)</f>
        <v>2425</v>
      </c>
      <c r="I8" s="44">
        <v>2026</v>
      </c>
      <c r="J8" s="45">
        <f>J7*(1-$E$3)</f>
        <v>90.25</v>
      </c>
      <c r="K8" s="45">
        <f>J8/$J$6</f>
        <v>0.90249999999999997</v>
      </c>
    </row>
    <row r="9" spans="1:11" ht="17.25">
      <c r="A9" s="231" t="s">
        <v>200</v>
      </c>
      <c r="B9" s="55" t="s">
        <v>51</v>
      </c>
      <c r="C9" s="188">
        <v>3000</v>
      </c>
      <c r="D9" s="188">
        <v>3000</v>
      </c>
      <c r="E9" s="54"/>
      <c r="F9" s="54"/>
      <c r="G9" s="54"/>
      <c r="H9" s="53">
        <f>SUM(C9:G9)</f>
        <v>6000</v>
      </c>
      <c r="I9" s="44">
        <v>2027</v>
      </c>
      <c r="J9" s="45">
        <f>J8*(1-E3)</f>
        <v>85.737499999999997</v>
      </c>
      <c r="K9" s="45">
        <f>J9/$J$6</f>
        <v>0.857375</v>
      </c>
    </row>
    <row r="10" spans="1:11" ht="17.25">
      <c r="A10" s="232"/>
      <c r="B10" s="55" t="s">
        <v>52</v>
      </c>
      <c r="C10" s="188">
        <v>3000</v>
      </c>
      <c r="D10" s="188">
        <v>3000</v>
      </c>
      <c r="E10" s="54"/>
      <c r="F10" s="54"/>
      <c r="G10" s="54"/>
      <c r="H10" s="53">
        <f t="shared" ref="H10:H15" si="0">SUM(C10:G10)</f>
        <v>6000</v>
      </c>
      <c r="I10" s="44">
        <v>2028</v>
      </c>
      <c r="J10" s="45">
        <f>J9*(1-$E$3)</f>
        <v>81.450624999999988</v>
      </c>
      <c r="K10" s="45">
        <f>J10/$J$6</f>
        <v>0.81450624999999988</v>
      </c>
    </row>
    <row r="11" spans="1:11" ht="17.25">
      <c r="A11" s="232"/>
      <c r="B11" s="55" t="s">
        <v>53</v>
      </c>
      <c r="C11" s="188">
        <v>3000</v>
      </c>
      <c r="D11" s="188">
        <v>3000</v>
      </c>
      <c r="E11" s="54"/>
      <c r="F11" s="54"/>
      <c r="G11" s="54"/>
      <c r="H11" s="53">
        <f t="shared" si="0"/>
        <v>6000</v>
      </c>
      <c r="I11" s="44">
        <v>2029</v>
      </c>
      <c r="J11" s="45">
        <f>J10*(1-$E$3)</f>
        <v>77.378093749999991</v>
      </c>
      <c r="K11" s="45">
        <f t="shared" ref="K11:K12" si="1">J11/$J$6</f>
        <v>0.77378093749999988</v>
      </c>
    </row>
    <row r="12" spans="1:11" ht="17.25">
      <c r="A12" s="232"/>
      <c r="B12" s="55" t="s">
        <v>188</v>
      </c>
      <c r="C12" s="188">
        <v>3000</v>
      </c>
      <c r="D12" s="188">
        <v>3000</v>
      </c>
      <c r="E12" s="54"/>
      <c r="F12" s="54"/>
      <c r="G12" s="54"/>
      <c r="H12" s="53">
        <f t="shared" si="0"/>
        <v>6000</v>
      </c>
      <c r="I12" s="44">
        <v>2030</v>
      </c>
      <c r="J12" s="45">
        <f>J11*(1-E3)</f>
        <v>73.509189062499985</v>
      </c>
      <c r="K12" s="45">
        <f t="shared" si="1"/>
        <v>0.7350918906249998</v>
      </c>
    </row>
    <row r="13" spans="1:11" ht="17.25">
      <c r="A13" s="232"/>
      <c r="B13" s="55" t="s">
        <v>189</v>
      </c>
      <c r="C13" s="188">
        <v>3000</v>
      </c>
      <c r="D13" s="188">
        <v>3000</v>
      </c>
      <c r="E13" s="54"/>
      <c r="F13" s="54"/>
      <c r="G13" s="54"/>
      <c r="H13" s="53">
        <f t="shared" si="0"/>
        <v>6000</v>
      </c>
    </row>
    <row r="14" spans="1:11" ht="17.25">
      <c r="A14" s="232"/>
      <c r="B14" s="55" t="s">
        <v>190</v>
      </c>
      <c r="C14" s="54"/>
      <c r="D14" s="54"/>
      <c r="E14" s="54"/>
      <c r="F14" s="54"/>
      <c r="G14" s="54"/>
      <c r="H14" s="53">
        <f t="shared" si="0"/>
        <v>0</v>
      </c>
    </row>
    <row r="15" spans="1:11" ht="17.25">
      <c r="A15" s="233"/>
      <c r="B15" s="55" t="s">
        <v>268</v>
      </c>
      <c r="C15" s="54"/>
      <c r="D15" s="54"/>
      <c r="E15" s="54"/>
      <c r="F15" s="54"/>
      <c r="G15" s="54"/>
      <c r="H15" s="53">
        <f t="shared" si="0"/>
        <v>0</v>
      </c>
    </row>
    <row r="16" spans="1:11" ht="17.25">
      <c r="A16" s="229" t="s">
        <v>54</v>
      </c>
      <c r="B16" s="229"/>
      <c r="C16" s="56">
        <f t="shared" ref="C16:H16" si="2">SUM(C9:C15)</f>
        <v>15000</v>
      </c>
      <c r="D16" s="56">
        <f t="shared" si="2"/>
        <v>15000</v>
      </c>
      <c r="E16" s="56">
        <f t="shared" si="2"/>
        <v>0</v>
      </c>
      <c r="F16" s="56">
        <f t="shared" si="2"/>
        <v>0</v>
      </c>
      <c r="G16" s="56">
        <f t="shared" si="2"/>
        <v>0</v>
      </c>
      <c r="H16" s="56">
        <f t="shared" si="2"/>
        <v>30000</v>
      </c>
    </row>
    <row r="17" spans="1:8" ht="18">
      <c r="A17" s="57"/>
      <c r="B17" s="57"/>
      <c r="C17" s="58"/>
    </row>
    <row r="18" spans="1:8">
      <c r="B18" s="195" t="s">
        <v>201</v>
      </c>
      <c r="C18" s="196">
        <f>材料成本!D24</f>
        <v>1219.9708962998147</v>
      </c>
      <c r="D18" s="196">
        <f>材料成本!E24</f>
        <v>393.7</v>
      </c>
      <c r="E18" s="196">
        <f>材料成本!F24</f>
        <v>0</v>
      </c>
      <c r="F18" s="196">
        <f>材料成本!G24</f>
        <v>0</v>
      </c>
      <c r="G18" s="196">
        <f>材料成本!H24</f>
        <v>0</v>
      </c>
      <c r="H18" s="197">
        <f>SUM(C18:G18)</f>
        <v>1613.6708962998148</v>
      </c>
    </row>
    <row r="19" spans="1:8">
      <c r="B19" s="195" t="s">
        <v>101</v>
      </c>
      <c r="C19" s="196">
        <f>C8-C18</f>
        <v>615.02910370018526</v>
      </c>
      <c r="D19" s="196">
        <f>D8-D18</f>
        <v>196.3</v>
      </c>
      <c r="E19" s="196">
        <f>E8-E18</f>
        <v>0</v>
      </c>
      <c r="F19" s="196">
        <f>F8-F18</f>
        <v>0</v>
      </c>
      <c r="G19" s="196">
        <f>G8-G18</f>
        <v>0</v>
      </c>
      <c r="H19" s="197">
        <f>SUM(C19:G19)</f>
        <v>811.32910370018521</v>
      </c>
    </row>
    <row r="20" spans="1:8">
      <c r="B20" s="195" t="s">
        <v>202</v>
      </c>
      <c r="C20" s="198">
        <f t="shared" ref="C20:H20" si="3">C19/C8</f>
        <v>0.33516572408729439</v>
      </c>
      <c r="D20" s="198">
        <f t="shared" si="3"/>
        <v>0.33271186440677969</v>
      </c>
      <c r="E20" s="198" t="e">
        <f t="shared" si="3"/>
        <v>#DIV/0!</v>
      </c>
      <c r="F20" s="198" t="e">
        <f t="shared" si="3"/>
        <v>#DIV/0!</v>
      </c>
      <c r="G20" s="199" t="e">
        <f t="shared" si="3"/>
        <v>#DIV/0!</v>
      </c>
      <c r="H20" s="198">
        <f t="shared" si="3"/>
        <v>0.3345687025567774</v>
      </c>
    </row>
  </sheetData>
  <mergeCells count="4">
    <mergeCell ref="A16:B16"/>
    <mergeCell ref="A5:A8"/>
    <mergeCell ref="A9:A15"/>
    <mergeCell ref="H5:H7"/>
  </mergeCells>
  <phoneticPr fontId="47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  <ignoredErrors>
    <ignoredError sqref="J9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9"/>
  <sheetViews>
    <sheetView workbookViewId="0">
      <pane xSplit="3" ySplit="5" topLeftCell="D12" activePane="bottomRight" state="frozen"/>
      <selection pane="topRight"/>
      <selection pane="bottomLeft"/>
      <selection pane="bottomRight" activeCell="D23" sqref="D23"/>
    </sheetView>
  </sheetViews>
  <sheetFormatPr defaultColWidth="9" defaultRowHeight="16.5"/>
  <cols>
    <col min="1" max="2" width="4.375" style="25" customWidth="1"/>
    <col min="3" max="3" width="8.125" style="25" customWidth="1"/>
    <col min="4" max="9" width="12" style="26" customWidth="1"/>
    <col min="10" max="10" width="12.25" style="25" customWidth="1"/>
    <col min="11" max="11" width="13.25" style="25" customWidth="1"/>
    <col min="12" max="12" width="16" style="25" customWidth="1"/>
    <col min="13" max="16384" width="9" style="25"/>
  </cols>
  <sheetData>
    <row r="1" spans="1:12" s="24" customFormat="1" ht="28.5" customHeight="1">
      <c r="A1" s="237" t="s">
        <v>7</v>
      </c>
      <c r="B1" s="237"/>
      <c r="C1" s="27"/>
      <c r="D1" s="28"/>
      <c r="E1" s="29"/>
      <c r="F1" s="29"/>
      <c r="G1" s="29"/>
      <c r="H1" s="29"/>
      <c r="I1" s="29"/>
      <c r="L1" s="41"/>
    </row>
    <row r="2" spans="1:12">
      <c r="A2" s="238" t="s">
        <v>203</v>
      </c>
      <c r="B2" s="238"/>
      <c r="C2" s="239"/>
      <c r="D2" s="240"/>
      <c r="E2" s="241" t="s">
        <v>204</v>
      </c>
      <c r="F2" s="242"/>
      <c r="G2" s="242"/>
      <c r="H2" s="242"/>
      <c r="I2" s="243"/>
    </row>
    <row r="3" spans="1:12" ht="30">
      <c r="A3" s="255" t="s">
        <v>21</v>
      </c>
      <c r="B3" s="255" t="s">
        <v>205</v>
      </c>
      <c r="C3" s="31" t="s">
        <v>206</v>
      </c>
      <c r="D3" s="244" t="s">
        <v>278</v>
      </c>
      <c r="E3" s="244"/>
      <c r="F3" s="30" t="s">
        <v>207</v>
      </c>
      <c r="G3" s="245" t="s">
        <v>279</v>
      </c>
      <c r="H3" s="246"/>
      <c r="I3" s="247" t="s">
        <v>156</v>
      </c>
    </row>
    <row r="4" spans="1:12" ht="57">
      <c r="A4" s="255"/>
      <c r="B4" s="255"/>
      <c r="C4" s="31" t="s">
        <v>146</v>
      </c>
      <c r="D4" s="32" t="str">
        <f>销量!C5</f>
        <v>左空气悬浮座椅总成/一体式头枕/X5000/扶手/报警锁扣/斜滑轨</v>
      </c>
      <c r="E4" s="32" t="str">
        <f>销量!D5</f>
        <v>副司机座椅</v>
      </c>
      <c r="F4" s="32"/>
      <c r="G4" s="32"/>
      <c r="H4" s="33"/>
      <c r="I4" s="248"/>
    </row>
    <row r="5" spans="1:12" ht="30">
      <c r="A5" s="255"/>
      <c r="B5" s="255"/>
      <c r="C5" s="31" t="s">
        <v>147</v>
      </c>
      <c r="D5" s="32" t="str">
        <f>销量!C6</f>
        <v>DZ14251510207/8</v>
      </c>
      <c r="E5" s="32" t="str">
        <f>销量!D6</f>
        <v>DZ14251510122</v>
      </c>
      <c r="F5" s="32"/>
      <c r="G5" s="32"/>
      <c r="H5" s="32"/>
      <c r="I5" s="249"/>
    </row>
    <row r="6" spans="1:12">
      <c r="A6" s="34">
        <v>1</v>
      </c>
      <c r="B6" s="250" t="s">
        <v>208</v>
      </c>
      <c r="C6" s="251"/>
      <c r="D6" s="35"/>
      <c r="E6" s="33"/>
      <c r="F6" s="33"/>
      <c r="G6" s="33"/>
      <c r="H6" s="33"/>
      <c r="I6" s="42"/>
    </row>
    <row r="7" spans="1:12">
      <c r="A7" s="34">
        <v>2</v>
      </c>
      <c r="B7" s="250" t="s">
        <v>209</v>
      </c>
      <c r="C7" s="251"/>
      <c r="D7" s="35"/>
      <c r="E7" s="33"/>
      <c r="F7" s="33"/>
      <c r="G7" s="33"/>
      <c r="H7" s="33"/>
      <c r="I7" s="42"/>
    </row>
    <row r="8" spans="1:12">
      <c r="A8" s="34">
        <v>3</v>
      </c>
      <c r="B8" s="250" t="s">
        <v>210</v>
      </c>
      <c r="C8" s="251"/>
      <c r="D8" s="35"/>
      <c r="E8" s="35"/>
      <c r="F8" s="35"/>
      <c r="G8" s="35"/>
      <c r="H8" s="35"/>
      <c r="I8" s="42"/>
    </row>
    <row r="9" spans="1:12">
      <c r="A9" s="34">
        <v>4</v>
      </c>
      <c r="B9" s="250" t="s">
        <v>211</v>
      </c>
      <c r="C9" s="251"/>
      <c r="D9" s="35"/>
      <c r="E9" s="33"/>
      <c r="F9" s="33"/>
      <c r="G9" s="33"/>
      <c r="H9" s="33"/>
      <c r="I9" s="42"/>
    </row>
    <row r="10" spans="1:12">
      <c r="A10" s="34">
        <v>5</v>
      </c>
      <c r="B10" s="250" t="s">
        <v>212</v>
      </c>
      <c r="C10" s="251"/>
      <c r="D10" s="35"/>
      <c r="E10" s="33"/>
      <c r="F10" s="33"/>
      <c r="G10" s="33"/>
      <c r="H10" s="33"/>
      <c r="I10" s="42"/>
    </row>
    <row r="11" spans="1:12">
      <c r="A11" s="34">
        <v>6</v>
      </c>
      <c r="B11" s="250" t="s">
        <v>213</v>
      </c>
      <c r="C11" s="251"/>
      <c r="D11" s="35"/>
      <c r="E11" s="33"/>
      <c r="F11" s="33"/>
      <c r="G11" s="33"/>
      <c r="H11" s="33"/>
      <c r="I11" s="42"/>
    </row>
    <row r="12" spans="1:12">
      <c r="A12" s="34">
        <v>7</v>
      </c>
      <c r="B12" s="250" t="s">
        <v>214</v>
      </c>
      <c r="C12" s="251"/>
      <c r="D12" s="35"/>
      <c r="E12" s="33"/>
      <c r="F12" s="33"/>
      <c r="G12" s="33"/>
      <c r="H12" s="33"/>
      <c r="I12" s="42"/>
    </row>
    <row r="13" spans="1:12">
      <c r="A13" s="34">
        <v>8</v>
      </c>
      <c r="B13" s="250" t="s">
        <v>215</v>
      </c>
      <c r="C13" s="251"/>
      <c r="D13" s="35"/>
      <c r="E13" s="33"/>
      <c r="F13" s="33"/>
      <c r="G13" s="33"/>
      <c r="H13" s="33"/>
      <c r="I13" s="42"/>
    </row>
    <row r="14" spans="1:12">
      <c r="A14" s="34">
        <v>9</v>
      </c>
      <c r="B14" s="250" t="s">
        <v>216</v>
      </c>
      <c r="C14" s="251"/>
      <c r="D14" s="35"/>
      <c r="E14" s="33"/>
      <c r="F14" s="33"/>
      <c r="G14" s="33"/>
      <c r="H14" s="33"/>
      <c r="I14" s="42"/>
    </row>
    <row r="15" spans="1:12">
      <c r="A15" s="34">
        <v>10</v>
      </c>
      <c r="B15" s="250" t="s">
        <v>217</v>
      </c>
      <c r="C15" s="251"/>
      <c r="D15" s="35"/>
      <c r="E15" s="33"/>
      <c r="F15" s="33"/>
      <c r="G15" s="33"/>
      <c r="H15" s="33"/>
      <c r="I15" s="42"/>
    </row>
    <row r="16" spans="1:12">
      <c r="A16" s="34">
        <v>11</v>
      </c>
      <c r="B16" s="250" t="s">
        <v>218</v>
      </c>
      <c r="C16" s="251"/>
      <c r="D16" s="35"/>
      <c r="E16" s="33"/>
      <c r="F16" s="33"/>
      <c r="G16" s="33"/>
      <c r="H16" s="33"/>
      <c r="I16" s="42"/>
    </row>
    <row r="17" spans="1:9">
      <c r="A17" s="34">
        <v>12</v>
      </c>
      <c r="B17" s="250" t="s">
        <v>219</v>
      </c>
      <c r="C17" s="251"/>
      <c r="D17" s="35"/>
      <c r="E17" s="33"/>
      <c r="F17" s="33"/>
      <c r="G17" s="33"/>
      <c r="H17" s="33"/>
      <c r="I17" s="42"/>
    </row>
    <row r="18" spans="1:9">
      <c r="A18" s="34">
        <v>13</v>
      </c>
      <c r="B18" s="250" t="s">
        <v>220</v>
      </c>
      <c r="C18" s="251"/>
      <c r="D18" s="35"/>
      <c r="E18" s="33"/>
      <c r="F18" s="33"/>
      <c r="G18" s="33"/>
      <c r="H18" s="33"/>
      <c r="I18" s="42"/>
    </row>
    <row r="19" spans="1:9">
      <c r="A19" s="34">
        <v>14</v>
      </c>
      <c r="B19" s="250" t="s">
        <v>221</v>
      </c>
      <c r="C19" s="251"/>
      <c r="D19" s="35"/>
      <c r="E19" s="33"/>
      <c r="F19" s="33"/>
      <c r="G19" s="33"/>
      <c r="H19" s="33"/>
      <c r="I19" s="42"/>
    </row>
    <row r="20" spans="1:9">
      <c r="A20" s="34">
        <v>15</v>
      </c>
      <c r="B20" s="250" t="s">
        <v>222</v>
      </c>
      <c r="C20" s="251"/>
      <c r="D20" s="35"/>
      <c r="E20" s="33"/>
      <c r="F20" s="33"/>
      <c r="G20" s="33"/>
      <c r="H20" s="33"/>
      <c r="I20" s="42"/>
    </row>
    <row r="21" spans="1:9">
      <c r="A21" s="34">
        <v>16</v>
      </c>
      <c r="B21" s="250" t="s">
        <v>223</v>
      </c>
      <c r="C21" s="251"/>
      <c r="D21" s="35"/>
      <c r="E21" s="33"/>
      <c r="F21" s="33"/>
      <c r="G21" s="33"/>
      <c r="H21" s="33"/>
      <c r="I21" s="42"/>
    </row>
    <row r="22" spans="1:9">
      <c r="A22" s="34">
        <v>17</v>
      </c>
      <c r="B22" s="250" t="s">
        <v>39</v>
      </c>
      <c r="C22" s="251"/>
      <c r="D22" s="35"/>
      <c r="E22" s="33"/>
      <c r="F22" s="33"/>
      <c r="G22" s="33"/>
      <c r="H22" s="33"/>
      <c r="I22" s="42"/>
    </row>
    <row r="23" spans="1:9">
      <c r="A23" s="34">
        <v>18</v>
      </c>
      <c r="B23" s="250" t="s">
        <v>224</v>
      </c>
      <c r="C23" s="251"/>
      <c r="D23" s="36">
        <v>1219.9708962998147</v>
      </c>
      <c r="E23" s="36">
        <v>393.7</v>
      </c>
      <c r="F23" s="36"/>
      <c r="G23" s="37"/>
      <c r="H23" s="38"/>
      <c r="I23" s="43"/>
    </row>
    <row r="24" spans="1:9" ht="31.5" customHeight="1">
      <c r="A24" s="252" t="s">
        <v>225</v>
      </c>
      <c r="B24" s="253"/>
      <c r="C24" s="254"/>
      <c r="D24" s="39">
        <f>SUM(D6:D23)</f>
        <v>1219.9708962998147</v>
      </c>
      <c r="E24" s="39">
        <f>SUM(E6:E23)</f>
        <v>393.7</v>
      </c>
      <c r="F24" s="39">
        <f>SUM(F6:F23)</f>
        <v>0</v>
      </c>
      <c r="G24" s="39">
        <f>SUM(G6:G23)</f>
        <v>0</v>
      </c>
      <c r="H24" s="39">
        <f>SUM(H6:H23)</f>
        <v>0</v>
      </c>
      <c r="I24" s="43"/>
    </row>
    <row r="25" spans="1:9">
      <c r="C25" s="25" t="s">
        <v>52</v>
      </c>
      <c r="D25" s="40">
        <f>D24*0.95</f>
        <v>1158.972351484824</v>
      </c>
      <c r="E25" s="40">
        <f>E24*0.95</f>
        <v>374.01499999999999</v>
      </c>
      <c r="F25" s="40"/>
      <c r="G25" s="40"/>
      <c r="H25" s="40"/>
    </row>
    <row r="26" spans="1:9">
      <c r="C26" s="25" t="s">
        <v>53</v>
      </c>
      <c r="D26" s="40">
        <f t="shared" ref="D26:D28" si="0">D25*0.95</f>
        <v>1101.0237339105827</v>
      </c>
      <c r="E26" s="40">
        <f t="shared" ref="E26:E28" si="1">E25*0.95</f>
        <v>355.31424999999996</v>
      </c>
      <c r="F26" s="40"/>
      <c r="G26" s="40"/>
      <c r="H26" s="40"/>
    </row>
    <row r="27" spans="1:9">
      <c r="C27" s="25" t="s">
        <v>188</v>
      </c>
      <c r="D27" s="40">
        <f t="shared" si="0"/>
        <v>1045.9725472150535</v>
      </c>
      <c r="E27" s="40">
        <f t="shared" si="1"/>
        <v>337.54853749999995</v>
      </c>
    </row>
    <row r="28" spans="1:9">
      <c r="C28" s="25" t="s">
        <v>189</v>
      </c>
      <c r="D28" s="40">
        <f t="shared" si="0"/>
        <v>993.67391985430083</v>
      </c>
      <c r="E28" s="40">
        <f t="shared" si="1"/>
        <v>320.67111062499993</v>
      </c>
    </row>
    <row r="29" spans="1:9">
      <c r="C29" s="25" t="s">
        <v>190</v>
      </c>
    </row>
  </sheetData>
  <mergeCells count="27">
    <mergeCell ref="B21:C21"/>
    <mergeCell ref="B22:C22"/>
    <mergeCell ref="B23:C23"/>
    <mergeCell ref="A24:C24"/>
    <mergeCell ref="A3:A5"/>
    <mergeCell ref="B3:B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6:C6"/>
    <mergeCell ref="B7:C7"/>
    <mergeCell ref="B8:C8"/>
    <mergeCell ref="B9:C9"/>
    <mergeCell ref="B10:C10"/>
    <mergeCell ref="A1:B1"/>
    <mergeCell ref="A2:D2"/>
    <mergeCell ref="E2:I2"/>
    <mergeCell ref="D3:E3"/>
    <mergeCell ref="G3:H3"/>
    <mergeCell ref="I3:I5"/>
  </mergeCells>
  <phoneticPr fontId="47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C2" sqref="C2"/>
    </sheetView>
  </sheetViews>
  <sheetFormatPr defaultColWidth="9" defaultRowHeight="13.5"/>
  <cols>
    <col min="1" max="1" width="5.75" style="17" customWidth="1"/>
    <col min="2" max="2" width="29.625" style="17" customWidth="1"/>
    <col min="3" max="3" width="25.5" style="17" customWidth="1"/>
    <col min="4" max="4" width="22" style="17" customWidth="1"/>
    <col min="5" max="16384" width="9" style="17"/>
  </cols>
  <sheetData>
    <row r="1" spans="1:4" ht="39.75" customHeight="1">
      <c r="A1" s="18" t="s">
        <v>21</v>
      </c>
      <c r="B1" s="18" t="s">
        <v>226</v>
      </c>
      <c r="C1" s="18" t="s">
        <v>227</v>
      </c>
      <c r="D1" s="18" t="s">
        <v>228</v>
      </c>
    </row>
    <row r="2" spans="1:4" ht="25.5" customHeight="1">
      <c r="A2" s="18">
        <v>1</v>
      </c>
      <c r="B2" s="19" t="s">
        <v>229</v>
      </c>
      <c r="C2" s="20" t="s">
        <v>269</v>
      </c>
      <c r="D2" s="18"/>
    </row>
    <row r="3" spans="1:4" ht="24" customHeight="1">
      <c r="A3" s="18">
        <v>2</v>
      </c>
      <c r="B3" s="19" t="s">
        <v>230</v>
      </c>
      <c r="C3" s="21" t="s">
        <v>270</v>
      </c>
      <c r="D3" s="18" t="s">
        <v>231</v>
      </c>
    </row>
    <row r="4" spans="1:4" ht="19.5" customHeight="1">
      <c r="A4" s="18">
        <v>3</v>
      </c>
      <c r="B4" s="19" t="s">
        <v>232</v>
      </c>
      <c r="C4" s="20" t="s">
        <v>233</v>
      </c>
      <c r="D4" s="18"/>
    </row>
    <row r="5" spans="1:4" ht="21" customHeight="1">
      <c r="A5" s="18">
        <v>4</v>
      </c>
      <c r="B5" s="19" t="s">
        <v>234</v>
      </c>
      <c r="C5" s="20"/>
      <c r="D5" s="18"/>
    </row>
    <row r="6" spans="1:4" ht="21" customHeight="1">
      <c r="A6" s="18">
        <v>5</v>
      </c>
      <c r="B6" s="19" t="s">
        <v>235</v>
      </c>
      <c r="C6" s="20"/>
      <c r="D6" s="18"/>
    </row>
    <row r="7" spans="1:4" ht="27.75" customHeight="1">
      <c r="A7" s="18">
        <v>6</v>
      </c>
      <c r="B7" s="18" t="s">
        <v>236</v>
      </c>
      <c r="C7" s="21" t="s">
        <v>271</v>
      </c>
      <c r="D7" s="18"/>
    </row>
    <row r="8" spans="1:4" ht="25.5" customHeight="1">
      <c r="A8" s="18">
        <v>7</v>
      </c>
      <c r="B8" s="19" t="s">
        <v>237</v>
      </c>
      <c r="C8" s="22" t="s">
        <v>238</v>
      </c>
      <c r="D8" s="18"/>
    </row>
    <row r="9" spans="1:4" ht="25.5" customHeight="1">
      <c r="A9" s="18">
        <v>8</v>
      </c>
      <c r="B9" s="18" t="s">
        <v>239</v>
      </c>
      <c r="C9" s="22"/>
      <c r="D9" s="18"/>
    </row>
    <row r="10" spans="1:4" ht="25.5" customHeight="1">
      <c r="A10" s="18">
        <v>9</v>
      </c>
      <c r="B10" s="18" t="s">
        <v>240</v>
      </c>
      <c r="C10" s="22"/>
      <c r="D10" s="18"/>
    </row>
    <row r="11" spans="1:4" ht="25.5" customHeight="1">
      <c r="A11" s="18">
        <v>10</v>
      </c>
      <c r="B11" s="18" t="s">
        <v>241</v>
      </c>
      <c r="C11" s="22"/>
      <c r="D11" s="18" t="s">
        <v>242</v>
      </c>
    </row>
    <row r="12" spans="1:4" ht="25.5" customHeight="1">
      <c r="A12" s="18">
        <v>11</v>
      </c>
      <c r="B12" s="18" t="s">
        <v>243</v>
      </c>
      <c r="C12" s="22"/>
      <c r="D12" s="18"/>
    </row>
    <row r="13" spans="1:4" ht="24" customHeight="1">
      <c r="A13" s="18">
        <v>12</v>
      </c>
      <c r="B13" s="19" t="s">
        <v>244</v>
      </c>
      <c r="C13" s="22" t="s">
        <v>245</v>
      </c>
      <c r="D13" s="18"/>
    </row>
    <row r="14" spans="1:4" ht="24" customHeight="1">
      <c r="A14" s="18">
        <v>13</v>
      </c>
      <c r="B14" s="19" t="s">
        <v>246</v>
      </c>
      <c r="C14" s="22" t="s">
        <v>272</v>
      </c>
      <c r="D14" s="18"/>
    </row>
    <row r="15" spans="1:4" ht="24" customHeight="1">
      <c r="A15" s="18">
        <v>14</v>
      </c>
      <c r="B15" s="19" t="s">
        <v>247</v>
      </c>
      <c r="C15" s="22">
        <v>24</v>
      </c>
      <c r="D15" s="18"/>
    </row>
    <row r="16" spans="1:4" ht="24" customHeight="1">
      <c r="A16" s="18">
        <v>15</v>
      </c>
      <c r="B16" s="18" t="s">
        <v>39</v>
      </c>
      <c r="C16" s="18"/>
      <c r="D16" s="18"/>
    </row>
    <row r="17" spans="2:2" ht="16.5">
      <c r="B17" s="23" t="s">
        <v>248</v>
      </c>
    </row>
  </sheetData>
  <phoneticPr fontId="4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62"/>
  <sheetViews>
    <sheetView zoomScale="85" zoomScaleNormal="85" workbookViewId="0">
      <selection activeCell="H7" sqref="H7:H11"/>
    </sheetView>
  </sheetViews>
  <sheetFormatPr defaultColWidth="9" defaultRowHeight="13.5"/>
  <cols>
    <col min="1" max="2" width="9" style="2"/>
    <col min="3" max="4" width="12.625" style="2" customWidth="1"/>
    <col min="5" max="5" width="12.125" style="2" customWidth="1"/>
    <col min="6" max="8" width="11.125" style="2" customWidth="1"/>
    <col min="9" max="9" width="15.75" style="3" customWidth="1"/>
    <col min="10" max="16384" width="9" style="2"/>
  </cols>
  <sheetData>
    <row r="1" spans="1:9" s="1" customFormat="1" ht="18.75" customHeight="1">
      <c r="G1" s="256" t="s">
        <v>249</v>
      </c>
      <c r="H1" s="256"/>
      <c r="I1" s="14" t="str">
        <f>销量!C6</f>
        <v>DZ14251510207/8</v>
      </c>
    </row>
    <row r="2" spans="1:9" ht="39" customHeight="1">
      <c r="A2" s="261" t="s">
        <v>250</v>
      </c>
      <c r="B2" s="261"/>
      <c r="C2" s="257" t="s">
        <v>251</v>
      </c>
      <c r="D2" s="258"/>
      <c r="E2" s="258"/>
      <c r="F2" s="258"/>
      <c r="G2" s="258"/>
      <c r="H2" s="259"/>
      <c r="I2" s="3" t="s">
        <v>252</v>
      </c>
    </row>
    <row r="3" spans="1:9" ht="34.5" customHeight="1">
      <c r="A3" s="261"/>
      <c r="B3" s="261"/>
      <c r="C3" s="4" t="s">
        <v>253</v>
      </c>
      <c r="D3" s="4" t="s">
        <v>254</v>
      </c>
      <c r="E3" s="4" t="s">
        <v>255</v>
      </c>
      <c r="F3" s="5" t="s">
        <v>256</v>
      </c>
      <c r="G3" s="5" t="s">
        <v>257</v>
      </c>
      <c r="H3" s="185" t="s">
        <v>266</v>
      </c>
      <c r="I3" s="15">
        <f>销量!C8</f>
        <v>1835</v>
      </c>
    </row>
    <row r="4" spans="1:9" ht="24" customHeight="1">
      <c r="A4" s="260" t="s">
        <v>259</v>
      </c>
      <c r="B4" s="260"/>
      <c r="C4" s="7"/>
      <c r="D4" s="8"/>
      <c r="E4" s="9">
        <f>$I$3*H4</f>
        <v>53.765499999999996</v>
      </c>
      <c r="F4" s="9"/>
      <c r="G4" s="9"/>
      <c r="H4" s="10">
        <v>2.93E-2</v>
      </c>
      <c r="I4" s="3">
        <v>0.03</v>
      </c>
    </row>
    <row r="5" spans="1:9" ht="24" customHeight="1">
      <c r="A5" s="260" t="s">
        <v>260</v>
      </c>
      <c r="B5" s="6" t="s">
        <v>261</v>
      </c>
      <c r="C5" s="7"/>
      <c r="D5" s="8"/>
      <c r="E5" s="9">
        <f>$I$3*H5</f>
        <v>118.72449999999999</v>
      </c>
      <c r="F5" s="9"/>
      <c r="G5" s="9"/>
      <c r="H5" s="10">
        <v>6.4699999999999994E-2</v>
      </c>
      <c r="I5" s="3">
        <v>0.06</v>
      </c>
    </row>
    <row r="6" spans="1:9" ht="24" customHeight="1">
      <c r="A6" s="260"/>
      <c r="B6" s="6" t="s">
        <v>262</v>
      </c>
      <c r="C6" s="7"/>
      <c r="D6" s="8"/>
      <c r="E6" s="9">
        <f t="shared" ref="E6:E11" si="0">$I$3*H6</f>
        <v>15.964499999999999</v>
      </c>
      <c r="F6" s="9"/>
      <c r="G6" s="9"/>
      <c r="H6" s="10">
        <v>8.6999999999999994E-3</v>
      </c>
      <c r="I6" s="3">
        <v>0.01</v>
      </c>
    </row>
    <row r="7" spans="1:9" ht="24" customHeight="1">
      <c r="A7" s="257" t="s">
        <v>263</v>
      </c>
      <c r="B7" s="259"/>
      <c r="C7" s="11"/>
      <c r="D7" s="12"/>
      <c r="E7" s="9">
        <f t="shared" si="0"/>
        <v>188.4545</v>
      </c>
      <c r="F7" s="9"/>
      <c r="G7" s="9"/>
      <c r="H7" s="13">
        <f>SUM(H4:H6)</f>
        <v>0.1027</v>
      </c>
      <c r="I7" s="3">
        <v>0.1</v>
      </c>
    </row>
    <row r="8" spans="1:9" ht="24" customHeight="1">
      <c r="A8" s="260" t="s">
        <v>84</v>
      </c>
      <c r="B8" s="260"/>
      <c r="C8" s="7"/>
      <c r="D8" s="8"/>
      <c r="E8" s="9">
        <f t="shared" si="0"/>
        <v>37.6175</v>
      </c>
      <c r="F8" s="9"/>
      <c r="G8" s="9"/>
      <c r="H8" s="10">
        <v>2.0500000000000001E-2</v>
      </c>
      <c r="I8" s="3">
        <v>0.02</v>
      </c>
    </row>
    <row r="9" spans="1:9" ht="24" customHeight="1">
      <c r="A9" s="262" t="s">
        <v>264</v>
      </c>
      <c r="B9" s="6" t="s">
        <v>261</v>
      </c>
      <c r="C9" s="7"/>
      <c r="D9" s="8"/>
      <c r="E9" s="9">
        <f t="shared" si="0"/>
        <v>25.139500000000002</v>
      </c>
      <c r="F9" s="9"/>
      <c r="G9" s="9"/>
      <c r="H9" s="10">
        <v>1.37E-2</v>
      </c>
      <c r="I9" s="3">
        <v>1.4E-2</v>
      </c>
    </row>
    <row r="10" spans="1:9" ht="24" customHeight="1">
      <c r="A10" s="263"/>
      <c r="B10" s="6" t="s">
        <v>262</v>
      </c>
      <c r="C10" s="7"/>
      <c r="D10" s="8"/>
      <c r="E10" s="9">
        <f t="shared" si="0"/>
        <v>75.602000000000004</v>
      </c>
      <c r="F10" s="9"/>
      <c r="G10" s="9"/>
      <c r="H10" s="10">
        <v>4.1200000000000001E-2</v>
      </c>
      <c r="I10" s="3">
        <v>0.01</v>
      </c>
    </row>
    <row r="11" spans="1:9" ht="24" customHeight="1">
      <c r="A11" s="260" t="s">
        <v>87</v>
      </c>
      <c r="B11" s="260"/>
      <c r="C11" s="7"/>
      <c r="D11" s="8"/>
      <c r="E11" s="9">
        <f t="shared" si="0"/>
        <v>80.006</v>
      </c>
      <c r="F11" s="9"/>
      <c r="G11" s="9"/>
      <c r="H11" s="10">
        <v>4.36E-2</v>
      </c>
      <c r="I11" s="3">
        <v>0.04</v>
      </c>
    </row>
    <row r="13" spans="1:9" s="1" customFormat="1" ht="18.75" customHeight="1">
      <c r="G13" s="256" t="s">
        <v>249</v>
      </c>
      <c r="H13" s="256"/>
      <c r="I13" s="16" t="str">
        <f>销量!D6</f>
        <v>DZ14251510122</v>
      </c>
    </row>
    <row r="14" spans="1:9" ht="39" customHeight="1">
      <c r="A14" s="261" t="s">
        <v>250</v>
      </c>
      <c r="B14" s="261"/>
      <c r="C14" s="257" t="str">
        <f>C2</f>
        <v>西安工厂平均值</v>
      </c>
      <c r="D14" s="258"/>
      <c r="E14" s="258"/>
      <c r="F14" s="258"/>
      <c r="G14" s="258"/>
      <c r="H14" s="259"/>
      <c r="I14" s="3" t="s">
        <v>252</v>
      </c>
    </row>
    <row r="15" spans="1:9" ht="34.5" customHeight="1">
      <c r="A15" s="261"/>
      <c r="B15" s="261"/>
      <c r="C15" s="4" t="s">
        <v>253</v>
      </c>
      <c r="D15" s="4" t="s">
        <v>254</v>
      </c>
      <c r="E15" s="4" t="s">
        <v>255</v>
      </c>
      <c r="F15" s="5" t="s">
        <v>256</v>
      </c>
      <c r="G15" s="5" t="s">
        <v>257</v>
      </c>
      <c r="H15" s="5" t="s">
        <v>258</v>
      </c>
      <c r="I15" s="15">
        <f>销量!D8</f>
        <v>590</v>
      </c>
    </row>
    <row r="16" spans="1:9" ht="24" customHeight="1">
      <c r="A16" s="260" t="s">
        <v>259</v>
      </c>
      <c r="B16" s="260"/>
      <c r="C16" s="7"/>
      <c r="D16" s="8"/>
      <c r="E16" s="9">
        <f>$I$15*H16</f>
        <v>17.286999999999999</v>
      </c>
      <c r="F16" s="9"/>
      <c r="G16" s="9"/>
      <c r="H16" s="10">
        <f t="shared" ref="H16:H23" si="1">H4</f>
        <v>2.93E-2</v>
      </c>
      <c r="I16" s="3">
        <v>0.03</v>
      </c>
    </row>
    <row r="17" spans="1:9" ht="24" customHeight="1">
      <c r="A17" s="260" t="s">
        <v>260</v>
      </c>
      <c r="B17" s="6" t="s">
        <v>261</v>
      </c>
      <c r="C17" s="7"/>
      <c r="D17" s="8"/>
      <c r="E17" s="9">
        <f t="shared" ref="E17:E23" si="2">$I$15*H17</f>
        <v>38.172999999999995</v>
      </c>
      <c r="F17" s="9"/>
      <c r="G17" s="9"/>
      <c r="H17" s="10">
        <f t="shared" si="1"/>
        <v>6.4699999999999994E-2</v>
      </c>
      <c r="I17" s="3">
        <v>0.06</v>
      </c>
    </row>
    <row r="18" spans="1:9" ht="24" customHeight="1">
      <c r="A18" s="260"/>
      <c r="B18" s="6" t="s">
        <v>262</v>
      </c>
      <c r="C18" s="7"/>
      <c r="D18" s="8"/>
      <c r="E18" s="9">
        <f t="shared" si="2"/>
        <v>5.133</v>
      </c>
      <c r="F18" s="9"/>
      <c r="G18" s="9"/>
      <c r="H18" s="10">
        <f t="shared" si="1"/>
        <v>8.6999999999999994E-3</v>
      </c>
      <c r="I18" s="3">
        <v>0.01</v>
      </c>
    </row>
    <row r="19" spans="1:9" ht="24" customHeight="1">
      <c r="A19" s="257" t="s">
        <v>263</v>
      </c>
      <c r="B19" s="259"/>
      <c r="C19" s="11"/>
      <c r="D19" s="12"/>
      <c r="E19" s="9">
        <f t="shared" si="2"/>
        <v>60.592999999999996</v>
      </c>
      <c r="F19" s="9"/>
      <c r="G19" s="9"/>
      <c r="H19" s="13">
        <f t="shared" si="1"/>
        <v>0.1027</v>
      </c>
      <c r="I19" s="3">
        <v>0.1</v>
      </c>
    </row>
    <row r="20" spans="1:9" ht="24" customHeight="1">
      <c r="A20" s="260" t="s">
        <v>84</v>
      </c>
      <c r="B20" s="260"/>
      <c r="C20" s="7"/>
      <c r="D20" s="8"/>
      <c r="E20" s="9">
        <f t="shared" si="2"/>
        <v>12.095000000000001</v>
      </c>
      <c r="F20" s="9"/>
      <c r="G20" s="9"/>
      <c r="H20" s="10">
        <f t="shared" si="1"/>
        <v>2.0500000000000001E-2</v>
      </c>
      <c r="I20" s="3">
        <v>0.02</v>
      </c>
    </row>
    <row r="21" spans="1:9" ht="24" customHeight="1">
      <c r="A21" s="262" t="s">
        <v>264</v>
      </c>
      <c r="B21" s="6" t="s">
        <v>261</v>
      </c>
      <c r="C21" s="7"/>
      <c r="D21" s="8"/>
      <c r="E21" s="9">
        <f t="shared" si="2"/>
        <v>8.0830000000000002</v>
      </c>
      <c r="F21" s="9"/>
      <c r="G21" s="9"/>
      <c r="H21" s="10">
        <f t="shared" si="1"/>
        <v>1.37E-2</v>
      </c>
      <c r="I21" s="3">
        <v>1.4E-2</v>
      </c>
    </row>
    <row r="22" spans="1:9" ht="24" customHeight="1">
      <c r="A22" s="263"/>
      <c r="B22" s="6" t="s">
        <v>262</v>
      </c>
      <c r="C22" s="7"/>
      <c r="D22" s="8"/>
      <c r="E22" s="9">
        <f t="shared" si="2"/>
        <v>24.308</v>
      </c>
      <c r="F22" s="9"/>
      <c r="G22" s="9"/>
      <c r="H22" s="10">
        <f t="shared" si="1"/>
        <v>4.1200000000000001E-2</v>
      </c>
      <c r="I22" s="3">
        <v>0.01</v>
      </c>
    </row>
    <row r="23" spans="1:9" ht="24" customHeight="1">
      <c r="A23" s="260" t="s">
        <v>87</v>
      </c>
      <c r="B23" s="260"/>
      <c r="C23" s="7"/>
      <c r="D23" s="8"/>
      <c r="E23" s="9">
        <f t="shared" si="2"/>
        <v>25.724</v>
      </c>
      <c r="F23" s="9"/>
      <c r="G23" s="9"/>
      <c r="H23" s="10">
        <f t="shared" si="1"/>
        <v>4.36E-2</v>
      </c>
      <c r="I23" s="3">
        <v>0.04</v>
      </c>
    </row>
    <row r="26" spans="1:9" s="1" customFormat="1" ht="18.75" customHeight="1">
      <c r="G26" s="256" t="s">
        <v>249</v>
      </c>
      <c r="H26" s="256"/>
      <c r="I26" s="16"/>
    </row>
    <row r="27" spans="1:9" ht="39" customHeight="1">
      <c r="A27" s="261" t="s">
        <v>250</v>
      </c>
      <c r="B27" s="261"/>
      <c r="C27" s="257" t="str">
        <f>C2</f>
        <v>西安工厂平均值</v>
      </c>
      <c r="D27" s="258"/>
      <c r="E27" s="258"/>
      <c r="F27" s="258"/>
      <c r="G27" s="258"/>
      <c r="H27" s="259"/>
      <c r="I27" s="3" t="s">
        <v>252</v>
      </c>
    </row>
    <row r="28" spans="1:9" ht="34.5" customHeight="1">
      <c r="A28" s="261"/>
      <c r="B28" s="261"/>
      <c r="C28" s="4" t="s">
        <v>253</v>
      </c>
      <c r="D28" s="4" t="s">
        <v>254</v>
      </c>
      <c r="E28" s="4" t="s">
        <v>255</v>
      </c>
      <c r="F28" s="5" t="s">
        <v>256</v>
      </c>
      <c r="G28" s="5" t="s">
        <v>257</v>
      </c>
      <c r="H28" s="5" t="s">
        <v>258</v>
      </c>
      <c r="I28" s="15">
        <f>材料成本!F23</f>
        <v>0</v>
      </c>
    </row>
    <row r="29" spans="1:9" ht="24" customHeight="1">
      <c r="A29" s="260" t="s">
        <v>259</v>
      </c>
      <c r="B29" s="260"/>
      <c r="C29" s="7"/>
      <c r="D29" s="8"/>
      <c r="E29" s="9">
        <f>I28*I29</f>
        <v>0</v>
      </c>
      <c r="F29" s="9"/>
      <c r="G29" s="9"/>
      <c r="H29" s="10">
        <f t="shared" ref="H29:H36" si="3">H4</f>
        <v>2.93E-2</v>
      </c>
      <c r="I29" s="3">
        <v>4.3099999999999999E-2</v>
      </c>
    </row>
    <row r="30" spans="1:9" ht="24" customHeight="1">
      <c r="A30" s="260" t="s">
        <v>260</v>
      </c>
      <c r="B30" s="6" t="s">
        <v>261</v>
      </c>
      <c r="C30" s="7"/>
      <c r="D30" s="8"/>
      <c r="E30" s="9">
        <f t="shared" ref="E30:E36" si="4">$I$28*I30</f>
        <v>0</v>
      </c>
      <c r="F30" s="9"/>
      <c r="G30" s="9"/>
      <c r="H30" s="10">
        <f t="shared" si="3"/>
        <v>6.4699999999999994E-2</v>
      </c>
      <c r="I30" s="3">
        <v>4.1000000000000002E-2</v>
      </c>
    </row>
    <row r="31" spans="1:9" ht="24" customHeight="1">
      <c r="A31" s="260"/>
      <c r="B31" s="6" t="s">
        <v>262</v>
      </c>
      <c r="C31" s="7"/>
      <c r="D31" s="8"/>
      <c r="E31" s="9">
        <f t="shared" si="4"/>
        <v>0</v>
      </c>
      <c r="F31" s="9"/>
      <c r="G31" s="9"/>
      <c r="H31" s="10">
        <f t="shared" si="3"/>
        <v>8.6999999999999994E-3</v>
      </c>
      <c r="I31" s="3">
        <v>2.1700000000000001E-2</v>
      </c>
    </row>
    <row r="32" spans="1:9" ht="24" customHeight="1">
      <c r="A32" s="257" t="s">
        <v>263</v>
      </c>
      <c r="B32" s="259"/>
      <c r="C32" s="11"/>
      <c r="D32" s="12"/>
      <c r="E32" s="9">
        <f t="shared" si="4"/>
        <v>0</v>
      </c>
      <c r="F32" s="9"/>
      <c r="G32" s="9"/>
      <c r="H32" s="13">
        <f t="shared" si="3"/>
        <v>0.1027</v>
      </c>
      <c r="I32" s="3">
        <f>SUM(I29:I31)</f>
        <v>0.10580000000000001</v>
      </c>
    </row>
    <row r="33" spans="1:9" ht="24" customHeight="1">
      <c r="A33" s="260" t="s">
        <v>84</v>
      </c>
      <c r="B33" s="260"/>
      <c r="C33" s="7"/>
      <c r="D33" s="8"/>
      <c r="E33" s="9">
        <f t="shared" si="4"/>
        <v>0</v>
      </c>
      <c r="F33" s="9"/>
      <c r="G33" s="9"/>
      <c r="H33" s="10">
        <f t="shared" si="3"/>
        <v>2.0500000000000001E-2</v>
      </c>
      <c r="I33" s="3">
        <v>3.4000000000000002E-2</v>
      </c>
    </row>
    <row r="34" spans="1:9" ht="24" customHeight="1">
      <c r="A34" s="262" t="s">
        <v>264</v>
      </c>
      <c r="B34" s="6" t="s">
        <v>261</v>
      </c>
      <c r="C34" s="7"/>
      <c r="D34" s="8"/>
      <c r="E34" s="9">
        <f t="shared" si="4"/>
        <v>0</v>
      </c>
      <c r="F34" s="9"/>
      <c r="G34" s="9"/>
      <c r="H34" s="10">
        <f t="shared" si="3"/>
        <v>1.37E-2</v>
      </c>
      <c r="I34" s="3">
        <v>7.0000000000000001E-3</v>
      </c>
    </row>
    <row r="35" spans="1:9" ht="24" customHeight="1">
      <c r="A35" s="263"/>
      <c r="B35" s="6" t="s">
        <v>262</v>
      </c>
      <c r="C35" s="7"/>
      <c r="D35" s="8"/>
      <c r="E35" s="9">
        <f t="shared" si="4"/>
        <v>0</v>
      </c>
      <c r="F35" s="9"/>
      <c r="G35" s="9"/>
      <c r="H35" s="10">
        <f t="shared" si="3"/>
        <v>4.1200000000000001E-2</v>
      </c>
      <c r="I35" s="3">
        <f>2.8%+1.6%</f>
        <v>4.3999999999999997E-2</v>
      </c>
    </row>
    <row r="36" spans="1:9" ht="24" customHeight="1">
      <c r="A36" s="260" t="s">
        <v>87</v>
      </c>
      <c r="B36" s="260"/>
      <c r="C36" s="7"/>
      <c r="D36" s="8"/>
      <c r="E36" s="9">
        <f t="shared" si="4"/>
        <v>0</v>
      </c>
      <c r="F36" s="9"/>
      <c r="G36" s="9"/>
      <c r="H36" s="10">
        <f t="shared" si="3"/>
        <v>4.36E-2</v>
      </c>
      <c r="I36" s="3">
        <v>0.03</v>
      </c>
    </row>
    <row r="39" spans="1:9" s="1" customFormat="1" ht="18.75" customHeight="1">
      <c r="G39" s="256" t="s">
        <v>249</v>
      </c>
      <c r="H39" s="256"/>
      <c r="I39" s="16"/>
    </row>
    <row r="40" spans="1:9" ht="39" customHeight="1">
      <c r="A40" s="261" t="s">
        <v>250</v>
      </c>
      <c r="B40" s="261"/>
      <c r="C40" s="257" t="str">
        <f>C2</f>
        <v>西安工厂平均值</v>
      </c>
      <c r="D40" s="258"/>
      <c r="E40" s="258"/>
      <c r="F40" s="258"/>
      <c r="G40" s="258"/>
      <c r="H40" s="259"/>
      <c r="I40" s="3" t="s">
        <v>252</v>
      </c>
    </row>
    <row r="41" spans="1:9" ht="34.5" customHeight="1">
      <c r="A41" s="261"/>
      <c r="B41" s="261"/>
      <c r="C41" s="4" t="s">
        <v>253</v>
      </c>
      <c r="D41" s="4" t="s">
        <v>254</v>
      </c>
      <c r="E41" s="4" t="s">
        <v>255</v>
      </c>
      <c r="F41" s="5" t="s">
        <v>256</v>
      </c>
      <c r="G41" s="5" t="s">
        <v>257</v>
      </c>
      <c r="H41" s="5" t="s">
        <v>258</v>
      </c>
      <c r="I41" s="15">
        <f>材料成本!G23</f>
        <v>0</v>
      </c>
    </row>
    <row r="42" spans="1:9" ht="24" customHeight="1">
      <c r="A42" s="260" t="s">
        <v>259</v>
      </c>
      <c r="B42" s="260"/>
      <c r="C42" s="7"/>
      <c r="D42" s="8"/>
      <c r="E42" s="9">
        <f>I41*I42</f>
        <v>0</v>
      </c>
      <c r="F42" s="9"/>
      <c r="G42" s="9"/>
      <c r="H42" s="10">
        <f t="shared" ref="H42:H49" si="5">H4</f>
        <v>2.93E-2</v>
      </c>
      <c r="I42" s="3">
        <v>4.3099999999999999E-2</v>
      </c>
    </row>
    <row r="43" spans="1:9" ht="24" customHeight="1">
      <c r="A43" s="260" t="s">
        <v>260</v>
      </c>
      <c r="B43" s="6" t="s">
        <v>261</v>
      </c>
      <c r="C43" s="7"/>
      <c r="D43" s="8"/>
      <c r="E43" s="9">
        <f>$I$28*I43</f>
        <v>0</v>
      </c>
      <c r="F43" s="9"/>
      <c r="G43" s="9"/>
      <c r="H43" s="10">
        <f t="shared" si="5"/>
        <v>6.4699999999999994E-2</v>
      </c>
      <c r="I43" s="3">
        <v>4.1000000000000002E-2</v>
      </c>
    </row>
    <row r="44" spans="1:9" ht="24" customHeight="1">
      <c r="A44" s="260"/>
      <c r="B44" s="6" t="s">
        <v>262</v>
      </c>
      <c r="C44" s="7"/>
      <c r="D44" s="8"/>
      <c r="E44" s="9">
        <f t="shared" ref="E44:E49" si="6">$I$28*I44</f>
        <v>0</v>
      </c>
      <c r="F44" s="9"/>
      <c r="G44" s="9"/>
      <c r="H44" s="10">
        <f t="shared" si="5"/>
        <v>8.6999999999999994E-3</v>
      </c>
      <c r="I44" s="3">
        <v>2.1700000000000001E-2</v>
      </c>
    </row>
    <row r="45" spans="1:9" ht="24" customHeight="1">
      <c r="A45" s="257" t="s">
        <v>263</v>
      </c>
      <c r="B45" s="259"/>
      <c r="C45" s="11"/>
      <c r="D45" s="12"/>
      <c r="E45" s="9">
        <f t="shared" si="6"/>
        <v>0</v>
      </c>
      <c r="F45" s="9"/>
      <c r="G45" s="9"/>
      <c r="H45" s="13">
        <f t="shared" si="5"/>
        <v>0.1027</v>
      </c>
      <c r="I45" s="3">
        <f>SUM(I42:I44)</f>
        <v>0.10580000000000001</v>
      </c>
    </row>
    <row r="46" spans="1:9" ht="24" customHeight="1">
      <c r="A46" s="260" t="s">
        <v>84</v>
      </c>
      <c r="B46" s="260"/>
      <c r="C46" s="7"/>
      <c r="D46" s="8"/>
      <c r="E46" s="9">
        <f t="shared" si="6"/>
        <v>0</v>
      </c>
      <c r="F46" s="9"/>
      <c r="G46" s="9"/>
      <c r="H46" s="10">
        <f t="shared" si="5"/>
        <v>2.0500000000000001E-2</v>
      </c>
      <c r="I46" s="3">
        <v>3.4000000000000002E-2</v>
      </c>
    </row>
    <row r="47" spans="1:9" ht="24" customHeight="1">
      <c r="A47" s="262" t="s">
        <v>264</v>
      </c>
      <c r="B47" s="6" t="s">
        <v>261</v>
      </c>
      <c r="C47" s="7"/>
      <c r="D47" s="8"/>
      <c r="E47" s="9">
        <f t="shared" si="6"/>
        <v>0</v>
      </c>
      <c r="F47" s="9"/>
      <c r="G47" s="9"/>
      <c r="H47" s="10">
        <f t="shared" si="5"/>
        <v>1.37E-2</v>
      </c>
      <c r="I47" s="3">
        <v>7.0000000000000001E-3</v>
      </c>
    </row>
    <row r="48" spans="1:9" ht="24" customHeight="1">
      <c r="A48" s="263"/>
      <c r="B48" s="6" t="s">
        <v>262</v>
      </c>
      <c r="C48" s="7"/>
      <c r="D48" s="8"/>
      <c r="E48" s="9">
        <f t="shared" si="6"/>
        <v>0</v>
      </c>
      <c r="F48" s="9"/>
      <c r="G48" s="9"/>
      <c r="H48" s="10">
        <f t="shared" si="5"/>
        <v>4.1200000000000001E-2</v>
      </c>
      <c r="I48" s="3">
        <f>2.8%+1.6%</f>
        <v>4.3999999999999997E-2</v>
      </c>
    </row>
    <row r="49" spans="1:9" ht="24" customHeight="1">
      <c r="A49" s="260" t="s">
        <v>87</v>
      </c>
      <c r="B49" s="260"/>
      <c r="C49" s="7"/>
      <c r="D49" s="8"/>
      <c r="E49" s="9">
        <f t="shared" si="6"/>
        <v>0</v>
      </c>
      <c r="F49" s="9"/>
      <c r="G49" s="9"/>
      <c r="H49" s="10">
        <f t="shared" si="5"/>
        <v>4.36E-2</v>
      </c>
      <c r="I49" s="3">
        <v>0.03</v>
      </c>
    </row>
    <row r="52" spans="1:9" s="1" customFormat="1" ht="18.75" customHeight="1">
      <c r="G52" s="256" t="s">
        <v>249</v>
      </c>
      <c r="H52" s="256"/>
      <c r="I52" s="16"/>
    </row>
    <row r="53" spans="1:9" ht="39" customHeight="1">
      <c r="A53" s="261" t="s">
        <v>250</v>
      </c>
      <c r="B53" s="261"/>
      <c r="C53" s="257" t="str">
        <f>C2</f>
        <v>西安工厂平均值</v>
      </c>
      <c r="D53" s="258"/>
      <c r="E53" s="258"/>
      <c r="F53" s="258"/>
      <c r="G53" s="258"/>
      <c r="H53" s="259"/>
      <c r="I53" s="3" t="s">
        <v>252</v>
      </c>
    </row>
    <row r="54" spans="1:9" ht="34.5" customHeight="1">
      <c r="A54" s="261"/>
      <c r="B54" s="261"/>
      <c r="C54" s="4" t="s">
        <v>253</v>
      </c>
      <c r="D54" s="4" t="s">
        <v>254</v>
      </c>
      <c r="E54" s="4" t="s">
        <v>255</v>
      </c>
      <c r="F54" s="5" t="s">
        <v>256</v>
      </c>
      <c r="G54" s="5" t="s">
        <v>257</v>
      </c>
      <c r="H54" s="5" t="s">
        <v>258</v>
      </c>
      <c r="I54" s="15">
        <f>材料成本!H23</f>
        <v>0</v>
      </c>
    </row>
    <row r="55" spans="1:9" ht="24" customHeight="1">
      <c r="A55" s="260" t="s">
        <v>259</v>
      </c>
      <c r="B55" s="260"/>
      <c r="C55" s="7"/>
      <c r="D55" s="8"/>
      <c r="E55" s="9">
        <f>I54*I55</f>
        <v>0</v>
      </c>
      <c r="F55" s="9"/>
      <c r="G55" s="9"/>
      <c r="H55" s="10">
        <f t="shared" ref="H55:H62" si="7">H4</f>
        <v>2.93E-2</v>
      </c>
      <c r="I55" s="3">
        <v>4.3099999999999999E-2</v>
      </c>
    </row>
    <row r="56" spans="1:9" ht="24" customHeight="1">
      <c r="A56" s="260" t="s">
        <v>260</v>
      </c>
      <c r="B56" s="6" t="s">
        <v>261</v>
      </c>
      <c r="C56" s="7"/>
      <c r="D56" s="8"/>
      <c r="E56" s="9">
        <f>$I$54*I56</f>
        <v>0</v>
      </c>
      <c r="F56" s="9"/>
      <c r="G56" s="9"/>
      <c r="H56" s="10">
        <f t="shared" si="7"/>
        <v>6.4699999999999994E-2</v>
      </c>
      <c r="I56" s="3">
        <v>4.1000000000000002E-2</v>
      </c>
    </row>
    <row r="57" spans="1:9" ht="24" customHeight="1">
      <c r="A57" s="260"/>
      <c r="B57" s="6" t="s">
        <v>262</v>
      </c>
      <c r="C57" s="7"/>
      <c r="D57" s="8"/>
      <c r="E57" s="9">
        <f t="shared" ref="E57:E62" si="8">$I$54*I57</f>
        <v>0</v>
      </c>
      <c r="F57" s="9"/>
      <c r="G57" s="9"/>
      <c r="H57" s="10">
        <f t="shared" si="7"/>
        <v>8.6999999999999994E-3</v>
      </c>
      <c r="I57" s="3">
        <v>2.1700000000000001E-2</v>
      </c>
    </row>
    <row r="58" spans="1:9" ht="24" customHeight="1">
      <c r="A58" s="257" t="s">
        <v>263</v>
      </c>
      <c r="B58" s="259"/>
      <c r="C58" s="11"/>
      <c r="D58" s="12"/>
      <c r="E58" s="9">
        <f t="shared" si="8"/>
        <v>0</v>
      </c>
      <c r="F58" s="9"/>
      <c r="G58" s="9"/>
      <c r="H58" s="13">
        <f t="shared" si="7"/>
        <v>0.1027</v>
      </c>
      <c r="I58" s="3">
        <f>SUM(I55:I57)</f>
        <v>0.10580000000000001</v>
      </c>
    </row>
    <row r="59" spans="1:9" ht="24" customHeight="1">
      <c r="A59" s="260" t="s">
        <v>84</v>
      </c>
      <c r="B59" s="260"/>
      <c r="C59" s="7"/>
      <c r="D59" s="8"/>
      <c r="E59" s="9">
        <f t="shared" si="8"/>
        <v>0</v>
      </c>
      <c r="F59" s="9"/>
      <c r="G59" s="9"/>
      <c r="H59" s="10">
        <f t="shared" si="7"/>
        <v>2.0500000000000001E-2</v>
      </c>
      <c r="I59" s="3">
        <v>3.4000000000000002E-2</v>
      </c>
    </row>
    <row r="60" spans="1:9" ht="24" customHeight="1">
      <c r="A60" s="262" t="s">
        <v>264</v>
      </c>
      <c r="B60" s="6" t="s">
        <v>261</v>
      </c>
      <c r="C60" s="7"/>
      <c r="D60" s="8"/>
      <c r="E60" s="9">
        <f t="shared" si="8"/>
        <v>0</v>
      </c>
      <c r="F60" s="9"/>
      <c r="G60" s="9"/>
      <c r="H60" s="10">
        <f t="shared" si="7"/>
        <v>1.37E-2</v>
      </c>
      <c r="I60" s="3">
        <v>7.0000000000000001E-3</v>
      </c>
    </row>
    <row r="61" spans="1:9" ht="24" customHeight="1">
      <c r="A61" s="263"/>
      <c r="B61" s="6" t="s">
        <v>262</v>
      </c>
      <c r="C61" s="7"/>
      <c r="D61" s="8"/>
      <c r="E61" s="9">
        <f t="shared" si="8"/>
        <v>0</v>
      </c>
      <c r="F61" s="9"/>
      <c r="G61" s="9"/>
      <c r="H61" s="10">
        <f t="shared" si="7"/>
        <v>4.1200000000000001E-2</v>
      </c>
      <c r="I61" s="3">
        <f>2.8%+1.6%</f>
        <v>4.3999999999999997E-2</v>
      </c>
    </row>
    <row r="62" spans="1:9" ht="24" customHeight="1">
      <c r="A62" s="260" t="s">
        <v>87</v>
      </c>
      <c r="B62" s="260"/>
      <c r="C62" s="7"/>
      <c r="D62" s="8"/>
      <c r="E62" s="9">
        <f t="shared" si="8"/>
        <v>0</v>
      </c>
      <c r="F62" s="9"/>
      <c r="G62" s="9"/>
      <c r="H62" s="10">
        <f t="shared" si="7"/>
        <v>4.36E-2</v>
      </c>
      <c r="I62" s="3">
        <v>0.03</v>
      </c>
    </row>
  </sheetData>
  <mergeCells count="45">
    <mergeCell ref="C53:H53"/>
    <mergeCell ref="A55:B55"/>
    <mergeCell ref="A58:B58"/>
    <mergeCell ref="A59:B59"/>
    <mergeCell ref="A62:B62"/>
    <mergeCell ref="A56:A57"/>
    <mergeCell ref="A60:A61"/>
    <mergeCell ref="A53:B54"/>
    <mergeCell ref="A42:B42"/>
    <mergeCell ref="A45:B45"/>
    <mergeCell ref="A46:B46"/>
    <mergeCell ref="A49:B49"/>
    <mergeCell ref="G52:H52"/>
    <mergeCell ref="A43:A44"/>
    <mergeCell ref="A47:A48"/>
    <mergeCell ref="A36:B36"/>
    <mergeCell ref="G39:H39"/>
    <mergeCell ref="C40:H40"/>
    <mergeCell ref="A40:B41"/>
    <mergeCell ref="A20:B20"/>
    <mergeCell ref="A23:B23"/>
    <mergeCell ref="G26:H26"/>
    <mergeCell ref="C27:H27"/>
    <mergeCell ref="A29:B29"/>
    <mergeCell ref="A21:A22"/>
    <mergeCell ref="A30:A31"/>
    <mergeCell ref="A34:A35"/>
    <mergeCell ref="A27:B28"/>
    <mergeCell ref="A32:B32"/>
    <mergeCell ref="A33:B33"/>
    <mergeCell ref="G13:H13"/>
    <mergeCell ref="C14:H14"/>
    <mergeCell ref="A16:B16"/>
    <mergeCell ref="A19:B19"/>
    <mergeCell ref="G1:H1"/>
    <mergeCell ref="C2:H2"/>
    <mergeCell ref="A4:B4"/>
    <mergeCell ref="A7:B7"/>
    <mergeCell ref="A8:B8"/>
    <mergeCell ref="A5:A6"/>
    <mergeCell ref="A2:B3"/>
    <mergeCell ref="A9:A10"/>
    <mergeCell ref="A17:A18"/>
    <mergeCell ref="A14:B15"/>
    <mergeCell ref="A11:B11"/>
  </mergeCells>
  <phoneticPr fontId="4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142" customWidth="1"/>
    <col min="2" max="2" width="28.5" style="142" customWidth="1"/>
    <col min="3" max="4" width="9.125" style="142"/>
    <col min="5" max="5" width="13.875" style="142" customWidth="1"/>
    <col min="6" max="12" width="16.125" style="142" customWidth="1"/>
    <col min="13" max="13" width="10.625" style="142" customWidth="1"/>
    <col min="14" max="254" width="9.125" style="142"/>
    <col min="255" max="255" width="8" style="142" customWidth="1"/>
    <col min="256" max="256" width="28.5" style="142" customWidth="1"/>
    <col min="257" max="268" width="9.125" style="142"/>
    <col min="269" max="269" width="10.625" style="142" customWidth="1"/>
    <col min="270" max="510" width="9.125" style="142"/>
    <col min="511" max="511" width="8" style="142" customWidth="1"/>
    <col min="512" max="512" width="28.5" style="142" customWidth="1"/>
    <col min="513" max="524" width="9.125" style="142"/>
    <col min="525" max="525" width="10.625" style="142" customWidth="1"/>
    <col min="526" max="766" width="9.125" style="142"/>
    <col min="767" max="767" width="8" style="142" customWidth="1"/>
    <col min="768" max="768" width="28.5" style="142" customWidth="1"/>
    <col min="769" max="780" width="9.125" style="142"/>
    <col min="781" max="781" width="10.625" style="142" customWidth="1"/>
    <col min="782" max="1022" width="9.125" style="142"/>
    <col min="1023" max="1023" width="8" style="142" customWidth="1"/>
    <col min="1024" max="1024" width="28.5" style="142" customWidth="1"/>
    <col min="1025" max="1036" width="9.125" style="142"/>
    <col min="1037" max="1037" width="10.625" style="142" customWidth="1"/>
    <col min="1038" max="1278" width="9.125" style="142"/>
    <col min="1279" max="1279" width="8" style="142" customWidth="1"/>
    <col min="1280" max="1280" width="28.5" style="142" customWidth="1"/>
    <col min="1281" max="1292" width="9.125" style="142"/>
    <col min="1293" max="1293" width="10.625" style="142" customWidth="1"/>
    <col min="1294" max="1534" width="9.125" style="142"/>
    <col min="1535" max="1535" width="8" style="142" customWidth="1"/>
    <col min="1536" max="1536" width="28.5" style="142" customWidth="1"/>
    <col min="1537" max="1548" width="9.125" style="142"/>
    <col min="1549" max="1549" width="10.625" style="142" customWidth="1"/>
    <col min="1550" max="1790" width="9.125" style="142"/>
    <col min="1791" max="1791" width="8" style="142" customWidth="1"/>
    <col min="1792" max="1792" width="28.5" style="142" customWidth="1"/>
    <col min="1793" max="1804" width="9.125" style="142"/>
    <col min="1805" max="1805" width="10.625" style="142" customWidth="1"/>
    <col min="1806" max="2046" width="9.125" style="142"/>
    <col min="2047" max="2047" width="8" style="142" customWidth="1"/>
    <col min="2048" max="2048" width="28.5" style="142" customWidth="1"/>
    <col min="2049" max="2060" width="9.125" style="142"/>
    <col min="2061" max="2061" width="10.625" style="142" customWidth="1"/>
    <col min="2062" max="2302" width="9.125" style="142"/>
    <col min="2303" max="2303" width="8" style="142" customWidth="1"/>
    <col min="2304" max="2304" width="28.5" style="142" customWidth="1"/>
    <col min="2305" max="2316" width="9.125" style="142"/>
    <col min="2317" max="2317" width="10.625" style="142" customWidth="1"/>
    <col min="2318" max="2558" width="9.125" style="142"/>
    <col min="2559" max="2559" width="8" style="142" customWidth="1"/>
    <col min="2560" max="2560" width="28.5" style="142" customWidth="1"/>
    <col min="2561" max="2572" width="9.125" style="142"/>
    <col min="2573" max="2573" width="10.625" style="142" customWidth="1"/>
    <col min="2574" max="2814" width="9.125" style="142"/>
    <col min="2815" max="2815" width="8" style="142" customWidth="1"/>
    <col min="2816" max="2816" width="28.5" style="142" customWidth="1"/>
    <col min="2817" max="2828" width="9.125" style="142"/>
    <col min="2829" max="2829" width="10.625" style="142" customWidth="1"/>
    <col min="2830" max="3070" width="9.125" style="142"/>
    <col min="3071" max="3071" width="8" style="142" customWidth="1"/>
    <col min="3072" max="3072" width="28.5" style="142" customWidth="1"/>
    <col min="3073" max="3084" width="9.125" style="142"/>
    <col min="3085" max="3085" width="10.625" style="142" customWidth="1"/>
    <col min="3086" max="3326" width="9.125" style="142"/>
    <col min="3327" max="3327" width="8" style="142" customWidth="1"/>
    <col min="3328" max="3328" width="28.5" style="142" customWidth="1"/>
    <col min="3329" max="3340" width="9.125" style="142"/>
    <col min="3341" max="3341" width="10.625" style="142" customWidth="1"/>
    <col min="3342" max="3582" width="9.125" style="142"/>
    <col min="3583" max="3583" width="8" style="142" customWidth="1"/>
    <col min="3584" max="3584" width="28.5" style="142" customWidth="1"/>
    <col min="3585" max="3596" width="9.125" style="142"/>
    <col min="3597" max="3597" width="10.625" style="142" customWidth="1"/>
    <col min="3598" max="3838" width="9.125" style="142"/>
    <col min="3839" max="3839" width="8" style="142" customWidth="1"/>
    <col min="3840" max="3840" width="28.5" style="142" customWidth="1"/>
    <col min="3841" max="3852" width="9.125" style="142"/>
    <col min="3853" max="3853" width="10.625" style="142" customWidth="1"/>
    <col min="3854" max="4094" width="9.125" style="142"/>
    <col min="4095" max="4095" width="8" style="142" customWidth="1"/>
    <col min="4096" max="4096" width="28.5" style="142" customWidth="1"/>
    <col min="4097" max="4108" width="9.125" style="142"/>
    <col min="4109" max="4109" width="10.625" style="142" customWidth="1"/>
    <col min="4110" max="4350" width="9.125" style="142"/>
    <col min="4351" max="4351" width="8" style="142" customWidth="1"/>
    <col min="4352" max="4352" width="28.5" style="142" customWidth="1"/>
    <col min="4353" max="4364" width="9.125" style="142"/>
    <col min="4365" max="4365" width="10.625" style="142" customWidth="1"/>
    <col min="4366" max="4606" width="9.125" style="142"/>
    <col min="4607" max="4607" width="8" style="142" customWidth="1"/>
    <col min="4608" max="4608" width="28.5" style="142" customWidth="1"/>
    <col min="4609" max="4620" width="9.125" style="142"/>
    <col min="4621" max="4621" width="10.625" style="142" customWidth="1"/>
    <col min="4622" max="4862" width="9.125" style="142"/>
    <col min="4863" max="4863" width="8" style="142" customWidth="1"/>
    <col min="4864" max="4864" width="28.5" style="142" customWidth="1"/>
    <col min="4865" max="4876" width="9.125" style="142"/>
    <col min="4877" max="4877" width="10.625" style="142" customWidth="1"/>
    <col min="4878" max="5118" width="9.125" style="142"/>
    <col min="5119" max="5119" width="8" style="142" customWidth="1"/>
    <col min="5120" max="5120" width="28.5" style="142" customWidth="1"/>
    <col min="5121" max="5132" width="9.125" style="142"/>
    <col min="5133" max="5133" width="10.625" style="142" customWidth="1"/>
    <col min="5134" max="5374" width="9.125" style="142"/>
    <col min="5375" max="5375" width="8" style="142" customWidth="1"/>
    <col min="5376" max="5376" width="28.5" style="142" customWidth="1"/>
    <col min="5377" max="5388" width="9.125" style="142"/>
    <col min="5389" max="5389" width="10.625" style="142" customWidth="1"/>
    <col min="5390" max="5630" width="9.125" style="142"/>
    <col min="5631" max="5631" width="8" style="142" customWidth="1"/>
    <col min="5632" max="5632" width="28.5" style="142" customWidth="1"/>
    <col min="5633" max="5644" width="9.125" style="142"/>
    <col min="5645" max="5645" width="10.625" style="142" customWidth="1"/>
    <col min="5646" max="5886" width="9.125" style="142"/>
    <col min="5887" max="5887" width="8" style="142" customWidth="1"/>
    <col min="5888" max="5888" width="28.5" style="142" customWidth="1"/>
    <col min="5889" max="5900" width="9.125" style="142"/>
    <col min="5901" max="5901" width="10.625" style="142" customWidth="1"/>
    <col min="5902" max="6142" width="9.125" style="142"/>
    <col min="6143" max="6143" width="8" style="142" customWidth="1"/>
    <col min="6144" max="6144" width="28.5" style="142" customWidth="1"/>
    <col min="6145" max="6156" width="9.125" style="142"/>
    <col min="6157" max="6157" width="10.625" style="142" customWidth="1"/>
    <col min="6158" max="6398" width="9.125" style="142"/>
    <col min="6399" max="6399" width="8" style="142" customWidth="1"/>
    <col min="6400" max="6400" width="28.5" style="142" customWidth="1"/>
    <col min="6401" max="6412" width="9.125" style="142"/>
    <col min="6413" max="6413" width="10.625" style="142" customWidth="1"/>
    <col min="6414" max="6654" width="9.125" style="142"/>
    <col min="6655" max="6655" width="8" style="142" customWidth="1"/>
    <col min="6656" max="6656" width="28.5" style="142" customWidth="1"/>
    <col min="6657" max="6668" width="9.125" style="142"/>
    <col min="6669" max="6669" width="10.625" style="142" customWidth="1"/>
    <col min="6670" max="6910" width="9.125" style="142"/>
    <col min="6911" max="6911" width="8" style="142" customWidth="1"/>
    <col min="6912" max="6912" width="28.5" style="142" customWidth="1"/>
    <col min="6913" max="6924" width="9.125" style="142"/>
    <col min="6925" max="6925" width="10.625" style="142" customWidth="1"/>
    <col min="6926" max="7166" width="9.125" style="142"/>
    <col min="7167" max="7167" width="8" style="142" customWidth="1"/>
    <col min="7168" max="7168" width="28.5" style="142" customWidth="1"/>
    <col min="7169" max="7180" width="9.125" style="142"/>
    <col min="7181" max="7181" width="10.625" style="142" customWidth="1"/>
    <col min="7182" max="7422" width="9.125" style="142"/>
    <col min="7423" max="7423" width="8" style="142" customWidth="1"/>
    <col min="7424" max="7424" width="28.5" style="142" customWidth="1"/>
    <col min="7425" max="7436" width="9.125" style="142"/>
    <col min="7437" max="7437" width="10.625" style="142" customWidth="1"/>
    <col min="7438" max="7678" width="9.125" style="142"/>
    <col min="7679" max="7679" width="8" style="142" customWidth="1"/>
    <col min="7680" max="7680" width="28.5" style="142" customWidth="1"/>
    <col min="7681" max="7692" width="9.125" style="142"/>
    <col min="7693" max="7693" width="10.625" style="142" customWidth="1"/>
    <col min="7694" max="7934" width="9.125" style="142"/>
    <col min="7935" max="7935" width="8" style="142" customWidth="1"/>
    <col min="7936" max="7936" width="28.5" style="142" customWidth="1"/>
    <col min="7937" max="7948" width="9.125" style="142"/>
    <col min="7949" max="7949" width="10.625" style="142" customWidth="1"/>
    <col min="7950" max="8190" width="9.125" style="142"/>
    <col min="8191" max="8191" width="8" style="142" customWidth="1"/>
    <col min="8192" max="8192" width="28.5" style="142" customWidth="1"/>
    <col min="8193" max="8204" width="9.125" style="142"/>
    <col min="8205" max="8205" width="10.625" style="142" customWidth="1"/>
    <col min="8206" max="8446" width="9.125" style="142"/>
    <col min="8447" max="8447" width="8" style="142" customWidth="1"/>
    <col min="8448" max="8448" width="28.5" style="142" customWidth="1"/>
    <col min="8449" max="8460" width="9.125" style="142"/>
    <col min="8461" max="8461" width="10.625" style="142" customWidth="1"/>
    <col min="8462" max="8702" width="9.125" style="142"/>
    <col min="8703" max="8703" width="8" style="142" customWidth="1"/>
    <col min="8704" max="8704" width="28.5" style="142" customWidth="1"/>
    <col min="8705" max="8716" width="9.125" style="142"/>
    <col min="8717" max="8717" width="10.625" style="142" customWidth="1"/>
    <col min="8718" max="8958" width="9.125" style="142"/>
    <col min="8959" max="8959" width="8" style="142" customWidth="1"/>
    <col min="8960" max="8960" width="28.5" style="142" customWidth="1"/>
    <col min="8961" max="8972" width="9.125" style="142"/>
    <col min="8973" max="8973" width="10.625" style="142" customWidth="1"/>
    <col min="8974" max="9214" width="9.125" style="142"/>
    <col min="9215" max="9215" width="8" style="142" customWidth="1"/>
    <col min="9216" max="9216" width="28.5" style="142" customWidth="1"/>
    <col min="9217" max="9228" width="9.125" style="142"/>
    <col min="9229" max="9229" width="10.625" style="142" customWidth="1"/>
    <col min="9230" max="9470" width="9.125" style="142"/>
    <col min="9471" max="9471" width="8" style="142" customWidth="1"/>
    <col min="9472" max="9472" width="28.5" style="142" customWidth="1"/>
    <col min="9473" max="9484" width="9.125" style="142"/>
    <col min="9485" max="9485" width="10.625" style="142" customWidth="1"/>
    <col min="9486" max="9726" width="9.125" style="142"/>
    <col min="9727" max="9727" width="8" style="142" customWidth="1"/>
    <col min="9728" max="9728" width="28.5" style="142" customWidth="1"/>
    <col min="9729" max="9740" width="9.125" style="142"/>
    <col min="9741" max="9741" width="10.625" style="142" customWidth="1"/>
    <col min="9742" max="9982" width="9.125" style="142"/>
    <col min="9983" max="9983" width="8" style="142" customWidth="1"/>
    <col min="9984" max="9984" width="28.5" style="142" customWidth="1"/>
    <col min="9985" max="9996" width="9.125" style="142"/>
    <col min="9997" max="9997" width="10.625" style="142" customWidth="1"/>
    <col min="9998" max="10238" width="9.125" style="142"/>
    <col min="10239" max="10239" width="8" style="142" customWidth="1"/>
    <col min="10240" max="10240" width="28.5" style="142" customWidth="1"/>
    <col min="10241" max="10252" width="9.125" style="142"/>
    <col min="10253" max="10253" width="10.625" style="142" customWidth="1"/>
    <col min="10254" max="10494" width="9.125" style="142"/>
    <col min="10495" max="10495" width="8" style="142" customWidth="1"/>
    <col min="10496" max="10496" width="28.5" style="142" customWidth="1"/>
    <col min="10497" max="10508" width="9.125" style="142"/>
    <col min="10509" max="10509" width="10.625" style="142" customWidth="1"/>
    <col min="10510" max="10750" width="9.125" style="142"/>
    <col min="10751" max="10751" width="8" style="142" customWidth="1"/>
    <col min="10752" max="10752" width="28.5" style="142" customWidth="1"/>
    <col min="10753" max="10764" width="9.125" style="142"/>
    <col min="10765" max="10765" width="10.625" style="142" customWidth="1"/>
    <col min="10766" max="11006" width="9.125" style="142"/>
    <col min="11007" max="11007" width="8" style="142" customWidth="1"/>
    <col min="11008" max="11008" width="28.5" style="142" customWidth="1"/>
    <col min="11009" max="11020" width="9.125" style="142"/>
    <col min="11021" max="11021" width="10.625" style="142" customWidth="1"/>
    <col min="11022" max="11262" width="9.125" style="142"/>
    <col min="11263" max="11263" width="8" style="142" customWidth="1"/>
    <col min="11264" max="11264" width="28.5" style="142" customWidth="1"/>
    <col min="11265" max="11276" width="9.125" style="142"/>
    <col min="11277" max="11277" width="10.625" style="142" customWidth="1"/>
    <col min="11278" max="11518" width="9.125" style="142"/>
    <col min="11519" max="11519" width="8" style="142" customWidth="1"/>
    <col min="11520" max="11520" width="28.5" style="142" customWidth="1"/>
    <col min="11521" max="11532" width="9.125" style="142"/>
    <col min="11533" max="11533" width="10.625" style="142" customWidth="1"/>
    <col min="11534" max="11774" width="9.125" style="142"/>
    <col min="11775" max="11775" width="8" style="142" customWidth="1"/>
    <col min="11776" max="11776" width="28.5" style="142" customWidth="1"/>
    <col min="11777" max="11788" width="9.125" style="142"/>
    <col min="11789" max="11789" width="10.625" style="142" customWidth="1"/>
    <col min="11790" max="12030" width="9.125" style="142"/>
    <col min="12031" max="12031" width="8" style="142" customWidth="1"/>
    <col min="12032" max="12032" width="28.5" style="142" customWidth="1"/>
    <col min="12033" max="12044" width="9.125" style="142"/>
    <col min="12045" max="12045" width="10.625" style="142" customWidth="1"/>
    <col min="12046" max="12286" width="9.125" style="142"/>
    <col min="12287" max="12287" width="8" style="142" customWidth="1"/>
    <col min="12288" max="12288" width="28.5" style="142" customWidth="1"/>
    <col min="12289" max="12300" width="9.125" style="142"/>
    <col min="12301" max="12301" width="10.625" style="142" customWidth="1"/>
    <col min="12302" max="12542" width="9.125" style="142"/>
    <col min="12543" max="12543" width="8" style="142" customWidth="1"/>
    <col min="12544" max="12544" width="28.5" style="142" customWidth="1"/>
    <col min="12545" max="12556" width="9.125" style="142"/>
    <col min="12557" max="12557" width="10.625" style="142" customWidth="1"/>
    <col min="12558" max="12798" width="9.125" style="142"/>
    <col min="12799" max="12799" width="8" style="142" customWidth="1"/>
    <col min="12800" max="12800" width="28.5" style="142" customWidth="1"/>
    <col min="12801" max="12812" width="9.125" style="142"/>
    <col min="12813" max="12813" width="10.625" style="142" customWidth="1"/>
    <col min="12814" max="13054" width="9.125" style="142"/>
    <col min="13055" max="13055" width="8" style="142" customWidth="1"/>
    <col min="13056" max="13056" width="28.5" style="142" customWidth="1"/>
    <col min="13057" max="13068" width="9.125" style="142"/>
    <col min="13069" max="13069" width="10.625" style="142" customWidth="1"/>
    <col min="13070" max="13310" width="9.125" style="142"/>
    <col min="13311" max="13311" width="8" style="142" customWidth="1"/>
    <col min="13312" max="13312" width="28.5" style="142" customWidth="1"/>
    <col min="13313" max="13324" width="9.125" style="142"/>
    <col min="13325" max="13325" width="10.625" style="142" customWidth="1"/>
    <col min="13326" max="13566" width="9.125" style="142"/>
    <col min="13567" max="13567" width="8" style="142" customWidth="1"/>
    <col min="13568" max="13568" width="28.5" style="142" customWidth="1"/>
    <col min="13569" max="13580" width="9.125" style="142"/>
    <col min="13581" max="13581" width="10.625" style="142" customWidth="1"/>
    <col min="13582" max="13822" width="9.125" style="142"/>
    <col min="13823" max="13823" width="8" style="142" customWidth="1"/>
    <col min="13824" max="13824" width="28.5" style="142" customWidth="1"/>
    <col min="13825" max="13836" width="9.125" style="142"/>
    <col min="13837" max="13837" width="10.625" style="142" customWidth="1"/>
    <col min="13838" max="14078" width="9.125" style="142"/>
    <col min="14079" max="14079" width="8" style="142" customWidth="1"/>
    <col min="14080" max="14080" width="28.5" style="142" customWidth="1"/>
    <col min="14081" max="14092" width="9.125" style="142"/>
    <col min="14093" max="14093" width="10.625" style="142" customWidth="1"/>
    <col min="14094" max="14334" width="9.125" style="142"/>
    <col min="14335" max="14335" width="8" style="142" customWidth="1"/>
    <col min="14336" max="14336" width="28.5" style="142" customWidth="1"/>
    <col min="14337" max="14348" width="9.125" style="142"/>
    <col min="14349" max="14349" width="10.625" style="142" customWidth="1"/>
    <col min="14350" max="14590" width="9.125" style="142"/>
    <col min="14591" max="14591" width="8" style="142" customWidth="1"/>
    <col min="14592" max="14592" width="28.5" style="142" customWidth="1"/>
    <col min="14593" max="14604" width="9.125" style="142"/>
    <col min="14605" max="14605" width="10.625" style="142" customWidth="1"/>
    <col min="14606" max="14846" width="9.125" style="142"/>
    <col min="14847" max="14847" width="8" style="142" customWidth="1"/>
    <col min="14848" max="14848" width="28.5" style="142" customWidth="1"/>
    <col min="14849" max="14860" width="9.125" style="142"/>
    <col min="14861" max="14861" width="10.625" style="142" customWidth="1"/>
    <col min="14862" max="15102" width="9.125" style="142"/>
    <col min="15103" max="15103" width="8" style="142" customWidth="1"/>
    <col min="15104" max="15104" width="28.5" style="142" customWidth="1"/>
    <col min="15105" max="15116" width="9.125" style="142"/>
    <col min="15117" max="15117" width="10.625" style="142" customWidth="1"/>
    <col min="15118" max="15358" width="9.125" style="142"/>
    <col min="15359" max="15359" width="8" style="142" customWidth="1"/>
    <col min="15360" max="15360" width="28.5" style="142" customWidth="1"/>
    <col min="15361" max="15372" width="9.125" style="142"/>
    <col min="15373" max="15373" width="10.625" style="142" customWidth="1"/>
    <col min="15374" max="15614" width="9.125" style="142"/>
    <col min="15615" max="15615" width="8" style="142" customWidth="1"/>
    <col min="15616" max="15616" width="28.5" style="142" customWidth="1"/>
    <col min="15617" max="15628" width="9.125" style="142"/>
    <col min="15629" max="15629" width="10.625" style="142" customWidth="1"/>
    <col min="15630" max="15870" width="9.125" style="142"/>
    <col min="15871" max="15871" width="8" style="142" customWidth="1"/>
    <col min="15872" max="15872" width="28.5" style="142" customWidth="1"/>
    <col min="15873" max="15884" width="9.125" style="142"/>
    <col min="15885" max="15885" width="10.625" style="142" customWidth="1"/>
    <col min="15886" max="16126" width="9.125" style="142"/>
    <col min="16127" max="16127" width="8" style="142" customWidth="1"/>
    <col min="16128" max="16128" width="28.5" style="142" customWidth="1"/>
    <col min="16129" max="16140" width="9.125" style="142"/>
    <col min="16141" max="16141" width="10.625" style="142" customWidth="1"/>
    <col min="16142" max="16384" width="9.125" style="142"/>
  </cols>
  <sheetData>
    <row r="1" spans="1:13" ht="18.75">
      <c r="A1" s="143" t="s">
        <v>19</v>
      </c>
      <c r="B1" s="144"/>
      <c r="C1" s="145"/>
      <c r="D1" s="145"/>
      <c r="E1" s="144"/>
      <c r="F1" s="145"/>
      <c r="G1" s="145"/>
      <c r="H1" s="144"/>
      <c r="I1" s="145"/>
      <c r="J1" s="145"/>
      <c r="K1" s="145"/>
      <c r="L1" s="145"/>
      <c r="M1" s="145"/>
    </row>
    <row r="2" spans="1:13" ht="12">
      <c r="A2" s="142" t="s">
        <v>20</v>
      </c>
      <c r="B2" s="146"/>
    </row>
    <row r="3" spans="1:13" ht="16.899999999999999" customHeight="1">
      <c r="A3" s="147" t="s">
        <v>21</v>
      </c>
      <c r="B3" s="147" t="s">
        <v>22</v>
      </c>
      <c r="C3" s="203" t="s">
        <v>23</v>
      </c>
      <c r="D3" s="203"/>
      <c r="E3" s="203"/>
      <c r="F3" s="149"/>
      <c r="G3" s="150"/>
      <c r="H3" s="151"/>
      <c r="I3" s="151"/>
      <c r="J3" s="151" t="s">
        <v>24</v>
      </c>
      <c r="K3" s="151"/>
      <c r="L3" s="151"/>
      <c r="M3" s="172"/>
    </row>
    <row r="4" spans="1:13" ht="16.149999999999999" customHeight="1">
      <c r="A4" s="152"/>
      <c r="B4" s="152" t="s">
        <v>25</v>
      </c>
      <c r="C4" s="148">
        <v>2017</v>
      </c>
      <c r="D4" s="148">
        <f t="shared" ref="D4:L4" si="0">C4+1</f>
        <v>2018</v>
      </c>
      <c r="E4" s="148">
        <f t="shared" si="0"/>
        <v>2019</v>
      </c>
      <c r="F4" s="148">
        <f t="shared" si="0"/>
        <v>2020</v>
      </c>
      <c r="G4" s="148">
        <f t="shared" si="0"/>
        <v>2021</v>
      </c>
      <c r="H4" s="153">
        <f t="shared" si="0"/>
        <v>2022</v>
      </c>
      <c r="I4" s="153">
        <f t="shared" si="0"/>
        <v>2023</v>
      </c>
      <c r="J4" s="153">
        <f t="shared" si="0"/>
        <v>2024</v>
      </c>
      <c r="K4" s="153">
        <f t="shared" si="0"/>
        <v>2025</v>
      </c>
      <c r="L4" s="153">
        <f t="shared" si="0"/>
        <v>2026</v>
      </c>
      <c r="M4" s="173" t="s">
        <v>26</v>
      </c>
    </row>
    <row r="5" spans="1:13" ht="15.6" customHeight="1">
      <c r="A5" s="154">
        <v>1</v>
      </c>
      <c r="B5" s="155" t="s">
        <v>27</v>
      </c>
      <c r="C5" s="156">
        <f>SUM(C6:C9)</f>
        <v>0</v>
      </c>
      <c r="D5" s="156">
        <f t="shared" ref="D5:L5" si="1">SUM(D6:D9)</f>
        <v>0</v>
      </c>
      <c r="E5" s="156" t="e">
        <f t="shared" si="1"/>
        <v>#REF!</v>
      </c>
      <c r="F5" s="156" t="e">
        <f t="shared" si="1"/>
        <v>#REF!</v>
      </c>
      <c r="G5" s="156" t="e">
        <f t="shared" si="1"/>
        <v>#REF!</v>
      </c>
      <c r="H5" s="156" t="e">
        <f t="shared" si="1"/>
        <v>#REF!</v>
      </c>
      <c r="I5" s="156" t="e">
        <f t="shared" si="1"/>
        <v>#REF!</v>
      </c>
      <c r="J5" s="156" t="e">
        <f t="shared" si="1"/>
        <v>#REF!</v>
      </c>
      <c r="K5" s="156" t="e">
        <f t="shared" si="1"/>
        <v>#REF!</v>
      </c>
      <c r="L5" s="156" t="e">
        <f t="shared" si="1"/>
        <v>#REF!</v>
      </c>
      <c r="M5" s="160" t="e">
        <f t="shared" ref="M5:M17" si="2">SUM(C5:L5)</f>
        <v>#REF!</v>
      </c>
    </row>
    <row r="6" spans="1:13" ht="15.6" customHeight="1">
      <c r="A6" s="154">
        <v>1.1000000000000001</v>
      </c>
      <c r="B6" s="157" t="s">
        <v>28</v>
      </c>
      <c r="C6" s="158"/>
      <c r="D6" s="158"/>
      <c r="E6" s="158" t="e">
        <f>#REF!</f>
        <v>#REF!</v>
      </c>
      <c r="F6" s="158" t="e">
        <f>#REF!</f>
        <v>#REF!</v>
      </c>
      <c r="G6" s="158" t="e">
        <f>#REF!</f>
        <v>#REF!</v>
      </c>
      <c r="H6" s="158" t="e">
        <f>#REF!</f>
        <v>#REF!</v>
      </c>
      <c r="I6" s="158" t="e">
        <f>#REF!</f>
        <v>#REF!</v>
      </c>
      <c r="J6" s="158" t="e">
        <f>#REF!</f>
        <v>#REF!</v>
      </c>
      <c r="K6" s="158" t="e">
        <f>#REF!</f>
        <v>#REF!</v>
      </c>
      <c r="L6" s="158" t="e">
        <f>#REF!</f>
        <v>#REF!</v>
      </c>
      <c r="M6" s="160" t="e">
        <f t="shared" si="2"/>
        <v>#REF!</v>
      </c>
    </row>
    <row r="7" spans="1:13" ht="15.6" customHeight="1">
      <c r="A7" s="154">
        <v>1.2</v>
      </c>
      <c r="B7" s="157" t="s">
        <v>29</v>
      </c>
      <c r="C7" s="158"/>
      <c r="D7" s="158"/>
      <c r="E7" s="158">
        <f>[1]折、摊!G18</f>
        <v>0</v>
      </c>
      <c r="F7" s="158">
        <f>[1]折、摊!H18</f>
        <v>0</v>
      </c>
      <c r="G7" s="158">
        <f>[1]折、摊!I18</f>
        <v>0</v>
      </c>
      <c r="H7" s="158">
        <f>[1]折、摊!J18</f>
        <v>0</v>
      </c>
      <c r="I7" s="158">
        <f>[1]折、摊!K18</f>
        <v>0</v>
      </c>
      <c r="J7" s="158">
        <f>[1]折、摊!L18</f>
        <v>0</v>
      </c>
      <c r="K7" s="158">
        <f>[1]折、摊!M18</f>
        <v>0</v>
      </c>
      <c r="L7" s="158">
        <f>[1]折、摊!N18</f>
        <v>0</v>
      </c>
      <c r="M7" s="160">
        <f t="shared" si="2"/>
        <v>0</v>
      </c>
    </row>
    <row r="8" spans="1:13" ht="15.6" customHeight="1">
      <c r="A8" s="154">
        <v>1.3</v>
      </c>
      <c r="B8" s="157" t="s">
        <v>30</v>
      </c>
      <c r="C8" s="158" t="s">
        <v>31</v>
      </c>
      <c r="D8" s="158" t="s">
        <v>31</v>
      </c>
      <c r="E8" s="158" t="s">
        <v>31</v>
      </c>
      <c r="F8" s="158" t="s">
        <v>31</v>
      </c>
      <c r="G8" s="158" t="s">
        <v>31</v>
      </c>
      <c r="H8" s="158" t="s">
        <v>31</v>
      </c>
      <c r="I8" s="158" t="s">
        <v>31</v>
      </c>
      <c r="J8" s="158" t="s">
        <v>31</v>
      </c>
      <c r="K8" s="158" t="s">
        <v>31</v>
      </c>
      <c r="L8" s="158"/>
      <c r="M8" s="160">
        <f t="shared" si="2"/>
        <v>0</v>
      </c>
    </row>
    <row r="9" spans="1:13" s="141" customFormat="1" ht="15.6" customHeight="1">
      <c r="A9" s="159">
        <v>1.4</v>
      </c>
      <c r="B9" s="160" t="s">
        <v>32</v>
      </c>
      <c r="C9" s="158" t="s">
        <v>31</v>
      </c>
      <c r="D9" s="158" t="s">
        <v>31</v>
      </c>
      <c r="E9" s="158" t="s">
        <v>31</v>
      </c>
      <c r="F9" s="158" t="s">
        <v>31</v>
      </c>
      <c r="G9" s="158" t="s">
        <v>31</v>
      </c>
      <c r="H9" s="158" t="s">
        <v>31</v>
      </c>
      <c r="I9" s="158" t="s">
        <v>31</v>
      </c>
      <c r="J9" s="158" t="s">
        <v>31</v>
      </c>
      <c r="K9" s="158" t="s">
        <v>31</v>
      </c>
      <c r="L9" s="158" t="s">
        <v>31</v>
      </c>
      <c r="M9" s="160">
        <f t="shared" si="2"/>
        <v>0</v>
      </c>
    </row>
    <row r="10" spans="1:13" ht="15.6" customHeight="1">
      <c r="A10" s="159">
        <v>2</v>
      </c>
      <c r="B10" s="155" t="s">
        <v>33</v>
      </c>
      <c r="C10" s="156">
        <f t="shared" ref="C10:L10" si="3">SUM(C11:C16)</f>
        <v>0</v>
      </c>
      <c r="D10" s="156">
        <f t="shared" si="3"/>
        <v>0</v>
      </c>
      <c r="E10" s="156">
        <f t="shared" si="3"/>
        <v>0</v>
      </c>
      <c r="F10" s="156">
        <f t="shared" si="3"/>
        <v>0</v>
      </c>
      <c r="G10" s="156">
        <f t="shared" si="3"/>
        <v>0</v>
      </c>
      <c r="H10" s="156">
        <f t="shared" si="3"/>
        <v>0</v>
      </c>
      <c r="I10" s="156">
        <f t="shared" si="3"/>
        <v>0</v>
      </c>
      <c r="J10" s="156">
        <f t="shared" si="3"/>
        <v>0</v>
      </c>
      <c r="K10" s="156">
        <f t="shared" si="3"/>
        <v>0</v>
      </c>
      <c r="L10" s="156">
        <f t="shared" si="3"/>
        <v>0</v>
      </c>
      <c r="M10" s="160">
        <f t="shared" si="2"/>
        <v>0</v>
      </c>
    </row>
    <row r="11" spans="1:13" ht="15" customHeight="1">
      <c r="A11" s="154">
        <v>2.1</v>
      </c>
      <c r="B11" s="154" t="s">
        <v>34</v>
      </c>
      <c r="C11" s="158">
        <f>([1]计划!C6-[1]计划!C7)</f>
        <v>0</v>
      </c>
      <c r="D11" s="158">
        <f>([1]计划!D6-[1]计划!D7)</f>
        <v>0</v>
      </c>
      <c r="E11" s="158">
        <f>([1]计划!E6-[1]计划!E7)</f>
        <v>0</v>
      </c>
      <c r="F11" s="158">
        <f>([1]计划!F6-[1]计划!F7)</f>
        <v>0</v>
      </c>
      <c r="G11" s="158">
        <f>([1]计划!G6-[1]计划!G7)</f>
        <v>0</v>
      </c>
      <c r="H11" s="158">
        <f>([1]计划!H6-[1]计划!H7)</f>
        <v>0</v>
      </c>
      <c r="I11" s="158">
        <f>([1]计划!I6-[1]计划!I7)</f>
        <v>0</v>
      </c>
      <c r="J11" s="158">
        <f>([1]计划!J6-[1]计划!J7)</f>
        <v>0</v>
      </c>
      <c r="K11" s="158">
        <f>([1]计划!K6-[1]计划!K7)</f>
        <v>0</v>
      </c>
      <c r="L11" s="158">
        <f>([1]计划!L6-[1]计划!L7)</f>
        <v>0</v>
      </c>
      <c r="M11" s="160">
        <f t="shared" si="2"/>
        <v>0</v>
      </c>
    </row>
    <row r="12" spans="1:13" s="141" customFormat="1" ht="15" customHeight="1">
      <c r="A12" s="154">
        <v>2.2000000000000002</v>
      </c>
      <c r="B12" s="160" t="s">
        <v>35</v>
      </c>
      <c r="C12" s="158">
        <f>[1]计划!C8</f>
        <v>0</v>
      </c>
      <c r="D12" s="158">
        <f>[1]计划!D8</f>
        <v>0</v>
      </c>
      <c r="E12" s="158">
        <f>[1]计划!E8</f>
        <v>0</v>
      </c>
      <c r="F12" s="158">
        <f>[1]计划!F8</f>
        <v>0</v>
      </c>
      <c r="G12" s="158">
        <f>[1]计划!G8</f>
        <v>0</v>
      </c>
      <c r="H12" s="158">
        <f>[1]计划!H8</f>
        <v>0</v>
      </c>
      <c r="I12" s="158">
        <f>[1]计划!I8</f>
        <v>0</v>
      </c>
      <c r="J12" s="158">
        <f>[1]计划!J8</f>
        <v>0</v>
      </c>
      <c r="K12" s="158">
        <f>[1]计划!K8</f>
        <v>0</v>
      </c>
      <c r="L12" s="158">
        <f>[1]计划!L8</f>
        <v>0</v>
      </c>
      <c r="M12" s="160">
        <f t="shared" si="2"/>
        <v>0</v>
      </c>
    </row>
    <row r="13" spans="1:13" ht="15" customHeight="1">
      <c r="A13" s="154">
        <v>2.2999999999999998</v>
      </c>
      <c r="B13" s="157" t="s">
        <v>36</v>
      </c>
      <c r="C13" s="158">
        <f>[1]总成本!C22</f>
        <v>0</v>
      </c>
      <c r="D13" s="158">
        <f>[1]总成本!D22</f>
        <v>0</v>
      </c>
      <c r="E13" s="158">
        <f>[1]总成本!E22</f>
        <v>0</v>
      </c>
      <c r="F13" s="158">
        <f>[1]总成本!F22</f>
        <v>0</v>
      </c>
      <c r="G13" s="158">
        <f>[1]总成本!G22</f>
        <v>0</v>
      </c>
      <c r="H13" s="158">
        <f>[1]总成本!H22</f>
        <v>0</v>
      </c>
      <c r="I13" s="158">
        <f>[1]总成本!I22</f>
        <v>0</v>
      </c>
      <c r="J13" s="158">
        <f>[1]总成本!J22</f>
        <v>0</v>
      </c>
      <c r="K13" s="158">
        <f>[1]总成本!K22</f>
        <v>0</v>
      </c>
      <c r="L13" s="158">
        <f>[1]总成本!L22</f>
        <v>0</v>
      </c>
      <c r="M13" s="160">
        <f t="shared" si="2"/>
        <v>0</v>
      </c>
    </row>
    <row r="14" spans="1:13" ht="15" customHeight="1">
      <c r="A14" s="154">
        <v>2.4</v>
      </c>
      <c r="B14" s="157" t="s">
        <v>37</v>
      </c>
      <c r="C14" s="158">
        <f>[1]价格!D15</f>
        <v>0</v>
      </c>
      <c r="D14" s="158">
        <f>[1]价格!E15</f>
        <v>0</v>
      </c>
      <c r="E14" s="158">
        <f>[1]价格!F15</f>
        <v>0</v>
      </c>
      <c r="F14" s="158">
        <f>[1]价格!G15</f>
        <v>0</v>
      </c>
      <c r="G14" s="158">
        <f>[1]价格!H15</f>
        <v>0</v>
      </c>
      <c r="H14" s="158">
        <f>[1]价格!I15</f>
        <v>0</v>
      </c>
      <c r="I14" s="158">
        <f>[1]价格!J15</f>
        <v>0</v>
      </c>
      <c r="J14" s="158">
        <f>[1]价格!K15</f>
        <v>0</v>
      </c>
      <c r="K14" s="158">
        <f>[1]价格!L15</f>
        <v>0</v>
      </c>
      <c r="L14" s="158">
        <f>[1]价格!M15</f>
        <v>0</v>
      </c>
      <c r="M14" s="160">
        <f t="shared" si="2"/>
        <v>0</v>
      </c>
    </row>
    <row r="15" spans="1:13" ht="15" customHeight="1">
      <c r="A15" s="154">
        <v>2.5</v>
      </c>
      <c r="B15" s="157" t="s">
        <v>38</v>
      </c>
      <c r="C15" s="158">
        <f>[1]利润!C13</f>
        <v>0</v>
      </c>
      <c r="D15" s="158">
        <f>[1]利润!D13</f>
        <v>0</v>
      </c>
      <c r="E15" s="158">
        <f>[1]利润!E13</f>
        <v>0</v>
      </c>
      <c r="F15" s="158">
        <f>[1]利润!F13</f>
        <v>0</v>
      </c>
      <c r="G15" s="158">
        <f>[1]利润!G13</f>
        <v>0</v>
      </c>
      <c r="H15" s="158">
        <f>[1]利润!H13</f>
        <v>0</v>
      </c>
      <c r="I15" s="158">
        <f>[1]利润!I13</f>
        <v>0</v>
      </c>
      <c r="J15" s="158">
        <f>[1]利润!J13</f>
        <v>0</v>
      </c>
      <c r="K15" s="158">
        <f>[1]利润!K13</f>
        <v>0</v>
      </c>
      <c r="L15" s="158">
        <f>[1]利润!L13</f>
        <v>0</v>
      </c>
      <c r="M15" s="160">
        <f t="shared" si="2"/>
        <v>0</v>
      </c>
    </row>
    <row r="16" spans="1:13" ht="15" customHeight="1">
      <c r="A16" s="154">
        <v>2.6</v>
      </c>
      <c r="B16" s="157" t="s">
        <v>39</v>
      </c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60">
        <f t="shared" si="2"/>
        <v>0</v>
      </c>
    </row>
    <row r="17" spans="1:18" ht="12">
      <c r="A17" s="154">
        <v>3</v>
      </c>
      <c r="B17" s="155" t="s">
        <v>40</v>
      </c>
      <c r="C17" s="156">
        <f t="shared" ref="C17:L17" si="4">C5-C10</f>
        <v>0</v>
      </c>
      <c r="D17" s="156">
        <f t="shared" si="4"/>
        <v>0</v>
      </c>
      <c r="E17" s="156" t="e">
        <f t="shared" si="4"/>
        <v>#REF!</v>
      </c>
      <c r="F17" s="156" t="e">
        <f t="shared" si="4"/>
        <v>#REF!</v>
      </c>
      <c r="G17" s="156" t="e">
        <f t="shared" si="4"/>
        <v>#REF!</v>
      </c>
      <c r="H17" s="156" t="e">
        <f t="shared" si="4"/>
        <v>#REF!</v>
      </c>
      <c r="I17" s="156" t="e">
        <f t="shared" si="4"/>
        <v>#REF!</v>
      </c>
      <c r="J17" s="156" t="e">
        <f t="shared" si="4"/>
        <v>#REF!</v>
      </c>
      <c r="K17" s="156" t="e">
        <f t="shared" si="4"/>
        <v>#REF!</v>
      </c>
      <c r="L17" s="156" t="e">
        <f t="shared" si="4"/>
        <v>#REF!</v>
      </c>
      <c r="M17" s="160" t="e">
        <f t="shared" si="2"/>
        <v>#REF!</v>
      </c>
    </row>
    <row r="18" spans="1:18" ht="12">
      <c r="A18" s="161">
        <v>4</v>
      </c>
      <c r="B18" s="157" t="s">
        <v>41</v>
      </c>
      <c r="C18" s="158">
        <f>C17</f>
        <v>0</v>
      </c>
      <c r="D18" s="158">
        <f t="shared" ref="D18:L18" si="5">C18+D17</f>
        <v>0</v>
      </c>
      <c r="E18" s="158" t="e">
        <f t="shared" si="5"/>
        <v>#REF!</v>
      </c>
      <c r="F18" s="158" t="e">
        <f t="shared" si="5"/>
        <v>#REF!</v>
      </c>
      <c r="G18" s="158" t="e">
        <f t="shared" si="5"/>
        <v>#REF!</v>
      </c>
      <c r="H18" s="158" t="e">
        <f t="shared" si="5"/>
        <v>#REF!</v>
      </c>
      <c r="I18" s="158" t="e">
        <f t="shared" si="5"/>
        <v>#REF!</v>
      </c>
      <c r="J18" s="158" t="e">
        <f t="shared" si="5"/>
        <v>#REF!</v>
      </c>
      <c r="K18" s="158" t="e">
        <f t="shared" si="5"/>
        <v>#REF!</v>
      </c>
      <c r="L18" s="158" t="e">
        <f t="shared" si="5"/>
        <v>#REF!</v>
      </c>
      <c r="M18" s="157" t="s">
        <v>31</v>
      </c>
    </row>
    <row r="19" spans="1:18" s="141" customFormat="1" ht="12">
      <c r="A19" s="161">
        <v>5</v>
      </c>
      <c r="B19" s="157" t="s">
        <v>42</v>
      </c>
      <c r="C19" s="158">
        <f t="shared" ref="C19:L19" si="6">C17+C15</f>
        <v>0</v>
      </c>
      <c r="D19" s="158">
        <f t="shared" si="6"/>
        <v>0</v>
      </c>
      <c r="E19" s="158" t="e">
        <f t="shared" si="6"/>
        <v>#REF!</v>
      </c>
      <c r="F19" s="158" t="e">
        <f t="shared" si="6"/>
        <v>#REF!</v>
      </c>
      <c r="G19" s="158" t="e">
        <f t="shared" si="6"/>
        <v>#REF!</v>
      </c>
      <c r="H19" s="158" t="e">
        <f t="shared" si="6"/>
        <v>#REF!</v>
      </c>
      <c r="I19" s="158" t="e">
        <f t="shared" si="6"/>
        <v>#REF!</v>
      </c>
      <c r="J19" s="158" t="e">
        <f t="shared" si="6"/>
        <v>#REF!</v>
      </c>
      <c r="K19" s="158" t="e">
        <f t="shared" si="6"/>
        <v>#REF!</v>
      </c>
      <c r="L19" s="158" t="e">
        <f t="shared" si="6"/>
        <v>#REF!</v>
      </c>
      <c r="M19" s="160" t="e">
        <f>SUM(C19:L19)</f>
        <v>#REF!</v>
      </c>
    </row>
    <row r="20" spans="1:18" s="141" customFormat="1" ht="12">
      <c r="A20" s="154">
        <v>6</v>
      </c>
      <c r="B20" s="157" t="s">
        <v>43</v>
      </c>
      <c r="C20" s="158">
        <f>C19</f>
        <v>0</v>
      </c>
      <c r="D20" s="158">
        <f t="shared" ref="D20:L20" si="7">C20+D19</f>
        <v>0</v>
      </c>
      <c r="E20" s="158" t="e">
        <f t="shared" si="7"/>
        <v>#REF!</v>
      </c>
      <c r="F20" s="158" t="e">
        <f t="shared" si="7"/>
        <v>#REF!</v>
      </c>
      <c r="G20" s="158" t="e">
        <f t="shared" si="7"/>
        <v>#REF!</v>
      </c>
      <c r="H20" s="158" t="e">
        <f t="shared" si="7"/>
        <v>#REF!</v>
      </c>
      <c r="I20" s="158" t="e">
        <f t="shared" si="7"/>
        <v>#REF!</v>
      </c>
      <c r="J20" s="158" t="e">
        <f t="shared" si="7"/>
        <v>#REF!</v>
      </c>
      <c r="K20" s="158" t="e">
        <f t="shared" si="7"/>
        <v>#REF!</v>
      </c>
      <c r="L20" s="158" t="e">
        <f t="shared" si="7"/>
        <v>#REF!</v>
      </c>
      <c r="M20" s="157" t="s">
        <v>31</v>
      </c>
    </row>
    <row r="21" spans="1:18" ht="12">
      <c r="A21" s="162"/>
      <c r="B21" s="163" t="s">
        <v>44</v>
      </c>
      <c r="C21" s="163"/>
      <c r="D21" s="163"/>
      <c r="E21" s="163" t="s">
        <v>45</v>
      </c>
      <c r="F21" s="163"/>
      <c r="G21" s="163"/>
      <c r="H21" s="163"/>
      <c r="I21" s="163" t="s">
        <v>46</v>
      </c>
      <c r="J21" s="163"/>
      <c r="K21" s="163"/>
      <c r="L21" s="163"/>
      <c r="M21" s="174"/>
    </row>
    <row r="22" spans="1:18" ht="12">
      <c r="A22" s="164"/>
      <c r="B22" s="165" t="s">
        <v>47</v>
      </c>
      <c r="C22" s="165"/>
      <c r="D22" s="166" t="s">
        <v>48</v>
      </c>
      <c r="E22" s="167" t="e">
        <f>IRR(C17:L17,0.15)</f>
        <v>#VALUE!</v>
      </c>
      <c r="F22" s="165"/>
      <c r="G22" s="165"/>
      <c r="H22" s="165"/>
      <c r="I22" s="167" t="e">
        <f>IRR(C19:L19,0.15)</f>
        <v>#VALUE!</v>
      </c>
      <c r="J22" s="165"/>
      <c r="K22" s="165"/>
      <c r="L22" s="165"/>
      <c r="M22" s="175"/>
    </row>
    <row r="23" spans="1:18" ht="12">
      <c r="A23" s="164"/>
      <c r="B23" s="165" t="s">
        <v>49</v>
      </c>
      <c r="C23" s="165"/>
      <c r="D23" s="165"/>
      <c r="E23" s="168" t="e">
        <f>NPV(0.12,C17:L17)</f>
        <v>#REF!</v>
      </c>
      <c r="F23" s="165"/>
      <c r="G23" s="165"/>
      <c r="H23" s="165"/>
      <c r="I23" s="168" t="e">
        <f>NPV(0.12,C19:L19)</f>
        <v>#REF!</v>
      </c>
      <c r="J23" s="165"/>
      <c r="K23" s="165"/>
      <c r="L23" s="165"/>
      <c r="M23" s="175"/>
      <c r="R23" s="142">
        <f>30.9-29.82</f>
        <v>1.0799999999999983</v>
      </c>
    </row>
    <row r="24" spans="1:18" ht="12">
      <c r="A24" s="169"/>
      <c r="B24" s="170" t="s">
        <v>50</v>
      </c>
      <c r="C24" s="170"/>
      <c r="D24" s="170"/>
      <c r="E24" s="171" t="e">
        <f>6-H18/I17</f>
        <v>#REF!</v>
      </c>
      <c r="F24" s="170"/>
      <c r="G24" s="170"/>
      <c r="H24" s="170"/>
      <c r="I24" s="171" t="e">
        <f>6-H20/I19</f>
        <v>#REF!</v>
      </c>
      <c r="J24" s="170"/>
      <c r="K24" s="170"/>
      <c r="L24" s="170"/>
      <c r="M24" s="176"/>
    </row>
  </sheetData>
  <mergeCells count="1">
    <mergeCell ref="C3:E3"/>
  </mergeCells>
  <phoneticPr fontId="47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4"/>
  <sheetViews>
    <sheetView workbookViewId="0">
      <pane xSplit="2" ySplit="5" topLeftCell="C6" activePane="bottomRight" state="frozen"/>
      <selection pane="topRight"/>
      <selection pane="bottomLeft"/>
      <selection pane="bottomRight" activeCell="A7" sqref="A7:XFD7"/>
    </sheetView>
  </sheetViews>
  <sheetFormatPr defaultColWidth="9" defaultRowHeight="16.5"/>
  <cols>
    <col min="1" max="1" width="5.125" style="116" customWidth="1"/>
    <col min="2" max="2" width="26.375" style="116" customWidth="1"/>
    <col min="3" max="3" width="12.5" style="116" customWidth="1"/>
    <col min="4" max="9" width="12.5" style="117" customWidth="1"/>
    <col min="10" max="10" width="16.5" style="117" customWidth="1"/>
    <col min="11" max="36" width="9" style="116"/>
    <col min="37" max="37" width="4.375" style="116" customWidth="1"/>
    <col min="38" max="38" width="13.875" style="116" customWidth="1"/>
    <col min="39" max="16384" width="9" style="116"/>
  </cols>
  <sheetData>
    <row r="1" spans="1:39" ht="36.75" customHeight="1">
      <c r="A1" s="206" t="s">
        <v>294</v>
      </c>
      <c r="B1" s="206"/>
      <c r="C1" s="206"/>
      <c r="D1" s="206"/>
      <c r="E1" s="206"/>
      <c r="F1" s="206"/>
      <c r="G1" s="206"/>
      <c r="H1" s="206"/>
      <c r="I1" s="206"/>
      <c r="J1" s="206"/>
    </row>
    <row r="2" spans="1:39" ht="22.5" customHeight="1">
      <c r="B2" s="189"/>
      <c r="C2" s="189"/>
      <c r="D2" s="189"/>
      <c r="E2" s="189"/>
      <c r="F2" s="189"/>
      <c r="G2" s="189"/>
      <c r="H2" s="189"/>
      <c r="I2" s="189" t="s">
        <v>295</v>
      </c>
      <c r="J2" s="189"/>
    </row>
    <row r="3" spans="1:39" ht="21.75" customHeight="1">
      <c r="A3" s="204" t="s">
        <v>21</v>
      </c>
      <c r="B3" s="118" t="s">
        <v>1</v>
      </c>
      <c r="C3" s="118" t="s">
        <v>287</v>
      </c>
      <c r="D3" s="118" t="s">
        <v>288</v>
      </c>
      <c r="E3" s="118" t="s">
        <v>289</v>
      </c>
      <c r="F3" s="118" t="s">
        <v>290</v>
      </c>
      <c r="G3" s="118" t="s">
        <v>291</v>
      </c>
      <c r="H3" s="118" t="s">
        <v>292</v>
      </c>
      <c r="I3" s="118" t="s">
        <v>293</v>
      </c>
      <c r="J3" s="137" t="s">
        <v>54</v>
      </c>
      <c r="AM3" s="116" t="s">
        <v>55</v>
      </c>
    </row>
    <row r="4" spans="1:39" s="86" customFormat="1" ht="15.75" customHeight="1">
      <c r="A4" s="205"/>
      <c r="B4" s="94" t="s">
        <v>3</v>
      </c>
      <c r="C4" s="119">
        <f>'2025年'!E6</f>
        <v>6000</v>
      </c>
      <c r="D4" s="119">
        <f>'2026年'!E6</f>
        <v>6000</v>
      </c>
      <c r="E4" s="119">
        <f>'2027年'!E6</f>
        <v>6000</v>
      </c>
      <c r="F4" s="119">
        <f>'2028年'!E6</f>
        <v>6000</v>
      </c>
      <c r="G4" s="119">
        <f>'2029年'!E6</f>
        <v>6000</v>
      </c>
      <c r="H4" s="119">
        <f>'2030年'!E6</f>
        <v>0</v>
      </c>
      <c r="I4" s="119">
        <f>'2031年'!E6</f>
        <v>0</v>
      </c>
      <c r="J4" s="119">
        <f t="shared" ref="J4:J11" si="0">SUM(C4:I4)</f>
        <v>30000</v>
      </c>
      <c r="AK4" s="93" t="s">
        <v>21</v>
      </c>
      <c r="AL4" s="94" t="s">
        <v>3</v>
      </c>
      <c r="AM4" s="86" t="s">
        <v>56</v>
      </c>
    </row>
    <row r="5" spans="1:39" s="86" customFormat="1" ht="15.75" customHeight="1">
      <c r="A5" s="90">
        <v>1</v>
      </c>
      <c r="B5" s="94" t="s">
        <v>57</v>
      </c>
      <c r="C5" s="119">
        <f>'2025年'!E7</f>
        <v>7275000</v>
      </c>
      <c r="D5" s="119">
        <f>'2026年'!E7</f>
        <v>7275000</v>
      </c>
      <c r="E5" s="119">
        <f>'2027年'!E7</f>
        <v>7275000</v>
      </c>
      <c r="F5" s="119">
        <f>'2028年'!E7</f>
        <v>7275000</v>
      </c>
      <c r="G5" s="119">
        <f>'2029年'!E7</f>
        <v>7275000</v>
      </c>
      <c r="H5" s="119">
        <f>'2030年'!E7</f>
        <v>0</v>
      </c>
      <c r="I5" s="119">
        <f>'2031年'!E7</f>
        <v>0</v>
      </c>
      <c r="J5" s="119">
        <f t="shared" si="0"/>
        <v>36375000</v>
      </c>
      <c r="AK5" s="93" t="s">
        <v>58</v>
      </c>
      <c r="AL5" s="94" t="s">
        <v>57</v>
      </c>
      <c r="AM5" s="86" t="s">
        <v>56</v>
      </c>
    </row>
    <row r="6" spans="1:39" s="86" customFormat="1" ht="15.75" customHeight="1">
      <c r="A6" s="90">
        <v>2</v>
      </c>
      <c r="B6" s="90" t="s">
        <v>59</v>
      </c>
      <c r="C6" s="119">
        <f>'2025年'!E8</f>
        <v>0</v>
      </c>
      <c r="D6" s="119">
        <f>'2026年'!E8</f>
        <v>363750.00000000029</v>
      </c>
      <c r="E6" s="119">
        <f>'2027年'!E8</f>
        <v>709312.50000000023</v>
      </c>
      <c r="F6" s="119">
        <f>'2028年'!E8</f>
        <v>1037596.875</v>
      </c>
      <c r="G6" s="119">
        <f>'2029年'!E8</f>
        <v>1349467.0312500009</v>
      </c>
      <c r="H6" s="119">
        <f>'2030年'!E8</f>
        <v>0</v>
      </c>
      <c r="I6" s="119">
        <f>'2031年'!E8</f>
        <v>0</v>
      </c>
      <c r="J6" s="119">
        <f t="shared" si="0"/>
        <v>3460126.4062500014</v>
      </c>
      <c r="AK6" s="93" t="s">
        <v>60</v>
      </c>
      <c r="AL6" s="90" t="s">
        <v>61</v>
      </c>
      <c r="AM6" s="86" t="s">
        <v>56</v>
      </c>
    </row>
    <row r="7" spans="1:39" s="86" customFormat="1" ht="15.75" customHeight="1">
      <c r="A7" s="90">
        <v>3</v>
      </c>
      <c r="B7" s="94" t="s">
        <v>62</v>
      </c>
      <c r="C7" s="120">
        <f>'2025年'!E9</f>
        <v>7275000</v>
      </c>
      <c r="D7" s="120">
        <f>D5-D6</f>
        <v>6911250</v>
      </c>
      <c r="E7" s="120">
        <f>'2027年'!E9</f>
        <v>6565687.5</v>
      </c>
      <c r="F7" s="119">
        <f>'2028年'!E9</f>
        <v>6237403.125</v>
      </c>
      <c r="G7" s="119">
        <f>'2029年'!E9</f>
        <v>5925532.9687499991</v>
      </c>
      <c r="H7" s="119">
        <f>'2030年'!E9</f>
        <v>0</v>
      </c>
      <c r="I7" s="119">
        <f>'2031年'!E9</f>
        <v>0</v>
      </c>
      <c r="J7" s="119">
        <f t="shared" si="0"/>
        <v>32914873.59375</v>
      </c>
      <c r="AK7" s="93" t="s">
        <v>63</v>
      </c>
      <c r="AL7" s="94" t="s">
        <v>62</v>
      </c>
      <c r="AM7" s="86" t="s">
        <v>64</v>
      </c>
    </row>
    <row r="8" spans="1:39" s="86" customFormat="1" ht="15.75" customHeight="1">
      <c r="A8" s="90">
        <v>4</v>
      </c>
      <c r="B8" s="93" t="s">
        <v>296</v>
      </c>
      <c r="C8" s="119">
        <f>'2025年'!E10</f>
        <v>4841012.6888994444</v>
      </c>
      <c r="D8" s="119">
        <f>'2026年'!E10</f>
        <v>4841012.6888994444</v>
      </c>
      <c r="E8" s="120">
        <f>'2027年'!E10</f>
        <v>4598962.0544544719</v>
      </c>
      <c r="F8" s="119">
        <f>'2028年'!E10</f>
        <v>4369013.9517317479</v>
      </c>
      <c r="G8" s="119">
        <f>'2029年'!E10</f>
        <v>4369013.9517317479</v>
      </c>
      <c r="H8" s="119">
        <f>'2030年'!E10</f>
        <v>0</v>
      </c>
      <c r="I8" s="119">
        <f>'2031年'!E10</f>
        <v>0</v>
      </c>
      <c r="J8" s="119">
        <f t="shared" si="0"/>
        <v>23019015.335716859</v>
      </c>
      <c r="AK8" s="93" t="s">
        <v>65</v>
      </c>
      <c r="AL8" s="93" t="s">
        <v>66</v>
      </c>
      <c r="AM8" s="86" t="s">
        <v>67</v>
      </c>
    </row>
    <row r="9" spans="1:39" s="86" customFormat="1" ht="15.75" customHeight="1">
      <c r="A9" s="90">
        <v>5</v>
      </c>
      <c r="B9" s="93" t="s">
        <v>68</v>
      </c>
      <c r="C9" s="119">
        <f>'2025年'!E11</f>
        <v>213157.5</v>
      </c>
      <c r="D9" s="119">
        <f>'2026年'!E11</f>
        <v>213157.5</v>
      </c>
      <c r="E9" s="120">
        <f>'2027年'!E11</f>
        <v>213157.5</v>
      </c>
      <c r="F9" s="119">
        <f>'2028年'!E11</f>
        <v>213157.5</v>
      </c>
      <c r="G9" s="119">
        <f>'2029年'!E11</f>
        <v>213157.5</v>
      </c>
      <c r="H9" s="119">
        <f>'2030年'!E11</f>
        <v>0</v>
      </c>
      <c r="I9" s="119">
        <f>'2031年'!E11</f>
        <v>0</v>
      </c>
      <c r="J9" s="119">
        <f t="shared" si="0"/>
        <v>1065787.5</v>
      </c>
      <c r="AK9" s="93" t="s">
        <v>69</v>
      </c>
      <c r="AL9" s="93" t="s">
        <v>68</v>
      </c>
    </row>
    <row r="10" spans="1:39" s="86" customFormat="1" ht="15.75" customHeight="1">
      <c r="A10" s="90">
        <v>6</v>
      </c>
      <c r="B10" s="93" t="s">
        <v>70</v>
      </c>
      <c r="C10" s="119">
        <f>'2025年'!E12</f>
        <v>63292.5</v>
      </c>
      <c r="D10" s="119">
        <f>'2026年'!E12</f>
        <v>63292.5</v>
      </c>
      <c r="E10" s="120">
        <f>'2027年'!E12</f>
        <v>63292.5</v>
      </c>
      <c r="F10" s="119">
        <f>'2028年'!E12</f>
        <v>63292.5</v>
      </c>
      <c r="G10" s="119">
        <f>'2029年'!E12</f>
        <v>63292.5</v>
      </c>
      <c r="H10" s="119">
        <f>'2030年'!E12</f>
        <v>0</v>
      </c>
      <c r="I10" s="119">
        <f>'2031年'!E12</f>
        <v>0</v>
      </c>
      <c r="J10" s="119">
        <f t="shared" si="0"/>
        <v>316462.5</v>
      </c>
      <c r="AK10" s="93" t="s">
        <v>71</v>
      </c>
      <c r="AL10" s="93" t="s">
        <v>70</v>
      </c>
    </row>
    <row r="11" spans="1:39" s="86" customFormat="1" ht="15.75" customHeight="1">
      <c r="A11" s="90">
        <v>7</v>
      </c>
      <c r="B11" s="93" t="s">
        <v>72</v>
      </c>
      <c r="C11" s="119">
        <f>'2025年'!E13</f>
        <v>299730</v>
      </c>
      <c r="D11" s="119">
        <f>'2026年'!E13</f>
        <v>299730</v>
      </c>
      <c r="E11" s="120">
        <f>'2027年'!E13</f>
        <v>299730</v>
      </c>
      <c r="F11" s="119">
        <f>'2028年'!E13</f>
        <v>299730</v>
      </c>
      <c r="G11" s="119">
        <f>'2029年'!E13</f>
        <v>299730</v>
      </c>
      <c r="H11" s="119">
        <f>'2030年'!E13</f>
        <v>0</v>
      </c>
      <c r="I11" s="119">
        <f>'2031年'!E13</f>
        <v>0</v>
      </c>
      <c r="J11" s="119">
        <f t="shared" si="0"/>
        <v>1498650</v>
      </c>
      <c r="AK11" s="93" t="s">
        <v>73</v>
      </c>
      <c r="AL11" s="93" t="s">
        <v>72</v>
      </c>
      <c r="AM11" s="86" t="s">
        <v>56</v>
      </c>
    </row>
    <row r="12" spans="1:39" s="86" customFormat="1" ht="15.75" customHeight="1">
      <c r="A12" s="90">
        <v>8</v>
      </c>
      <c r="B12" s="121" t="s">
        <v>74</v>
      </c>
      <c r="C12" s="122">
        <f>SUM(C9:C11)</f>
        <v>576180</v>
      </c>
      <c r="D12" s="122">
        <f t="shared" ref="D12:J12" si="1">SUM(D9:D11)</f>
        <v>576180</v>
      </c>
      <c r="E12" s="122">
        <f t="shared" si="1"/>
        <v>576180</v>
      </c>
      <c r="F12" s="122">
        <f t="shared" si="1"/>
        <v>576180</v>
      </c>
      <c r="G12" s="122">
        <f t="shared" si="1"/>
        <v>576180</v>
      </c>
      <c r="H12" s="122">
        <f t="shared" si="1"/>
        <v>0</v>
      </c>
      <c r="I12" s="122">
        <f t="shared" si="1"/>
        <v>0</v>
      </c>
      <c r="J12" s="122">
        <f t="shared" si="1"/>
        <v>2880900</v>
      </c>
      <c r="AK12" s="93" t="s">
        <v>75</v>
      </c>
      <c r="AL12" s="98" t="s">
        <v>74</v>
      </c>
    </row>
    <row r="13" spans="1:39" s="86" customFormat="1" ht="15.75" customHeight="1">
      <c r="A13" s="90">
        <v>9</v>
      </c>
      <c r="B13" s="123" t="s">
        <v>76</v>
      </c>
      <c r="C13" s="119">
        <f>'2025年'!E15</f>
        <v>1857807.3111005556</v>
      </c>
      <c r="D13" s="119">
        <f>'2026年'!E15</f>
        <v>1494057.3111005556</v>
      </c>
      <c r="E13" s="120">
        <f>'2027年'!E15</f>
        <v>1390545.4455455281</v>
      </c>
      <c r="F13" s="119">
        <f>'2028年'!E15</f>
        <v>1292209.1732682523</v>
      </c>
      <c r="G13" s="119">
        <f>'2029年'!E15</f>
        <v>980339.01701825112</v>
      </c>
      <c r="H13" s="119">
        <f>'2030年'!E15</f>
        <v>0</v>
      </c>
      <c r="I13" s="119">
        <f>'2031年'!E15</f>
        <v>0</v>
      </c>
      <c r="J13" s="119">
        <f t="shared" ref="J13:J20" si="2">SUM(C13:I13)</f>
        <v>7014958.2580331424</v>
      </c>
      <c r="L13" s="116"/>
      <c r="M13" s="116"/>
      <c r="N13" s="116"/>
      <c r="O13" s="116"/>
      <c r="P13" s="116"/>
      <c r="Q13" s="116"/>
      <c r="AK13" s="93" t="s">
        <v>77</v>
      </c>
      <c r="AL13" s="98" t="s">
        <v>76</v>
      </c>
    </row>
    <row r="14" spans="1:39" ht="15.75" customHeight="1">
      <c r="A14" s="90">
        <v>10</v>
      </c>
      <c r="B14" s="124" t="s">
        <v>78</v>
      </c>
      <c r="C14" s="125">
        <f t="shared" ref="C14:H14" si="3">+C13/C7</f>
        <v>0.2553687025567774</v>
      </c>
      <c r="D14" s="125">
        <f t="shared" si="3"/>
        <v>0.21617758163871306</v>
      </c>
      <c r="E14" s="125">
        <f t="shared" si="3"/>
        <v>0.21178977000436405</v>
      </c>
      <c r="F14" s="125">
        <f t="shared" si="3"/>
        <v>0.20717102091557571</v>
      </c>
      <c r="G14" s="125">
        <f t="shared" si="3"/>
        <v>0.16544317991113217</v>
      </c>
      <c r="H14" s="125" t="e">
        <f t="shared" si="3"/>
        <v>#DIV/0!</v>
      </c>
      <c r="I14" s="119" t="e">
        <f>'2031年'!E16</f>
        <v>#DIV/0!</v>
      </c>
      <c r="J14" s="125">
        <f>+J13/J7</f>
        <v>0.21312426547994306</v>
      </c>
      <c r="AK14" s="124" t="s">
        <v>79</v>
      </c>
      <c r="AL14" s="124" t="s">
        <v>78</v>
      </c>
    </row>
    <row r="15" spans="1:39" ht="15.75" customHeight="1">
      <c r="A15" s="90">
        <v>11</v>
      </c>
      <c r="B15" s="124" t="s">
        <v>80</v>
      </c>
      <c r="C15" s="119">
        <f>'2025年'!E17</f>
        <v>552392.5</v>
      </c>
      <c r="D15" s="119">
        <f>'2026年'!E17</f>
        <v>552392.5</v>
      </c>
      <c r="E15" s="120">
        <f>'2027年'!E17</f>
        <v>552392.5</v>
      </c>
      <c r="F15" s="119">
        <f>'2028年'!E17</f>
        <v>552392.5</v>
      </c>
      <c r="G15" s="119">
        <f>'2029年'!E17</f>
        <v>552392.5</v>
      </c>
      <c r="H15" s="119"/>
      <c r="I15" s="119"/>
      <c r="J15" s="119">
        <f t="shared" si="2"/>
        <v>2761962.5</v>
      </c>
      <c r="AK15" s="124" t="s">
        <v>81</v>
      </c>
      <c r="AL15" s="124" t="s">
        <v>80</v>
      </c>
    </row>
    <row r="16" spans="1:39" ht="15.75" hidden="1" customHeight="1">
      <c r="A16" s="90"/>
      <c r="B16" s="124"/>
      <c r="C16" s="119"/>
      <c r="D16" s="119"/>
      <c r="E16" s="119"/>
      <c r="F16" s="119"/>
      <c r="G16" s="119"/>
      <c r="H16" s="119"/>
      <c r="I16" s="119"/>
      <c r="J16" s="119">
        <f>SUM(D16:F16)</f>
        <v>0</v>
      </c>
      <c r="AK16" s="124"/>
      <c r="AL16" s="124"/>
    </row>
    <row r="17" spans="1:39" ht="15.75" customHeight="1">
      <c r="A17" s="90">
        <v>12</v>
      </c>
      <c r="B17" s="124" t="s">
        <v>82</v>
      </c>
      <c r="C17" s="126">
        <f>'2025年'!E19</f>
        <v>99667.5</v>
      </c>
      <c r="D17" s="126">
        <f>'2026年'!E19</f>
        <v>99667.5</v>
      </c>
      <c r="E17" s="126">
        <f>'2027年'!E19</f>
        <v>99667.5</v>
      </c>
      <c r="F17" s="119">
        <f>'2028年'!E19</f>
        <v>99667.5</v>
      </c>
      <c r="G17" s="119">
        <f>'2029年'!E19</f>
        <v>99667.5</v>
      </c>
      <c r="H17" s="119">
        <f>'2030年'!E19</f>
        <v>0</v>
      </c>
      <c r="I17" s="119">
        <f>'2031年'!E19</f>
        <v>0</v>
      </c>
      <c r="J17" s="119">
        <f t="shared" si="2"/>
        <v>498337.5</v>
      </c>
      <c r="R17" s="97"/>
      <c r="AK17" s="124" t="s">
        <v>83</v>
      </c>
      <c r="AL17" s="124" t="s">
        <v>82</v>
      </c>
      <c r="AM17" s="116" t="s">
        <v>56</v>
      </c>
    </row>
    <row r="18" spans="1:39" ht="15.75" customHeight="1">
      <c r="A18" s="90">
        <v>13</v>
      </c>
      <c r="B18" s="124" t="s">
        <v>84</v>
      </c>
      <c r="C18" s="126">
        <f>'2025年'!E20</f>
        <v>149137.5</v>
      </c>
      <c r="D18" s="126">
        <f>'2026年'!E20</f>
        <v>149137.5</v>
      </c>
      <c r="E18" s="126">
        <f>'2027年'!E20</f>
        <v>149137.5</v>
      </c>
      <c r="F18" s="119">
        <f>'2028年'!E20</f>
        <v>149137.5</v>
      </c>
      <c r="G18" s="119">
        <f>'2029年'!E20</f>
        <v>149137.5</v>
      </c>
      <c r="H18" s="119">
        <f>'2030年'!E20</f>
        <v>0</v>
      </c>
      <c r="I18" s="119">
        <f>'2031年'!E20</f>
        <v>0</v>
      </c>
      <c r="J18" s="119">
        <f t="shared" si="2"/>
        <v>745687.5</v>
      </c>
      <c r="AK18" s="124" t="s">
        <v>85</v>
      </c>
      <c r="AL18" s="124" t="s">
        <v>84</v>
      </c>
    </row>
    <row r="19" spans="1:39" s="88" customFormat="1" ht="15.75" customHeight="1">
      <c r="A19" s="90">
        <v>14</v>
      </c>
      <c r="B19" s="105" t="s">
        <v>86</v>
      </c>
      <c r="C19" s="127">
        <f>'2025年'!E21</f>
        <v>38000</v>
      </c>
      <c r="D19" s="127">
        <f>'2026年'!E21</f>
        <v>38000</v>
      </c>
      <c r="E19" s="127">
        <f>'2027年'!E21</f>
        <v>38000</v>
      </c>
      <c r="F19" s="127">
        <f>'2028年'!E21</f>
        <v>38000</v>
      </c>
      <c r="G19" s="119">
        <f>'2029年'!E21</f>
        <v>38000</v>
      </c>
      <c r="H19" s="119">
        <f>'2030年'!E21</f>
        <v>0</v>
      </c>
      <c r="I19" s="119">
        <f>'2031年'!E21</f>
        <v>0</v>
      </c>
      <c r="J19" s="119">
        <f t="shared" si="2"/>
        <v>190000</v>
      </c>
      <c r="AK19" s="105"/>
      <c r="AL19" s="105"/>
    </row>
    <row r="20" spans="1:39" s="86" customFormat="1" ht="15.75" customHeight="1">
      <c r="A20" s="90">
        <v>15</v>
      </c>
      <c r="B20" s="93" t="s">
        <v>87</v>
      </c>
      <c r="C20" s="126">
        <f>'2025年'!E22</f>
        <v>317190</v>
      </c>
      <c r="D20" s="126">
        <f>'2026年'!E22</f>
        <v>317190</v>
      </c>
      <c r="E20" s="126">
        <f>'2027年'!E22</f>
        <v>317190</v>
      </c>
      <c r="F20" s="119">
        <f>'2028年'!E22</f>
        <v>317190</v>
      </c>
      <c r="G20" s="119">
        <f>'2029年'!E22</f>
        <v>317190</v>
      </c>
      <c r="H20" s="119">
        <f>'2030年'!E22</f>
        <v>0</v>
      </c>
      <c r="I20" s="119">
        <f>'2031年'!E22</f>
        <v>0</v>
      </c>
      <c r="J20" s="119">
        <f t="shared" si="2"/>
        <v>1585950</v>
      </c>
      <c r="AK20" s="93" t="s">
        <v>88</v>
      </c>
      <c r="AL20" s="93" t="s">
        <v>87</v>
      </c>
    </row>
    <row r="21" spans="1:39" s="114" customFormat="1" ht="15.75" customHeight="1">
      <c r="A21" s="90">
        <v>16</v>
      </c>
      <c r="B21" s="128" t="s">
        <v>89</v>
      </c>
      <c r="C21" s="122">
        <f t="shared" ref="C21:I21" si="4">+C20+C19+C18+C17+C15</f>
        <v>1156387.5</v>
      </c>
      <c r="D21" s="122">
        <f t="shared" si="4"/>
        <v>1156387.5</v>
      </c>
      <c r="E21" s="122">
        <f t="shared" si="4"/>
        <v>1156387.5</v>
      </c>
      <c r="F21" s="122">
        <f t="shared" si="4"/>
        <v>1156387.5</v>
      </c>
      <c r="G21" s="122">
        <f t="shared" si="4"/>
        <v>1156387.5</v>
      </c>
      <c r="H21" s="122">
        <f t="shared" si="4"/>
        <v>0</v>
      </c>
      <c r="I21" s="122">
        <f t="shared" si="4"/>
        <v>0</v>
      </c>
      <c r="J21" s="122">
        <f>+J20+J19+J18+J17+J15</f>
        <v>5781937.5</v>
      </c>
      <c r="AK21" s="138" t="s">
        <v>90</v>
      </c>
      <c r="AL21" s="139" t="s">
        <v>89</v>
      </c>
    </row>
    <row r="22" spans="1:39" ht="15.75" customHeight="1">
      <c r="A22" s="90">
        <v>17</v>
      </c>
      <c r="B22" s="124" t="s">
        <v>91</v>
      </c>
      <c r="C22" s="127">
        <f>'2025年'!E24</f>
        <v>701419.81110055558</v>
      </c>
      <c r="D22" s="129">
        <f>'2026年'!E24</f>
        <v>337669.81110055558</v>
      </c>
      <c r="E22" s="129">
        <f>'2027年'!E24</f>
        <v>234157.94554552808</v>
      </c>
      <c r="F22" s="119">
        <f>'2028年'!E24</f>
        <v>135821.67326825229</v>
      </c>
      <c r="G22" s="119">
        <f>'2029年'!E24</f>
        <v>-176048.48298174888</v>
      </c>
      <c r="H22" s="119"/>
      <c r="I22" s="119"/>
      <c r="J22" s="119">
        <f t="shared" ref="J22" si="5">SUM(C22:I22)</f>
        <v>1233020.7580331427</v>
      </c>
      <c r="AK22" s="124" t="s">
        <v>92</v>
      </c>
      <c r="AL22" s="124" t="s">
        <v>91</v>
      </c>
    </row>
    <row r="23" spans="1:39" ht="15.75" customHeight="1">
      <c r="A23" s="90">
        <v>18</v>
      </c>
      <c r="B23" s="124" t="s">
        <v>38</v>
      </c>
      <c r="C23" s="127">
        <f>'2025年'!E25</f>
        <v>105212.97166508333</v>
      </c>
      <c r="D23" s="129">
        <f>'2026年'!E25</f>
        <v>50650.471665083336</v>
      </c>
      <c r="E23" s="129">
        <f>'2027年'!E25</f>
        <v>35123.691831829208</v>
      </c>
      <c r="F23" s="119">
        <f>'2028年'!E25</f>
        <v>20373.250990237841</v>
      </c>
      <c r="G23" s="119">
        <f>'2029年'!E25</f>
        <v>0</v>
      </c>
      <c r="H23" s="119"/>
      <c r="I23" s="119"/>
      <c r="J23" s="119">
        <f t="shared" ref="J23" si="6">IF(J22&lt;0,0,J22*0.15)</f>
        <v>184953.11370497139</v>
      </c>
      <c r="AK23" s="124" t="s">
        <v>93</v>
      </c>
      <c r="AL23" s="124" t="s">
        <v>38</v>
      </c>
    </row>
    <row r="24" spans="1:39" ht="15.75" customHeight="1">
      <c r="A24" s="90">
        <v>19</v>
      </c>
      <c r="B24" s="124" t="s">
        <v>94</v>
      </c>
      <c r="C24" s="127">
        <f>'2025年'!E26</f>
        <v>596206.83943547227</v>
      </c>
      <c r="D24" s="129">
        <f>'2026年'!E26</f>
        <v>287019.33943547221</v>
      </c>
      <c r="E24" s="129">
        <f>'2027年'!E26</f>
        <v>199034.25371369888</v>
      </c>
      <c r="F24" s="119">
        <f>'2028年'!E26</f>
        <v>115351.22227801448</v>
      </c>
      <c r="G24" s="119">
        <f>'2029年'!E26</f>
        <v>-176048.48298174888</v>
      </c>
      <c r="H24" s="119"/>
      <c r="I24" s="119"/>
      <c r="J24" s="119">
        <f>J22-J23</f>
        <v>1048067.6443281713</v>
      </c>
      <c r="AK24" s="124" t="s">
        <v>95</v>
      </c>
      <c r="AL24" s="124" t="s">
        <v>94</v>
      </c>
    </row>
    <row r="25" spans="1:39" ht="15.75" customHeight="1">
      <c r="A25" s="90">
        <v>20</v>
      </c>
      <c r="B25" s="124" t="s">
        <v>96</v>
      </c>
      <c r="C25" s="130">
        <f>C24/C5</f>
        <v>8.1952830162951518E-2</v>
      </c>
      <c r="D25" s="130">
        <f t="shared" ref="D25:J25" si="7">D24/D5</f>
        <v>3.9452830162951508E-2</v>
      </c>
      <c r="E25" s="130">
        <f t="shared" si="7"/>
        <v>2.7358660304288508E-2</v>
      </c>
      <c r="F25" s="130">
        <f t="shared" si="7"/>
        <v>1.5855838113816422E-2</v>
      </c>
      <c r="G25" s="130">
        <f t="shared" si="7"/>
        <v>-2.4199104189931119E-2</v>
      </c>
      <c r="H25" s="130" t="e">
        <f t="shared" si="7"/>
        <v>#DIV/0!</v>
      </c>
      <c r="I25" s="130" t="e">
        <f t="shared" si="7"/>
        <v>#DIV/0!</v>
      </c>
      <c r="J25" s="130">
        <f t="shared" si="7"/>
        <v>2.8812856201461755E-2</v>
      </c>
      <c r="AK25" s="140" t="s">
        <v>97</v>
      </c>
      <c r="AL25" s="140" t="s">
        <v>98</v>
      </c>
    </row>
    <row r="26" spans="1:39" s="115" customFormat="1" ht="15.75" customHeight="1">
      <c r="D26" s="131"/>
      <c r="E26" s="131"/>
      <c r="F26" s="131"/>
      <c r="G26" s="131"/>
      <c r="H26" s="131"/>
      <c r="I26" s="131"/>
      <c r="J26" s="131"/>
    </row>
    <row r="27" spans="1:39" s="115" customFormat="1" ht="15.75" customHeight="1">
      <c r="A27" s="115" t="s">
        <v>99</v>
      </c>
      <c r="D27" s="132"/>
      <c r="E27" s="132"/>
      <c r="F27" s="132"/>
      <c r="G27" s="132"/>
      <c r="H27" s="132"/>
      <c r="I27" s="132"/>
      <c r="J27" s="132"/>
      <c r="AK27" s="115" t="s">
        <v>99</v>
      </c>
    </row>
    <row r="28" spans="1:39" ht="25.5" customHeight="1">
      <c r="A28" s="124" t="s">
        <v>21</v>
      </c>
      <c r="B28" s="190" t="s">
        <v>1</v>
      </c>
      <c r="C28" s="118" t="str">
        <f>C3</f>
        <v>2025年</v>
      </c>
      <c r="D28" s="118" t="str">
        <f t="shared" ref="D28:I28" si="8">D3</f>
        <v>2026年</v>
      </c>
      <c r="E28" s="118" t="str">
        <f t="shared" si="8"/>
        <v>2027年</v>
      </c>
      <c r="F28" s="118" t="str">
        <f t="shared" si="8"/>
        <v>2028年</v>
      </c>
      <c r="G28" s="118" t="str">
        <f t="shared" si="8"/>
        <v>2029年</v>
      </c>
      <c r="H28" s="118" t="str">
        <f t="shared" si="8"/>
        <v>2030年</v>
      </c>
      <c r="I28" s="118" t="str">
        <f t="shared" si="8"/>
        <v>2031年</v>
      </c>
      <c r="J28" s="137" t="s">
        <v>54</v>
      </c>
      <c r="AM28" s="116" t="s">
        <v>55</v>
      </c>
    </row>
    <row r="29" spans="1:39" s="86" customFormat="1" ht="15.75" customHeight="1">
      <c r="A29" s="93" t="s">
        <v>100</v>
      </c>
      <c r="B29" s="98" t="s">
        <v>101</v>
      </c>
      <c r="C29" s="98"/>
      <c r="D29" s="104"/>
      <c r="E29" s="104"/>
      <c r="F29" s="104"/>
      <c r="G29" s="104"/>
      <c r="H29" s="104"/>
      <c r="I29" s="104"/>
      <c r="J29" s="104"/>
      <c r="AK29" s="93" t="s">
        <v>102</v>
      </c>
      <c r="AL29" s="98" t="s">
        <v>101</v>
      </c>
    </row>
    <row r="30" spans="1:39" s="86" customFormat="1" ht="15.75" customHeight="1">
      <c r="A30" s="93" t="s">
        <v>58</v>
      </c>
      <c r="B30" s="93" t="s">
        <v>103</v>
      </c>
      <c r="C30" s="96">
        <f>+C7/C4</f>
        <v>1212.5</v>
      </c>
      <c r="D30" s="96">
        <f t="shared" ref="D30:J30" si="9">+D7/D4</f>
        <v>1151.875</v>
      </c>
      <c r="E30" s="96">
        <f t="shared" si="9"/>
        <v>1094.28125</v>
      </c>
      <c r="F30" s="96">
        <f t="shared" si="9"/>
        <v>1039.5671875</v>
      </c>
      <c r="G30" s="96">
        <f t="shared" si="9"/>
        <v>987.58882812499985</v>
      </c>
      <c r="H30" s="96" t="e">
        <f t="shared" si="9"/>
        <v>#DIV/0!</v>
      </c>
      <c r="I30" s="96" t="e">
        <f t="shared" si="9"/>
        <v>#DIV/0!</v>
      </c>
      <c r="J30" s="96">
        <f t="shared" si="9"/>
        <v>1097.162453125</v>
      </c>
      <c r="AK30" s="93" t="s">
        <v>58</v>
      </c>
      <c r="AL30" s="93" t="s">
        <v>103</v>
      </c>
    </row>
    <row r="31" spans="1:39" s="86" customFormat="1" ht="15.75" customHeight="1">
      <c r="A31" s="93" t="s">
        <v>60</v>
      </c>
      <c r="B31" s="93" t="s">
        <v>104</v>
      </c>
      <c r="C31" s="96">
        <f>+C8/C4</f>
        <v>806.83544814990739</v>
      </c>
      <c r="D31" s="96">
        <f t="shared" ref="D31:J31" si="10">+D8/D4</f>
        <v>806.83544814990739</v>
      </c>
      <c r="E31" s="96">
        <f t="shared" si="10"/>
        <v>766.49367574241194</v>
      </c>
      <c r="F31" s="96">
        <f t="shared" si="10"/>
        <v>728.16899195529129</v>
      </c>
      <c r="G31" s="96">
        <f t="shared" si="10"/>
        <v>728.16899195529129</v>
      </c>
      <c r="H31" s="96" t="e">
        <f t="shared" si="10"/>
        <v>#DIV/0!</v>
      </c>
      <c r="I31" s="96" t="e">
        <f t="shared" si="10"/>
        <v>#DIV/0!</v>
      </c>
      <c r="J31" s="96">
        <f t="shared" si="10"/>
        <v>767.30051119056191</v>
      </c>
      <c r="AK31" s="93" t="s">
        <v>60</v>
      </c>
      <c r="AL31" s="93" t="s">
        <v>104</v>
      </c>
    </row>
    <row r="32" spans="1:39" s="86" customFormat="1" ht="15.75" customHeight="1">
      <c r="A32" s="93" t="s">
        <v>105</v>
      </c>
      <c r="B32" s="93" t="s">
        <v>106</v>
      </c>
      <c r="C32" s="104">
        <f>C30-C31</f>
        <v>405.66455185009261</v>
      </c>
      <c r="D32" s="104">
        <f t="shared" ref="D32:J32" si="11">D30-D31</f>
        <v>345.03955185009261</v>
      </c>
      <c r="E32" s="104">
        <f t="shared" si="11"/>
        <v>327.78757425758806</v>
      </c>
      <c r="F32" s="104">
        <f t="shared" si="11"/>
        <v>311.39819554470876</v>
      </c>
      <c r="G32" s="104">
        <f t="shared" si="11"/>
        <v>259.41983616970856</v>
      </c>
      <c r="H32" s="104" t="e">
        <f t="shared" si="11"/>
        <v>#DIV/0!</v>
      </c>
      <c r="I32" s="104" t="e">
        <f t="shared" si="11"/>
        <v>#DIV/0!</v>
      </c>
      <c r="J32" s="104">
        <f t="shared" si="11"/>
        <v>329.86194193443805</v>
      </c>
      <c r="AK32" s="93" t="s">
        <v>105</v>
      </c>
      <c r="AL32" s="93" t="s">
        <v>106</v>
      </c>
    </row>
    <row r="33" spans="1:38" s="86" customFormat="1" ht="15.75" customHeight="1">
      <c r="A33" s="93">
        <v>3.1</v>
      </c>
      <c r="B33" s="93" t="s">
        <v>107</v>
      </c>
      <c r="C33" s="99">
        <f>C32/C30</f>
        <v>0.3345687025567774</v>
      </c>
      <c r="D33" s="99">
        <f t="shared" ref="D33:J33" si="12">D32/D30</f>
        <v>0.29954600269134463</v>
      </c>
      <c r="E33" s="99">
        <f t="shared" si="12"/>
        <v>0.29954600269134474</v>
      </c>
      <c r="F33" s="99">
        <f t="shared" si="12"/>
        <v>0.29954600269134479</v>
      </c>
      <c r="G33" s="99">
        <f t="shared" si="12"/>
        <v>0.26268000283299436</v>
      </c>
      <c r="H33" s="99" t="e">
        <f t="shared" si="12"/>
        <v>#DIV/0!</v>
      </c>
      <c r="I33" s="99" t="e">
        <f t="shared" si="12"/>
        <v>#DIV/0!</v>
      </c>
      <c r="J33" s="99">
        <f t="shared" si="12"/>
        <v>0.30065004593887318</v>
      </c>
      <c r="AK33" s="93"/>
      <c r="AL33" s="93"/>
    </row>
    <row r="34" spans="1:38" s="86" customFormat="1" ht="15.75" customHeight="1">
      <c r="A34" s="93" t="s">
        <v>102</v>
      </c>
      <c r="B34" s="98" t="s">
        <v>10</v>
      </c>
      <c r="C34" s="104"/>
      <c r="D34" s="104"/>
      <c r="E34" s="104"/>
      <c r="F34" s="104"/>
      <c r="G34" s="104"/>
      <c r="H34" s="104"/>
      <c r="I34" s="104"/>
      <c r="J34" s="104"/>
      <c r="AK34" s="93" t="s">
        <v>108</v>
      </c>
      <c r="AL34" s="98" t="s">
        <v>10</v>
      </c>
    </row>
    <row r="35" spans="1:38" s="86" customFormat="1" ht="15.75" customHeight="1">
      <c r="A35" s="93" t="s">
        <v>58</v>
      </c>
      <c r="B35" s="105" t="s">
        <v>109</v>
      </c>
      <c r="C35" s="96">
        <f>+C9/C4</f>
        <v>35.526249999999997</v>
      </c>
      <c r="D35" s="96">
        <f t="shared" ref="D35:J35" si="13">+D9/D4</f>
        <v>35.526249999999997</v>
      </c>
      <c r="E35" s="96">
        <f t="shared" si="13"/>
        <v>35.526249999999997</v>
      </c>
      <c r="F35" s="96">
        <f t="shared" si="13"/>
        <v>35.526249999999997</v>
      </c>
      <c r="G35" s="96">
        <f t="shared" si="13"/>
        <v>35.526249999999997</v>
      </c>
      <c r="H35" s="96" t="e">
        <f t="shared" si="13"/>
        <v>#DIV/0!</v>
      </c>
      <c r="I35" s="96" t="e">
        <f t="shared" si="13"/>
        <v>#DIV/0!</v>
      </c>
      <c r="J35" s="96">
        <f t="shared" si="13"/>
        <v>35.526249999999997</v>
      </c>
      <c r="AK35" s="93" t="s">
        <v>105</v>
      </c>
      <c r="AL35" s="93" t="s">
        <v>109</v>
      </c>
    </row>
    <row r="36" spans="1:38" s="86" customFormat="1" ht="15.75" customHeight="1">
      <c r="A36" s="93" t="s">
        <v>60</v>
      </c>
      <c r="B36" s="105" t="s">
        <v>110</v>
      </c>
      <c r="C36" s="96">
        <f>+C10/C4</f>
        <v>10.54875</v>
      </c>
      <c r="D36" s="96">
        <f t="shared" ref="D36:J36" si="14">+D10/D4</f>
        <v>10.54875</v>
      </c>
      <c r="E36" s="96">
        <f t="shared" si="14"/>
        <v>10.54875</v>
      </c>
      <c r="F36" s="96">
        <f t="shared" si="14"/>
        <v>10.54875</v>
      </c>
      <c r="G36" s="96">
        <f t="shared" si="14"/>
        <v>10.54875</v>
      </c>
      <c r="H36" s="96" t="e">
        <f t="shared" si="14"/>
        <v>#DIV/0!</v>
      </c>
      <c r="I36" s="96" t="e">
        <f t="shared" si="14"/>
        <v>#DIV/0!</v>
      </c>
      <c r="J36" s="96">
        <f t="shared" si="14"/>
        <v>10.54875</v>
      </c>
      <c r="AK36" s="93" t="s">
        <v>63</v>
      </c>
      <c r="AL36" s="93" t="s">
        <v>110</v>
      </c>
    </row>
    <row r="37" spans="1:38" s="86" customFormat="1" ht="15.75" customHeight="1">
      <c r="A37" s="93" t="s">
        <v>105</v>
      </c>
      <c r="B37" s="105" t="s">
        <v>111</v>
      </c>
      <c r="C37" s="96">
        <f>+C11/C4</f>
        <v>49.954999999999998</v>
      </c>
      <c r="D37" s="96">
        <f t="shared" ref="D37:J37" si="15">+D11/D4</f>
        <v>49.954999999999998</v>
      </c>
      <c r="E37" s="96">
        <f t="shared" si="15"/>
        <v>49.954999999999998</v>
      </c>
      <c r="F37" s="96">
        <f t="shared" si="15"/>
        <v>49.954999999999998</v>
      </c>
      <c r="G37" s="96">
        <f t="shared" si="15"/>
        <v>49.954999999999998</v>
      </c>
      <c r="H37" s="96" t="e">
        <f t="shared" si="15"/>
        <v>#DIV/0!</v>
      </c>
      <c r="I37" s="96" t="e">
        <f t="shared" si="15"/>
        <v>#DIV/0!</v>
      </c>
      <c r="J37" s="96">
        <f t="shared" si="15"/>
        <v>49.954999999999998</v>
      </c>
      <c r="AK37" s="93" t="s">
        <v>69</v>
      </c>
      <c r="AL37" s="93" t="s">
        <v>111</v>
      </c>
    </row>
    <row r="38" spans="1:38" s="86" customFormat="1" ht="15.75" customHeight="1">
      <c r="A38" s="93" t="s">
        <v>112</v>
      </c>
      <c r="B38" s="123" t="s">
        <v>113</v>
      </c>
      <c r="C38" s="96"/>
      <c r="D38" s="96"/>
      <c r="E38" s="96"/>
      <c r="F38" s="96"/>
      <c r="G38" s="96"/>
      <c r="H38" s="96"/>
      <c r="I38" s="96"/>
      <c r="J38" s="96"/>
      <c r="AK38" s="93" t="s">
        <v>112</v>
      </c>
      <c r="AL38" s="98" t="s">
        <v>113</v>
      </c>
    </row>
    <row r="39" spans="1:38" s="86" customFormat="1">
      <c r="A39" s="93" t="s">
        <v>58</v>
      </c>
      <c r="B39" s="105" t="s">
        <v>302</v>
      </c>
      <c r="C39" s="96">
        <f>+C13/C4</f>
        <v>309.63455185009258</v>
      </c>
      <c r="D39" s="96">
        <f t="shared" ref="D39:J39" si="16">+D13/D4</f>
        <v>249.00955185009261</v>
      </c>
      <c r="E39" s="96">
        <f t="shared" si="16"/>
        <v>231.757574257588</v>
      </c>
      <c r="F39" s="96">
        <f t="shared" si="16"/>
        <v>215.36819554470873</v>
      </c>
      <c r="G39" s="96">
        <f t="shared" si="16"/>
        <v>163.38983616970853</v>
      </c>
      <c r="H39" s="96" t="e">
        <f t="shared" si="16"/>
        <v>#DIV/0!</v>
      </c>
      <c r="I39" s="96" t="e">
        <f t="shared" si="16"/>
        <v>#DIV/0!</v>
      </c>
      <c r="J39" s="96">
        <f t="shared" si="16"/>
        <v>233.83194193443808</v>
      </c>
      <c r="AK39" s="93" t="s">
        <v>58</v>
      </c>
      <c r="AL39" s="93" t="s">
        <v>114</v>
      </c>
    </row>
    <row r="40" spans="1:38" s="86" customFormat="1" ht="15.75" customHeight="1">
      <c r="A40" s="93" t="s">
        <v>60</v>
      </c>
      <c r="B40" s="105" t="s">
        <v>115</v>
      </c>
      <c r="C40" s="119">
        <f>+C21/C39</f>
        <v>3734.6849474339574</v>
      </c>
      <c r="D40" s="119">
        <f t="shared" ref="D40:J40" si="17">+D21/D39</f>
        <v>4643.9483602466871</v>
      </c>
      <c r="E40" s="119">
        <f t="shared" si="17"/>
        <v>4989.6427493443125</v>
      </c>
      <c r="F40" s="119">
        <f t="shared" si="17"/>
        <v>5369.351296626076</v>
      </c>
      <c r="G40" s="119">
        <f t="shared" si="17"/>
        <v>7077.4751178457154</v>
      </c>
      <c r="H40" s="119" t="e">
        <f t="shared" si="17"/>
        <v>#DIV/0!</v>
      </c>
      <c r="I40" s="119" t="e">
        <f t="shared" si="17"/>
        <v>#DIV/0!</v>
      </c>
      <c r="J40" s="119">
        <f t="shared" si="17"/>
        <v>24726.89339261076</v>
      </c>
      <c r="AK40" s="93" t="s">
        <v>60</v>
      </c>
      <c r="AL40" s="93" t="s">
        <v>115</v>
      </c>
    </row>
    <row r="41" spans="1:38" s="86" customFormat="1" ht="15.75" customHeight="1">
      <c r="A41" s="93" t="s">
        <v>116</v>
      </c>
      <c r="B41" s="98" t="s">
        <v>117</v>
      </c>
      <c r="C41" s="104"/>
      <c r="D41" s="104"/>
      <c r="E41" s="104"/>
      <c r="F41" s="104"/>
      <c r="G41" s="104"/>
      <c r="H41" s="104"/>
      <c r="I41" s="104"/>
      <c r="J41" s="104"/>
      <c r="AK41" s="93" t="s">
        <v>116</v>
      </c>
      <c r="AL41" s="98" t="s">
        <v>117</v>
      </c>
    </row>
    <row r="42" spans="1:38" s="86" customFormat="1" ht="15.75" customHeight="1">
      <c r="A42" s="93" t="s">
        <v>58</v>
      </c>
      <c r="B42" s="93" t="s">
        <v>118</v>
      </c>
      <c r="C42" s="104">
        <f>+C15/C4</f>
        <v>92.065416666666664</v>
      </c>
      <c r="D42" s="104">
        <f t="shared" ref="D42:J42" si="18">+D15/D4</f>
        <v>92.065416666666664</v>
      </c>
      <c r="E42" s="104">
        <f t="shared" si="18"/>
        <v>92.065416666666664</v>
      </c>
      <c r="F42" s="104">
        <f t="shared" si="18"/>
        <v>92.065416666666664</v>
      </c>
      <c r="G42" s="104">
        <f t="shared" si="18"/>
        <v>92.065416666666664</v>
      </c>
      <c r="H42" s="104" t="e">
        <f t="shared" si="18"/>
        <v>#DIV/0!</v>
      </c>
      <c r="I42" s="104" t="e">
        <f t="shared" si="18"/>
        <v>#DIV/0!</v>
      </c>
      <c r="J42" s="104">
        <f t="shared" si="18"/>
        <v>92.065416666666664</v>
      </c>
      <c r="AK42" s="93" t="s">
        <v>58</v>
      </c>
      <c r="AL42" s="93" t="s">
        <v>118</v>
      </c>
    </row>
    <row r="43" spans="1:38" s="86" customFormat="1" ht="15.75" customHeight="1">
      <c r="A43" s="93" t="s">
        <v>60</v>
      </c>
      <c r="B43" s="93" t="s">
        <v>119</v>
      </c>
      <c r="C43" s="104">
        <f>+C17/C4</f>
        <v>16.611249999999998</v>
      </c>
      <c r="D43" s="104">
        <f t="shared" ref="D43:J43" si="19">+D17/D4</f>
        <v>16.611249999999998</v>
      </c>
      <c r="E43" s="104">
        <f t="shared" si="19"/>
        <v>16.611249999999998</v>
      </c>
      <c r="F43" s="104">
        <f t="shared" si="19"/>
        <v>16.611249999999998</v>
      </c>
      <c r="G43" s="104">
        <f t="shared" si="19"/>
        <v>16.611249999999998</v>
      </c>
      <c r="H43" s="104" t="e">
        <f t="shared" si="19"/>
        <v>#DIV/0!</v>
      </c>
      <c r="I43" s="104" t="e">
        <f t="shared" si="19"/>
        <v>#DIV/0!</v>
      </c>
      <c r="J43" s="104">
        <f t="shared" si="19"/>
        <v>16.611249999999998</v>
      </c>
      <c r="AK43" s="93" t="s">
        <v>60</v>
      </c>
      <c r="AL43" s="93" t="s">
        <v>119</v>
      </c>
    </row>
    <row r="44" spans="1:38" s="86" customFormat="1" ht="15.75" customHeight="1">
      <c r="A44" s="93" t="s">
        <v>105</v>
      </c>
      <c r="B44" s="93" t="s">
        <v>120</v>
      </c>
      <c r="C44" s="104">
        <f>+C18/C4</f>
        <v>24.856249999999999</v>
      </c>
      <c r="D44" s="104">
        <f t="shared" ref="D44:J44" si="20">+D18/D4</f>
        <v>24.856249999999999</v>
      </c>
      <c r="E44" s="104">
        <f t="shared" si="20"/>
        <v>24.856249999999999</v>
      </c>
      <c r="F44" s="104">
        <f t="shared" si="20"/>
        <v>24.856249999999999</v>
      </c>
      <c r="G44" s="104">
        <f t="shared" si="20"/>
        <v>24.856249999999999</v>
      </c>
      <c r="H44" s="104" t="e">
        <f t="shared" si="20"/>
        <v>#DIV/0!</v>
      </c>
      <c r="I44" s="104" t="e">
        <f t="shared" si="20"/>
        <v>#DIV/0!</v>
      </c>
      <c r="J44" s="104">
        <f t="shared" si="20"/>
        <v>24.856249999999999</v>
      </c>
      <c r="AK44" s="93" t="s">
        <v>105</v>
      </c>
      <c r="AL44" s="93" t="s">
        <v>120</v>
      </c>
    </row>
    <row r="45" spans="1:38" s="86" customFormat="1" ht="15.75" customHeight="1">
      <c r="A45" s="93" t="s">
        <v>63</v>
      </c>
      <c r="B45" s="93" t="s">
        <v>121</v>
      </c>
      <c r="C45" s="104">
        <f>C19/C4</f>
        <v>6.333333333333333</v>
      </c>
      <c r="D45" s="104">
        <f t="shared" ref="D45:J45" si="21">D19/D4</f>
        <v>6.333333333333333</v>
      </c>
      <c r="E45" s="104">
        <f t="shared" si="21"/>
        <v>6.333333333333333</v>
      </c>
      <c r="F45" s="104">
        <f t="shared" si="21"/>
        <v>6.333333333333333</v>
      </c>
      <c r="G45" s="104">
        <f t="shared" si="21"/>
        <v>6.333333333333333</v>
      </c>
      <c r="H45" s="104" t="e">
        <f t="shared" si="21"/>
        <v>#DIV/0!</v>
      </c>
      <c r="I45" s="104" t="e">
        <f t="shared" si="21"/>
        <v>#DIV/0!</v>
      </c>
      <c r="J45" s="104">
        <f t="shared" si="21"/>
        <v>6.333333333333333</v>
      </c>
      <c r="AK45" s="93" t="s">
        <v>63</v>
      </c>
      <c r="AL45" s="93" t="s">
        <v>122</v>
      </c>
    </row>
    <row r="46" spans="1:38" s="86" customFormat="1" ht="15.75" customHeight="1">
      <c r="A46" s="93" t="s">
        <v>65</v>
      </c>
      <c r="B46" s="93" t="s">
        <v>123</v>
      </c>
      <c r="C46" s="104">
        <f>C20/C4</f>
        <v>52.865000000000002</v>
      </c>
      <c r="D46" s="104">
        <f t="shared" ref="D46:J46" si="22">D20/D4</f>
        <v>52.865000000000002</v>
      </c>
      <c r="E46" s="104">
        <f t="shared" si="22"/>
        <v>52.865000000000002</v>
      </c>
      <c r="F46" s="104">
        <f t="shared" si="22"/>
        <v>52.865000000000002</v>
      </c>
      <c r="G46" s="104">
        <f t="shared" si="22"/>
        <v>52.865000000000002</v>
      </c>
      <c r="H46" s="104" t="e">
        <f t="shared" si="22"/>
        <v>#DIV/0!</v>
      </c>
      <c r="I46" s="104" t="e">
        <f t="shared" si="22"/>
        <v>#DIV/0!</v>
      </c>
      <c r="J46" s="104">
        <f t="shared" si="22"/>
        <v>52.865000000000002</v>
      </c>
      <c r="AK46" s="93" t="s">
        <v>65</v>
      </c>
      <c r="AL46" s="93" t="s">
        <v>123</v>
      </c>
    </row>
    <row r="47" spans="1:38" s="86" customFormat="1" ht="15.75" customHeight="1">
      <c r="A47" s="93" t="s">
        <v>124</v>
      </c>
      <c r="B47" s="98" t="s">
        <v>125</v>
      </c>
      <c r="C47" s="104"/>
      <c r="D47" s="104"/>
      <c r="E47" s="104"/>
      <c r="F47" s="104"/>
      <c r="G47" s="104"/>
      <c r="H47" s="104"/>
      <c r="I47" s="104"/>
      <c r="J47" s="104"/>
      <c r="AK47" s="93" t="s">
        <v>124</v>
      </c>
      <c r="AL47" s="98" t="s">
        <v>125</v>
      </c>
    </row>
    <row r="48" spans="1:38" s="86" customFormat="1" ht="15.75" customHeight="1">
      <c r="A48" s="93" t="s">
        <v>58</v>
      </c>
      <c r="B48" s="93" t="s">
        <v>126</v>
      </c>
      <c r="C48" s="107">
        <f>+(C11+C17)/C7</f>
        <v>5.4899999999999997E-2</v>
      </c>
      <c r="D48" s="107">
        <f t="shared" ref="D48:J48" si="23">+(D11+D17)/D7</f>
        <v>5.7789473684210529E-2</v>
      </c>
      <c r="E48" s="107">
        <f t="shared" si="23"/>
        <v>6.0831024930747921E-2</v>
      </c>
      <c r="F48" s="107">
        <f t="shared" si="23"/>
        <v>6.4032657821839922E-2</v>
      </c>
      <c r="G48" s="107">
        <f t="shared" si="23"/>
        <v>6.7402797707199924E-2</v>
      </c>
      <c r="H48" s="107" t="e">
        <f t="shared" si="23"/>
        <v>#DIV/0!</v>
      </c>
      <c r="I48" s="107" t="e">
        <f t="shared" si="23"/>
        <v>#DIV/0!</v>
      </c>
      <c r="J48" s="107">
        <f t="shared" si="23"/>
        <v>6.0671279636303858E-2</v>
      </c>
      <c r="AK48" s="93" t="s">
        <v>58</v>
      </c>
      <c r="AL48" s="93" t="s">
        <v>126</v>
      </c>
    </row>
    <row r="49" spans="1:38" s="86" customFormat="1" ht="15.75" customHeight="1">
      <c r="A49" s="93" t="s">
        <v>60</v>
      </c>
      <c r="B49" s="93" t="s">
        <v>127</v>
      </c>
      <c r="C49" s="107">
        <f>+(C9+C10+C15)/C7</f>
        <v>0.11393024054982819</v>
      </c>
      <c r="D49" s="107">
        <f t="shared" ref="D49:J49" si="24">+(D9+D10+D15)/D7</f>
        <v>0.11992656899981914</v>
      </c>
      <c r="E49" s="107">
        <f t="shared" si="24"/>
        <v>0.12623849368402015</v>
      </c>
      <c r="F49" s="107">
        <f t="shared" si="24"/>
        <v>0.1328826249305475</v>
      </c>
      <c r="G49" s="107">
        <f t="shared" si="24"/>
        <v>0.13987644729531321</v>
      </c>
      <c r="H49" s="107" t="e">
        <f t="shared" si="24"/>
        <v>#DIV/0!</v>
      </c>
      <c r="I49" s="107" t="e">
        <f t="shared" si="24"/>
        <v>#DIV/0!</v>
      </c>
      <c r="J49" s="107">
        <f t="shared" si="24"/>
        <v>0.12590698512622933</v>
      </c>
      <c r="AK49" s="93" t="s">
        <v>60</v>
      </c>
      <c r="AL49" s="93" t="s">
        <v>127</v>
      </c>
    </row>
    <row r="50" spans="1:38" s="86" customFormat="1" ht="15.75" customHeight="1">
      <c r="A50" s="93" t="s">
        <v>105</v>
      </c>
      <c r="B50" s="93" t="s">
        <v>128</v>
      </c>
      <c r="C50" s="107">
        <f>+C18/C7</f>
        <v>2.0500000000000001E-2</v>
      </c>
      <c r="D50" s="107">
        <f t="shared" ref="D50:J50" si="25">+D18/D7</f>
        <v>2.1578947368421052E-2</v>
      </c>
      <c r="E50" s="107">
        <f t="shared" si="25"/>
        <v>2.2714681440443214E-2</v>
      </c>
      <c r="F50" s="107">
        <f t="shared" si="25"/>
        <v>2.3910190989940225E-2</v>
      </c>
      <c r="G50" s="107">
        <f t="shared" si="25"/>
        <v>2.5168622094673923E-2</v>
      </c>
      <c r="H50" s="107" t="e">
        <f t="shared" si="25"/>
        <v>#DIV/0!</v>
      </c>
      <c r="I50" s="107" t="e">
        <f t="shared" si="25"/>
        <v>#DIV/0!</v>
      </c>
      <c r="J50" s="107">
        <f t="shared" si="25"/>
        <v>2.265503155818268E-2</v>
      </c>
      <c r="AK50" s="93" t="s">
        <v>105</v>
      </c>
      <c r="AL50" s="93" t="s">
        <v>128</v>
      </c>
    </row>
    <row r="51" spans="1:38" s="86" customFormat="1" ht="15.75" customHeight="1">
      <c r="A51" s="93" t="s">
        <v>63</v>
      </c>
      <c r="B51" s="93" t="s">
        <v>129</v>
      </c>
      <c r="C51" s="107">
        <f>+C19/C7</f>
        <v>5.2233676975945017E-3</v>
      </c>
      <c r="D51" s="107">
        <f t="shared" ref="D51:J51" si="26">+D19/D7</f>
        <v>5.4982817869415812E-3</v>
      </c>
      <c r="E51" s="107">
        <f t="shared" si="26"/>
        <v>5.7876650388858746E-3</v>
      </c>
      <c r="F51" s="107">
        <f t="shared" si="26"/>
        <v>6.0922789883009207E-3</v>
      </c>
      <c r="G51" s="107">
        <f t="shared" si="26"/>
        <v>6.4129252508430754E-3</v>
      </c>
      <c r="H51" s="107" t="e">
        <f t="shared" si="26"/>
        <v>#DIV/0!</v>
      </c>
      <c r="I51" s="107" t="e">
        <f t="shared" si="26"/>
        <v>#DIV/0!</v>
      </c>
      <c r="J51" s="107">
        <f t="shared" si="26"/>
        <v>5.7724663428778264E-3</v>
      </c>
      <c r="AK51" s="93" t="s">
        <v>63</v>
      </c>
      <c r="AL51" s="93" t="s">
        <v>129</v>
      </c>
    </row>
    <row r="52" spans="1:38" s="86" customFormat="1" ht="15.75" customHeight="1">
      <c r="A52" s="93" t="s">
        <v>65</v>
      </c>
      <c r="B52" s="93" t="s">
        <v>130</v>
      </c>
      <c r="C52" s="107">
        <f>+C20/C7</f>
        <v>4.36E-2</v>
      </c>
      <c r="D52" s="107">
        <f t="shared" ref="D52:J52" si="27">+D20/D7</f>
        <v>4.5894736842105266E-2</v>
      </c>
      <c r="E52" s="107">
        <f t="shared" si="27"/>
        <v>4.8310249307479222E-2</v>
      </c>
      <c r="F52" s="107">
        <f t="shared" si="27"/>
        <v>5.0852894007872865E-2</v>
      </c>
      <c r="G52" s="107">
        <f t="shared" si="27"/>
        <v>5.3529362113550395E-2</v>
      </c>
      <c r="H52" s="107" t="e">
        <f t="shared" si="27"/>
        <v>#DIV/0!</v>
      </c>
      <c r="I52" s="107" t="e">
        <f t="shared" si="27"/>
        <v>#DIV/0!</v>
      </c>
      <c r="J52" s="107">
        <f t="shared" si="27"/>
        <v>4.8183384192037312E-2</v>
      </c>
      <c r="AK52" s="93" t="s">
        <v>65</v>
      </c>
      <c r="AL52" s="93" t="s">
        <v>130</v>
      </c>
    </row>
    <row r="53" spans="1:38" s="86" customFormat="1" ht="15.75" customHeight="1">
      <c r="A53" s="93" t="s">
        <v>69</v>
      </c>
      <c r="B53" s="93" t="s">
        <v>131</v>
      </c>
      <c r="C53" s="107">
        <f>+C24/C7</f>
        <v>8.1952830162951518E-2</v>
      </c>
      <c r="D53" s="107">
        <f t="shared" ref="D53:J53" si="28">+D24/D7</f>
        <v>4.1529294908370006E-2</v>
      </c>
      <c r="E53" s="107">
        <f t="shared" si="28"/>
        <v>3.0314305046303055E-2</v>
      </c>
      <c r="F53" s="107">
        <f t="shared" si="28"/>
        <v>1.8493469151557279E-2</v>
      </c>
      <c r="G53" s="107">
        <f t="shared" si="28"/>
        <v>-2.971015162858618E-2</v>
      </c>
      <c r="H53" s="107" t="e">
        <f t="shared" si="28"/>
        <v>#DIV/0!</v>
      </c>
      <c r="I53" s="107" t="e">
        <f t="shared" si="28"/>
        <v>#DIV/0!</v>
      </c>
      <c r="J53" s="107">
        <f t="shared" si="28"/>
        <v>3.184176422075588E-2</v>
      </c>
      <c r="AK53" s="93" t="s">
        <v>69</v>
      </c>
      <c r="AL53" s="93" t="s">
        <v>132</v>
      </c>
    </row>
    <row r="54" spans="1:38" s="86" customFormat="1" ht="15.75" customHeight="1">
      <c r="A54" s="93" t="s">
        <v>133</v>
      </c>
      <c r="B54" s="98" t="s">
        <v>134</v>
      </c>
      <c r="C54" s="104">
        <f>+C22/C4</f>
        <v>116.9033018500926</v>
      </c>
      <c r="D54" s="104">
        <f t="shared" ref="D54:J54" si="29">+D22/D4</f>
        <v>56.278301850092596</v>
      </c>
      <c r="E54" s="104">
        <f t="shared" si="29"/>
        <v>39.026324257588016</v>
      </c>
      <c r="F54" s="104">
        <f t="shared" si="29"/>
        <v>22.636945544708713</v>
      </c>
      <c r="G54" s="104">
        <f t="shared" si="29"/>
        <v>-29.341413830291479</v>
      </c>
      <c r="H54" s="104" t="e">
        <f t="shared" si="29"/>
        <v>#DIV/0!</v>
      </c>
      <c r="I54" s="104" t="e">
        <f t="shared" si="29"/>
        <v>#DIV/0!</v>
      </c>
      <c r="J54" s="104">
        <f t="shared" si="29"/>
        <v>41.100691934438089</v>
      </c>
      <c r="AK54" s="93" t="s">
        <v>133</v>
      </c>
      <c r="AL54" s="98" t="s">
        <v>134</v>
      </c>
    </row>
    <row r="55" spans="1:38" s="86" customFormat="1" ht="15.75" customHeight="1">
      <c r="A55" s="93" t="s">
        <v>135</v>
      </c>
      <c r="B55" s="133" t="s">
        <v>136</v>
      </c>
      <c r="C55" s="133"/>
      <c r="D55" s="104"/>
      <c r="E55" s="104"/>
      <c r="F55" s="104"/>
      <c r="G55" s="104"/>
      <c r="H55" s="104"/>
      <c r="I55" s="104"/>
      <c r="J55" s="104"/>
      <c r="AK55" s="93"/>
      <c r="AL55" s="98"/>
    </row>
    <row r="56" spans="1:38" s="86" customFormat="1" ht="15.75" customHeight="1">
      <c r="A56" s="93" t="s">
        <v>58</v>
      </c>
      <c r="B56" s="93" t="s">
        <v>137</v>
      </c>
      <c r="C56" s="104">
        <f>C57+C58</f>
        <v>620000</v>
      </c>
      <c r="D56" s="104">
        <f>D57+D58</f>
        <v>0</v>
      </c>
      <c r="E56" s="104"/>
      <c r="F56" s="104"/>
      <c r="G56" s="104"/>
      <c r="H56" s="104"/>
      <c r="I56" s="104"/>
      <c r="J56" s="104"/>
    </row>
    <row r="57" spans="1:38" s="86" customFormat="1" ht="15.75" customHeight="1">
      <c r="A57" s="93">
        <v>1.1000000000000001</v>
      </c>
      <c r="B57" s="134" t="s">
        <v>138</v>
      </c>
      <c r="C57" s="200">
        <f>项目投资!B27</f>
        <v>190000</v>
      </c>
      <c r="D57" s="104"/>
      <c r="E57" s="104"/>
      <c r="F57" s="104"/>
      <c r="G57" s="104"/>
      <c r="H57" s="104"/>
      <c r="I57" s="104"/>
      <c r="J57" s="104"/>
    </row>
    <row r="58" spans="1:38" s="86" customFormat="1" ht="15.75" customHeight="1">
      <c r="A58" s="93">
        <v>1.2</v>
      </c>
      <c r="B58" s="93" t="s">
        <v>139</v>
      </c>
      <c r="C58" s="104">
        <f>项目投资!B26</f>
        <v>430000</v>
      </c>
      <c r="D58" s="104"/>
      <c r="E58" s="104"/>
      <c r="F58" s="104"/>
      <c r="G58" s="104"/>
      <c r="H58" s="104"/>
      <c r="I58" s="104"/>
      <c r="J58" s="104"/>
    </row>
    <row r="59" spans="1:38" ht="15.75" customHeight="1">
      <c r="A59" s="124" t="s">
        <v>60</v>
      </c>
      <c r="B59" s="124" t="s">
        <v>140</v>
      </c>
      <c r="C59" s="135">
        <f>C60+C61</f>
        <v>596206.83943547227</v>
      </c>
      <c r="D59" s="135">
        <f t="shared" ref="D59:J59" si="30">D60+D61</f>
        <v>287019.33943547221</v>
      </c>
      <c r="E59" s="135">
        <f t="shared" si="30"/>
        <v>199034.25371369888</v>
      </c>
      <c r="F59" s="135">
        <f t="shared" si="30"/>
        <v>115351.22227801448</v>
      </c>
      <c r="G59" s="135">
        <f t="shared" si="30"/>
        <v>-176048.48298174888</v>
      </c>
      <c r="H59" s="135">
        <f t="shared" si="30"/>
        <v>0</v>
      </c>
      <c r="I59" s="135">
        <f t="shared" si="30"/>
        <v>0</v>
      </c>
      <c r="J59" s="135">
        <f t="shared" si="30"/>
        <v>1048067.6443281713</v>
      </c>
    </row>
    <row r="60" spans="1:38" ht="15.75" customHeight="1">
      <c r="A60" s="124" t="s">
        <v>105</v>
      </c>
      <c r="B60" s="124" t="s">
        <v>141</v>
      </c>
      <c r="C60" s="135">
        <f>C24</f>
        <v>596206.83943547227</v>
      </c>
      <c r="D60" s="135">
        <f t="shared" ref="D60:J60" si="31">D24</f>
        <v>287019.33943547221</v>
      </c>
      <c r="E60" s="135">
        <f t="shared" si="31"/>
        <v>199034.25371369888</v>
      </c>
      <c r="F60" s="135">
        <f t="shared" si="31"/>
        <v>115351.22227801448</v>
      </c>
      <c r="G60" s="135">
        <f t="shared" si="31"/>
        <v>-176048.48298174888</v>
      </c>
      <c r="H60" s="135">
        <f t="shared" si="31"/>
        <v>0</v>
      </c>
      <c r="I60" s="135">
        <f t="shared" si="31"/>
        <v>0</v>
      </c>
      <c r="J60" s="135">
        <f t="shared" si="31"/>
        <v>1048067.6443281713</v>
      </c>
    </row>
    <row r="61" spans="1:38" ht="15.75" customHeight="1">
      <c r="A61" s="124" t="s">
        <v>63</v>
      </c>
      <c r="B61" s="124" t="s">
        <v>142</v>
      </c>
      <c r="C61" s="124"/>
      <c r="D61" s="135">
        <f>'[2]2023年'!I18</f>
        <v>0</v>
      </c>
      <c r="E61" s="135"/>
      <c r="F61" s="135"/>
      <c r="G61" s="135"/>
      <c r="H61" s="135"/>
      <c r="I61" s="135"/>
      <c r="J61" s="135">
        <f>[2]项目投资!G26</f>
        <v>0</v>
      </c>
    </row>
    <row r="62" spans="1:38" ht="15.75" customHeight="1">
      <c r="A62" s="124" t="s">
        <v>65</v>
      </c>
      <c r="B62" s="124" t="s">
        <v>143</v>
      </c>
      <c r="C62" s="124"/>
      <c r="D62" s="136"/>
      <c r="E62" s="136"/>
      <c r="F62" s="136"/>
      <c r="G62" s="136"/>
      <c r="H62" s="136"/>
      <c r="I62" s="136"/>
      <c r="J62" s="135"/>
    </row>
    <row r="64" spans="1:38">
      <c r="B64"/>
      <c r="C64"/>
    </row>
  </sheetData>
  <mergeCells count="2">
    <mergeCell ref="A3:A4"/>
    <mergeCell ref="A1:J1"/>
  </mergeCells>
  <phoneticPr fontId="47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4"/>
  <sheetViews>
    <sheetView workbookViewId="0">
      <selection activeCell="E25" sqref="E25"/>
    </sheetView>
  </sheetViews>
  <sheetFormatPr defaultColWidth="9" defaultRowHeight="16.5"/>
  <cols>
    <col min="1" max="1" width="5.125" style="86" customWidth="1"/>
    <col min="2" max="2" width="17.5" style="86" customWidth="1"/>
    <col min="3" max="4" width="14.375" style="89" customWidth="1"/>
    <col min="5" max="5" width="18.75" style="89" customWidth="1"/>
    <col min="6" max="6" width="12.375" style="86" customWidth="1"/>
    <col min="7" max="7" width="10.125" style="86" customWidth="1"/>
    <col min="8" max="14" width="9" style="86" customWidth="1"/>
    <col min="15" max="28" width="9" style="86"/>
    <col min="29" max="29" width="4.375" style="86" customWidth="1"/>
    <col min="30" max="30" width="13.875" style="86" customWidth="1"/>
    <col min="31" max="16384" width="9" style="86"/>
  </cols>
  <sheetData>
    <row r="1" spans="1:31">
      <c r="A1" s="207" t="s">
        <v>144</v>
      </c>
      <c r="B1" s="207"/>
      <c r="C1" s="211" t="s">
        <v>286</v>
      </c>
      <c r="D1" s="212"/>
      <c r="E1" s="213"/>
    </row>
    <row r="2" spans="1:31">
      <c r="A2" s="207" t="s">
        <v>145</v>
      </c>
      <c r="B2" s="207"/>
      <c r="C2" s="214" t="s">
        <v>273</v>
      </c>
      <c r="D2" s="214"/>
      <c r="E2" s="214"/>
    </row>
    <row r="3" spans="1:31" ht="45">
      <c r="A3" s="207" t="s">
        <v>146</v>
      </c>
      <c r="B3" s="207"/>
      <c r="C3" s="91" t="str">
        <f>销量!C5</f>
        <v>左空气悬浮座椅总成/一体式头枕/X5000/扶手/报警锁扣/斜滑轨</v>
      </c>
      <c r="D3" s="91" t="str">
        <f>销量!D5</f>
        <v>副司机座椅</v>
      </c>
      <c r="E3" s="208" t="s">
        <v>54</v>
      </c>
    </row>
    <row r="4" spans="1:31">
      <c r="A4" s="207" t="s">
        <v>147</v>
      </c>
      <c r="B4" s="207"/>
      <c r="C4" s="91" t="str">
        <f>销量!C6</f>
        <v>DZ14251510207/8</v>
      </c>
      <c r="D4" s="91" t="str">
        <f>销量!D6</f>
        <v>DZ14251510122</v>
      </c>
      <c r="E4" s="209"/>
    </row>
    <row r="5" spans="1:31" ht="42.75">
      <c r="A5" s="207" t="s">
        <v>148</v>
      </c>
      <c r="B5" s="207"/>
      <c r="C5" s="92" t="str">
        <f>销量!C7</f>
        <v>与X5000配置一致，需要重新开发滑轨+底座总成</v>
      </c>
      <c r="D5" s="92">
        <f>销量!D7</f>
        <v>0</v>
      </c>
      <c r="E5" s="210"/>
      <c r="AE5" s="86" t="s">
        <v>55</v>
      </c>
    </row>
    <row r="6" spans="1:31" ht="17.25">
      <c r="A6" s="93" t="s">
        <v>21</v>
      </c>
      <c r="B6" s="94" t="s">
        <v>149</v>
      </c>
      <c r="C6" s="113">
        <f>销量!C9</f>
        <v>3000</v>
      </c>
      <c r="D6" s="113">
        <f>销量!D9</f>
        <v>3000</v>
      </c>
      <c r="E6" s="96">
        <f t="shared" ref="E6:E15" si="0">+SUM(C6:D6)</f>
        <v>6000</v>
      </c>
      <c r="AC6" s="93" t="s">
        <v>21</v>
      </c>
      <c r="AD6" s="94" t="s">
        <v>3</v>
      </c>
      <c r="AE6" s="86" t="s">
        <v>56</v>
      </c>
    </row>
    <row r="7" spans="1:31">
      <c r="A7" s="90">
        <v>1</v>
      </c>
      <c r="B7" s="94" t="s">
        <v>57</v>
      </c>
      <c r="C7" s="96">
        <f>C6*销量!C8</f>
        <v>5505000</v>
      </c>
      <c r="D7" s="96">
        <f>D6*销量!D8</f>
        <v>1770000</v>
      </c>
      <c r="E7" s="96">
        <f t="shared" si="0"/>
        <v>7275000</v>
      </c>
      <c r="F7" s="89"/>
      <c r="AC7" s="93" t="s">
        <v>58</v>
      </c>
      <c r="AD7" s="94" t="s">
        <v>57</v>
      </c>
      <c r="AE7" s="86" t="s">
        <v>56</v>
      </c>
    </row>
    <row r="8" spans="1:31">
      <c r="A8" s="90">
        <v>2</v>
      </c>
      <c r="B8" s="90" t="s">
        <v>59</v>
      </c>
      <c r="C8" s="96"/>
      <c r="D8" s="96"/>
      <c r="E8" s="96">
        <f t="shared" si="0"/>
        <v>0</v>
      </c>
      <c r="F8" s="97"/>
      <c r="AC8" s="93" t="s">
        <v>60</v>
      </c>
      <c r="AD8" s="90" t="s">
        <v>61</v>
      </c>
      <c r="AE8" s="86" t="s">
        <v>56</v>
      </c>
    </row>
    <row r="9" spans="1:31">
      <c r="A9" s="90">
        <v>3</v>
      </c>
      <c r="B9" s="94" t="s">
        <v>62</v>
      </c>
      <c r="C9" s="96">
        <f>+C7-C8</f>
        <v>5505000</v>
      </c>
      <c r="D9" s="96">
        <f>+D7-D8</f>
        <v>1770000</v>
      </c>
      <c r="E9" s="96">
        <f t="shared" si="0"/>
        <v>7275000</v>
      </c>
      <c r="AC9" s="93" t="s">
        <v>63</v>
      </c>
      <c r="AD9" s="94" t="s">
        <v>62</v>
      </c>
      <c r="AE9" s="86" t="s">
        <v>64</v>
      </c>
    </row>
    <row r="10" spans="1:31">
      <c r="A10" s="90">
        <v>4</v>
      </c>
      <c r="B10" s="93" t="s">
        <v>66</v>
      </c>
      <c r="C10" s="96">
        <f>C6*C33</f>
        <v>3659912.6888994444</v>
      </c>
      <c r="D10" s="96">
        <f>D6*D33</f>
        <v>1181100</v>
      </c>
      <c r="E10" s="96">
        <f t="shared" si="0"/>
        <v>4841012.6888994444</v>
      </c>
      <c r="AC10" s="93" t="s">
        <v>65</v>
      </c>
      <c r="AD10" s="93" t="s">
        <v>66</v>
      </c>
      <c r="AE10" s="86" t="s">
        <v>67</v>
      </c>
    </row>
    <row r="11" spans="1:31">
      <c r="A11" s="90">
        <v>5</v>
      </c>
      <c r="B11" s="93" t="s">
        <v>68</v>
      </c>
      <c r="C11" s="96">
        <f>+C6*C36</f>
        <v>161296.5</v>
      </c>
      <c r="D11" s="96">
        <f>+D6*D36</f>
        <v>51861</v>
      </c>
      <c r="E11" s="96">
        <f t="shared" si="0"/>
        <v>213157.5</v>
      </c>
      <c r="AC11" s="93" t="s">
        <v>69</v>
      </c>
      <c r="AD11" s="93" t="s">
        <v>68</v>
      </c>
    </row>
    <row r="12" spans="1:31">
      <c r="A12" s="90">
        <v>6</v>
      </c>
      <c r="B12" s="93" t="s">
        <v>70</v>
      </c>
      <c r="C12" s="96">
        <f>+C6*C37</f>
        <v>47893.5</v>
      </c>
      <c r="D12" s="96">
        <f>+D6*D37</f>
        <v>15399</v>
      </c>
      <c r="E12" s="96">
        <f t="shared" si="0"/>
        <v>63292.5</v>
      </c>
      <c r="AC12" s="93" t="s">
        <v>71</v>
      </c>
      <c r="AD12" s="93" t="s">
        <v>70</v>
      </c>
    </row>
    <row r="13" spans="1:31">
      <c r="A13" s="90">
        <v>7</v>
      </c>
      <c r="B13" s="93" t="s">
        <v>72</v>
      </c>
      <c r="C13" s="96">
        <f>+C6*C38</f>
        <v>226806</v>
      </c>
      <c r="D13" s="96">
        <f>+D6*D38</f>
        <v>72924</v>
      </c>
      <c r="E13" s="96">
        <f t="shared" si="0"/>
        <v>299730</v>
      </c>
      <c r="AC13" s="93" t="s">
        <v>73</v>
      </c>
      <c r="AD13" s="93" t="s">
        <v>72</v>
      </c>
      <c r="AE13" s="86" t="s">
        <v>56</v>
      </c>
    </row>
    <row r="14" spans="1:31">
      <c r="A14" s="90">
        <v>8</v>
      </c>
      <c r="B14" s="98" t="s">
        <v>74</v>
      </c>
      <c r="C14" s="96">
        <f>SUM(C11:C13)</f>
        <v>435996</v>
      </c>
      <c r="D14" s="96">
        <f>SUM(D11:D13)</f>
        <v>140184</v>
      </c>
      <c r="E14" s="96">
        <f t="shared" si="0"/>
        <v>576180</v>
      </c>
      <c r="AC14" s="93" t="s">
        <v>75</v>
      </c>
      <c r="AD14" s="98" t="s">
        <v>74</v>
      </c>
    </row>
    <row r="15" spans="1:31">
      <c r="A15" s="90">
        <v>9</v>
      </c>
      <c r="B15" s="98" t="s">
        <v>76</v>
      </c>
      <c r="C15" s="96">
        <f>+C9-C10-C14</f>
        <v>1409091.3111005556</v>
      </c>
      <c r="D15" s="96">
        <f>+D9-D10-D14</f>
        <v>448716</v>
      </c>
      <c r="E15" s="96">
        <f t="shared" si="0"/>
        <v>1857807.3111005556</v>
      </c>
      <c r="AC15" s="93" t="s">
        <v>77</v>
      </c>
      <c r="AD15" s="98" t="s">
        <v>76</v>
      </c>
    </row>
    <row r="16" spans="1:31">
      <c r="A16" s="90">
        <v>10</v>
      </c>
      <c r="B16" s="93" t="s">
        <v>78</v>
      </c>
      <c r="C16" s="99">
        <f>+C15/C9</f>
        <v>0.2559657240872944</v>
      </c>
      <c r="D16" s="99">
        <f>+D15/D9</f>
        <v>0.25351186440677964</v>
      </c>
      <c r="E16" s="99">
        <f>+E15/E9</f>
        <v>0.2553687025567774</v>
      </c>
      <c r="AC16" s="93" t="s">
        <v>79</v>
      </c>
      <c r="AD16" s="93" t="s">
        <v>78</v>
      </c>
    </row>
    <row r="17" spans="1:31">
      <c r="A17" s="90">
        <v>11</v>
      </c>
      <c r="B17" s="93" t="s">
        <v>80</v>
      </c>
      <c r="C17" s="96">
        <f>C6*C43+C18</f>
        <v>397023.5</v>
      </c>
      <c r="D17" s="96">
        <f>D6*D43+D18</f>
        <v>155369</v>
      </c>
      <c r="E17" s="96">
        <f>+SUM(C17:D17)</f>
        <v>552392.5</v>
      </c>
      <c r="F17" s="97"/>
      <c r="AC17" s="93" t="s">
        <v>81</v>
      </c>
      <c r="AD17" s="93" t="s">
        <v>80</v>
      </c>
    </row>
    <row r="18" spans="1:31" s="87" customFormat="1">
      <c r="A18" s="90">
        <v>12</v>
      </c>
      <c r="B18" s="101" t="s">
        <v>150</v>
      </c>
      <c r="C18" s="102">
        <f>$E$18/$E$6*C6</f>
        <v>40850</v>
      </c>
      <c r="D18" s="102">
        <f>$E$18/$E$6*D6</f>
        <v>40850</v>
      </c>
      <c r="E18" s="96">
        <f>项目投资!D26</f>
        <v>81700</v>
      </c>
      <c r="F18" s="103" t="s">
        <v>151</v>
      </c>
      <c r="G18" s="103"/>
      <c r="H18" s="103"/>
    </row>
    <row r="19" spans="1:31">
      <c r="A19" s="90">
        <v>13</v>
      </c>
      <c r="B19" s="93" t="s">
        <v>82</v>
      </c>
      <c r="C19" s="96">
        <f>C6*C44</f>
        <v>75418.5</v>
      </c>
      <c r="D19" s="96">
        <f>D6*D44</f>
        <v>24249</v>
      </c>
      <c r="E19" s="96">
        <f>+SUM(C19:D19)</f>
        <v>99667.5</v>
      </c>
      <c r="F19" s="87"/>
      <c r="AC19" s="93" t="s">
        <v>83</v>
      </c>
      <c r="AD19" s="93" t="s">
        <v>82</v>
      </c>
      <c r="AE19" s="86" t="s">
        <v>56</v>
      </c>
    </row>
    <row r="20" spans="1:31">
      <c r="A20" s="90">
        <v>14</v>
      </c>
      <c r="B20" s="93" t="s">
        <v>84</v>
      </c>
      <c r="C20" s="96">
        <f>C6*C45</f>
        <v>112852.5</v>
      </c>
      <c r="D20" s="96">
        <f>D6*D45</f>
        <v>36285</v>
      </c>
      <c r="E20" s="96">
        <f>+SUM(C20:D20)</f>
        <v>149137.5</v>
      </c>
      <c r="AC20" s="93" t="s">
        <v>85</v>
      </c>
      <c r="AD20" s="93" t="s">
        <v>84</v>
      </c>
    </row>
    <row r="21" spans="1:31">
      <c r="A21" s="90">
        <v>15</v>
      </c>
      <c r="B21" s="93" t="s">
        <v>86</v>
      </c>
      <c r="C21" s="104">
        <f>$E$21/$E$6*C6</f>
        <v>19000</v>
      </c>
      <c r="D21" s="104">
        <f>$E$21/$E$6*D6</f>
        <v>19000</v>
      </c>
      <c r="E21" s="96">
        <f>项目投资!D27</f>
        <v>38000</v>
      </c>
      <c r="AC21" s="93"/>
      <c r="AD21" s="93"/>
    </row>
    <row r="22" spans="1:31">
      <c r="A22" s="90">
        <v>16</v>
      </c>
      <c r="B22" s="93" t="s">
        <v>87</v>
      </c>
      <c r="C22" s="96">
        <f>C6*C47</f>
        <v>240018</v>
      </c>
      <c r="D22" s="96">
        <f>D6*D47</f>
        <v>77172</v>
      </c>
      <c r="E22" s="96">
        <f>+SUM(C22:D22)</f>
        <v>317190</v>
      </c>
      <c r="AC22" s="93" t="s">
        <v>88</v>
      </c>
      <c r="AD22" s="93" t="s">
        <v>87</v>
      </c>
    </row>
    <row r="23" spans="1:31">
      <c r="A23" s="90">
        <v>17</v>
      </c>
      <c r="B23" s="98" t="s">
        <v>89</v>
      </c>
      <c r="C23" s="104">
        <f>+C22+C21+C20+C19+C17</f>
        <v>844312.5</v>
      </c>
      <c r="D23" s="104">
        <f>+D22+D21+D20+D19+D17</f>
        <v>312075</v>
      </c>
      <c r="E23" s="104">
        <f>+E22+E21+E20+E19+E17</f>
        <v>1156387.5</v>
      </c>
      <c r="AC23" s="93" t="s">
        <v>90</v>
      </c>
      <c r="AD23" s="98" t="s">
        <v>89</v>
      </c>
    </row>
    <row r="24" spans="1:31">
      <c r="A24" s="90">
        <v>18</v>
      </c>
      <c r="B24" s="105" t="s">
        <v>91</v>
      </c>
      <c r="C24" s="104">
        <f>+C15-C23</f>
        <v>564778.81110055558</v>
      </c>
      <c r="D24" s="104">
        <f>+D15-D23</f>
        <v>136641</v>
      </c>
      <c r="E24" s="104">
        <f>+E15-E23</f>
        <v>701419.81110055558</v>
      </c>
      <c r="G24" s="106"/>
      <c r="AC24" s="93" t="s">
        <v>92</v>
      </c>
      <c r="AD24" s="93" t="s">
        <v>91</v>
      </c>
    </row>
    <row r="25" spans="1:31">
      <c r="A25" s="90">
        <v>19</v>
      </c>
      <c r="B25" s="93" t="s">
        <v>303</v>
      </c>
      <c r="C25" s="104">
        <f>IF(C24&lt;0,0,C24*0.15)</f>
        <v>84716.821665083335</v>
      </c>
      <c r="D25" s="104">
        <f t="shared" ref="D25:E25" si="1">IF(D24&lt;0,0,D24*0.15)</f>
        <v>20496.149999999998</v>
      </c>
      <c r="E25" s="104">
        <f t="shared" si="1"/>
        <v>105212.97166508333</v>
      </c>
      <c r="F25" s="2"/>
      <c r="G25" s="2"/>
      <c r="H25" s="2"/>
      <c r="AC25" s="93" t="s">
        <v>93</v>
      </c>
      <c r="AD25" s="93" t="s">
        <v>38</v>
      </c>
    </row>
    <row r="26" spans="1:31">
      <c r="A26" s="90">
        <v>20</v>
      </c>
      <c r="B26" s="93" t="s">
        <v>94</v>
      </c>
      <c r="C26" s="104">
        <f>C24-C25</f>
        <v>480061.98943547223</v>
      </c>
      <c r="D26" s="104">
        <f>D24-D25</f>
        <v>116144.85</v>
      </c>
      <c r="E26" s="96">
        <f>+SUM(C26:D26)</f>
        <v>596206.83943547227</v>
      </c>
      <c r="F26" s="2"/>
      <c r="G26" s="2"/>
      <c r="H26" s="2"/>
      <c r="AC26" s="93" t="s">
        <v>95</v>
      </c>
      <c r="AD26" s="93" t="s">
        <v>94</v>
      </c>
    </row>
    <row r="27" spans="1:31">
      <c r="A27" s="90">
        <v>21</v>
      </c>
      <c r="B27" s="93" t="s">
        <v>98</v>
      </c>
      <c r="C27" s="107">
        <f>C26/C7</f>
        <v>8.7204721060031284E-2</v>
      </c>
      <c r="D27" s="107">
        <f>D26/D7</f>
        <v>6.5618559322033906E-2</v>
      </c>
      <c r="E27" s="107">
        <f>E26/E7</f>
        <v>8.1952830162951518E-2</v>
      </c>
      <c r="F27" s="2"/>
      <c r="G27" s="2"/>
      <c r="H27" s="2"/>
      <c r="AC27" s="93" t="s">
        <v>97</v>
      </c>
      <c r="AD27" s="93" t="s">
        <v>98</v>
      </c>
    </row>
    <row r="28" spans="1:31">
      <c r="F28" s="2"/>
      <c r="G28" s="2"/>
      <c r="H28" s="2"/>
    </row>
    <row r="29" spans="1:31">
      <c r="A29" s="86" t="s">
        <v>99</v>
      </c>
      <c r="E29" s="89" t="s">
        <v>152</v>
      </c>
      <c r="F29" s="2"/>
      <c r="G29" s="2"/>
      <c r="H29" s="2"/>
      <c r="AC29" s="86" t="s">
        <v>99</v>
      </c>
    </row>
    <row r="30" spans="1:31">
      <c r="A30" s="93" t="s">
        <v>100</v>
      </c>
      <c r="B30" s="98" t="s">
        <v>101</v>
      </c>
      <c r="C30" s="104"/>
      <c r="D30" s="104"/>
      <c r="E30" s="104"/>
      <c r="F30" s="2"/>
      <c r="G30" s="2"/>
      <c r="H30" s="2"/>
      <c r="J30" s="2"/>
      <c r="AC30" s="93" t="s">
        <v>102</v>
      </c>
      <c r="AD30" s="98" t="s">
        <v>101</v>
      </c>
    </row>
    <row r="31" spans="1:31">
      <c r="A31" s="90">
        <v>1</v>
      </c>
      <c r="B31" s="101" t="s">
        <v>103</v>
      </c>
      <c r="C31" s="108">
        <f>销量!C8</f>
        <v>1835</v>
      </c>
      <c r="D31" s="108">
        <f>销量!D8</f>
        <v>590</v>
      </c>
      <c r="E31" s="104"/>
      <c r="F31" s="2"/>
      <c r="G31" s="2"/>
      <c r="H31" s="2"/>
      <c r="J31" s="2"/>
      <c r="AC31" s="93" t="s">
        <v>58</v>
      </c>
      <c r="AD31" s="93" t="s">
        <v>103</v>
      </c>
    </row>
    <row r="32" spans="1:31">
      <c r="A32" s="90">
        <v>2</v>
      </c>
      <c r="B32" s="93" t="s">
        <v>153</v>
      </c>
      <c r="C32" s="96">
        <f>C31*1</f>
        <v>1835</v>
      </c>
      <c r="D32" s="96">
        <f>D31*1</f>
        <v>590</v>
      </c>
      <c r="E32" s="104"/>
      <c r="F32" s="2"/>
      <c r="G32" s="2"/>
      <c r="H32" s="2"/>
      <c r="I32" s="2"/>
      <c r="J32" s="2"/>
      <c r="K32" s="2"/>
      <c r="L32" s="2"/>
      <c r="AC32" s="93"/>
      <c r="AD32" s="93"/>
    </row>
    <row r="33" spans="1:30">
      <c r="A33" s="90">
        <v>3</v>
      </c>
      <c r="B33" s="101" t="s">
        <v>104</v>
      </c>
      <c r="C33" s="96">
        <f>材料成本!D24</f>
        <v>1219.9708962998147</v>
      </c>
      <c r="D33" s="96">
        <f>材料成本!E24</f>
        <v>393.7</v>
      </c>
      <c r="E33" s="104"/>
      <c r="G33" s="2"/>
      <c r="H33" s="2"/>
      <c r="I33" s="2"/>
      <c r="J33" s="2"/>
      <c r="K33" s="2"/>
      <c r="L33" s="2"/>
      <c r="AC33" s="93" t="s">
        <v>60</v>
      </c>
      <c r="AD33" s="93" t="s">
        <v>104</v>
      </c>
    </row>
    <row r="34" spans="1:30" ht="17.25" customHeight="1">
      <c r="A34" s="90">
        <v>4</v>
      </c>
      <c r="B34" s="93" t="s">
        <v>106</v>
      </c>
      <c r="C34" s="109">
        <f>C32-C33</f>
        <v>615.02910370018526</v>
      </c>
      <c r="D34" s="109">
        <f>D32-D33</f>
        <v>196.3</v>
      </c>
      <c r="E34" s="104"/>
      <c r="G34" s="2"/>
      <c r="H34" s="2"/>
      <c r="I34" s="2"/>
      <c r="J34" s="2"/>
      <c r="K34" s="2"/>
      <c r="L34" s="2"/>
      <c r="AC34" s="93" t="s">
        <v>105</v>
      </c>
      <c r="AD34" s="93" t="s">
        <v>106</v>
      </c>
    </row>
    <row r="35" spans="1:30">
      <c r="A35" s="93" t="s">
        <v>102</v>
      </c>
      <c r="B35" s="98" t="s">
        <v>10</v>
      </c>
      <c r="C35" s="104"/>
      <c r="D35" s="104"/>
      <c r="E35" s="104"/>
      <c r="F35" s="2"/>
      <c r="G35" s="2"/>
      <c r="H35" s="2"/>
      <c r="I35" s="2"/>
      <c r="J35" s="2"/>
      <c r="K35" s="2"/>
      <c r="L35" s="2"/>
      <c r="M35" s="2"/>
      <c r="N35" s="2"/>
      <c r="O35" s="2"/>
      <c r="AC35" s="93" t="s">
        <v>108</v>
      </c>
      <c r="AD35" s="98" t="s">
        <v>10</v>
      </c>
    </row>
    <row r="36" spans="1:30">
      <c r="A36" s="90">
        <v>1</v>
      </c>
      <c r="B36" s="93" t="s">
        <v>109</v>
      </c>
      <c r="C36" s="102">
        <f>标准成本!E4</f>
        <v>53.765499999999996</v>
      </c>
      <c r="D36" s="102">
        <f>标准成本!E16</f>
        <v>17.286999999999999</v>
      </c>
      <c r="E36" s="108"/>
      <c r="F36" s="2"/>
      <c r="G36" s="2"/>
      <c r="H36" s="2"/>
      <c r="I36" s="2"/>
      <c r="J36" s="2"/>
      <c r="K36" s="2"/>
      <c r="L36" s="2"/>
      <c r="M36" s="2"/>
      <c r="N36" s="2"/>
      <c r="O36" s="2"/>
      <c r="AC36" s="93" t="s">
        <v>105</v>
      </c>
      <c r="AD36" s="93" t="s">
        <v>109</v>
      </c>
    </row>
    <row r="37" spans="1:30">
      <c r="A37" s="90">
        <v>2</v>
      </c>
      <c r="B37" s="93" t="s">
        <v>110</v>
      </c>
      <c r="C37" s="102">
        <f>标准成本!E6</f>
        <v>15.964499999999999</v>
      </c>
      <c r="D37" s="102">
        <f>标准成本!E18</f>
        <v>5.133</v>
      </c>
      <c r="E37" s="108"/>
      <c r="F37" s="2"/>
      <c r="G37" s="2"/>
      <c r="H37" s="2"/>
      <c r="I37" s="2"/>
      <c r="J37" s="2"/>
      <c r="K37" s="2"/>
      <c r="L37" s="2"/>
      <c r="M37" s="2"/>
      <c r="N37" s="2"/>
      <c r="O37" s="2"/>
      <c r="AC37" s="93" t="s">
        <v>63</v>
      </c>
      <c r="AD37" s="93" t="s">
        <v>110</v>
      </c>
    </row>
    <row r="38" spans="1:30">
      <c r="A38" s="90">
        <v>3</v>
      </c>
      <c r="B38" s="93" t="s">
        <v>111</v>
      </c>
      <c r="C38" s="102">
        <f>标准成本!E10</f>
        <v>75.602000000000004</v>
      </c>
      <c r="D38" s="102">
        <f>标准成本!E22</f>
        <v>24.308</v>
      </c>
      <c r="E38" s="108"/>
      <c r="F38" s="2"/>
      <c r="G38" s="2"/>
      <c r="H38" s="2"/>
      <c r="I38" s="2"/>
      <c r="J38" s="2"/>
      <c r="K38" s="2"/>
      <c r="L38" s="2"/>
      <c r="M38" s="2"/>
      <c r="N38" s="2"/>
      <c r="O38" s="2"/>
      <c r="AC38" s="93" t="s">
        <v>69</v>
      </c>
      <c r="AD38" s="93" t="s">
        <v>111</v>
      </c>
    </row>
    <row r="39" spans="1:30">
      <c r="A39" s="93" t="s">
        <v>108</v>
      </c>
      <c r="B39" s="98" t="s">
        <v>113</v>
      </c>
      <c r="C39" s="104"/>
      <c r="D39" s="104"/>
      <c r="E39" s="104"/>
      <c r="AC39" s="93" t="s">
        <v>112</v>
      </c>
      <c r="AD39" s="98" t="s">
        <v>113</v>
      </c>
    </row>
    <row r="40" spans="1:30">
      <c r="A40" s="90">
        <v>1</v>
      </c>
      <c r="B40" s="93" t="s">
        <v>114</v>
      </c>
      <c r="C40" s="104">
        <f>C34-C36-C37-C38</f>
        <v>469.69710370018527</v>
      </c>
      <c r="D40" s="104">
        <f>D34-D36-D37-D38</f>
        <v>149.572</v>
      </c>
      <c r="E40" s="104"/>
      <c r="AC40" s="93" t="s">
        <v>58</v>
      </c>
      <c r="AD40" s="93" t="s">
        <v>114</v>
      </c>
    </row>
    <row r="41" spans="1:30">
      <c r="A41" s="90">
        <v>2</v>
      </c>
      <c r="B41" s="93" t="s">
        <v>115</v>
      </c>
      <c r="C41" s="104"/>
      <c r="D41" s="104"/>
      <c r="E41" s="104"/>
      <c r="AC41" s="93" t="s">
        <v>60</v>
      </c>
      <c r="AD41" s="93" t="s">
        <v>115</v>
      </c>
    </row>
    <row r="42" spans="1:30">
      <c r="A42" s="93" t="s">
        <v>112</v>
      </c>
      <c r="B42" s="98" t="s">
        <v>117</v>
      </c>
      <c r="C42" s="104"/>
      <c r="D42" s="104"/>
      <c r="E42" s="104"/>
      <c r="AC42" s="93" t="s">
        <v>116</v>
      </c>
      <c r="AD42" s="98" t="s">
        <v>117</v>
      </c>
    </row>
    <row r="43" spans="1:30">
      <c r="A43" s="90">
        <v>1</v>
      </c>
      <c r="B43" s="105" t="s">
        <v>118</v>
      </c>
      <c r="C43" s="102">
        <f>标准成本!E5</f>
        <v>118.72449999999999</v>
      </c>
      <c r="D43" s="102">
        <f>标准成本!E17</f>
        <v>38.172999999999995</v>
      </c>
      <c r="E43" s="104"/>
      <c r="AC43" s="93" t="s">
        <v>58</v>
      </c>
      <c r="AD43" s="93" t="s">
        <v>118</v>
      </c>
    </row>
    <row r="44" spans="1:30">
      <c r="A44" s="90">
        <v>2</v>
      </c>
      <c r="B44" s="105" t="s">
        <v>119</v>
      </c>
      <c r="C44" s="102">
        <f>标准成本!E9</f>
        <v>25.139500000000002</v>
      </c>
      <c r="D44" s="102">
        <f>标准成本!E21</f>
        <v>8.0830000000000002</v>
      </c>
      <c r="E44" s="104"/>
      <c r="AC44" s="93" t="s">
        <v>60</v>
      </c>
      <c r="AD44" s="93" t="s">
        <v>119</v>
      </c>
    </row>
    <row r="45" spans="1:30">
      <c r="A45" s="90">
        <v>3</v>
      </c>
      <c r="B45" s="105" t="s">
        <v>120</v>
      </c>
      <c r="C45" s="102">
        <f>标准成本!E8</f>
        <v>37.6175</v>
      </c>
      <c r="D45" s="102">
        <f>标准成本!E20</f>
        <v>12.095000000000001</v>
      </c>
      <c r="E45" s="104"/>
      <c r="AC45" s="93" t="s">
        <v>105</v>
      </c>
      <c r="AD45" s="93" t="s">
        <v>120</v>
      </c>
    </row>
    <row r="46" spans="1:30" s="88" customFormat="1">
      <c r="A46" s="90">
        <v>4</v>
      </c>
      <c r="B46" s="105" t="s">
        <v>121</v>
      </c>
      <c r="C46" s="110">
        <f>C21/C6</f>
        <v>6.333333333333333</v>
      </c>
      <c r="D46" s="110">
        <f>D21/D6</f>
        <v>6.333333333333333</v>
      </c>
      <c r="E46" s="110"/>
      <c r="AC46" s="105" t="s">
        <v>65</v>
      </c>
      <c r="AD46" s="105" t="s">
        <v>123</v>
      </c>
    </row>
    <row r="47" spans="1:30" s="88" customFormat="1">
      <c r="A47" s="90">
        <v>5</v>
      </c>
      <c r="B47" s="105" t="s">
        <v>123</v>
      </c>
      <c r="C47" s="110">
        <f>标准成本!E11</f>
        <v>80.006</v>
      </c>
      <c r="D47" s="110">
        <f>标准成本!E23</f>
        <v>25.724</v>
      </c>
      <c r="E47" s="110"/>
      <c r="AC47" s="105" t="s">
        <v>65</v>
      </c>
      <c r="AD47" s="105" t="s">
        <v>123</v>
      </c>
    </row>
    <row r="48" spans="1:30">
      <c r="A48" s="93" t="s">
        <v>116</v>
      </c>
      <c r="B48" s="98" t="s">
        <v>134</v>
      </c>
      <c r="C48" s="104">
        <f>C40-C43-C44-C45-C47-C46</f>
        <v>201.87627036685194</v>
      </c>
      <c r="D48" s="104">
        <f>D40-D43-D44-D45-D47-D46</f>
        <v>59.163666666666664</v>
      </c>
      <c r="E48" s="104"/>
      <c r="AC48" s="93" t="s">
        <v>133</v>
      </c>
      <c r="AD48" s="98" t="s">
        <v>134</v>
      </c>
    </row>
    <row r="51" spans="2:10">
      <c r="C51" s="111"/>
      <c r="D51" s="111"/>
    </row>
    <row r="54" spans="2:10">
      <c r="B54" s="2"/>
      <c r="C54" s="112"/>
      <c r="D54" s="112"/>
      <c r="E54" s="112"/>
      <c r="F54" s="2"/>
      <c r="G54" s="2"/>
      <c r="H54" s="2"/>
      <c r="I54" s="2"/>
      <c r="J54" s="2"/>
    </row>
    <row r="55" spans="2:10">
      <c r="B55" s="2"/>
      <c r="C55" s="112"/>
      <c r="D55" s="112"/>
      <c r="E55" s="112"/>
      <c r="F55" s="2"/>
      <c r="G55" s="2"/>
      <c r="H55" s="2"/>
      <c r="I55" s="2"/>
      <c r="J55" s="2"/>
    </row>
    <row r="56" spans="2:10">
      <c r="B56" s="2"/>
      <c r="C56" s="112"/>
      <c r="D56" s="112"/>
      <c r="E56" s="112"/>
      <c r="F56" s="2"/>
      <c r="G56" s="2"/>
      <c r="H56" s="2"/>
      <c r="I56" s="2"/>
      <c r="J56" s="2"/>
    </row>
    <row r="57" spans="2:10">
      <c r="B57" s="2"/>
      <c r="C57" s="112"/>
      <c r="D57" s="112"/>
      <c r="E57" s="112"/>
      <c r="F57" s="2"/>
      <c r="G57" s="2"/>
      <c r="H57" s="2"/>
      <c r="I57" s="2"/>
      <c r="J57" s="2"/>
    </row>
    <row r="58" spans="2:10">
      <c r="B58" s="2"/>
      <c r="C58" s="112"/>
      <c r="D58" s="112"/>
      <c r="E58" s="112"/>
      <c r="F58" s="2"/>
      <c r="G58" s="2"/>
      <c r="H58" s="2"/>
      <c r="I58" s="2"/>
      <c r="J58" s="2"/>
    </row>
    <row r="59" spans="2:10">
      <c r="B59" s="2"/>
      <c r="C59" s="112"/>
      <c r="D59" s="112"/>
      <c r="E59" s="112"/>
      <c r="F59" s="2"/>
      <c r="G59" s="2"/>
      <c r="H59" s="2"/>
      <c r="I59" s="2"/>
      <c r="J59" s="2"/>
    </row>
    <row r="60" spans="2:10">
      <c r="B60" s="2"/>
      <c r="C60" s="112"/>
      <c r="D60" s="112"/>
      <c r="E60" s="112"/>
      <c r="F60" s="2"/>
      <c r="G60" s="2"/>
      <c r="H60" s="2"/>
      <c r="I60" s="2"/>
      <c r="J60" s="2"/>
    </row>
    <row r="61" spans="2:10">
      <c r="B61" s="2"/>
      <c r="C61" s="112"/>
      <c r="D61" s="112"/>
      <c r="E61" s="112"/>
      <c r="F61" s="2"/>
      <c r="G61" s="2"/>
      <c r="H61" s="2"/>
      <c r="I61" s="2"/>
      <c r="J61" s="2"/>
    </row>
    <row r="62" spans="2:10">
      <c r="B62" s="2"/>
      <c r="C62" s="112"/>
      <c r="D62" s="112"/>
      <c r="E62" s="112"/>
      <c r="F62" s="2"/>
      <c r="G62" s="2"/>
      <c r="H62" s="2"/>
      <c r="I62" s="2"/>
      <c r="J62" s="2"/>
    </row>
    <row r="63" spans="2:10">
      <c r="B63" s="2"/>
      <c r="C63" s="112"/>
      <c r="D63" s="112"/>
      <c r="E63" s="112"/>
      <c r="F63" s="2"/>
      <c r="G63" s="2"/>
      <c r="H63" s="2"/>
      <c r="I63" s="2"/>
      <c r="J63" s="2"/>
    </row>
    <row r="64" spans="2:10">
      <c r="B64" s="2"/>
      <c r="C64" s="112"/>
      <c r="D64" s="112"/>
      <c r="E64" s="112"/>
      <c r="F64" s="2"/>
      <c r="G64" s="2"/>
      <c r="H64" s="2"/>
      <c r="I64" s="2"/>
      <c r="J64" s="2"/>
    </row>
    <row r="65" spans="2:10">
      <c r="B65" s="2"/>
      <c r="C65" s="112"/>
      <c r="D65" s="112"/>
      <c r="E65" s="112"/>
      <c r="F65" s="2"/>
      <c r="G65" s="2"/>
      <c r="H65" s="2"/>
      <c r="I65" s="2"/>
      <c r="J65" s="2"/>
    </row>
    <row r="66" spans="2:10">
      <c r="B66" s="2"/>
      <c r="C66" s="112"/>
      <c r="D66" s="112"/>
      <c r="E66" s="112"/>
      <c r="F66" s="2"/>
      <c r="G66" s="2"/>
      <c r="H66" s="2"/>
      <c r="I66" s="2"/>
      <c r="J66" s="2"/>
    </row>
    <row r="67" spans="2:10">
      <c r="B67" s="2"/>
      <c r="C67" s="112"/>
      <c r="D67" s="112"/>
      <c r="E67" s="112"/>
      <c r="F67" s="2"/>
    </row>
    <row r="68" spans="2:10">
      <c r="B68" s="2"/>
      <c r="C68" s="112"/>
      <c r="D68" s="112"/>
      <c r="E68" s="112"/>
      <c r="F68" s="2"/>
    </row>
    <row r="69" spans="2:10">
      <c r="B69" s="2"/>
      <c r="C69" s="112"/>
      <c r="D69" s="112"/>
      <c r="E69" s="112"/>
      <c r="F69" s="2"/>
    </row>
    <row r="70" spans="2:10">
      <c r="B70" s="2"/>
      <c r="C70" s="112"/>
      <c r="D70" s="112"/>
      <c r="E70" s="112"/>
      <c r="F70" s="2"/>
    </row>
    <row r="71" spans="2:10">
      <c r="B71" s="2"/>
      <c r="C71" s="112"/>
      <c r="D71" s="112"/>
      <c r="E71" s="112"/>
      <c r="F71" s="2"/>
    </row>
    <row r="72" spans="2:10">
      <c r="B72" s="2"/>
      <c r="C72" s="112"/>
      <c r="D72" s="112"/>
      <c r="E72" s="112"/>
      <c r="F72" s="2"/>
    </row>
    <row r="73" spans="2:10">
      <c r="B73" s="2"/>
      <c r="C73" s="112"/>
      <c r="D73" s="112"/>
      <c r="E73" s="112"/>
      <c r="F73" s="2"/>
    </row>
    <row r="74" spans="2:10">
      <c r="B74" s="2"/>
      <c r="C74" s="112"/>
      <c r="D74" s="112"/>
      <c r="E74" s="112"/>
      <c r="F74" s="2"/>
    </row>
  </sheetData>
  <mergeCells count="8">
    <mergeCell ref="A4:B4"/>
    <mergeCell ref="A5:B5"/>
    <mergeCell ref="E3:E5"/>
    <mergeCell ref="A1:B1"/>
    <mergeCell ref="C1:E1"/>
    <mergeCell ref="A2:B2"/>
    <mergeCell ref="C2:E2"/>
    <mergeCell ref="A3:B3"/>
  </mergeCells>
  <phoneticPr fontId="47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zoomScale="85" zoomScaleNormal="85" workbookViewId="0">
      <pane xSplit="2" ySplit="7" topLeftCell="C11" activePane="bottomRight" state="frozen"/>
      <selection pane="topRight"/>
      <selection pane="bottomLeft"/>
      <selection pane="bottomRight" activeCell="B25" sqref="B25:E25"/>
    </sheetView>
  </sheetViews>
  <sheetFormatPr defaultColWidth="9" defaultRowHeight="16.5"/>
  <cols>
    <col min="1" max="1" width="5.125" style="86" customWidth="1"/>
    <col min="2" max="2" width="17.5" style="86" customWidth="1"/>
    <col min="3" max="4" width="14.375" style="89" customWidth="1"/>
    <col min="5" max="5" width="18.75" style="89" customWidth="1"/>
    <col min="6" max="6" width="12.375" style="86" customWidth="1"/>
    <col min="7" max="7" width="10.125" style="86" customWidth="1"/>
    <col min="8" max="14" width="9" style="86" customWidth="1"/>
    <col min="15" max="30" width="9" style="86"/>
    <col min="31" max="31" width="4.375" style="86" customWidth="1"/>
    <col min="32" max="32" width="13.875" style="86" customWidth="1"/>
    <col min="33" max="16384" width="9" style="86"/>
  </cols>
  <sheetData>
    <row r="1" spans="1:33">
      <c r="A1" s="207" t="s">
        <v>144</v>
      </c>
      <c r="B1" s="207"/>
      <c r="C1" s="211" t="s">
        <v>285</v>
      </c>
      <c r="D1" s="212"/>
      <c r="E1" s="213"/>
    </row>
    <row r="2" spans="1:33">
      <c r="A2" s="207" t="s">
        <v>145</v>
      </c>
      <c r="B2" s="207"/>
      <c r="C2" s="214" t="str">
        <f>'2025年'!$C$2</f>
        <v>陕汽重型汽车有限公司</v>
      </c>
      <c r="D2" s="214"/>
      <c r="E2" s="214"/>
    </row>
    <row r="3" spans="1:33" ht="45">
      <c r="A3" s="207" t="s">
        <v>146</v>
      </c>
      <c r="B3" s="207"/>
      <c r="C3" s="91" t="str">
        <f>'2025年'!C3</f>
        <v>左空气悬浮座椅总成/一体式头枕/X5000/扶手/报警锁扣/斜滑轨</v>
      </c>
      <c r="D3" s="91" t="str">
        <f>'2025年'!D3</f>
        <v>副司机座椅</v>
      </c>
      <c r="E3" s="208" t="s">
        <v>54</v>
      </c>
    </row>
    <row r="4" spans="1:33">
      <c r="A4" s="207" t="s">
        <v>147</v>
      </c>
      <c r="B4" s="207"/>
      <c r="C4" s="91" t="str">
        <f>'2025年'!C4</f>
        <v>DZ14251510207/8</v>
      </c>
      <c r="D4" s="91" t="str">
        <f>'2025年'!D4</f>
        <v>DZ14251510122</v>
      </c>
      <c r="E4" s="209"/>
    </row>
    <row r="5" spans="1:33" ht="42.75">
      <c r="A5" s="207" t="s">
        <v>148</v>
      </c>
      <c r="B5" s="207"/>
      <c r="C5" s="92" t="str">
        <f>'2025年'!C5</f>
        <v>与X5000配置一致，需要重新开发滑轨+底座总成</v>
      </c>
      <c r="D5" s="92">
        <f>'2025年'!D5</f>
        <v>0</v>
      </c>
      <c r="E5" s="210"/>
      <c r="AG5" s="86" t="s">
        <v>55</v>
      </c>
    </row>
    <row r="6" spans="1:33" ht="17.25">
      <c r="A6" s="93" t="s">
        <v>21</v>
      </c>
      <c r="B6" s="94" t="s">
        <v>149</v>
      </c>
      <c r="C6" s="113">
        <f>销量!C10</f>
        <v>3000</v>
      </c>
      <c r="D6" s="113">
        <f>销量!D10</f>
        <v>3000</v>
      </c>
      <c r="E6" s="96">
        <f>+SUM(C6:D6)</f>
        <v>6000</v>
      </c>
      <c r="AE6" s="93" t="s">
        <v>21</v>
      </c>
      <c r="AF6" s="94" t="s">
        <v>3</v>
      </c>
      <c r="AG6" s="86" t="s">
        <v>56</v>
      </c>
    </row>
    <row r="7" spans="1:33">
      <c r="A7" s="90">
        <v>1</v>
      </c>
      <c r="B7" s="94" t="s">
        <v>57</v>
      </c>
      <c r="C7" s="96">
        <f>C6*销量!C8</f>
        <v>5505000</v>
      </c>
      <c r="D7" s="96">
        <f>D6*销量!D8</f>
        <v>1770000</v>
      </c>
      <c r="E7" s="96">
        <f t="shared" ref="E7:E15" si="0">+SUM(C7:D7)</f>
        <v>7275000</v>
      </c>
      <c r="F7" s="89"/>
      <c r="AE7" s="93" t="s">
        <v>58</v>
      </c>
      <c r="AF7" s="94" t="s">
        <v>57</v>
      </c>
      <c r="AG7" s="86" t="s">
        <v>56</v>
      </c>
    </row>
    <row r="8" spans="1:33">
      <c r="A8" s="90">
        <v>2</v>
      </c>
      <c r="B8" s="90" t="s">
        <v>59</v>
      </c>
      <c r="C8" s="96">
        <f>C7*(1-销量!$K$7)</f>
        <v>275250.00000000023</v>
      </c>
      <c r="D8" s="96">
        <f>D7*(1-销量!$K$7)</f>
        <v>88500.000000000073</v>
      </c>
      <c r="E8" s="96">
        <f t="shared" si="0"/>
        <v>363750.00000000029</v>
      </c>
      <c r="F8" s="97"/>
      <c r="AE8" s="93" t="s">
        <v>60</v>
      </c>
      <c r="AF8" s="90" t="s">
        <v>61</v>
      </c>
      <c r="AG8" s="86" t="s">
        <v>56</v>
      </c>
    </row>
    <row r="9" spans="1:33">
      <c r="A9" s="90">
        <v>3</v>
      </c>
      <c r="B9" s="94" t="s">
        <v>62</v>
      </c>
      <c r="C9" s="96">
        <f>+C7-C8</f>
        <v>5229750</v>
      </c>
      <c r="D9" s="96">
        <f>+D7-D8</f>
        <v>1681500</v>
      </c>
      <c r="E9" s="96">
        <f t="shared" si="0"/>
        <v>6911250</v>
      </c>
      <c r="AE9" s="93" t="s">
        <v>63</v>
      </c>
      <c r="AF9" s="94" t="s">
        <v>62</v>
      </c>
      <c r="AG9" s="86" t="s">
        <v>64</v>
      </c>
    </row>
    <row r="10" spans="1:33">
      <c r="A10" s="90">
        <v>4</v>
      </c>
      <c r="B10" s="93" t="s">
        <v>66</v>
      </c>
      <c r="C10" s="96">
        <f>C6*C33</f>
        <v>3659912.6888994444</v>
      </c>
      <c r="D10" s="96">
        <f>D6*D33</f>
        <v>1181100</v>
      </c>
      <c r="E10" s="96">
        <f t="shared" si="0"/>
        <v>4841012.6888994444</v>
      </c>
      <c r="AE10" s="93" t="s">
        <v>65</v>
      </c>
      <c r="AF10" s="93" t="s">
        <v>66</v>
      </c>
      <c r="AG10" s="86" t="s">
        <v>67</v>
      </c>
    </row>
    <row r="11" spans="1:33">
      <c r="A11" s="90">
        <v>5</v>
      </c>
      <c r="B11" s="93" t="s">
        <v>68</v>
      </c>
      <c r="C11" s="96">
        <f>+C6*C36</f>
        <v>161296.5</v>
      </c>
      <c r="D11" s="96">
        <f>+D6*D36</f>
        <v>51861</v>
      </c>
      <c r="E11" s="96">
        <f t="shared" si="0"/>
        <v>213157.5</v>
      </c>
      <c r="AE11" s="93" t="s">
        <v>69</v>
      </c>
      <c r="AF11" s="93" t="s">
        <v>68</v>
      </c>
    </row>
    <row r="12" spans="1:33">
      <c r="A12" s="90">
        <v>6</v>
      </c>
      <c r="B12" s="93" t="s">
        <v>70</v>
      </c>
      <c r="C12" s="96">
        <f>+C6*C37</f>
        <v>47893.5</v>
      </c>
      <c r="D12" s="96">
        <f>+D6*D37</f>
        <v>15399</v>
      </c>
      <c r="E12" s="96">
        <f t="shared" si="0"/>
        <v>63292.5</v>
      </c>
      <c r="AE12" s="93" t="s">
        <v>71</v>
      </c>
      <c r="AF12" s="93" t="s">
        <v>70</v>
      </c>
    </row>
    <row r="13" spans="1:33">
      <c r="A13" s="90">
        <v>7</v>
      </c>
      <c r="B13" s="93" t="s">
        <v>72</v>
      </c>
      <c r="C13" s="96">
        <f>+C6*C38</f>
        <v>226806</v>
      </c>
      <c r="D13" s="96">
        <f>+D6*D38</f>
        <v>72924</v>
      </c>
      <c r="E13" s="96">
        <f t="shared" si="0"/>
        <v>299730</v>
      </c>
      <c r="AE13" s="93" t="s">
        <v>73</v>
      </c>
      <c r="AF13" s="93" t="s">
        <v>72</v>
      </c>
      <c r="AG13" s="86" t="s">
        <v>56</v>
      </c>
    </row>
    <row r="14" spans="1:33">
      <c r="A14" s="90">
        <v>8</v>
      </c>
      <c r="B14" s="98" t="s">
        <v>74</v>
      </c>
      <c r="C14" s="96">
        <f>SUM(C11:C13)</f>
        <v>435996</v>
      </c>
      <c r="D14" s="96">
        <f>SUM(D11:D13)</f>
        <v>140184</v>
      </c>
      <c r="E14" s="96">
        <f t="shared" si="0"/>
        <v>576180</v>
      </c>
      <c r="AE14" s="93" t="s">
        <v>75</v>
      </c>
      <c r="AF14" s="98" t="s">
        <v>74</v>
      </c>
    </row>
    <row r="15" spans="1:33">
      <c r="A15" s="90">
        <v>9</v>
      </c>
      <c r="B15" s="98" t="s">
        <v>76</v>
      </c>
      <c r="C15" s="96">
        <f>+C9-C10-C14</f>
        <v>1133841.3111005556</v>
      </c>
      <c r="D15" s="96">
        <f>+D9-D10-D14</f>
        <v>360216</v>
      </c>
      <c r="E15" s="96">
        <f t="shared" si="0"/>
        <v>1494057.3111005556</v>
      </c>
      <c r="AE15" s="93" t="s">
        <v>77</v>
      </c>
      <c r="AF15" s="98" t="s">
        <v>76</v>
      </c>
    </row>
    <row r="16" spans="1:33">
      <c r="A16" s="90">
        <v>10</v>
      </c>
      <c r="B16" s="93" t="s">
        <v>78</v>
      </c>
      <c r="C16" s="99">
        <f>+C15/C9</f>
        <v>0.21680602535504673</v>
      </c>
      <c r="D16" s="99">
        <f>+D15/D9</f>
        <v>0.21422301516503123</v>
      </c>
      <c r="E16" s="99">
        <f>+E15/E9</f>
        <v>0.21617758163871306</v>
      </c>
      <c r="AE16" s="93" t="s">
        <v>79</v>
      </c>
      <c r="AF16" s="93" t="s">
        <v>78</v>
      </c>
    </row>
    <row r="17" spans="1:33">
      <c r="A17" s="90">
        <v>11</v>
      </c>
      <c r="B17" s="93" t="s">
        <v>80</v>
      </c>
      <c r="C17" s="96">
        <f>C6*C43+C18</f>
        <v>397023.5</v>
      </c>
      <c r="D17" s="96">
        <f>D6*D43+D18</f>
        <v>155369</v>
      </c>
      <c r="E17" s="96">
        <f>+SUM(C17:D17)</f>
        <v>552392.5</v>
      </c>
      <c r="F17" s="97"/>
      <c r="AE17" s="93" t="s">
        <v>81</v>
      </c>
      <c r="AF17" s="93" t="s">
        <v>80</v>
      </c>
    </row>
    <row r="18" spans="1:33" s="87" customFormat="1">
      <c r="A18" s="90">
        <v>12</v>
      </c>
      <c r="B18" s="101" t="s">
        <v>150</v>
      </c>
      <c r="C18" s="102">
        <f>$E$18/$E$6*C6</f>
        <v>40850</v>
      </c>
      <c r="D18" s="102">
        <f>$E$18/$E$6*D6</f>
        <v>40850</v>
      </c>
      <c r="E18" s="96">
        <f>项目投资!D26</f>
        <v>81700</v>
      </c>
      <c r="F18" s="103" t="s">
        <v>151</v>
      </c>
      <c r="G18" s="103"/>
      <c r="H18" s="103"/>
    </row>
    <row r="19" spans="1:33">
      <c r="A19" s="90">
        <v>13</v>
      </c>
      <c r="B19" s="93" t="s">
        <v>82</v>
      </c>
      <c r="C19" s="96">
        <f>C6*C44</f>
        <v>75418.5</v>
      </c>
      <c r="D19" s="96">
        <f>D6*D44</f>
        <v>24249</v>
      </c>
      <c r="E19" s="96">
        <f>+SUM(C19:D19)</f>
        <v>99667.5</v>
      </c>
      <c r="F19" s="87"/>
      <c r="AE19" s="93" t="s">
        <v>83</v>
      </c>
      <c r="AF19" s="93" t="s">
        <v>82</v>
      </c>
      <c r="AG19" s="86" t="s">
        <v>56</v>
      </c>
    </row>
    <row r="20" spans="1:33">
      <c r="A20" s="90">
        <v>14</v>
      </c>
      <c r="B20" s="93" t="s">
        <v>84</v>
      </c>
      <c r="C20" s="96">
        <f>C6*C45</f>
        <v>112852.5</v>
      </c>
      <c r="D20" s="96">
        <f>D6*D45</f>
        <v>36285</v>
      </c>
      <c r="E20" s="96">
        <f>+SUM(C20:D20)</f>
        <v>149137.5</v>
      </c>
      <c r="AE20" s="93" t="s">
        <v>85</v>
      </c>
      <c r="AF20" s="93" t="s">
        <v>84</v>
      </c>
    </row>
    <row r="21" spans="1:33">
      <c r="A21" s="90">
        <v>15</v>
      </c>
      <c r="B21" s="93" t="s">
        <v>86</v>
      </c>
      <c r="C21" s="104">
        <f>$E$21/$E$6*C6</f>
        <v>19000</v>
      </c>
      <c r="D21" s="104">
        <f>$E$21/$E$6*D6</f>
        <v>19000</v>
      </c>
      <c r="E21" s="96">
        <f>项目投资!D27</f>
        <v>38000</v>
      </c>
      <c r="AE21" s="93"/>
      <c r="AF21" s="93"/>
    </row>
    <row r="22" spans="1:33">
      <c r="A22" s="90">
        <v>16</v>
      </c>
      <c r="B22" s="93" t="s">
        <v>87</v>
      </c>
      <c r="C22" s="96">
        <f>C6*C47</f>
        <v>240018</v>
      </c>
      <c r="D22" s="96">
        <f>D6*D47</f>
        <v>77172</v>
      </c>
      <c r="E22" s="96">
        <f>+SUM(C22:D22)</f>
        <v>317190</v>
      </c>
      <c r="AE22" s="93" t="s">
        <v>88</v>
      </c>
      <c r="AF22" s="93" t="s">
        <v>87</v>
      </c>
    </row>
    <row r="23" spans="1:33">
      <c r="A23" s="90">
        <v>17</v>
      </c>
      <c r="B23" s="98" t="s">
        <v>89</v>
      </c>
      <c r="C23" s="104">
        <f>+C22+C21+C20+C19+C17</f>
        <v>844312.5</v>
      </c>
      <c r="D23" s="104">
        <f>+D22+D21+D20+D19+D17</f>
        <v>312075</v>
      </c>
      <c r="E23" s="104">
        <f>+E22+E21+E20+E19+E17</f>
        <v>1156387.5</v>
      </c>
      <c r="AE23" s="93" t="s">
        <v>90</v>
      </c>
      <c r="AF23" s="98" t="s">
        <v>89</v>
      </c>
    </row>
    <row r="24" spans="1:33">
      <c r="A24" s="90">
        <v>18</v>
      </c>
      <c r="B24" s="105" t="s">
        <v>91</v>
      </c>
      <c r="C24" s="104">
        <f>+C15-C23</f>
        <v>289528.81110055558</v>
      </c>
      <c r="D24" s="104">
        <f>+D15-D23</f>
        <v>48141</v>
      </c>
      <c r="E24" s="104">
        <f>+E15-E23</f>
        <v>337669.81110055558</v>
      </c>
      <c r="G24" s="106"/>
      <c r="AE24" s="93" t="s">
        <v>92</v>
      </c>
      <c r="AF24" s="93" t="s">
        <v>91</v>
      </c>
    </row>
    <row r="25" spans="1:33">
      <c r="A25" s="90">
        <v>19</v>
      </c>
      <c r="B25" s="93" t="s">
        <v>303</v>
      </c>
      <c r="C25" s="104">
        <f>IF(C24&lt;0,0,C24*0.15)</f>
        <v>43429.321665083335</v>
      </c>
      <c r="D25" s="104">
        <f t="shared" ref="D25:E25" si="1">IF(D24&lt;0,0,D24*0.15)</f>
        <v>7221.15</v>
      </c>
      <c r="E25" s="104">
        <f t="shared" si="1"/>
        <v>50650.471665083336</v>
      </c>
      <c r="F25" s="2"/>
      <c r="G25" s="2"/>
      <c r="H25" s="2"/>
      <c r="AE25" s="93" t="s">
        <v>93</v>
      </c>
      <c r="AF25" s="93" t="s">
        <v>38</v>
      </c>
    </row>
    <row r="26" spans="1:33">
      <c r="A26" s="90">
        <v>20</v>
      </c>
      <c r="B26" s="93" t="s">
        <v>94</v>
      </c>
      <c r="C26" s="104">
        <f>C24-C25</f>
        <v>246099.48943547223</v>
      </c>
      <c r="D26" s="104">
        <f>D24-D25</f>
        <v>40919.85</v>
      </c>
      <c r="E26" s="96">
        <f>+SUM(C26:D26)</f>
        <v>287019.33943547221</v>
      </c>
      <c r="F26" s="2"/>
      <c r="G26" s="2"/>
      <c r="H26" s="2"/>
      <c r="AE26" s="93" t="s">
        <v>95</v>
      </c>
      <c r="AF26" s="93" t="s">
        <v>94</v>
      </c>
    </row>
    <row r="27" spans="1:33">
      <c r="A27" s="90">
        <v>21</v>
      </c>
      <c r="B27" s="93" t="s">
        <v>98</v>
      </c>
      <c r="C27" s="107">
        <f>C26/C7</f>
        <v>4.4704721060031288E-2</v>
      </c>
      <c r="D27" s="107">
        <f>D26/D7</f>
        <v>2.3118559322033896E-2</v>
      </c>
      <c r="E27" s="107">
        <f>E26/E7</f>
        <v>3.9452830162951508E-2</v>
      </c>
      <c r="F27" s="2"/>
      <c r="G27" s="2"/>
      <c r="H27" s="2"/>
      <c r="AE27" s="93" t="s">
        <v>97</v>
      </c>
      <c r="AF27" s="93" t="s">
        <v>98</v>
      </c>
    </row>
    <row r="28" spans="1:33">
      <c r="F28" s="2"/>
      <c r="G28" s="2"/>
      <c r="H28" s="2"/>
    </row>
    <row r="29" spans="1:33">
      <c r="A29" s="86" t="s">
        <v>99</v>
      </c>
      <c r="E29" s="89" t="s">
        <v>152</v>
      </c>
      <c r="F29" s="2"/>
      <c r="G29" s="2"/>
      <c r="H29" s="2"/>
      <c r="AE29" s="86" t="s">
        <v>99</v>
      </c>
    </row>
    <row r="30" spans="1:33">
      <c r="A30" s="93" t="s">
        <v>100</v>
      </c>
      <c r="B30" s="98" t="s">
        <v>101</v>
      </c>
      <c r="C30" s="104"/>
      <c r="D30" s="104"/>
      <c r="E30" s="104"/>
      <c r="F30" s="2"/>
      <c r="G30" s="2"/>
      <c r="H30" s="2"/>
      <c r="J30" s="2"/>
      <c r="AE30" s="93" t="s">
        <v>102</v>
      </c>
      <c r="AF30" s="98" t="s">
        <v>101</v>
      </c>
    </row>
    <row r="31" spans="1:33">
      <c r="A31" s="90">
        <v>1</v>
      </c>
      <c r="B31" s="101" t="s">
        <v>103</v>
      </c>
      <c r="C31" s="108">
        <f>销量!C8</f>
        <v>1835</v>
      </c>
      <c r="D31" s="108">
        <f>销量!D8</f>
        <v>590</v>
      </c>
      <c r="E31" s="104"/>
      <c r="F31" s="2"/>
      <c r="G31" s="2"/>
      <c r="H31" s="2"/>
      <c r="J31" s="2"/>
      <c r="AE31" s="93" t="s">
        <v>58</v>
      </c>
      <c r="AF31" s="93" t="s">
        <v>103</v>
      </c>
    </row>
    <row r="32" spans="1:33">
      <c r="A32" s="90">
        <v>2</v>
      </c>
      <c r="B32" s="93" t="s">
        <v>153</v>
      </c>
      <c r="C32" s="96">
        <f>C31*1</f>
        <v>1835</v>
      </c>
      <c r="D32" s="96">
        <f>D31*1</f>
        <v>590</v>
      </c>
      <c r="E32" s="104"/>
      <c r="F32" s="2"/>
      <c r="G32" s="2"/>
      <c r="H32" s="2"/>
      <c r="I32" s="2"/>
      <c r="J32" s="2"/>
      <c r="K32" s="2"/>
      <c r="L32" s="2"/>
      <c r="AE32" s="93"/>
      <c r="AF32" s="93"/>
    </row>
    <row r="33" spans="1:32">
      <c r="A33" s="90">
        <v>3</v>
      </c>
      <c r="B33" s="101" t="s">
        <v>104</v>
      </c>
      <c r="C33" s="96">
        <f>材料成本!D24</f>
        <v>1219.9708962998147</v>
      </c>
      <c r="D33" s="96">
        <f>材料成本!E24</f>
        <v>393.7</v>
      </c>
      <c r="E33" s="104"/>
      <c r="G33" s="2"/>
      <c r="H33" s="2"/>
      <c r="I33" s="2"/>
      <c r="J33" s="2"/>
      <c r="K33" s="2"/>
      <c r="L33" s="2"/>
      <c r="AE33" s="93" t="s">
        <v>60</v>
      </c>
      <c r="AF33" s="93" t="s">
        <v>104</v>
      </c>
    </row>
    <row r="34" spans="1:32" ht="17.25" customHeight="1">
      <c r="A34" s="90">
        <v>4</v>
      </c>
      <c r="B34" s="93" t="s">
        <v>106</v>
      </c>
      <c r="C34" s="109">
        <f>C32-C33</f>
        <v>615.02910370018526</v>
      </c>
      <c r="D34" s="109">
        <f>D32-D33</f>
        <v>196.3</v>
      </c>
      <c r="E34" s="104"/>
      <c r="G34" s="2"/>
      <c r="H34" s="2"/>
      <c r="I34" s="2"/>
      <c r="J34" s="2"/>
      <c r="K34" s="2"/>
      <c r="L34" s="2"/>
      <c r="AE34" s="93" t="s">
        <v>105</v>
      </c>
      <c r="AF34" s="93" t="s">
        <v>106</v>
      </c>
    </row>
    <row r="35" spans="1:32">
      <c r="A35" s="93" t="s">
        <v>102</v>
      </c>
      <c r="B35" s="98" t="s">
        <v>10</v>
      </c>
      <c r="C35" s="104"/>
      <c r="D35" s="104"/>
      <c r="E35" s="104"/>
      <c r="F35" s="2"/>
      <c r="G35" s="2"/>
      <c r="H35" s="2"/>
      <c r="I35" s="2"/>
      <c r="J35" s="2"/>
      <c r="K35" s="2"/>
      <c r="L35" s="2"/>
      <c r="M35" s="2"/>
      <c r="N35" s="2"/>
      <c r="O35" s="2"/>
      <c r="AE35" s="93" t="s">
        <v>108</v>
      </c>
      <c r="AF35" s="98" t="s">
        <v>10</v>
      </c>
    </row>
    <row r="36" spans="1:32">
      <c r="A36" s="90">
        <v>1</v>
      </c>
      <c r="B36" s="93" t="s">
        <v>109</v>
      </c>
      <c r="C36" s="102">
        <f>标准成本!E4</f>
        <v>53.765499999999996</v>
      </c>
      <c r="D36" s="102">
        <f>标准成本!E16</f>
        <v>17.286999999999999</v>
      </c>
      <c r="E36" s="108"/>
      <c r="F36" s="2"/>
      <c r="G36" s="2"/>
      <c r="H36" s="2"/>
      <c r="I36" s="2"/>
      <c r="J36" s="2"/>
      <c r="K36" s="2"/>
      <c r="L36" s="2"/>
      <c r="M36" s="2"/>
      <c r="N36" s="2"/>
      <c r="O36" s="2"/>
      <c r="AE36" s="93" t="s">
        <v>105</v>
      </c>
      <c r="AF36" s="93" t="s">
        <v>109</v>
      </c>
    </row>
    <row r="37" spans="1:32">
      <c r="A37" s="90">
        <v>2</v>
      </c>
      <c r="B37" s="93" t="s">
        <v>110</v>
      </c>
      <c r="C37" s="102">
        <f>标准成本!E6</f>
        <v>15.964499999999999</v>
      </c>
      <c r="D37" s="102">
        <f>标准成本!E18</f>
        <v>5.133</v>
      </c>
      <c r="E37" s="108"/>
      <c r="F37" s="2"/>
      <c r="G37" s="2"/>
      <c r="H37" s="2"/>
      <c r="I37" s="2"/>
      <c r="J37" s="2"/>
      <c r="K37" s="2"/>
      <c r="L37" s="2"/>
      <c r="M37" s="2"/>
      <c r="N37" s="2"/>
      <c r="O37" s="2"/>
      <c r="AE37" s="93" t="s">
        <v>63</v>
      </c>
      <c r="AF37" s="93" t="s">
        <v>110</v>
      </c>
    </row>
    <row r="38" spans="1:32">
      <c r="A38" s="90">
        <v>3</v>
      </c>
      <c r="B38" s="93" t="s">
        <v>111</v>
      </c>
      <c r="C38" s="102">
        <f>标准成本!E10</f>
        <v>75.602000000000004</v>
      </c>
      <c r="D38" s="102">
        <f>标准成本!E22</f>
        <v>24.308</v>
      </c>
      <c r="E38" s="108"/>
      <c r="F38" s="2"/>
      <c r="G38" s="2"/>
      <c r="H38" s="2"/>
      <c r="I38" s="2"/>
      <c r="J38" s="2"/>
      <c r="K38" s="2"/>
      <c r="L38" s="2"/>
      <c r="M38" s="2"/>
      <c r="N38" s="2"/>
      <c r="O38" s="2"/>
      <c r="AE38" s="93" t="s">
        <v>69</v>
      </c>
      <c r="AF38" s="93" t="s">
        <v>111</v>
      </c>
    </row>
    <row r="39" spans="1:32">
      <c r="A39" s="93" t="s">
        <v>108</v>
      </c>
      <c r="B39" s="98" t="s">
        <v>113</v>
      </c>
      <c r="C39" s="104"/>
      <c r="D39" s="104"/>
      <c r="E39" s="104"/>
      <c r="AE39" s="93" t="s">
        <v>112</v>
      </c>
      <c r="AF39" s="98" t="s">
        <v>113</v>
      </c>
    </row>
    <row r="40" spans="1:32">
      <c r="A40" s="90">
        <v>1</v>
      </c>
      <c r="B40" s="93" t="s">
        <v>114</v>
      </c>
      <c r="C40" s="104">
        <f>C34-C36-C37-C38</f>
        <v>469.69710370018527</v>
      </c>
      <c r="D40" s="104">
        <f>D34-D36-D37-D38</f>
        <v>149.572</v>
      </c>
      <c r="E40" s="104"/>
      <c r="AE40" s="93" t="s">
        <v>58</v>
      </c>
      <c r="AF40" s="93" t="s">
        <v>114</v>
      </c>
    </row>
    <row r="41" spans="1:32">
      <c r="A41" s="90">
        <v>2</v>
      </c>
      <c r="B41" s="93" t="s">
        <v>115</v>
      </c>
      <c r="C41" s="104"/>
      <c r="D41" s="104"/>
      <c r="E41" s="104"/>
      <c r="AE41" s="93" t="s">
        <v>60</v>
      </c>
      <c r="AF41" s="93" t="s">
        <v>115</v>
      </c>
    </row>
    <row r="42" spans="1:32">
      <c r="A42" s="93" t="s">
        <v>112</v>
      </c>
      <c r="B42" s="98" t="s">
        <v>117</v>
      </c>
      <c r="C42" s="104"/>
      <c r="D42" s="104"/>
      <c r="E42" s="104"/>
      <c r="AE42" s="93" t="s">
        <v>116</v>
      </c>
      <c r="AF42" s="98" t="s">
        <v>117</v>
      </c>
    </row>
    <row r="43" spans="1:32">
      <c r="A43" s="90">
        <v>1</v>
      </c>
      <c r="B43" s="105" t="s">
        <v>118</v>
      </c>
      <c r="C43" s="102">
        <f>标准成本!E5</f>
        <v>118.72449999999999</v>
      </c>
      <c r="D43" s="102">
        <f>标准成本!E17</f>
        <v>38.172999999999995</v>
      </c>
      <c r="E43" s="104"/>
      <c r="AE43" s="93" t="s">
        <v>58</v>
      </c>
      <c r="AF43" s="93" t="s">
        <v>118</v>
      </c>
    </row>
    <row r="44" spans="1:32">
      <c r="A44" s="90">
        <v>2</v>
      </c>
      <c r="B44" s="105" t="s">
        <v>119</v>
      </c>
      <c r="C44" s="102">
        <f>标准成本!E9</f>
        <v>25.139500000000002</v>
      </c>
      <c r="D44" s="102">
        <f>标准成本!E21</f>
        <v>8.0830000000000002</v>
      </c>
      <c r="E44" s="104"/>
      <c r="AE44" s="93" t="s">
        <v>60</v>
      </c>
      <c r="AF44" s="93" t="s">
        <v>119</v>
      </c>
    </row>
    <row r="45" spans="1:32">
      <c r="A45" s="90">
        <v>3</v>
      </c>
      <c r="B45" s="105" t="s">
        <v>120</v>
      </c>
      <c r="C45" s="102">
        <f>标准成本!E8</f>
        <v>37.6175</v>
      </c>
      <c r="D45" s="102">
        <f>标准成本!E20</f>
        <v>12.095000000000001</v>
      </c>
      <c r="E45" s="104"/>
      <c r="AE45" s="93" t="s">
        <v>105</v>
      </c>
      <c r="AF45" s="93" t="s">
        <v>120</v>
      </c>
    </row>
    <row r="46" spans="1:32" s="88" customFormat="1">
      <c r="A46" s="90">
        <v>4</v>
      </c>
      <c r="B46" s="105" t="s">
        <v>121</v>
      </c>
      <c r="C46" s="110">
        <f>C21/C6</f>
        <v>6.333333333333333</v>
      </c>
      <c r="D46" s="110">
        <f>D21/D6</f>
        <v>6.333333333333333</v>
      </c>
      <c r="E46" s="110"/>
      <c r="AE46" s="105" t="s">
        <v>65</v>
      </c>
      <c r="AF46" s="105" t="s">
        <v>123</v>
      </c>
    </row>
    <row r="47" spans="1:32" s="88" customFormat="1">
      <c r="A47" s="90">
        <v>5</v>
      </c>
      <c r="B47" s="105" t="s">
        <v>123</v>
      </c>
      <c r="C47" s="110">
        <f>标准成本!E11</f>
        <v>80.006</v>
      </c>
      <c r="D47" s="110">
        <f>标准成本!E23</f>
        <v>25.724</v>
      </c>
      <c r="E47" s="110"/>
      <c r="AE47" s="105" t="s">
        <v>65</v>
      </c>
      <c r="AF47" s="105" t="s">
        <v>123</v>
      </c>
    </row>
    <row r="48" spans="1:32">
      <c r="A48" s="93" t="s">
        <v>116</v>
      </c>
      <c r="B48" s="98" t="s">
        <v>134</v>
      </c>
      <c r="C48" s="104">
        <f>C40-C43-C44-C45-C47-C46</f>
        <v>201.87627036685194</v>
      </c>
      <c r="D48" s="104">
        <f>D40-D43-D44-D45-D47-D46</f>
        <v>59.163666666666664</v>
      </c>
      <c r="E48" s="104"/>
      <c r="AE48" s="93" t="s">
        <v>133</v>
      </c>
      <c r="AF48" s="98" t="s">
        <v>134</v>
      </c>
    </row>
    <row r="51" spans="2:10">
      <c r="C51" s="111"/>
      <c r="D51" s="111"/>
    </row>
    <row r="54" spans="2:10">
      <c r="B54" s="2"/>
      <c r="C54" s="112"/>
      <c r="D54" s="112"/>
      <c r="E54" s="112"/>
      <c r="F54" s="2"/>
      <c r="G54" s="2"/>
      <c r="H54" s="2"/>
      <c r="I54" s="2"/>
      <c r="J54" s="2"/>
    </row>
    <row r="55" spans="2:10">
      <c r="B55" s="2"/>
      <c r="C55" s="112"/>
      <c r="D55" s="112"/>
      <c r="E55" s="112"/>
      <c r="F55" s="2"/>
      <c r="G55" s="2"/>
      <c r="H55" s="2"/>
      <c r="I55" s="2"/>
      <c r="J55" s="2"/>
    </row>
    <row r="56" spans="2:10">
      <c r="B56" s="2"/>
      <c r="C56" s="112"/>
      <c r="D56" s="112"/>
      <c r="E56" s="112"/>
      <c r="F56" s="2"/>
      <c r="G56" s="2"/>
      <c r="H56" s="2"/>
      <c r="I56" s="2"/>
      <c r="J56" s="2"/>
    </row>
    <row r="57" spans="2:10">
      <c r="B57" s="2"/>
      <c r="C57" s="112"/>
      <c r="D57" s="112"/>
      <c r="E57" s="112"/>
      <c r="F57" s="2"/>
      <c r="G57" s="2"/>
      <c r="H57" s="2"/>
      <c r="I57" s="2"/>
      <c r="J57" s="2"/>
    </row>
    <row r="58" spans="2:10">
      <c r="B58" s="2"/>
      <c r="C58" s="112"/>
      <c r="D58" s="112"/>
      <c r="E58" s="112"/>
      <c r="F58" s="2"/>
      <c r="G58" s="2"/>
      <c r="H58" s="2"/>
      <c r="I58" s="2"/>
      <c r="J58" s="2"/>
    </row>
    <row r="59" spans="2:10">
      <c r="B59" s="2"/>
      <c r="C59" s="112"/>
      <c r="D59" s="112"/>
      <c r="E59" s="112"/>
      <c r="F59" s="2"/>
      <c r="G59" s="2"/>
      <c r="H59" s="2"/>
      <c r="I59" s="2"/>
      <c r="J59" s="2"/>
    </row>
    <row r="60" spans="2:10">
      <c r="B60" s="2"/>
      <c r="C60" s="112"/>
      <c r="D60" s="112"/>
      <c r="E60" s="112"/>
      <c r="F60" s="2"/>
      <c r="G60" s="2"/>
      <c r="H60" s="2"/>
      <c r="I60" s="2"/>
      <c r="J60" s="2"/>
    </row>
    <row r="61" spans="2:10">
      <c r="B61" s="2"/>
      <c r="C61" s="112"/>
      <c r="D61" s="112"/>
      <c r="E61" s="112"/>
      <c r="F61" s="2"/>
      <c r="G61" s="2"/>
      <c r="H61" s="2"/>
      <c r="I61" s="2"/>
      <c r="J61" s="2"/>
    </row>
    <row r="62" spans="2:10">
      <c r="B62" s="2"/>
      <c r="C62" s="112"/>
      <c r="D62" s="112"/>
      <c r="E62" s="112"/>
      <c r="F62" s="2"/>
      <c r="G62" s="2"/>
      <c r="H62" s="2"/>
      <c r="I62" s="2"/>
      <c r="J62" s="2"/>
    </row>
    <row r="63" spans="2:10">
      <c r="B63" s="2"/>
      <c r="C63" s="112"/>
      <c r="D63" s="112"/>
      <c r="E63" s="112"/>
      <c r="F63" s="2"/>
      <c r="G63" s="2"/>
      <c r="H63" s="2"/>
      <c r="I63" s="2"/>
      <c r="J63" s="2"/>
    </row>
    <row r="64" spans="2:10">
      <c r="B64" s="2"/>
      <c r="C64" s="112"/>
      <c r="D64" s="112"/>
      <c r="E64" s="112"/>
      <c r="F64" s="2"/>
      <c r="G64" s="2"/>
      <c r="H64" s="2"/>
      <c r="I64" s="2"/>
      <c r="J64" s="2"/>
    </row>
    <row r="65" spans="2:10">
      <c r="B65" s="2"/>
      <c r="C65" s="112"/>
      <c r="D65" s="112"/>
      <c r="E65" s="112"/>
      <c r="F65" s="2"/>
      <c r="G65" s="2"/>
      <c r="H65" s="2"/>
      <c r="I65" s="2"/>
      <c r="J65" s="2"/>
    </row>
    <row r="66" spans="2:10">
      <c r="B66" s="2"/>
      <c r="C66" s="112"/>
      <c r="D66" s="112"/>
      <c r="E66" s="112"/>
      <c r="F66" s="2"/>
      <c r="G66" s="2"/>
      <c r="H66" s="2"/>
      <c r="I66" s="2"/>
      <c r="J66" s="2"/>
    </row>
    <row r="67" spans="2:10">
      <c r="B67" s="2"/>
      <c r="C67" s="112"/>
      <c r="D67" s="112"/>
      <c r="E67" s="112"/>
      <c r="F67" s="2"/>
    </row>
    <row r="68" spans="2:10">
      <c r="B68" s="2"/>
      <c r="C68" s="112"/>
      <c r="D68" s="112"/>
      <c r="E68" s="112"/>
      <c r="F68" s="2"/>
    </row>
    <row r="69" spans="2:10">
      <c r="B69" s="2"/>
      <c r="C69" s="112"/>
      <c r="D69" s="112"/>
      <c r="E69" s="112"/>
      <c r="F69" s="2"/>
    </row>
    <row r="70" spans="2:10">
      <c r="B70" s="2"/>
      <c r="C70" s="112"/>
      <c r="D70" s="112"/>
      <c r="E70" s="112"/>
      <c r="F70" s="2"/>
    </row>
    <row r="71" spans="2:10">
      <c r="B71" s="2"/>
      <c r="C71" s="112"/>
      <c r="D71" s="112"/>
      <c r="E71" s="112"/>
      <c r="F71" s="2"/>
    </row>
    <row r="72" spans="2:10">
      <c r="B72" s="2"/>
      <c r="C72" s="112"/>
      <c r="D72" s="112"/>
      <c r="E72" s="112"/>
      <c r="F72" s="2"/>
    </row>
    <row r="73" spans="2:10">
      <c r="B73" s="2"/>
      <c r="C73" s="112"/>
      <c r="D73" s="112"/>
      <c r="E73" s="112"/>
      <c r="F73" s="2"/>
    </row>
    <row r="74" spans="2:10">
      <c r="B74" s="2"/>
      <c r="C74" s="112"/>
      <c r="D74" s="112"/>
      <c r="E74" s="112"/>
      <c r="F74" s="2"/>
    </row>
  </sheetData>
  <mergeCells count="8">
    <mergeCell ref="A4:B4"/>
    <mergeCell ref="A5:B5"/>
    <mergeCell ref="E3:E5"/>
    <mergeCell ref="A1:B1"/>
    <mergeCell ref="C1:E1"/>
    <mergeCell ref="A2:B2"/>
    <mergeCell ref="C2:E2"/>
    <mergeCell ref="A3:B3"/>
  </mergeCells>
  <phoneticPr fontId="4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  <ignoredErrors>
    <ignoredError sqref="E2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zoomScale="85" zoomScaleNormal="85" workbookViewId="0">
      <pane xSplit="2" ySplit="7" topLeftCell="C11" activePane="bottomRight" state="frozen"/>
      <selection pane="topRight"/>
      <selection pane="bottomLeft"/>
      <selection pane="bottomRight" activeCell="B25" sqref="B25:E25"/>
    </sheetView>
  </sheetViews>
  <sheetFormatPr defaultColWidth="9" defaultRowHeight="16.5"/>
  <cols>
    <col min="1" max="1" width="5.125" style="86" customWidth="1"/>
    <col min="2" max="2" width="17.5" style="86" customWidth="1"/>
    <col min="3" max="3" width="15.375" style="89" customWidth="1"/>
    <col min="4" max="4" width="14.375" style="89" customWidth="1"/>
    <col min="5" max="5" width="18.75" style="89" customWidth="1"/>
    <col min="6" max="6" width="12.375" style="86" customWidth="1"/>
    <col min="7" max="7" width="10.125" style="86" customWidth="1"/>
    <col min="8" max="14" width="9" style="86" customWidth="1"/>
    <col min="15" max="30" width="9" style="86"/>
    <col min="31" max="31" width="4.375" style="86" customWidth="1"/>
    <col min="32" max="32" width="13.875" style="86" customWidth="1"/>
    <col min="33" max="16384" width="9" style="86"/>
  </cols>
  <sheetData>
    <row r="1" spans="1:33">
      <c r="A1" s="207" t="s">
        <v>144</v>
      </c>
      <c r="B1" s="207"/>
      <c r="C1" s="211" t="s">
        <v>284</v>
      </c>
      <c r="D1" s="212"/>
      <c r="E1" s="213"/>
    </row>
    <row r="2" spans="1:33">
      <c r="A2" s="207" t="s">
        <v>145</v>
      </c>
      <c r="B2" s="207"/>
      <c r="C2" s="214" t="str">
        <f>'2025年'!$C$2</f>
        <v>陕汽重型汽车有限公司</v>
      </c>
      <c r="D2" s="214"/>
      <c r="E2" s="214"/>
    </row>
    <row r="3" spans="1:33" ht="33.75">
      <c r="A3" s="207" t="s">
        <v>146</v>
      </c>
      <c r="B3" s="207"/>
      <c r="C3" s="91" t="str">
        <f>'2025年'!C3</f>
        <v>左空气悬浮座椅总成/一体式头枕/X5000/扶手/报警锁扣/斜滑轨</v>
      </c>
      <c r="D3" s="91" t="str">
        <f>'2025年'!D3</f>
        <v>副司机座椅</v>
      </c>
      <c r="E3" s="208" t="s">
        <v>54</v>
      </c>
    </row>
    <row r="4" spans="1:33">
      <c r="A4" s="207" t="s">
        <v>147</v>
      </c>
      <c r="B4" s="207"/>
      <c r="C4" s="91" t="str">
        <f>'2025年'!C4</f>
        <v>DZ14251510207/8</v>
      </c>
      <c r="D4" s="91" t="str">
        <f>'2025年'!D4</f>
        <v>DZ14251510122</v>
      </c>
      <c r="E4" s="209"/>
    </row>
    <row r="5" spans="1:33" ht="42.75">
      <c r="A5" s="207" t="s">
        <v>148</v>
      </c>
      <c r="B5" s="207"/>
      <c r="C5" s="92" t="str">
        <f>'2025年'!C5</f>
        <v>与X5000配置一致，需要重新开发滑轨+底座总成</v>
      </c>
      <c r="D5" s="92">
        <f>'2025年'!D5</f>
        <v>0</v>
      </c>
      <c r="E5" s="210"/>
      <c r="AG5" s="86" t="s">
        <v>55</v>
      </c>
    </row>
    <row r="6" spans="1:33">
      <c r="A6" s="93" t="s">
        <v>21</v>
      </c>
      <c r="B6" s="94" t="s">
        <v>149</v>
      </c>
      <c r="C6" s="95">
        <f>销量!C11</f>
        <v>3000</v>
      </c>
      <c r="D6" s="95">
        <f>销量!D11</f>
        <v>3000</v>
      </c>
      <c r="E6" s="96">
        <f t="shared" ref="E6:E15" si="0">+SUM(C6:D6)</f>
        <v>6000</v>
      </c>
      <c r="AE6" s="93" t="s">
        <v>21</v>
      </c>
      <c r="AF6" s="94" t="s">
        <v>3</v>
      </c>
      <c r="AG6" s="86" t="s">
        <v>56</v>
      </c>
    </row>
    <row r="7" spans="1:33">
      <c r="A7" s="90">
        <v>1</v>
      </c>
      <c r="B7" s="94" t="s">
        <v>57</v>
      </c>
      <c r="C7" s="96">
        <f>C6*销量!C8</f>
        <v>5505000</v>
      </c>
      <c r="D7" s="96">
        <f>D6*销量!D8</f>
        <v>1770000</v>
      </c>
      <c r="E7" s="96">
        <f t="shared" si="0"/>
        <v>7275000</v>
      </c>
      <c r="F7" s="89"/>
      <c r="AE7" s="93" t="s">
        <v>58</v>
      </c>
      <c r="AF7" s="94" t="s">
        <v>57</v>
      </c>
      <c r="AG7" s="86" t="s">
        <v>56</v>
      </c>
    </row>
    <row r="8" spans="1:33">
      <c r="A8" s="90">
        <v>2</v>
      </c>
      <c r="B8" s="90" t="s">
        <v>59</v>
      </c>
      <c r="C8" s="96">
        <f>C7*(1-销量!$K$8)</f>
        <v>536737.50000000012</v>
      </c>
      <c r="D8" s="96">
        <f>D7*(1-销量!$K$8)</f>
        <v>172575.00000000006</v>
      </c>
      <c r="E8" s="96">
        <f t="shared" si="0"/>
        <v>709312.50000000023</v>
      </c>
      <c r="F8" s="97"/>
      <c r="AE8" s="93" t="s">
        <v>60</v>
      </c>
      <c r="AF8" s="90" t="s">
        <v>61</v>
      </c>
      <c r="AG8" s="86" t="s">
        <v>56</v>
      </c>
    </row>
    <row r="9" spans="1:33">
      <c r="A9" s="90">
        <v>3</v>
      </c>
      <c r="B9" s="94" t="s">
        <v>62</v>
      </c>
      <c r="C9" s="96">
        <f>+C7-C8</f>
        <v>4968262.5</v>
      </c>
      <c r="D9" s="96">
        <f>+D7-D8</f>
        <v>1597425</v>
      </c>
      <c r="E9" s="96">
        <f t="shared" si="0"/>
        <v>6565687.5</v>
      </c>
      <c r="AE9" s="93" t="s">
        <v>63</v>
      </c>
      <c r="AF9" s="94" t="s">
        <v>62</v>
      </c>
      <c r="AG9" s="86" t="s">
        <v>64</v>
      </c>
    </row>
    <row r="10" spans="1:33">
      <c r="A10" s="90">
        <v>4</v>
      </c>
      <c r="B10" s="93" t="s">
        <v>66</v>
      </c>
      <c r="C10" s="96">
        <f>C6*C33</f>
        <v>3476917.0544544719</v>
      </c>
      <c r="D10" s="96">
        <f>D6*D33</f>
        <v>1122045</v>
      </c>
      <c r="E10" s="96">
        <f t="shared" si="0"/>
        <v>4598962.0544544719</v>
      </c>
      <c r="AE10" s="93" t="s">
        <v>65</v>
      </c>
      <c r="AF10" s="93" t="s">
        <v>66</v>
      </c>
      <c r="AG10" s="86" t="s">
        <v>67</v>
      </c>
    </row>
    <row r="11" spans="1:33">
      <c r="A11" s="90">
        <v>5</v>
      </c>
      <c r="B11" s="93" t="s">
        <v>68</v>
      </c>
      <c r="C11" s="96">
        <f>+C6*C36</f>
        <v>161296.5</v>
      </c>
      <c r="D11" s="96">
        <f>+D6*D36</f>
        <v>51861</v>
      </c>
      <c r="E11" s="96">
        <f t="shared" si="0"/>
        <v>213157.5</v>
      </c>
      <c r="AE11" s="93" t="s">
        <v>69</v>
      </c>
      <c r="AF11" s="93" t="s">
        <v>68</v>
      </c>
    </row>
    <row r="12" spans="1:33">
      <c r="A12" s="90">
        <v>6</v>
      </c>
      <c r="B12" s="93" t="s">
        <v>70</v>
      </c>
      <c r="C12" s="96">
        <f>+C6*C37</f>
        <v>47893.5</v>
      </c>
      <c r="D12" s="96">
        <f>+D6*D37</f>
        <v>15399</v>
      </c>
      <c r="E12" s="96">
        <f t="shared" si="0"/>
        <v>63292.5</v>
      </c>
      <c r="AE12" s="93" t="s">
        <v>71</v>
      </c>
      <c r="AF12" s="93" t="s">
        <v>70</v>
      </c>
    </row>
    <row r="13" spans="1:33">
      <c r="A13" s="90">
        <v>7</v>
      </c>
      <c r="B13" s="93" t="s">
        <v>72</v>
      </c>
      <c r="C13" s="96">
        <f>+C6*C38</f>
        <v>226806</v>
      </c>
      <c r="D13" s="96">
        <f>+D6*D38</f>
        <v>72924</v>
      </c>
      <c r="E13" s="96">
        <f t="shared" si="0"/>
        <v>299730</v>
      </c>
      <c r="AE13" s="93" t="s">
        <v>73</v>
      </c>
      <c r="AF13" s="93" t="s">
        <v>72</v>
      </c>
      <c r="AG13" s="86" t="s">
        <v>56</v>
      </c>
    </row>
    <row r="14" spans="1:33">
      <c r="A14" s="90">
        <v>8</v>
      </c>
      <c r="B14" s="98" t="s">
        <v>74</v>
      </c>
      <c r="C14" s="96">
        <f>SUM(C11:C13)</f>
        <v>435996</v>
      </c>
      <c r="D14" s="96">
        <f>SUM(D11:D13)</f>
        <v>140184</v>
      </c>
      <c r="E14" s="96">
        <f t="shared" si="0"/>
        <v>576180</v>
      </c>
      <c r="AE14" s="93" t="s">
        <v>75</v>
      </c>
      <c r="AF14" s="98" t="s">
        <v>74</v>
      </c>
    </row>
    <row r="15" spans="1:33">
      <c r="A15" s="90">
        <v>9</v>
      </c>
      <c r="B15" s="98" t="s">
        <v>76</v>
      </c>
      <c r="C15" s="96">
        <f>+C9-C10-C14</f>
        <v>1055349.4455455281</v>
      </c>
      <c r="D15" s="96">
        <f>+D9-D10-D14</f>
        <v>335196</v>
      </c>
      <c r="E15" s="96">
        <f t="shared" si="0"/>
        <v>1390545.4455455281</v>
      </c>
      <c r="AE15" s="93" t="s">
        <v>77</v>
      </c>
      <c r="AF15" s="98" t="s">
        <v>76</v>
      </c>
    </row>
    <row r="16" spans="1:33">
      <c r="A16" s="90">
        <v>10</v>
      </c>
      <c r="B16" s="93" t="s">
        <v>78</v>
      </c>
      <c r="C16" s="99">
        <f>+C15/C9</f>
        <v>0.21241821372069775</v>
      </c>
      <c r="D16" s="99">
        <f>+D15/D9</f>
        <v>0.20983520353068219</v>
      </c>
      <c r="E16" s="99">
        <f>+E15/E9</f>
        <v>0.21178977000436405</v>
      </c>
      <c r="AE16" s="93" t="s">
        <v>79</v>
      </c>
      <c r="AF16" s="93" t="s">
        <v>78</v>
      </c>
    </row>
    <row r="17" spans="1:33">
      <c r="A17" s="90">
        <v>11</v>
      </c>
      <c r="B17" s="93" t="s">
        <v>80</v>
      </c>
      <c r="C17" s="96">
        <f>C6*C43+C18</f>
        <v>397023.5</v>
      </c>
      <c r="D17" s="96">
        <f>D6*D43+D18</f>
        <v>155369</v>
      </c>
      <c r="E17" s="96">
        <f>+SUM(C17:D17)</f>
        <v>552392.5</v>
      </c>
      <c r="F17" s="97"/>
      <c r="AE17" s="93" t="s">
        <v>81</v>
      </c>
      <c r="AF17" s="93" t="s">
        <v>80</v>
      </c>
    </row>
    <row r="18" spans="1:33" s="87" customFormat="1">
      <c r="A18" s="90">
        <v>12</v>
      </c>
      <c r="B18" s="101" t="s">
        <v>150</v>
      </c>
      <c r="C18" s="102">
        <f>$E$18/$E$6*C6</f>
        <v>40850</v>
      </c>
      <c r="D18" s="102">
        <f>$E$18/$E$6*D6</f>
        <v>40850</v>
      </c>
      <c r="E18" s="96">
        <f>项目投资!E26</f>
        <v>81700</v>
      </c>
      <c r="F18" s="103" t="s">
        <v>151</v>
      </c>
      <c r="G18" s="103"/>
      <c r="H18" s="103"/>
    </row>
    <row r="19" spans="1:33">
      <c r="A19" s="90">
        <v>13</v>
      </c>
      <c r="B19" s="93" t="s">
        <v>82</v>
      </c>
      <c r="C19" s="96">
        <f>C6*C44</f>
        <v>75418.5</v>
      </c>
      <c r="D19" s="96">
        <f>D6*D44</f>
        <v>24249</v>
      </c>
      <c r="E19" s="96">
        <f>+SUM(C19:D19)</f>
        <v>99667.5</v>
      </c>
      <c r="F19" s="87"/>
      <c r="AE19" s="93" t="s">
        <v>83</v>
      </c>
      <c r="AF19" s="93" t="s">
        <v>82</v>
      </c>
      <c r="AG19" s="86" t="s">
        <v>56</v>
      </c>
    </row>
    <row r="20" spans="1:33">
      <c r="A20" s="90">
        <v>14</v>
      </c>
      <c r="B20" s="93" t="s">
        <v>84</v>
      </c>
      <c r="C20" s="96">
        <f>C6*C45</f>
        <v>112852.5</v>
      </c>
      <c r="D20" s="96">
        <f>D6*D45</f>
        <v>36285</v>
      </c>
      <c r="E20" s="96">
        <f>+SUM(C20:D20)</f>
        <v>149137.5</v>
      </c>
      <c r="AE20" s="93" t="s">
        <v>85</v>
      </c>
      <c r="AF20" s="93" t="s">
        <v>84</v>
      </c>
    </row>
    <row r="21" spans="1:33">
      <c r="A21" s="90">
        <v>15</v>
      </c>
      <c r="B21" s="93" t="s">
        <v>86</v>
      </c>
      <c r="C21" s="104">
        <f>$E$21/$E$6*C6</f>
        <v>19000</v>
      </c>
      <c r="D21" s="104">
        <f>$E$21/$E$6*D6</f>
        <v>19000</v>
      </c>
      <c r="E21" s="96">
        <f>项目投资!E27</f>
        <v>38000</v>
      </c>
      <c r="AE21" s="93"/>
      <c r="AF21" s="93"/>
    </row>
    <row r="22" spans="1:33">
      <c r="A22" s="90">
        <v>16</v>
      </c>
      <c r="B22" s="93" t="s">
        <v>87</v>
      </c>
      <c r="C22" s="96">
        <f>C6*C47</f>
        <v>240018</v>
      </c>
      <c r="D22" s="96">
        <f>D6*D47</f>
        <v>77172</v>
      </c>
      <c r="E22" s="96">
        <f>+SUM(C22:D22)</f>
        <v>317190</v>
      </c>
      <c r="AE22" s="93" t="s">
        <v>88</v>
      </c>
      <c r="AF22" s="93" t="s">
        <v>87</v>
      </c>
    </row>
    <row r="23" spans="1:33">
      <c r="A23" s="90">
        <v>17</v>
      </c>
      <c r="B23" s="98" t="s">
        <v>89</v>
      </c>
      <c r="C23" s="104">
        <f>+C22+C21+C20+C19+C17</f>
        <v>844312.5</v>
      </c>
      <c r="D23" s="104">
        <f>+D22+D21+D20+D19+D17</f>
        <v>312075</v>
      </c>
      <c r="E23" s="104">
        <f>+E22+E21+E20+E19+E17</f>
        <v>1156387.5</v>
      </c>
      <c r="AE23" s="93" t="s">
        <v>90</v>
      </c>
      <c r="AF23" s="98" t="s">
        <v>89</v>
      </c>
    </row>
    <row r="24" spans="1:33">
      <c r="A24" s="90">
        <v>18</v>
      </c>
      <c r="B24" s="105" t="s">
        <v>91</v>
      </c>
      <c r="C24" s="104">
        <f>+C15-C23</f>
        <v>211036.94554552808</v>
      </c>
      <c r="D24" s="104">
        <f>+D15-D23</f>
        <v>23121</v>
      </c>
      <c r="E24" s="104">
        <f>+E15-E23</f>
        <v>234157.94554552808</v>
      </c>
      <c r="G24" s="106"/>
      <c r="AE24" s="93" t="s">
        <v>92</v>
      </c>
      <c r="AF24" s="93" t="s">
        <v>91</v>
      </c>
    </row>
    <row r="25" spans="1:33">
      <c r="A25" s="90">
        <v>19</v>
      </c>
      <c r="B25" s="93" t="s">
        <v>303</v>
      </c>
      <c r="C25" s="104">
        <f>IF(C24&lt;0,0,C24*0.15)</f>
        <v>31655.54183182921</v>
      </c>
      <c r="D25" s="104">
        <f t="shared" ref="D25:E25" si="1">IF(D24&lt;0,0,D24*0.15)</f>
        <v>3468.15</v>
      </c>
      <c r="E25" s="104">
        <f t="shared" si="1"/>
        <v>35123.691831829208</v>
      </c>
      <c r="F25" s="2"/>
      <c r="G25" s="2"/>
      <c r="H25" s="2"/>
      <c r="AE25" s="93" t="s">
        <v>93</v>
      </c>
      <c r="AF25" s="93" t="s">
        <v>38</v>
      </c>
    </row>
    <row r="26" spans="1:33">
      <c r="A26" s="90">
        <v>20</v>
      </c>
      <c r="B26" s="93" t="s">
        <v>94</v>
      </c>
      <c r="C26" s="104">
        <f>C24-C25</f>
        <v>179381.40371369888</v>
      </c>
      <c r="D26" s="104">
        <f>D24-D25</f>
        <v>19652.849999999999</v>
      </c>
      <c r="E26" s="96">
        <f>+SUM(C26:D26)</f>
        <v>199034.25371369888</v>
      </c>
      <c r="F26" s="2"/>
      <c r="G26" s="2"/>
      <c r="H26" s="2"/>
      <c r="AE26" s="93" t="s">
        <v>95</v>
      </c>
      <c r="AF26" s="93" t="s">
        <v>94</v>
      </c>
    </row>
    <row r="27" spans="1:33">
      <c r="A27" s="90">
        <v>21</v>
      </c>
      <c r="B27" s="93" t="s">
        <v>98</v>
      </c>
      <c r="C27" s="107">
        <f>C26/C7</f>
        <v>3.258517778632132E-2</v>
      </c>
      <c r="D27" s="107">
        <f>D26/D7</f>
        <v>1.1103305084745762E-2</v>
      </c>
      <c r="E27" s="107">
        <f>E26/E7</f>
        <v>2.7358660304288508E-2</v>
      </c>
      <c r="F27" s="2"/>
      <c r="G27" s="2"/>
      <c r="H27" s="2"/>
      <c r="AE27" s="93" t="s">
        <v>97</v>
      </c>
      <c r="AF27" s="93" t="s">
        <v>98</v>
      </c>
    </row>
    <row r="28" spans="1:33">
      <c r="F28" s="2"/>
      <c r="G28" s="2"/>
      <c r="H28" s="2"/>
    </row>
    <row r="29" spans="1:33">
      <c r="A29" s="86" t="s">
        <v>99</v>
      </c>
      <c r="E29" s="89" t="s">
        <v>152</v>
      </c>
      <c r="F29" s="2"/>
      <c r="G29" s="2"/>
      <c r="H29" s="2"/>
      <c r="AE29" s="86" t="s">
        <v>99</v>
      </c>
    </row>
    <row r="30" spans="1:33">
      <c r="A30" s="93" t="s">
        <v>100</v>
      </c>
      <c r="B30" s="98" t="s">
        <v>101</v>
      </c>
      <c r="C30" s="104"/>
      <c r="D30" s="104"/>
      <c r="E30" s="104"/>
      <c r="F30" s="2"/>
      <c r="G30" s="2"/>
      <c r="H30" s="2"/>
      <c r="J30" s="2"/>
      <c r="AE30" s="93" t="s">
        <v>102</v>
      </c>
      <c r="AF30" s="98" t="s">
        <v>101</v>
      </c>
    </row>
    <row r="31" spans="1:33">
      <c r="A31" s="90">
        <v>1</v>
      </c>
      <c r="B31" s="101" t="s">
        <v>103</v>
      </c>
      <c r="C31" s="108">
        <f>销量!C8</f>
        <v>1835</v>
      </c>
      <c r="D31" s="108">
        <f>销量!D8</f>
        <v>590</v>
      </c>
      <c r="E31" s="104"/>
      <c r="F31" s="2"/>
      <c r="G31" s="2"/>
      <c r="H31" s="2"/>
      <c r="J31" s="2"/>
      <c r="AE31" s="93" t="s">
        <v>58</v>
      </c>
      <c r="AF31" s="93" t="s">
        <v>103</v>
      </c>
    </row>
    <row r="32" spans="1:33">
      <c r="A32" s="90">
        <v>2</v>
      </c>
      <c r="B32" s="93" t="s">
        <v>153</v>
      </c>
      <c r="C32" s="96">
        <f>C31*1</f>
        <v>1835</v>
      </c>
      <c r="D32" s="96">
        <f>D31*1</f>
        <v>590</v>
      </c>
      <c r="E32" s="104"/>
      <c r="F32" s="2"/>
      <c r="G32" s="2"/>
      <c r="H32" s="2"/>
      <c r="I32" s="2"/>
      <c r="J32" s="2"/>
      <c r="K32" s="2"/>
      <c r="L32" s="2"/>
      <c r="AE32" s="93"/>
      <c r="AF32" s="93"/>
    </row>
    <row r="33" spans="1:32">
      <c r="A33" s="90">
        <v>3</v>
      </c>
      <c r="B33" s="101" t="s">
        <v>104</v>
      </c>
      <c r="C33" s="96">
        <f>材料成本!D25</f>
        <v>1158.972351484824</v>
      </c>
      <c r="D33" s="96">
        <f>材料成本!E25</f>
        <v>374.01499999999999</v>
      </c>
      <c r="E33" s="104"/>
      <c r="G33" s="2"/>
      <c r="H33" s="2"/>
      <c r="I33" s="2"/>
      <c r="J33" s="2"/>
      <c r="K33" s="2"/>
      <c r="L33" s="2"/>
      <c r="AE33" s="93" t="s">
        <v>60</v>
      </c>
      <c r="AF33" s="93" t="s">
        <v>104</v>
      </c>
    </row>
    <row r="34" spans="1:32" ht="17.25" customHeight="1">
      <c r="A34" s="90">
        <v>4</v>
      </c>
      <c r="B34" s="93" t="s">
        <v>106</v>
      </c>
      <c r="C34" s="109">
        <f>C32-C33</f>
        <v>676.027648515176</v>
      </c>
      <c r="D34" s="109">
        <f>D32-D33</f>
        <v>215.98500000000001</v>
      </c>
      <c r="E34" s="104"/>
      <c r="G34" s="2"/>
      <c r="H34" s="2"/>
      <c r="I34" s="2"/>
      <c r="J34" s="2"/>
      <c r="K34" s="2"/>
      <c r="L34" s="2"/>
      <c r="AE34" s="93" t="s">
        <v>105</v>
      </c>
      <c r="AF34" s="93" t="s">
        <v>106</v>
      </c>
    </row>
    <row r="35" spans="1:32">
      <c r="A35" s="93" t="s">
        <v>102</v>
      </c>
      <c r="B35" s="98" t="s">
        <v>10</v>
      </c>
      <c r="C35" s="104"/>
      <c r="D35" s="104"/>
      <c r="E35" s="104"/>
      <c r="F35" s="2"/>
      <c r="G35" s="2"/>
      <c r="H35" s="2"/>
      <c r="I35" s="2"/>
      <c r="J35" s="2"/>
      <c r="K35" s="2"/>
      <c r="L35" s="2"/>
      <c r="M35" s="2"/>
      <c r="N35" s="2"/>
      <c r="O35" s="2"/>
      <c r="AE35" s="93" t="s">
        <v>108</v>
      </c>
      <c r="AF35" s="98" t="s">
        <v>10</v>
      </c>
    </row>
    <row r="36" spans="1:32">
      <c r="A36" s="90">
        <v>1</v>
      </c>
      <c r="B36" s="93" t="s">
        <v>109</v>
      </c>
      <c r="C36" s="102">
        <f>标准成本!E4</f>
        <v>53.765499999999996</v>
      </c>
      <c r="D36" s="102">
        <f>标准成本!E16</f>
        <v>17.286999999999999</v>
      </c>
      <c r="E36" s="108"/>
      <c r="F36" s="2"/>
      <c r="G36" s="2"/>
      <c r="H36" s="2"/>
      <c r="I36" s="2"/>
      <c r="J36" s="2"/>
      <c r="K36" s="2"/>
      <c r="L36" s="2"/>
      <c r="M36" s="2"/>
      <c r="N36" s="2"/>
      <c r="O36" s="2"/>
      <c r="AE36" s="93" t="s">
        <v>105</v>
      </c>
      <c r="AF36" s="93" t="s">
        <v>109</v>
      </c>
    </row>
    <row r="37" spans="1:32">
      <c r="A37" s="90">
        <v>2</v>
      </c>
      <c r="B37" s="93" t="s">
        <v>110</v>
      </c>
      <c r="C37" s="102">
        <f>标准成本!E6</f>
        <v>15.964499999999999</v>
      </c>
      <c r="D37" s="102">
        <f>标准成本!E18</f>
        <v>5.133</v>
      </c>
      <c r="E37" s="108"/>
      <c r="F37" s="2"/>
      <c r="G37" s="2"/>
      <c r="H37" s="2"/>
      <c r="I37" s="2"/>
      <c r="J37" s="2"/>
      <c r="K37" s="2"/>
      <c r="L37" s="2"/>
      <c r="M37" s="2"/>
      <c r="N37" s="2"/>
      <c r="O37" s="2"/>
      <c r="AE37" s="93" t="s">
        <v>63</v>
      </c>
      <c r="AF37" s="93" t="s">
        <v>110</v>
      </c>
    </row>
    <row r="38" spans="1:32">
      <c r="A38" s="90">
        <v>3</v>
      </c>
      <c r="B38" s="93" t="s">
        <v>111</v>
      </c>
      <c r="C38" s="102">
        <f>标准成本!E10</f>
        <v>75.602000000000004</v>
      </c>
      <c r="D38" s="102">
        <f>标准成本!E22</f>
        <v>24.308</v>
      </c>
      <c r="E38" s="108"/>
      <c r="F38" s="2"/>
      <c r="G38" s="2"/>
      <c r="H38" s="2"/>
      <c r="I38" s="2"/>
      <c r="J38" s="2"/>
      <c r="K38" s="2"/>
      <c r="L38" s="2"/>
      <c r="M38" s="2"/>
      <c r="N38" s="2"/>
      <c r="O38" s="2"/>
      <c r="AE38" s="93" t="s">
        <v>69</v>
      </c>
      <c r="AF38" s="93" t="s">
        <v>111</v>
      </c>
    </row>
    <row r="39" spans="1:32">
      <c r="A39" s="93" t="s">
        <v>108</v>
      </c>
      <c r="B39" s="98" t="s">
        <v>113</v>
      </c>
      <c r="C39" s="104"/>
      <c r="D39" s="104"/>
      <c r="E39" s="104"/>
      <c r="AE39" s="93" t="s">
        <v>112</v>
      </c>
      <c r="AF39" s="98" t="s">
        <v>113</v>
      </c>
    </row>
    <row r="40" spans="1:32">
      <c r="A40" s="90">
        <v>1</v>
      </c>
      <c r="B40" s="93" t="s">
        <v>114</v>
      </c>
      <c r="C40" s="104">
        <f>C34-C36-C37-C38</f>
        <v>530.695648515176</v>
      </c>
      <c r="D40" s="104">
        <f>D34-D36-D37-D38</f>
        <v>169.25700000000001</v>
      </c>
      <c r="E40" s="104"/>
      <c r="AE40" s="93" t="s">
        <v>58</v>
      </c>
      <c r="AF40" s="93" t="s">
        <v>114</v>
      </c>
    </row>
    <row r="41" spans="1:32">
      <c r="A41" s="90">
        <v>2</v>
      </c>
      <c r="B41" s="93" t="s">
        <v>115</v>
      </c>
      <c r="C41" s="104"/>
      <c r="D41" s="104"/>
      <c r="E41" s="104"/>
      <c r="AE41" s="93" t="s">
        <v>60</v>
      </c>
      <c r="AF41" s="93" t="s">
        <v>115</v>
      </c>
    </row>
    <row r="42" spans="1:32">
      <c r="A42" s="93" t="s">
        <v>112</v>
      </c>
      <c r="B42" s="98" t="s">
        <v>117</v>
      </c>
      <c r="C42" s="104"/>
      <c r="D42" s="104"/>
      <c r="E42" s="104"/>
      <c r="AE42" s="93" t="s">
        <v>116</v>
      </c>
      <c r="AF42" s="98" t="s">
        <v>117</v>
      </c>
    </row>
    <row r="43" spans="1:32">
      <c r="A43" s="90">
        <v>1</v>
      </c>
      <c r="B43" s="105" t="s">
        <v>118</v>
      </c>
      <c r="C43" s="102">
        <f>标准成本!E5</f>
        <v>118.72449999999999</v>
      </c>
      <c r="D43" s="102">
        <f>标准成本!E17</f>
        <v>38.172999999999995</v>
      </c>
      <c r="E43" s="104"/>
      <c r="AE43" s="93" t="s">
        <v>58</v>
      </c>
      <c r="AF43" s="93" t="s">
        <v>118</v>
      </c>
    </row>
    <row r="44" spans="1:32">
      <c r="A44" s="90">
        <v>2</v>
      </c>
      <c r="B44" s="105" t="s">
        <v>119</v>
      </c>
      <c r="C44" s="102">
        <f>标准成本!E9</f>
        <v>25.139500000000002</v>
      </c>
      <c r="D44" s="102">
        <f>标准成本!E21</f>
        <v>8.0830000000000002</v>
      </c>
      <c r="E44" s="104"/>
      <c r="AE44" s="93" t="s">
        <v>60</v>
      </c>
      <c r="AF44" s="93" t="s">
        <v>119</v>
      </c>
    </row>
    <row r="45" spans="1:32">
      <c r="A45" s="90">
        <v>3</v>
      </c>
      <c r="B45" s="105" t="s">
        <v>120</v>
      </c>
      <c r="C45" s="102">
        <f>标准成本!E8</f>
        <v>37.6175</v>
      </c>
      <c r="D45" s="102">
        <f>标准成本!E20</f>
        <v>12.095000000000001</v>
      </c>
      <c r="E45" s="104"/>
      <c r="AE45" s="93" t="s">
        <v>105</v>
      </c>
      <c r="AF45" s="93" t="s">
        <v>120</v>
      </c>
    </row>
    <row r="46" spans="1:32" s="88" customFormat="1">
      <c r="A46" s="90">
        <v>4</v>
      </c>
      <c r="B46" s="105" t="s">
        <v>121</v>
      </c>
      <c r="C46" s="110">
        <f>C21/C6</f>
        <v>6.333333333333333</v>
      </c>
      <c r="D46" s="110">
        <f>D21/D6</f>
        <v>6.333333333333333</v>
      </c>
      <c r="E46" s="110"/>
      <c r="AE46" s="105" t="s">
        <v>65</v>
      </c>
      <c r="AF46" s="105" t="s">
        <v>123</v>
      </c>
    </row>
    <row r="47" spans="1:32" s="88" customFormat="1">
      <c r="A47" s="90">
        <v>5</v>
      </c>
      <c r="B47" s="105" t="s">
        <v>123</v>
      </c>
      <c r="C47" s="110">
        <f>标准成本!E11</f>
        <v>80.006</v>
      </c>
      <c r="D47" s="110">
        <f>标准成本!E23</f>
        <v>25.724</v>
      </c>
      <c r="E47" s="110"/>
      <c r="AE47" s="105" t="s">
        <v>65</v>
      </c>
      <c r="AF47" s="105" t="s">
        <v>123</v>
      </c>
    </row>
    <row r="48" spans="1:32">
      <c r="A48" s="93" t="s">
        <v>116</v>
      </c>
      <c r="B48" s="98" t="s">
        <v>134</v>
      </c>
      <c r="C48" s="104">
        <f>C40-C43-C44-C45-C47-C46</f>
        <v>262.87481518184273</v>
      </c>
      <c r="D48" s="104">
        <f>D40-D43-D44-D45-D47-D46</f>
        <v>78.848666666666674</v>
      </c>
      <c r="E48" s="104"/>
      <c r="AE48" s="93" t="s">
        <v>133</v>
      </c>
      <c r="AF48" s="98" t="s">
        <v>134</v>
      </c>
    </row>
    <row r="51" spans="2:10">
      <c r="C51" s="111"/>
      <c r="D51" s="111"/>
    </row>
    <row r="54" spans="2:10">
      <c r="B54" s="2"/>
      <c r="C54" s="112"/>
      <c r="D54" s="112"/>
      <c r="E54" s="112"/>
      <c r="F54" s="2"/>
      <c r="G54" s="2"/>
      <c r="H54" s="2"/>
      <c r="I54" s="2"/>
      <c r="J54" s="2"/>
    </row>
    <row r="55" spans="2:10">
      <c r="B55" s="2"/>
      <c r="C55" s="112"/>
      <c r="D55" s="112"/>
      <c r="E55" s="112"/>
      <c r="F55" s="2"/>
      <c r="G55" s="2"/>
      <c r="H55" s="2"/>
      <c r="I55" s="2"/>
      <c r="J55" s="2"/>
    </row>
    <row r="56" spans="2:10">
      <c r="B56" s="2"/>
      <c r="C56" s="112"/>
      <c r="D56" s="112"/>
      <c r="E56" s="112"/>
      <c r="F56" s="2"/>
      <c r="G56" s="2"/>
      <c r="H56" s="2"/>
      <c r="I56" s="2"/>
      <c r="J56" s="2"/>
    </row>
    <row r="57" spans="2:10">
      <c r="B57" s="2"/>
      <c r="C57" s="112"/>
      <c r="D57" s="112"/>
      <c r="E57" s="112"/>
      <c r="F57" s="2"/>
      <c r="G57" s="2"/>
      <c r="H57" s="2"/>
      <c r="I57" s="2"/>
      <c r="J57" s="2"/>
    </row>
    <row r="58" spans="2:10">
      <c r="B58" s="2"/>
      <c r="C58" s="112"/>
      <c r="D58" s="112"/>
      <c r="E58" s="112"/>
      <c r="F58" s="2"/>
      <c r="G58" s="2"/>
      <c r="H58" s="2"/>
      <c r="I58" s="2"/>
      <c r="J58" s="2"/>
    </row>
    <row r="59" spans="2:10">
      <c r="B59" s="2"/>
      <c r="C59" s="112"/>
      <c r="D59" s="112"/>
      <c r="E59" s="112"/>
      <c r="F59" s="2"/>
      <c r="G59" s="2"/>
      <c r="H59" s="2"/>
      <c r="I59" s="2"/>
      <c r="J59" s="2"/>
    </row>
    <row r="60" spans="2:10">
      <c r="B60" s="2"/>
      <c r="C60" s="112"/>
      <c r="D60" s="112"/>
      <c r="E60" s="112"/>
      <c r="F60" s="2"/>
      <c r="G60" s="2"/>
      <c r="H60" s="2"/>
      <c r="I60" s="2"/>
      <c r="J60" s="2"/>
    </row>
    <row r="61" spans="2:10">
      <c r="B61" s="2"/>
      <c r="C61" s="112"/>
      <c r="D61" s="112"/>
      <c r="E61" s="112"/>
      <c r="F61" s="2"/>
      <c r="G61" s="2"/>
      <c r="H61" s="2"/>
      <c r="I61" s="2"/>
      <c r="J61" s="2"/>
    </row>
    <row r="62" spans="2:10">
      <c r="B62" s="2"/>
      <c r="C62" s="112"/>
      <c r="D62" s="112"/>
      <c r="E62" s="112"/>
      <c r="F62" s="2"/>
      <c r="G62" s="2"/>
      <c r="H62" s="2"/>
      <c r="I62" s="2"/>
      <c r="J62" s="2"/>
    </row>
    <row r="63" spans="2:10">
      <c r="B63" s="2"/>
      <c r="C63" s="112"/>
      <c r="D63" s="112"/>
      <c r="E63" s="112"/>
      <c r="F63" s="2"/>
      <c r="G63" s="2"/>
      <c r="H63" s="2"/>
      <c r="I63" s="2"/>
      <c r="J63" s="2"/>
    </row>
    <row r="64" spans="2:10">
      <c r="B64" s="2"/>
      <c r="C64" s="112"/>
      <c r="D64" s="112"/>
      <c r="E64" s="112"/>
      <c r="F64" s="2"/>
      <c r="G64" s="2"/>
      <c r="H64" s="2"/>
      <c r="I64" s="2"/>
      <c r="J64" s="2"/>
    </row>
    <row r="65" spans="2:10">
      <c r="B65" s="2"/>
      <c r="C65" s="112"/>
      <c r="D65" s="112"/>
      <c r="E65" s="112"/>
      <c r="F65" s="2"/>
      <c r="G65" s="2"/>
      <c r="H65" s="2"/>
      <c r="I65" s="2"/>
      <c r="J65" s="2"/>
    </row>
    <row r="66" spans="2:10">
      <c r="B66" s="2"/>
      <c r="C66" s="112"/>
      <c r="D66" s="112"/>
      <c r="E66" s="112"/>
      <c r="F66" s="2"/>
      <c r="G66" s="2"/>
      <c r="H66" s="2"/>
      <c r="I66" s="2"/>
      <c r="J66" s="2"/>
    </row>
    <row r="67" spans="2:10">
      <c r="B67" s="2"/>
      <c r="C67" s="112"/>
      <c r="D67" s="112"/>
      <c r="E67" s="112"/>
      <c r="F67" s="2"/>
    </row>
    <row r="68" spans="2:10">
      <c r="B68" s="2"/>
      <c r="C68" s="112"/>
      <c r="D68" s="112"/>
      <c r="E68" s="112"/>
      <c r="F68" s="2"/>
    </row>
    <row r="69" spans="2:10">
      <c r="B69" s="2"/>
      <c r="C69" s="112"/>
      <c r="D69" s="112"/>
      <c r="E69" s="112"/>
      <c r="F69" s="2"/>
    </row>
    <row r="70" spans="2:10">
      <c r="B70" s="2"/>
      <c r="C70" s="112"/>
      <c r="D70" s="112"/>
      <c r="E70" s="112"/>
      <c r="F70" s="2"/>
    </row>
    <row r="71" spans="2:10">
      <c r="B71" s="2"/>
      <c r="C71" s="112"/>
      <c r="D71" s="112"/>
      <c r="E71" s="112"/>
      <c r="F71" s="2"/>
    </row>
    <row r="72" spans="2:10">
      <c r="B72" s="2"/>
      <c r="C72" s="112"/>
      <c r="D72" s="112"/>
      <c r="E72" s="112"/>
      <c r="F72" s="2"/>
    </row>
    <row r="73" spans="2:10">
      <c r="B73" s="2"/>
      <c r="C73" s="112"/>
      <c r="D73" s="112"/>
      <c r="E73" s="112"/>
      <c r="F73" s="2"/>
    </row>
    <row r="74" spans="2:10">
      <c r="B74" s="2"/>
      <c r="C74" s="112"/>
      <c r="D74" s="112"/>
      <c r="E74" s="112"/>
      <c r="F74" s="2"/>
    </row>
  </sheetData>
  <mergeCells count="8">
    <mergeCell ref="A4:B4"/>
    <mergeCell ref="A5:B5"/>
    <mergeCell ref="E3:E5"/>
    <mergeCell ref="A1:B1"/>
    <mergeCell ref="C1:E1"/>
    <mergeCell ref="A2:B2"/>
    <mergeCell ref="C2:E2"/>
    <mergeCell ref="A3:B3"/>
  </mergeCells>
  <phoneticPr fontId="4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zoomScale="85" zoomScaleNormal="85" workbookViewId="0">
      <pane xSplit="2" ySplit="7" topLeftCell="C14" activePane="bottomRight" state="frozen"/>
      <selection pane="topRight"/>
      <selection pane="bottomLeft"/>
      <selection pane="bottomRight" activeCell="B25" sqref="B25:E25"/>
    </sheetView>
  </sheetViews>
  <sheetFormatPr defaultColWidth="9" defaultRowHeight="16.5"/>
  <cols>
    <col min="1" max="1" width="5.125" style="86" customWidth="1"/>
    <col min="2" max="2" width="17.5" style="86" customWidth="1"/>
    <col min="3" max="4" width="14.375" style="89" customWidth="1"/>
    <col min="5" max="5" width="18.75" style="89" customWidth="1"/>
    <col min="6" max="6" width="12.375" style="86" customWidth="1"/>
    <col min="7" max="7" width="10.125" style="86" customWidth="1"/>
    <col min="8" max="14" width="9" style="86" customWidth="1"/>
    <col min="15" max="30" width="9" style="86"/>
    <col min="31" max="31" width="4.375" style="86" customWidth="1"/>
    <col min="32" max="32" width="13.875" style="86" customWidth="1"/>
    <col min="33" max="16384" width="9" style="86"/>
  </cols>
  <sheetData>
    <row r="1" spans="1:33">
      <c r="A1" s="207" t="s">
        <v>144</v>
      </c>
      <c r="B1" s="207"/>
      <c r="C1" s="211" t="s">
        <v>283</v>
      </c>
      <c r="D1" s="212"/>
      <c r="E1" s="213"/>
    </row>
    <row r="2" spans="1:33">
      <c r="A2" s="207" t="s">
        <v>145</v>
      </c>
      <c r="B2" s="207"/>
      <c r="C2" s="214" t="str">
        <f>'2025年'!$C$2</f>
        <v>陕汽重型汽车有限公司</v>
      </c>
      <c r="D2" s="214"/>
      <c r="E2" s="214"/>
    </row>
    <row r="3" spans="1:33" ht="45">
      <c r="A3" s="207" t="s">
        <v>146</v>
      </c>
      <c r="B3" s="207"/>
      <c r="C3" s="91" t="str">
        <f>'2025年'!C3</f>
        <v>左空气悬浮座椅总成/一体式头枕/X5000/扶手/报警锁扣/斜滑轨</v>
      </c>
      <c r="D3" s="91" t="str">
        <f>'2025年'!D3</f>
        <v>副司机座椅</v>
      </c>
      <c r="E3" s="208" t="s">
        <v>54</v>
      </c>
    </row>
    <row r="4" spans="1:33">
      <c r="A4" s="207" t="s">
        <v>147</v>
      </c>
      <c r="B4" s="207"/>
      <c r="C4" s="91" t="str">
        <f>'2025年'!C4</f>
        <v>DZ14251510207/8</v>
      </c>
      <c r="D4" s="91" t="str">
        <f>'2025年'!D4</f>
        <v>DZ14251510122</v>
      </c>
      <c r="E4" s="209"/>
    </row>
    <row r="5" spans="1:33" ht="42.75">
      <c r="A5" s="207" t="s">
        <v>148</v>
      </c>
      <c r="B5" s="207"/>
      <c r="C5" s="92" t="str">
        <f>'2025年'!C5</f>
        <v>与X5000配置一致，需要重新开发滑轨+底座总成</v>
      </c>
      <c r="D5" s="92">
        <f>'2025年'!D5</f>
        <v>0</v>
      </c>
      <c r="E5" s="210"/>
      <c r="AG5" s="86" t="s">
        <v>55</v>
      </c>
    </row>
    <row r="6" spans="1:33" ht="17.25">
      <c r="A6" s="93" t="s">
        <v>21</v>
      </c>
      <c r="B6" s="94" t="s">
        <v>149</v>
      </c>
      <c r="C6" s="113">
        <f>销量!C12</f>
        <v>3000</v>
      </c>
      <c r="D6" s="113">
        <f>销量!D12</f>
        <v>3000</v>
      </c>
      <c r="E6" s="96">
        <f t="shared" ref="E6:E15" si="0">+SUM(C6:D6)</f>
        <v>6000</v>
      </c>
      <c r="AE6" s="93" t="s">
        <v>21</v>
      </c>
      <c r="AF6" s="94" t="s">
        <v>3</v>
      </c>
      <c r="AG6" s="86" t="s">
        <v>56</v>
      </c>
    </row>
    <row r="7" spans="1:33">
      <c r="A7" s="90">
        <v>1</v>
      </c>
      <c r="B7" s="94" t="s">
        <v>57</v>
      </c>
      <c r="C7" s="96">
        <f>C6*销量!C8</f>
        <v>5505000</v>
      </c>
      <c r="D7" s="96">
        <f>D6*销量!D8</f>
        <v>1770000</v>
      </c>
      <c r="E7" s="96">
        <f t="shared" si="0"/>
        <v>7275000</v>
      </c>
      <c r="F7" s="89"/>
      <c r="AE7" s="93" t="s">
        <v>58</v>
      </c>
      <c r="AF7" s="94" t="s">
        <v>57</v>
      </c>
      <c r="AG7" s="86" t="s">
        <v>56</v>
      </c>
    </row>
    <row r="8" spans="1:33">
      <c r="A8" s="90">
        <v>2</v>
      </c>
      <c r="B8" s="90" t="s">
        <v>59</v>
      </c>
      <c r="C8" s="96">
        <f>C7*(1-销量!$K$9)</f>
        <v>785150.625</v>
      </c>
      <c r="D8" s="96">
        <f>D7*(1-销量!$K$9)</f>
        <v>252446.25</v>
      </c>
      <c r="E8" s="96">
        <f t="shared" si="0"/>
        <v>1037596.875</v>
      </c>
      <c r="F8" s="97"/>
      <c r="AE8" s="93" t="s">
        <v>60</v>
      </c>
      <c r="AF8" s="90" t="s">
        <v>61</v>
      </c>
      <c r="AG8" s="86" t="s">
        <v>56</v>
      </c>
    </row>
    <row r="9" spans="1:33">
      <c r="A9" s="90">
        <v>3</v>
      </c>
      <c r="B9" s="94" t="s">
        <v>62</v>
      </c>
      <c r="C9" s="96">
        <f>+C7-C8</f>
        <v>4719849.375</v>
      </c>
      <c r="D9" s="96">
        <f>+D7-D8</f>
        <v>1517553.75</v>
      </c>
      <c r="E9" s="96">
        <f t="shared" si="0"/>
        <v>6237403.125</v>
      </c>
      <c r="AE9" s="93" t="s">
        <v>63</v>
      </c>
      <c r="AF9" s="94" t="s">
        <v>62</v>
      </c>
      <c r="AG9" s="86" t="s">
        <v>64</v>
      </c>
    </row>
    <row r="10" spans="1:33">
      <c r="A10" s="90">
        <v>4</v>
      </c>
      <c r="B10" s="93" t="s">
        <v>66</v>
      </c>
      <c r="C10" s="96">
        <f>C6*C33</f>
        <v>3303071.2017317479</v>
      </c>
      <c r="D10" s="96">
        <f>D6*D33</f>
        <v>1065942.7499999998</v>
      </c>
      <c r="E10" s="96">
        <f t="shared" si="0"/>
        <v>4369013.9517317479</v>
      </c>
      <c r="AE10" s="93" t="s">
        <v>65</v>
      </c>
      <c r="AF10" s="93" t="s">
        <v>66</v>
      </c>
      <c r="AG10" s="86" t="s">
        <v>67</v>
      </c>
    </row>
    <row r="11" spans="1:33">
      <c r="A11" s="90">
        <v>5</v>
      </c>
      <c r="B11" s="93" t="s">
        <v>68</v>
      </c>
      <c r="C11" s="96">
        <f>+C6*C36</f>
        <v>161296.5</v>
      </c>
      <c r="D11" s="96">
        <f>+D6*D36</f>
        <v>51861</v>
      </c>
      <c r="E11" s="96">
        <f t="shared" si="0"/>
        <v>213157.5</v>
      </c>
      <c r="AE11" s="93" t="s">
        <v>69</v>
      </c>
      <c r="AF11" s="93" t="s">
        <v>68</v>
      </c>
    </row>
    <row r="12" spans="1:33">
      <c r="A12" s="90">
        <v>6</v>
      </c>
      <c r="B12" s="93" t="s">
        <v>70</v>
      </c>
      <c r="C12" s="96">
        <f>+C6*C37</f>
        <v>47893.5</v>
      </c>
      <c r="D12" s="96">
        <f>+D6*D37</f>
        <v>15399</v>
      </c>
      <c r="E12" s="96">
        <f t="shared" si="0"/>
        <v>63292.5</v>
      </c>
      <c r="AE12" s="93" t="s">
        <v>71</v>
      </c>
      <c r="AF12" s="93" t="s">
        <v>70</v>
      </c>
    </row>
    <row r="13" spans="1:33">
      <c r="A13" s="90">
        <v>7</v>
      </c>
      <c r="B13" s="93" t="s">
        <v>72</v>
      </c>
      <c r="C13" s="96">
        <f>+C6*C38</f>
        <v>226806</v>
      </c>
      <c r="D13" s="96">
        <f>+D6*D38</f>
        <v>72924</v>
      </c>
      <c r="E13" s="96">
        <f t="shared" si="0"/>
        <v>299730</v>
      </c>
      <c r="AE13" s="93" t="s">
        <v>73</v>
      </c>
      <c r="AF13" s="93" t="s">
        <v>72</v>
      </c>
      <c r="AG13" s="86" t="s">
        <v>56</v>
      </c>
    </row>
    <row r="14" spans="1:33">
      <c r="A14" s="90">
        <v>8</v>
      </c>
      <c r="B14" s="98" t="s">
        <v>74</v>
      </c>
      <c r="C14" s="96">
        <f>SUM(C11:C13)</f>
        <v>435996</v>
      </c>
      <c r="D14" s="96">
        <f>SUM(D11:D13)</f>
        <v>140184</v>
      </c>
      <c r="E14" s="96">
        <f t="shared" si="0"/>
        <v>576180</v>
      </c>
      <c r="AE14" s="93" t="s">
        <v>75</v>
      </c>
      <c r="AF14" s="98" t="s">
        <v>74</v>
      </c>
    </row>
    <row r="15" spans="1:33">
      <c r="A15" s="90">
        <v>9</v>
      </c>
      <c r="B15" s="98" t="s">
        <v>76</v>
      </c>
      <c r="C15" s="96">
        <f>+C9-C10-C14</f>
        <v>980782.17326825205</v>
      </c>
      <c r="D15" s="96">
        <f>+D9-D10-D14</f>
        <v>311427.00000000023</v>
      </c>
      <c r="E15" s="96">
        <f t="shared" si="0"/>
        <v>1292209.1732682523</v>
      </c>
      <c r="AE15" s="93" t="s">
        <v>77</v>
      </c>
      <c r="AF15" s="98" t="s">
        <v>76</v>
      </c>
    </row>
    <row r="16" spans="1:33">
      <c r="A16" s="90">
        <v>10</v>
      </c>
      <c r="B16" s="93" t="s">
        <v>78</v>
      </c>
      <c r="C16" s="99">
        <f>+C15/C9</f>
        <v>0.20779946463190938</v>
      </c>
      <c r="D16" s="99">
        <f>+D15/D9</f>
        <v>0.2052164544418939</v>
      </c>
      <c r="E16" s="99">
        <f>+E15/E9</f>
        <v>0.20717102091557571</v>
      </c>
      <c r="F16" s="100"/>
      <c r="G16" s="100"/>
      <c r="H16" s="100"/>
      <c r="AE16" s="93" t="s">
        <v>79</v>
      </c>
      <c r="AF16" s="93" t="s">
        <v>78</v>
      </c>
    </row>
    <row r="17" spans="1:33">
      <c r="A17" s="90">
        <v>11</v>
      </c>
      <c r="B17" s="93" t="s">
        <v>80</v>
      </c>
      <c r="C17" s="96">
        <f>C6*C43+C18</f>
        <v>397023.5</v>
      </c>
      <c r="D17" s="96">
        <f>D6*D43+D18</f>
        <v>155369</v>
      </c>
      <c r="E17" s="96">
        <f>+SUM(C17:D17)</f>
        <v>552392.5</v>
      </c>
      <c r="F17" s="97"/>
      <c r="AE17" s="93" t="s">
        <v>81</v>
      </c>
      <c r="AF17" s="93" t="s">
        <v>80</v>
      </c>
    </row>
    <row r="18" spans="1:33" s="87" customFormat="1">
      <c r="A18" s="90">
        <v>12</v>
      </c>
      <c r="B18" s="101" t="s">
        <v>150</v>
      </c>
      <c r="C18" s="102">
        <f>$E$18/$E$6*C6</f>
        <v>40850</v>
      </c>
      <c r="D18" s="102">
        <f>$E$18/$E$6*D6</f>
        <v>40850</v>
      </c>
      <c r="E18" s="96">
        <f>项目投资!F26</f>
        <v>81700</v>
      </c>
      <c r="F18" s="103" t="s">
        <v>151</v>
      </c>
      <c r="G18" s="103"/>
      <c r="H18" s="103"/>
    </row>
    <row r="19" spans="1:33">
      <c r="A19" s="90">
        <v>13</v>
      </c>
      <c r="B19" s="93" t="s">
        <v>82</v>
      </c>
      <c r="C19" s="96">
        <f>C6*C44</f>
        <v>75418.5</v>
      </c>
      <c r="D19" s="96">
        <f>D6*D44</f>
        <v>24249</v>
      </c>
      <c r="E19" s="96">
        <f>+SUM(C19:D19)</f>
        <v>99667.5</v>
      </c>
      <c r="F19" s="87"/>
      <c r="AE19" s="93" t="s">
        <v>83</v>
      </c>
      <c r="AF19" s="93" t="s">
        <v>82</v>
      </c>
      <c r="AG19" s="86" t="s">
        <v>56</v>
      </c>
    </row>
    <row r="20" spans="1:33">
      <c r="A20" s="90">
        <v>14</v>
      </c>
      <c r="B20" s="93" t="s">
        <v>84</v>
      </c>
      <c r="C20" s="96">
        <f>C6*C45</f>
        <v>112852.5</v>
      </c>
      <c r="D20" s="96">
        <f>D6*D45</f>
        <v>36285</v>
      </c>
      <c r="E20" s="96">
        <f>+SUM(C20:D20)</f>
        <v>149137.5</v>
      </c>
      <c r="AE20" s="93" t="s">
        <v>85</v>
      </c>
      <c r="AF20" s="93" t="s">
        <v>84</v>
      </c>
    </row>
    <row r="21" spans="1:33">
      <c r="A21" s="90">
        <v>15</v>
      </c>
      <c r="B21" s="93" t="s">
        <v>86</v>
      </c>
      <c r="C21" s="104">
        <f>$E$21/$E$6*C6</f>
        <v>19000</v>
      </c>
      <c r="D21" s="104">
        <f>$E$21/$E$6*D6</f>
        <v>19000</v>
      </c>
      <c r="E21" s="96">
        <f>项目投资!F27</f>
        <v>38000</v>
      </c>
      <c r="AE21" s="93"/>
      <c r="AF21" s="93"/>
    </row>
    <row r="22" spans="1:33">
      <c r="A22" s="90">
        <v>16</v>
      </c>
      <c r="B22" s="93" t="s">
        <v>87</v>
      </c>
      <c r="C22" s="96">
        <f>C6*C47</f>
        <v>240018</v>
      </c>
      <c r="D22" s="96">
        <f>D6*D47</f>
        <v>77172</v>
      </c>
      <c r="E22" s="96">
        <f>+SUM(C22:D22)</f>
        <v>317190</v>
      </c>
      <c r="AE22" s="93" t="s">
        <v>88</v>
      </c>
      <c r="AF22" s="93" t="s">
        <v>87</v>
      </c>
    </row>
    <row r="23" spans="1:33">
      <c r="A23" s="90">
        <v>17</v>
      </c>
      <c r="B23" s="98" t="s">
        <v>89</v>
      </c>
      <c r="C23" s="104">
        <f>+C22+C21+C20+C19+C17</f>
        <v>844312.5</v>
      </c>
      <c r="D23" s="104">
        <f>+D22+D21+D20+D19+D17</f>
        <v>312075</v>
      </c>
      <c r="E23" s="104">
        <f>+E22+E21+E20+E19+E17</f>
        <v>1156387.5</v>
      </c>
      <c r="AE23" s="93" t="s">
        <v>90</v>
      </c>
      <c r="AF23" s="98" t="s">
        <v>89</v>
      </c>
    </row>
    <row r="24" spans="1:33">
      <c r="A24" s="90">
        <v>18</v>
      </c>
      <c r="B24" s="105" t="s">
        <v>91</v>
      </c>
      <c r="C24" s="104">
        <f>+C15-C23</f>
        <v>136469.67326825205</v>
      </c>
      <c r="D24" s="104">
        <f>+D15-D23</f>
        <v>-647.99999999976717</v>
      </c>
      <c r="E24" s="104">
        <f>+E15-E23</f>
        <v>135821.67326825229</v>
      </c>
      <c r="G24" s="106"/>
      <c r="AE24" s="93" t="s">
        <v>92</v>
      </c>
      <c r="AF24" s="93" t="s">
        <v>91</v>
      </c>
    </row>
    <row r="25" spans="1:33">
      <c r="A25" s="90">
        <v>19</v>
      </c>
      <c r="B25" s="93" t="s">
        <v>303</v>
      </c>
      <c r="C25" s="104">
        <f>IF(C24&lt;0,0,C24*0.15)</f>
        <v>20470.450990237809</v>
      </c>
      <c r="D25" s="104">
        <f t="shared" ref="D25:E25" si="1">IF(D24&lt;0,0,D24*0.15)</f>
        <v>0</v>
      </c>
      <c r="E25" s="104">
        <f t="shared" si="1"/>
        <v>20373.250990237841</v>
      </c>
      <c r="F25" s="2"/>
      <c r="G25" s="2"/>
      <c r="H25" s="2"/>
      <c r="AE25" s="93" t="s">
        <v>93</v>
      </c>
      <c r="AF25" s="93" t="s">
        <v>38</v>
      </c>
    </row>
    <row r="26" spans="1:33">
      <c r="A26" s="90">
        <v>20</v>
      </c>
      <c r="B26" s="93" t="s">
        <v>94</v>
      </c>
      <c r="C26" s="104">
        <f>C24-C25</f>
        <v>115999.22227801425</v>
      </c>
      <c r="D26" s="104">
        <f>D24-D25</f>
        <v>-647.99999999976717</v>
      </c>
      <c r="E26" s="96">
        <f>+SUM(C26:D26)</f>
        <v>115351.22227801448</v>
      </c>
      <c r="F26" s="2"/>
      <c r="G26" s="2"/>
      <c r="H26" s="2"/>
      <c r="AE26" s="93" t="s">
        <v>95</v>
      </c>
      <c r="AF26" s="93" t="s">
        <v>94</v>
      </c>
    </row>
    <row r="27" spans="1:33">
      <c r="A27" s="90">
        <v>21</v>
      </c>
      <c r="B27" s="93" t="s">
        <v>98</v>
      </c>
      <c r="C27" s="107">
        <f>C26/C7</f>
        <v>2.1071611676296866E-2</v>
      </c>
      <c r="D27" s="107">
        <f>D26/D7</f>
        <v>-3.661016949151227E-4</v>
      </c>
      <c r="E27" s="107">
        <f>E26/E7</f>
        <v>1.5855838113816422E-2</v>
      </c>
      <c r="F27" s="2"/>
      <c r="G27" s="2"/>
      <c r="H27" s="2"/>
      <c r="AE27" s="93" t="s">
        <v>97</v>
      </c>
      <c r="AF27" s="93" t="s">
        <v>98</v>
      </c>
    </row>
    <row r="28" spans="1:33">
      <c r="F28" s="2"/>
      <c r="G28" s="2"/>
      <c r="H28" s="2"/>
    </row>
    <row r="29" spans="1:33">
      <c r="A29" s="86" t="s">
        <v>99</v>
      </c>
      <c r="E29" s="89" t="s">
        <v>152</v>
      </c>
      <c r="F29" s="2"/>
      <c r="G29" s="2"/>
      <c r="H29" s="2"/>
      <c r="AE29" s="86" t="s">
        <v>99</v>
      </c>
    </row>
    <row r="30" spans="1:33">
      <c r="A30" s="93" t="s">
        <v>100</v>
      </c>
      <c r="B30" s="98" t="s">
        <v>101</v>
      </c>
      <c r="C30" s="104"/>
      <c r="D30" s="104"/>
      <c r="E30" s="104"/>
      <c r="F30" s="2"/>
      <c r="G30" s="2"/>
      <c r="H30" s="2"/>
      <c r="J30" s="2"/>
      <c r="AE30" s="93" t="s">
        <v>102</v>
      </c>
      <c r="AF30" s="98" t="s">
        <v>101</v>
      </c>
    </row>
    <row r="31" spans="1:33">
      <c r="A31" s="90">
        <v>1</v>
      </c>
      <c r="B31" s="101" t="s">
        <v>103</v>
      </c>
      <c r="C31" s="108">
        <f>销量!C8</f>
        <v>1835</v>
      </c>
      <c r="D31" s="108">
        <f>销量!D8</f>
        <v>590</v>
      </c>
      <c r="E31" s="104"/>
      <c r="F31" s="2"/>
      <c r="G31" s="2"/>
      <c r="H31" s="2"/>
      <c r="J31" s="2"/>
      <c r="AE31" s="93" t="s">
        <v>58</v>
      </c>
      <c r="AF31" s="93" t="s">
        <v>103</v>
      </c>
    </row>
    <row r="32" spans="1:33">
      <c r="A32" s="90">
        <v>2</v>
      </c>
      <c r="B32" s="93" t="s">
        <v>153</v>
      </c>
      <c r="C32" s="96">
        <f>C31*1</f>
        <v>1835</v>
      </c>
      <c r="D32" s="96">
        <f>D31*1</f>
        <v>590</v>
      </c>
      <c r="E32" s="104"/>
      <c r="F32" s="2"/>
      <c r="G32" s="2"/>
      <c r="H32" s="2"/>
      <c r="I32" s="2"/>
      <c r="J32" s="2"/>
      <c r="K32" s="2"/>
      <c r="L32" s="2"/>
      <c r="AE32" s="93"/>
      <c r="AF32" s="93"/>
    </row>
    <row r="33" spans="1:32">
      <c r="A33" s="90">
        <v>3</v>
      </c>
      <c r="B33" s="101" t="s">
        <v>104</v>
      </c>
      <c r="C33" s="96">
        <f>材料成本!D26</f>
        <v>1101.0237339105827</v>
      </c>
      <c r="D33" s="96">
        <f>材料成本!E26</f>
        <v>355.31424999999996</v>
      </c>
      <c r="E33" s="104"/>
      <c r="G33" s="2"/>
      <c r="H33" s="2"/>
      <c r="I33" s="2"/>
      <c r="J33" s="2"/>
      <c r="K33" s="2"/>
      <c r="L33" s="2"/>
      <c r="AE33" s="93" t="s">
        <v>60</v>
      </c>
      <c r="AF33" s="93" t="s">
        <v>104</v>
      </c>
    </row>
    <row r="34" spans="1:32" ht="17.25" customHeight="1">
      <c r="A34" s="90">
        <v>4</v>
      </c>
      <c r="B34" s="93" t="s">
        <v>106</v>
      </c>
      <c r="C34" s="109">
        <f>C32-C33</f>
        <v>733.97626608941732</v>
      </c>
      <c r="D34" s="109">
        <f>D32-D33</f>
        <v>234.68575000000004</v>
      </c>
      <c r="E34" s="104"/>
      <c r="G34" s="2"/>
      <c r="H34" s="2"/>
      <c r="I34" s="2"/>
      <c r="J34" s="2"/>
      <c r="K34" s="2"/>
      <c r="L34" s="2"/>
      <c r="AE34" s="93" t="s">
        <v>105</v>
      </c>
      <c r="AF34" s="93" t="s">
        <v>106</v>
      </c>
    </row>
    <row r="35" spans="1:32">
      <c r="A35" s="93" t="s">
        <v>102</v>
      </c>
      <c r="B35" s="98" t="s">
        <v>10</v>
      </c>
      <c r="C35" s="104"/>
      <c r="D35" s="104"/>
      <c r="E35" s="104"/>
      <c r="F35" s="2"/>
      <c r="G35" s="2"/>
      <c r="H35" s="2"/>
      <c r="I35" s="2"/>
      <c r="J35" s="2"/>
      <c r="K35" s="2"/>
      <c r="L35" s="2"/>
      <c r="M35" s="2"/>
      <c r="N35" s="2"/>
      <c r="O35" s="2"/>
      <c r="AE35" s="93" t="s">
        <v>108</v>
      </c>
      <c r="AF35" s="98" t="s">
        <v>10</v>
      </c>
    </row>
    <row r="36" spans="1:32">
      <c r="A36" s="90">
        <v>1</v>
      </c>
      <c r="B36" s="93" t="s">
        <v>109</v>
      </c>
      <c r="C36" s="102">
        <f>标准成本!E4</f>
        <v>53.765499999999996</v>
      </c>
      <c r="D36" s="102">
        <f>标准成本!E16</f>
        <v>17.286999999999999</v>
      </c>
      <c r="E36" s="108"/>
      <c r="F36" s="2"/>
      <c r="G36" s="2"/>
      <c r="H36" s="2"/>
      <c r="I36" s="2"/>
      <c r="J36" s="2"/>
      <c r="K36" s="2"/>
      <c r="L36" s="2"/>
      <c r="M36" s="2"/>
      <c r="N36" s="2"/>
      <c r="O36" s="2"/>
      <c r="AE36" s="93" t="s">
        <v>105</v>
      </c>
      <c r="AF36" s="93" t="s">
        <v>109</v>
      </c>
    </row>
    <row r="37" spans="1:32">
      <c r="A37" s="90">
        <v>2</v>
      </c>
      <c r="B37" s="93" t="s">
        <v>110</v>
      </c>
      <c r="C37" s="102">
        <f>标准成本!E6</f>
        <v>15.964499999999999</v>
      </c>
      <c r="D37" s="102">
        <f>标准成本!E18</f>
        <v>5.133</v>
      </c>
      <c r="E37" s="108"/>
      <c r="F37" s="2"/>
      <c r="G37" s="2"/>
      <c r="H37" s="2"/>
      <c r="I37" s="2"/>
      <c r="J37" s="2"/>
      <c r="K37" s="2"/>
      <c r="L37" s="2"/>
      <c r="M37" s="2"/>
      <c r="N37" s="2"/>
      <c r="O37" s="2"/>
      <c r="AE37" s="93" t="s">
        <v>63</v>
      </c>
      <c r="AF37" s="93" t="s">
        <v>110</v>
      </c>
    </row>
    <row r="38" spans="1:32">
      <c r="A38" s="90">
        <v>3</v>
      </c>
      <c r="B38" s="93" t="s">
        <v>111</v>
      </c>
      <c r="C38" s="102">
        <f>标准成本!E10</f>
        <v>75.602000000000004</v>
      </c>
      <c r="D38" s="102">
        <f>标准成本!E22</f>
        <v>24.308</v>
      </c>
      <c r="E38" s="108"/>
      <c r="F38" s="2"/>
      <c r="G38" s="2"/>
      <c r="H38" s="2"/>
      <c r="I38" s="2"/>
      <c r="J38" s="2"/>
      <c r="K38" s="2"/>
      <c r="L38" s="2"/>
      <c r="M38" s="2"/>
      <c r="N38" s="2"/>
      <c r="O38" s="2"/>
      <c r="AE38" s="93" t="s">
        <v>69</v>
      </c>
      <c r="AF38" s="93" t="s">
        <v>111</v>
      </c>
    </row>
    <row r="39" spans="1:32">
      <c r="A39" s="93" t="s">
        <v>108</v>
      </c>
      <c r="B39" s="98" t="s">
        <v>113</v>
      </c>
      <c r="C39" s="104"/>
      <c r="D39" s="104"/>
      <c r="E39" s="104"/>
      <c r="AE39" s="93" t="s">
        <v>112</v>
      </c>
      <c r="AF39" s="98" t="s">
        <v>113</v>
      </c>
    </row>
    <row r="40" spans="1:32">
      <c r="A40" s="90">
        <v>1</v>
      </c>
      <c r="B40" s="93" t="s">
        <v>114</v>
      </c>
      <c r="C40" s="104">
        <f>C34-C36-C37-C38</f>
        <v>588.64426608941733</v>
      </c>
      <c r="D40" s="104">
        <f>D34-D36-D37-D38</f>
        <v>187.95775000000003</v>
      </c>
      <c r="E40" s="104"/>
      <c r="AE40" s="93" t="s">
        <v>58</v>
      </c>
      <c r="AF40" s="93" t="s">
        <v>114</v>
      </c>
    </row>
    <row r="41" spans="1:32">
      <c r="A41" s="90">
        <v>2</v>
      </c>
      <c r="B41" s="93" t="s">
        <v>115</v>
      </c>
      <c r="C41" s="104"/>
      <c r="D41" s="104"/>
      <c r="E41" s="104"/>
      <c r="AE41" s="93" t="s">
        <v>60</v>
      </c>
      <c r="AF41" s="93" t="s">
        <v>115</v>
      </c>
    </row>
    <row r="42" spans="1:32">
      <c r="A42" s="93" t="s">
        <v>112</v>
      </c>
      <c r="B42" s="98" t="s">
        <v>117</v>
      </c>
      <c r="C42" s="104"/>
      <c r="D42" s="104"/>
      <c r="E42" s="104"/>
      <c r="AE42" s="93" t="s">
        <v>116</v>
      </c>
      <c r="AF42" s="98" t="s">
        <v>117</v>
      </c>
    </row>
    <row r="43" spans="1:32">
      <c r="A43" s="90">
        <v>1</v>
      </c>
      <c r="B43" s="105" t="s">
        <v>118</v>
      </c>
      <c r="C43" s="102">
        <f>标准成本!E5</f>
        <v>118.72449999999999</v>
      </c>
      <c r="D43" s="102">
        <f>标准成本!E17</f>
        <v>38.172999999999995</v>
      </c>
      <c r="E43" s="104"/>
      <c r="AE43" s="93" t="s">
        <v>58</v>
      </c>
      <c r="AF43" s="93" t="s">
        <v>118</v>
      </c>
    </row>
    <row r="44" spans="1:32">
      <c r="A44" s="90">
        <v>2</v>
      </c>
      <c r="B44" s="105" t="s">
        <v>119</v>
      </c>
      <c r="C44" s="102">
        <f>标准成本!E9</f>
        <v>25.139500000000002</v>
      </c>
      <c r="D44" s="102">
        <f>标准成本!E21</f>
        <v>8.0830000000000002</v>
      </c>
      <c r="E44" s="104"/>
      <c r="AE44" s="93" t="s">
        <v>60</v>
      </c>
      <c r="AF44" s="93" t="s">
        <v>119</v>
      </c>
    </row>
    <row r="45" spans="1:32">
      <c r="A45" s="90">
        <v>3</v>
      </c>
      <c r="B45" s="105" t="s">
        <v>120</v>
      </c>
      <c r="C45" s="102">
        <f>标准成本!E8</f>
        <v>37.6175</v>
      </c>
      <c r="D45" s="102">
        <f>标准成本!E20</f>
        <v>12.095000000000001</v>
      </c>
      <c r="E45" s="104"/>
      <c r="AE45" s="93" t="s">
        <v>105</v>
      </c>
      <c r="AF45" s="93" t="s">
        <v>120</v>
      </c>
    </row>
    <row r="46" spans="1:32" s="88" customFormat="1">
      <c r="A46" s="90">
        <v>4</v>
      </c>
      <c r="B46" s="105" t="s">
        <v>121</v>
      </c>
      <c r="C46" s="110">
        <f>C21/C6</f>
        <v>6.333333333333333</v>
      </c>
      <c r="D46" s="110">
        <f>D21/D6</f>
        <v>6.333333333333333</v>
      </c>
      <c r="E46" s="110"/>
      <c r="AE46" s="105" t="s">
        <v>65</v>
      </c>
      <c r="AF46" s="105" t="s">
        <v>123</v>
      </c>
    </row>
    <row r="47" spans="1:32" s="88" customFormat="1">
      <c r="A47" s="90">
        <v>5</v>
      </c>
      <c r="B47" s="105" t="s">
        <v>123</v>
      </c>
      <c r="C47" s="110">
        <f>标准成本!E11</f>
        <v>80.006</v>
      </c>
      <c r="D47" s="110">
        <f>标准成本!E23</f>
        <v>25.724</v>
      </c>
      <c r="E47" s="110"/>
      <c r="AE47" s="105" t="s">
        <v>65</v>
      </c>
      <c r="AF47" s="105" t="s">
        <v>123</v>
      </c>
    </row>
    <row r="48" spans="1:32">
      <c r="A48" s="93" t="s">
        <v>116</v>
      </c>
      <c r="B48" s="98" t="s">
        <v>134</v>
      </c>
      <c r="C48" s="104">
        <f>C40-C43-C44-C45-C47-C46</f>
        <v>320.82343275608406</v>
      </c>
      <c r="D48" s="104">
        <f>D40-D43-D44-D45-D47-D46</f>
        <v>97.549416666666701</v>
      </c>
      <c r="E48" s="104"/>
      <c r="AE48" s="93" t="s">
        <v>133</v>
      </c>
      <c r="AF48" s="98" t="s">
        <v>134</v>
      </c>
    </row>
    <row r="51" spans="2:10">
      <c r="C51" s="111"/>
      <c r="D51" s="111"/>
    </row>
    <row r="54" spans="2:10">
      <c r="B54" s="2"/>
      <c r="C54" s="112"/>
      <c r="D54" s="112"/>
      <c r="E54" s="112"/>
      <c r="F54" s="2"/>
      <c r="G54" s="2"/>
      <c r="H54" s="2"/>
      <c r="I54" s="2"/>
      <c r="J54" s="2"/>
    </row>
    <row r="55" spans="2:10">
      <c r="B55" s="2"/>
      <c r="C55" s="112"/>
      <c r="D55" s="112"/>
      <c r="E55" s="112"/>
      <c r="F55" s="2"/>
      <c r="G55" s="2"/>
      <c r="H55" s="2"/>
      <c r="I55" s="2"/>
      <c r="J55" s="2"/>
    </row>
    <row r="56" spans="2:10">
      <c r="B56" s="2"/>
      <c r="C56" s="112"/>
      <c r="D56" s="112"/>
      <c r="E56" s="112"/>
      <c r="F56" s="2"/>
      <c r="G56" s="2"/>
      <c r="H56" s="2"/>
      <c r="I56" s="2"/>
      <c r="J56" s="2"/>
    </row>
    <row r="57" spans="2:10">
      <c r="B57" s="2"/>
      <c r="C57" s="112"/>
      <c r="D57" s="112"/>
      <c r="E57" s="112"/>
      <c r="F57" s="2"/>
      <c r="G57" s="2"/>
      <c r="H57" s="2"/>
      <c r="I57" s="2"/>
      <c r="J57" s="2"/>
    </row>
    <row r="58" spans="2:10">
      <c r="B58" s="2"/>
      <c r="C58" s="112"/>
      <c r="D58" s="112"/>
      <c r="E58" s="112"/>
      <c r="F58" s="2"/>
      <c r="G58" s="2"/>
      <c r="H58" s="2"/>
      <c r="I58" s="2"/>
      <c r="J58" s="2"/>
    </row>
    <row r="59" spans="2:10">
      <c r="B59" s="2"/>
      <c r="C59" s="112"/>
      <c r="D59" s="112"/>
      <c r="E59" s="112"/>
      <c r="F59" s="2"/>
      <c r="G59" s="2"/>
      <c r="H59" s="2"/>
      <c r="I59" s="2"/>
      <c r="J59" s="2"/>
    </row>
    <row r="60" spans="2:10">
      <c r="B60" s="2"/>
      <c r="C60" s="112"/>
      <c r="D60" s="112"/>
      <c r="E60" s="112"/>
      <c r="F60" s="2"/>
      <c r="G60" s="2"/>
      <c r="H60" s="2"/>
      <c r="I60" s="2"/>
      <c r="J60" s="2"/>
    </row>
    <row r="61" spans="2:10">
      <c r="B61" s="2"/>
      <c r="C61" s="112"/>
      <c r="D61" s="112"/>
      <c r="E61" s="112"/>
      <c r="F61" s="2"/>
      <c r="G61" s="2"/>
      <c r="H61" s="2"/>
      <c r="I61" s="2"/>
      <c r="J61" s="2"/>
    </row>
    <row r="62" spans="2:10">
      <c r="B62" s="2"/>
      <c r="C62" s="112"/>
      <c r="D62" s="112"/>
      <c r="E62" s="112"/>
      <c r="F62" s="2"/>
      <c r="G62" s="2"/>
      <c r="H62" s="2"/>
      <c r="I62" s="2"/>
      <c r="J62" s="2"/>
    </row>
    <row r="63" spans="2:10">
      <c r="B63" s="2"/>
      <c r="C63" s="112"/>
      <c r="D63" s="112"/>
      <c r="E63" s="112"/>
      <c r="F63" s="2"/>
      <c r="G63" s="2"/>
      <c r="H63" s="2"/>
      <c r="I63" s="2"/>
      <c r="J63" s="2"/>
    </row>
    <row r="64" spans="2:10">
      <c r="B64" s="2"/>
      <c r="C64" s="112"/>
      <c r="D64" s="112"/>
      <c r="E64" s="112"/>
      <c r="F64" s="2"/>
      <c r="G64" s="2"/>
      <c r="H64" s="2"/>
      <c r="I64" s="2"/>
      <c r="J64" s="2"/>
    </row>
    <row r="65" spans="2:10">
      <c r="B65" s="2"/>
      <c r="C65" s="112"/>
      <c r="D65" s="112"/>
      <c r="E65" s="112"/>
      <c r="F65" s="2"/>
      <c r="G65" s="2"/>
      <c r="H65" s="2"/>
      <c r="I65" s="2"/>
      <c r="J65" s="2"/>
    </row>
    <row r="66" spans="2:10">
      <c r="B66" s="2"/>
      <c r="C66" s="112"/>
      <c r="D66" s="112"/>
      <c r="E66" s="112"/>
      <c r="F66" s="2"/>
      <c r="G66" s="2"/>
      <c r="H66" s="2"/>
      <c r="I66" s="2"/>
      <c r="J66" s="2"/>
    </row>
    <row r="67" spans="2:10">
      <c r="B67" s="2"/>
      <c r="C67" s="112"/>
      <c r="D67" s="112"/>
      <c r="E67" s="112"/>
      <c r="F67" s="2"/>
    </row>
    <row r="68" spans="2:10">
      <c r="B68" s="2"/>
      <c r="C68" s="112"/>
      <c r="D68" s="112"/>
      <c r="E68" s="112"/>
      <c r="F68" s="2"/>
    </row>
    <row r="69" spans="2:10">
      <c r="B69" s="2"/>
      <c r="C69" s="112"/>
      <c r="D69" s="112"/>
      <c r="E69" s="112"/>
      <c r="F69" s="2"/>
    </row>
    <row r="70" spans="2:10">
      <c r="B70" s="2"/>
      <c r="C70" s="112"/>
      <c r="D70" s="112"/>
      <c r="E70" s="112"/>
      <c r="F70" s="2"/>
    </row>
    <row r="71" spans="2:10">
      <c r="B71" s="2"/>
      <c r="C71" s="112"/>
      <c r="D71" s="112"/>
      <c r="E71" s="112"/>
      <c r="F71" s="2"/>
    </row>
    <row r="72" spans="2:10">
      <c r="B72" s="2"/>
      <c r="C72" s="112"/>
      <c r="D72" s="112"/>
      <c r="E72" s="112"/>
      <c r="F72" s="2"/>
    </row>
    <row r="73" spans="2:10">
      <c r="B73" s="2"/>
      <c r="C73" s="112"/>
      <c r="D73" s="112"/>
      <c r="E73" s="112"/>
      <c r="F73" s="2"/>
    </row>
    <row r="74" spans="2:10">
      <c r="B74" s="2"/>
      <c r="C74" s="112"/>
      <c r="D74" s="112"/>
      <c r="E74" s="112"/>
      <c r="F74" s="2"/>
    </row>
  </sheetData>
  <mergeCells count="8">
    <mergeCell ref="A4:B4"/>
    <mergeCell ref="A5:B5"/>
    <mergeCell ref="E3:E5"/>
    <mergeCell ref="A1:B1"/>
    <mergeCell ref="C1:E1"/>
    <mergeCell ref="A2:B2"/>
    <mergeCell ref="C2:E2"/>
    <mergeCell ref="A3:B3"/>
  </mergeCells>
  <phoneticPr fontId="4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topLeftCell="A7" zoomScale="90" zoomScaleNormal="90" workbookViewId="0">
      <selection activeCell="B25" sqref="B25:E25"/>
    </sheetView>
  </sheetViews>
  <sheetFormatPr defaultColWidth="9" defaultRowHeight="16.5"/>
  <cols>
    <col min="1" max="1" width="5.125" style="86" customWidth="1"/>
    <col min="2" max="2" width="17.5" style="86" customWidth="1"/>
    <col min="3" max="4" width="14.375" style="89" customWidth="1"/>
    <col min="5" max="5" width="18.75" style="89" customWidth="1"/>
    <col min="6" max="6" width="12.375" style="86" customWidth="1"/>
    <col min="7" max="7" width="10.125" style="86" customWidth="1"/>
    <col min="8" max="14" width="9" style="86" customWidth="1"/>
    <col min="15" max="30" width="9" style="86"/>
    <col min="31" max="31" width="4.375" style="86" customWidth="1"/>
    <col min="32" max="32" width="13.875" style="86" customWidth="1"/>
    <col min="33" max="16384" width="9" style="86"/>
  </cols>
  <sheetData>
    <row r="1" spans="1:33">
      <c r="A1" s="207" t="s">
        <v>144</v>
      </c>
      <c r="B1" s="207"/>
      <c r="C1" s="211" t="s">
        <v>282</v>
      </c>
      <c r="D1" s="212"/>
      <c r="E1" s="213"/>
    </row>
    <row r="2" spans="1:33">
      <c r="A2" s="207" t="s">
        <v>145</v>
      </c>
      <c r="B2" s="207"/>
      <c r="C2" s="214" t="str">
        <f>'2025年'!$C$2</f>
        <v>陕汽重型汽车有限公司</v>
      </c>
      <c r="D2" s="214"/>
      <c r="E2" s="214"/>
    </row>
    <row r="3" spans="1:33" ht="45">
      <c r="A3" s="207" t="s">
        <v>146</v>
      </c>
      <c r="B3" s="207"/>
      <c r="C3" s="91" t="str">
        <f>'2025年'!C3</f>
        <v>左空气悬浮座椅总成/一体式头枕/X5000/扶手/报警锁扣/斜滑轨</v>
      </c>
      <c r="D3" s="91" t="str">
        <f>'2025年'!D3</f>
        <v>副司机座椅</v>
      </c>
      <c r="E3" s="208" t="s">
        <v>54</v>
      </c>
    </row>
    <row r="4" spans="1:33">
      <c r="A4" s="207" t="s">
        <v>147</v>
      </c>
      <c r="B4" s="207"/>
      <c r="C4" s="91" t="str">
        <f>'2025年'!C4</f>
        <v>DZ14251510207/8</v>
      </c>
      <c r="D4" s="91" t="str">
        <f>'2025年'!D4</f>
        <v>DZ14251510122</v>
      </c>
      <c r="E4" s="209"/>
    </row>
    <row r="5" spans="1:33" ht="42.75">
      <c r="A5" s="207" t="s">
        <v>148</v>
      </c>
      <c r="B5" s="207"/>
      <c r="C5" s="92" t="str">
        <f>'2025年'!C5</f>
        <v>与X5000配置一致，需要重新开发滑轨+底座总成</v>
      </c>
      <c r="D5" s="92">
        <f>'2025年'!D5</f>
        <v>0</v>
      </c>
      <c r="E5" s="210"/>
      <c r="AG5" s="86" t="s">
        <v>55</v>
      </c>
    </row>
    <row r="6" spans="1:33">
      <c r="A6" s="93" t="s">
        <v>21</v>
      </c>
      <c r="B6" s="94" t="s">
        <v>149</v>
      </c>
      <c r="C6" s="95">
        <f>销量!C13</f>
        <v>3000</v>
      </c>
      <c r="D6" s="95">
        <f>销量!D13</f>
        <v>3000</v>
      </c>
      <c r="E6" s="96">
        <f>+SUM(C6:D6)</f>
        <v>6000</v>
      </c>
      <c r="AE6" s="93" t="s">
        <v>21</v>
      </c>
      <c r="AF6" s="94" t="s">
        <v>3</v>
      </c>
      <c r="AG6" s="86" t="s">
        <v>56</v>
      </c>
    </row>
    <row r="7" spans="1:33">
      <c r="A7" s="90">
        <v>1</v>
      </c>
      <c r="B7" s="94" t="s">
        <v>57</v>
      </c>
      <c r="C7" s="96">
        <f>C6*销量!C8</f>
        <v>5505000</v>
      </c>
      <c r="D7" s="96">
        <f>D6*销量!D8</f>
        <v>1770000</v>
      </c>
      <c r="E7" s="96">
        <f t="shared" ref="E7:E15" si="0">+SUM(C7:D7)</f>
        <v>7275000</v>
      </c>
      <c r="F7" s="89"/>
      <c r="AE7" s="93" t="s">
        <v>58</v>
      </c>
      <c r="AF7" s="94" t="s">
        <v>57</v>
      </c>
      <c r="AG7" s="86" t="s">
        <v>56</v>
      </c>
    </row>
    <row r="8" spans="1:33">
      <c r="A8" s="90">
        <v>2</v>
      </c>
      <c r="B8" s="90" t="s">
        <v>59</v>
      </c>
      <c r="C8" s="96">
        <f>C7*(1-销量!$K$10)</f>
        <v>1021143.0937500007</v>
      </c>
      <c r="D8" s="96">
        <f>D7*(1-销量!$K$10)</f>
        <v>328323.93750000023</v>
      </c>
      <c r="E8" s="96">
        <f t="shared" si="0"/>
        <v>1349467.0312500009</v>
      </c>
      <c r="F8" s="97"/>
      <c r="AE8" s="93" t="s">
        <v>60</v>
      </c>
      <c r="AF8" s="90" t="s">
        <v>61</v>
      </c>
      <c r="AG8" s="86" t="s">
        <v>56</v>
      </c>
    </row>
    <row r="9" spans="1:33">
      <c r="A9" s="90">
        <v>3</v>
      </c>
      <c r="B9" s="94" t="s">
        <v>62</v>
      </c>
      <c r="C9" s="96">
        <f>+C7-C8</f>
        <v>4483856.9062499991</v>
      </c>
      <c r="D9" s="96">
        <f>+D7-D8</f>
        <v>1441676.0624999998</v>
      </c>
      <c r="E9" s="96">
        <f t="shared" si="0"/>
        <v>5925532.9687499991</v>
      </c>
      <c r="AE9" s="93" t="s">
        <v>63</v>
      </c>
      <c r="AF9" s="94" t="s">
        <v>62</v>
      </c>
      <c r="AG9" s="86" t="s">
        <v>64</v>
      </c>
    </row>
    <row r="10" spans="1:33">
      <c r="A10" s="90">
        <v>4</v>
      </c>
      <c r="B10" s="93" t="s">
        <v>66</v>
      </c>
      <c r="C10" s="96">
        <f>C6*C33</f>
        <v>3303071.2017317479</v>
      </c>
      <c r="D10" s="96">
        <f>D6*D33</f>
        <v>1065942.7499999998</v>
      </c>
      <c r="E10" s="96">
        <f t="shared" si="0"/>
        <v>4369013.9517317479</v>
      </c>
      <c r="AE10" s="93" t="s">
        <v>65</v>
      </c>
      <c r="AF10" s="93" t="s">
        <v>66</v>
      </c>
      <c r="AG10" s="86" t="s">
        <v>67</v>
      </c>
    </row>
    <row r="11" spans="1:33">
      <c r="A11" s="90">
        <v>5</v>
      </c>
      <c r="B11" s="93" t="s">
        <v>68</v>
      </c>
      <c r="C11" s="96">
        <f>+C6*C36</f>
        <v>161296.5</v>
      </c>
      <c r="D11" s="96">
        <f>+D6*D36</f>
        <v>51861</v>
      </c>
      <c r="E11" s="96">
        <f t="shared" si="0"/>
        <v>213157.5</v>
      </c>
      <c r="AE11" s="93" t="s">
        <v>69</v>
      </c>
      <c r="AF11" s="93" t="s">
        <v>68</v>
      </c>
    </row>
    <row r="12" spans="1:33">
      <c r="A12" s="90">
        <v>6</v>
      </c>
      <c r="B12" s="93" t="s">
        <v>70</v>
      </c>
      <c r="C12" s="96">
        <f>+C6*C37</f>
        <v>47893.5</v>
      </c>
      <c r="D12" s="96">
        <f>+D6*D37</f>
        <v>15399</v>
      </c>
      <c r="E12" s="96">
        <f t="shared" si="0"/>
        <v>63292.5</v>
      </c>
      <c r="AE12" s="93" t="s">
        <v>71</v>
      </c>
      <c r="AF12" s="93" t="s">
        <v>70</v>
      </c>
    </row>
    <row r="13" spans="1:33">
      <c r="A13" s="90">
        <v>7</v>
      </c>
      <c r="B13" s="93" t="s">
        <v>72</v>
      </c>
      <c r="C13" s="96">
        <f>+C6*C38</f>
        <v>226806</v>
      </c>
      <c r="D13" s="96">
        <f>+D6*D38</f>
        <v>72924</v>
      </c>
      <c r="E13" s="96">
        <f t="shared" si="0"/>
        <v>299730</v>
      </c>
      <c r="AE13" s="93" t="s">
        <v>73</v>
      </c>
      <c r="AF13" s="93" t="s">
        <v>72</v>
      </c>
      <c r="AG13" s="86" t="s">
        <v>56</v>
      </c>
    </row>
    <row r="14" spans="1:33">
      <c r="A14" s="90">
        <v>8</v>
      </c>
      <c r="B14" s="98" t="s">
        <v>74</v>
      </c>
      <c r="C14" s="96">
        <f>SUM(C11:C13)</f>
        <v>435996</v>
      </c>
      <c r="D14" s="96">
        <f>SUM(D11:D13)</f>
        <v>140184</v>
      </c>
      <c r="E14" s="96">
        <f t="shared" si="0"/>
        <v>576180</v>
      </c>
      <c r="AE14" s="93" t="s">
        <v>75</v>
      </c>
      <c r="AF14" s="98" t="s">
        <v>74</v>
      </c>
    </row>
    <row r="15" spans="1:33">
      <c r="A15" s="90">
        <v>9</v>
      </c>
      <c r="B15" s="98" t="s">
        <v>76</v>
      </c>
      <c r="C15" s="96">
        <f>+C9-C10-C14</f>
        <v>744789.70451825112</v>
      </c>
      <c r="D15" s="96">
        <f>+D9-D10-D14</f>
        <v>235549.3125</v>
      </c>
      <c r="E15" s="96">
        <f t="shared" si="0"/>
        <v>980339.01701825112</v>
      </c>
      <c r="AE15" s="93" t="s">
        <v>77</v>
      </c>
      <c r="AF15" s="98" t="s">
        <v>76</v>
      </c>
    </row>
    <row r="16" spans="1:33">
      <c r="A16" s="90">
        <v>10</v>
      </c>
      <c r="B16" s="93" t="s">
        <v>78</v>
      </c>
      <c r="C16" s="99">
        <f>+C15/C9</f>
        <v>0.16610469961253602</v>
      </c>
      <c r="D16" s="99">
        <f>+D15/D9</f>
        <v>0.1633857415177829</v>
      </c>
      <c r="E16" s="99">
        <f>+E15/E9</f>
        <v>0.16544317991113217</v>
      </c>
      <c r="F16" s="100"/>
      <c r="G16" s="100"/>
      <c r="H16" s="100"/>
      <c r="AE16" s="93" t="s">
        <v>79</v>
      </c>
      <c r="AF16" s="93" t="s">
        <v>78</v>
      </c>
    </row>
    <row r="17" spans="1:33">
      <c r="A17" s="90">
        <v>11</v>
      </c>
      <c r="B17" s="93" t="s">
        <v>80</v>
      </c>
      <c r="C17" s="96">
        <f>C6*C43+C18</f>
        <v>397023.5</v>
      </c>
      <c r="D17" s="96">
        <f>D6*D43+D18</f>
        <v>155369</v>
      </c>
      <c r="E17" s="96">
        <f>+SUM(C17:D17)</f>
        <v>552392.5</v>
      </c>
      <c r="F17" s="97"/>
      <c r="AE17" s="93" t="s">
        <v>81</v>
      </c>
      <c r="AF17" s="93" t="s">
        <v>80</v>
      </c>
    </row>
    <row r="18" spans="1:33" s="87" customFormat="1">
      <c r="A18" s="90">
        <v>12</v>
      </c>
      <c r="B18" s="101" t="s">
        <v>150</v>
      </c>
      <c r="C18" s="102">
        <f>$E$18/$E$6*C6</f>
        <v>40850</v>
      </c>
      <c r="D18" s="102">
        <f>$E$18/$E$6*D6</f>
        <v>40850</v>
      </c>
      <c r="E18" s="96">
        <f>项目投资!F26</f>
        <v>81700</v>
      </c>
      <c r="F18" s="103" t="s">
        <v>151</v>
      </c>
      <c r="G18" s="103"/>
      <c r="H18" s="103"/>
    </row>
    <row r="19" spans="1:33">
      <c r="A19" s="90">
        <v>13</v>
      </c>
      <c r="B19" s="93" t="s">
        <v>82</v>
      </c>
      <c r="C19" s="96">
        <f>C6*C44</f>
        <v>75418.5</v>
      </c>
      <c r="D19" s="96">
        <f>D6*D44</f>
        <v>24249</v>
      </c>
      <c r="E19" s="96">
        <f>+SUM(C19:D19)</f>
        <v>99667.5</v>
      </c>
      <c r="F19" s="87"/>
      <c r="AE19" s="93" t="s">
        <v>83</v>
      </c>
      <c r="AF19" s="93" t="s">
        <v>82</v>
      </c>
      <c r="AG19" s="86" t="s">
        <v>56</v>
      </c>
    </row>
    <row r="20" spans="1:33">
      <c r="A20" s="90">
        <v>14</v>
      </c>
      <c r="B20" s="93" t="s">
        <v>84</v>
      </c>
      <c r="C20" s="96">
        <f>C6*C45</f>
        <v>112852.5</v>
      </c>
      <c r="D20" s="96">
        <f>D6*D45</f>
        <v>36285</v>
      </c>
      <c r="E20" s="96">
        <f>+SUM(C20:D20)</f>
        <v>149137.5</v>
      </c>
      <c r="AE20" s="93" t="s">
        <v>85</v>
      </c>
      <c r="AF20" s="93" t="s">
        <v>84</v>
      </c>
    </row>
    <row r="21" spans="1:33">
      <c r="A21" s="90">
        <v>15</v>
      </c>
      <c r="B21" s="93" t="s">
        <v>86</v>
      </c>
      <c r="C21" s="104">
        <f>$E$21/$E$6*C6</f>
        <v>19000</v>
      </c>
      <c r="D21" s="104">
        <f>$E$21/$E$6*D6</f>
        <v>19000</v>
      </c>
      <c r="E21" s="96">
        <f>项目投资!F27</f>
        <v>38000</v>
      </c>
      <c r="AE21" s="93"/>
      <c r="AF21" s="93"/>
    </row>
    <row r="22" spans="1:33">
      <c r="A22" s="90">
        <v>16</v>
      </c>
      <c r="B22" s="93" t="s">
        <v>87</v>
      </c>
      <c r="C22" s="96">
        <f>C6*C47</f>
        <v>240018</v>
      </c>
      <c r="D22" s="96">
        <f>D6*D47</f>
        <v>77172</v>
      </c>
      <c r="E22" s="96">
        <f>+SUM(C22:D22)</f>
        <v>317190</v>
      </c>
      <c r="AE22" s="93" t="s">
        <v>88</v>
      </c>
      <c r="AF22" s="93" t="s">
        <v>87</v>
      </c>
    </row>
    <row r="23" spans="1:33">
      <c r="A23" s="90">
        <v>17</v>
      </c>
      <c r="B23" s="98" t="s">
        <v>89</v>
      </c>
      <c r="C23" s="104">
        <f>+C22+C21+C20+C19+C17</f>
        <v>844312.5</v>
      </c>
      <c r="D23" s="104">
        <f>+D22+D21+D20+D19+D17</f>
        <v>312075</v>
      </c>
      <c r="E23" s="104">
        <f>+E22+E21+E20+E19+E17</f>
        <v>1156387.5</v>
      </c>
      <c r="AE23" s="93" t="s">
        <v>90</v>
      </c>
      <c r="AF23" s="98" t="s">
        <v>89</v>
      </c>
    </row>
    <row r="24" spans="1:33">
      <c r="A24" s="90">
        <v>18</v>
      </c>
      <c r="B24" s="105" t="s">
        <v>91</v>
      </c>
      <c r="C24" s="104">
        <f>+C15-C23</f>
        <v>-99522.795481748879</v>
      </c>
      <c r="D24" s="104">
        <f>+D15-D23</f>
        <v>-76525.6875</v>
      </c>
      <c r="E24" s="104">
        <f>+E15-E23</f>
        <v>-176048.48298174888</v>
      </c>
      <c r="G24" s="106"/>
      <c r="AE24" s="93" t="s">
        <v>92</v>
      </c>
      <c r="AF24" s="93" t="s">
        <v>91</v>
      </c>
    </row>
    <row r="25" spans="1:33">
      <c r="A25" s="90">
        <v>19</v>
      </c>
      <c r="B25" s="93" t="s">
        <v>303</v>
      </c>
      <c r="C25" s="104">
        <f>IF(C24&lt;0,0,C24*0.15)</f>
        <v>0</v>
      </c>
      <c r="D25" s="104">
        <f t="shared" ref="D25:E25" si="1">IF(D24&lt;0,0,D24*0.15)</f>
        <v>0</v>
      </c>
      <c r="E25" s="104">
        <f t="shared" si="1"/>
        <v>0</v>
      </c>
      <c r="F25" s="2"/>
      <c r="G25" s="2"/>
      <c r="H25" s="2"/>
      <c r="AE25" s="93" t="s">
        <v>93</v>
      </c>
      <c r="AF25" s="93" t="s">
        <v>38</v>
      </c>
    </row>
    <row r="26" spans="1:33">
      <c r="A26" s="90">
        <v>20</v>
      </c>
      <c r="B26" s="93" t="s">
        <v>94</v>
      </c>
      <c r="C26" s="104">
        <f>C24-C25</f>
        <v>-99522.795481748879</v>
      </c>
      <c r="D26" s="104">
        <f>D24-D25</f>
        <v>-76525.6875</v>
      </c>
      <c r="E26" s="96">
        <f>+SUM(C26:D26)</f>
        <v>-176048.48298174888</v>
      </c>
      <c r="F26" s="2"/>
      <c r="G26" s="2"/>
      <c r="H26" s="2"/>
      <c r="AE26" s="93" t="s">
        <v>95</v>
      </c>
      <c r="AF26" s="93" t="s">
        <v>94</v>
      </c>
    </row>
    <row r="27" spans="1:33">
      <c r="A27" s="90">
        <v>21</v>
      </c>
      <c r="B27" s="93" t="s">
        <v>98</v>
      </c>
      <c r="C27" s="107">
        <f>C26/C7</f>
        <v>-1.8078618616121502E-2</v>
      </c>
      <c r="D27" s="107">
        <f>D26/D7</f>
        <v>-4.3234851694915255E-2</v>
      </c>
      <c r="E27" s="107">
        <f>E26/E7</f>
        <v>-2.4199104189931119E-2</v>
      </c>
      <c r="F27" s="2"/>
      <c r="G27" s="2"/>
      <c r="H27" s="2"/>
      <c r="AE27" s="93" t="s">
        <v>97</v>
      </c>
      <c r="AF27" s="93" t="s">
        <v>98</v>
      </c>
    </row>
    <row r="28" spans="1:33">
      <c r="F28" s="2"/>
      <c r="G28" s="2"/>
      <c r="H28" s="2"/>
    </row>
    <row r="29" spans="1:33">
      <c r="A29" s="86" t="s">
        <v>99</v>
      </c>
      <c r="E29" s="89" t="s">
        <v>152</v>
      </c>
      <c r="F29" s="2"/>
      <c r="G29" s="2"/>
      <c r="H29" s="2"/>
      <c r="AE29" s="86" t="s">
        <v>99</v>
      </c>
    </row>
    <row r="30" spans="1:33">
      <c r="A30" s="93" t="s">
        <v>100</v>
      </c>
      <c r="B30" s="98" t="s">
        <v>101</v>
      </c>
      <c r="C30" s="104"/>
      <c r="D30" s="104"/>
      <c r="E30" s="104"/>
      <c r="F30" s="2"/>
      <c r="G30" s="2"/>
      <c r="H30" s="2"/>
      <c r="J30" s="2"/>
      <c r="AE30" s="93" t="s">
        <v>102</v>
      </c>
      <c r="AF30" s="98" t="s">
        <v>101</v>
      </c>
    </row>
    <row r="31" spans="1:33">
      <c r="A31" s="90">
        <v>1</v>
      </c>
      <c r="B31" s="101" t="s">
        <v>103</v>
      </c>
      <c r="C31" s="108">
        <f>销量!C8</f>
        <v>1835</v>
      </c>
      <c r="D31" s="108">
        <f>销量!D8</f>
        <v>590</v>
      </c>
      <c r="E31" s="104"/>
      <c r="F31" s="2"/>
      <c r="G31" s="2"/>
      <c r="H31" s="2"/>
      <c r="J31" s="2"/>
      <c r="AE31" s="93" t="s">
        <v>58</v>
      </c>
      <c r="AF31" s="93" t="s">
        <v>103</v>
      </c>
    </row>
    <row r="32" spans="1:33">
      <c r="A32" s="90">
        <v>2</v>
      </c>
      <c r="B32" s="93" t="s">
        <v>153</v>
      </c>
      <c r="C32" s="96">
        <f>C31*1</f>
        <v>1835</v>
      </c>
      <c r="D32" s="96">
        <f>D31*1</f>
        <v>590</v>
      </c>
      <c r="E32" s="104"/>
      <c r="F32" s="2"/>
      <c r="G32" s="2"/>
      <c r="H32" s="2"/>
      <c r="I32" s="2"/>
      <c r="J32" s="2"/>
      <c r="K32" s="2"/>
      <c r="L32" s="2"/>
      <c r="AE32" s="93"/>
      <c r="AF32" s="93"/>
    </row>
    <row r="33" spans="1:32">
      <c r="A33" s="90">
        <v>3</v>
      </c>
      <c r="B33" s="101" t="s">
        <v>104</v>
      </c>
      <c r="C33" s="96">
        <f>材料成本!D26</f>
        <v>1101.0237339105827</v>
      </c>
      <c r="D33" s="96">
        <f>材料成本!E26</f>
        <v>355.31424999999996</v>
      </c>
      <c r="E33" s="104"/>
      <c r="G33" s="2"/>
      <c r="H33" s="2"/>
      <c r="I33" s="2"/>
      <c r="J33" s="2"/>
      <c r="K33" s="2"/>
      <c r="L33" s="2"/>
      <c r="AE33" s="93" t="s">
        <v>60</v>
      </c>
      <c r="AF33" s="93" t="s">
        <v>104</v>
      </c>
    </row>
    <row r="34" spans="1:32" ht="17.25" customHeight="1">
      <c r="A34" s="90">
        <v>4</v>
      </c>
      <c r="B34" s="93" t="s">
        <v>106</v>
      </c>
      <c r="C34" s="109">
        <f>C32-C33</f>
        <v>733.97626608941732</v>
      </c>
      <c r="D34" s="109">
        <f>D32-D33</f>
        <v>234.68575000000004</v>
      </c>
      <c r="E34" s="104"/>
      <c r="G34" s="2"/>
      <c r="H34" s="2"/>
      <c r="I34" s="2"/>
      <c r="J34" s="2"/>
      <c r="K34" s="2"/>
      <c r="L34" s="2"/>
      <c r="AE34" s="93" t="s">
        <v>105</v>
      </c>
      <c r="AF34" s="93" t="s">
        <v>106</v>
      </c>
    </row>
    <row r="35" spans="1:32">
      <c r="A35" s="93" t="s">
        <v>102</v>
      </c>
      <c r="B35" s="98" t="s">
        <v>10</v>
      </c>
      <c r="C35" s="104"/>
      <c r="D35" s="104"/>
      <c r="E35" s="104"/>
      <c r="F35" s="2"/>
      <c r="G35" s="2"/>
      <c r="H35" s="2"/>
      <c r="I35" s="2"/>
      <c r="J35" s="2"/>
      <c r="K35" s="2"/>
      <c r="L35" s="2"/>
      <c r="M35" s="2"/>
      <c r="N35" s="2"/>
      <c r="O35" s="2"/>
      <c r="AE35" s="93" t="s">
        <v>108</v>
      </c>
      <c r="AF35" s="98" t="s">
        <v>10</v>
      </c>
    </row>
    <row r="36" spans="1:32">
      <c r="A36" s="90">
        <v>1</v>
      </c>
      <c r="B36" s="93" t="s">
        <v>109</v>
      </c>
      <c r="C36" s="102">
        <f>标准成本!E4</f>
        <v>53.765499999999996</v>
      </c>
      <c r="D36" s="102">
        <f>标准成本!E16</f>
        <v>17.286999999999999</v>
      </c>
      <c r="E36" s="108"/>
      <c r="F36" s="2"/>
      <c r="G36" s="2"/>
      <c r="H36" s="2"/>
      <c r="I36" s="2"/>
      <c r="J36" s="2"/>
      <c r="K36" s="2"/>
      <c r="L36" s="2"/>
      <c r="M36" s="2"/>
      <c r="N36" s="2"/>
      <c r="O36" s="2"/>
      <c r="AE36" s="93" t="s">
        <v>105</v>
      </c>
      <c r="AF36" s="93" t="s">
        <v>109</v>
      </c>
    </row>
    <row r="37" spans="1:32">
      <c r="A37" s="90">
        <v>2</v>
      </c>
      <c r="B37" s="93" t="s">
        <v>110</v>
      </c>
      <c r="C37" s="102">
        <f>标准成本!E6</f>
        <v>15.964499999999999</v>
      </c>
      <c r="D37" s="102">
        <f>标准成本!E18</f>
        <v>5.133</v>
      </c>
      <c r="E37" s="108"/>
      <c r="F37" s="2"/>
      <c r="G37" s="2"/>
      <c r="H37" s="2"/>
      <c r="I37" s="2"/>
      <c r="J37" s="2"/>
      <c r="K37" s="2"/>
      <c r="L37" s="2"/>
      <c r="M37" s="2"/>
      <c r="N37" s="2"/>
      <c r="O37" s="2"/>
      <c r="AE37" s="93" t="s">
        <v>63</v>
      </c>
      <c r="AF37" s="93" t="s">
        <v>110</v>
      </c>
    </row>
    <row r="38" spans="1:32">
      <c r="A38" s="90">
        <v>3</v>
      </c>
      <c r="B38" s="93" t="s">
        <v>111</v>
      </c>
      <c r="C38" s="102">
        <f>标准成本!E10</f>
        <v>75.602000000000004</v>
      </c>
      <c r="D38" s="102">
        <f>标准成本!E22</f>
        <v>24.308</v>
      </c>
      <c r="E38" s="108"/>
      <c r="F38" s="2"/>
      <c r="G38" s="2"/>
      <c r="H38" s="2"/>
      <c r="I38" s="2"/>
      <c r="J38" s="2"/>
      <c r="K38" s="2"/>
      <c r="L38" s="2"/>
      <c r="M38" s="2"/>
      <c r="N38" s="2"/>
      <c r="O38" s="2"/>
      <c r="AE38" s="93" t="s">
        <v>69</v>
      </c>
      <c r="AF38" s="93" t="s">
        <v>111</v>
      </c>
    </row>
    <row r="39" spans="1:32">
      <c r="A39" s="93" t="s">
        <v>108</v>
      </c>
      <c r="B39" s="98" t="s">
        <v>113</v>
      </c>
      <c r="C39" s="104"/>
      <c r="D39" s="104"/>
      <c r="E39" s="104"/>
      <c r="AE39" s="93" t="s">
        <v>112</v>
      </c>
      <c r="AF39" s="98" t="s">
        <v>113</v>
      </c>
    </row>
    <row r="40" spans="1:32">
      <c r="A40" s="90">
        <v>1</v>
      </c>
      <c r="B40" s="93" t="s">
        <v>114</v>
      </c>
      <c r="C40" s="104">
        <f>C34-C36-C37-C38</f>
        <v>588.64426608941733</v>
      </c>
      <c r="D40" s="104">
        <f>D34-D36-D37-D38</f>
        <v>187.95775000000003</v>
      </c>
      <c r="E40" s="104"/>
      <c r="AE40" s="93" t="s">
        <v>58</v>
      </c>
      <c r="AF40" s="93" t="s">
        <v>114</v>
      </c>
    </row>
    <row r="41" spans="1:32">
      <c r="A41" s="90">
        <v>2</v>
      </c>
      <c r="B41" s="93" t="s">
        <v>115</v>
      </c>
      <c r="C41" s="104"/>
      <c r="D41" s="104"/>
      <c r="E41" s="104"/>
      <c r="AE41" s="93" t="s">
        <v>60</v>
      </c>
      <c r="AF41" s="93" t="s">
        <v>115</v>
      </c>
    </row>
    <row r="42" spans="1:32">
      <c r="A42" s="93" t="s">
        <v>112</v>
      </c>
      <c r="B42" s="98" t="s">
        <v>117</v>
      </c>
      <c r="C42" s="104"/>
      <c r="D42" s="104"/>
      <c r="E42" s="104"/>
      <c r="AE42" s="93" t="s">
        <v>116</v>
      </c>
      <c r="AF42" s="98" t="s">
        <v>117</v>
      </c>
    </row>
    <row r="43" spans="1:32">
      <c r="A43" s="90">
        <v>1</v>
      </c>
      <c r="B43" s="105" t="s">
        <v>118</v>
      </c>
      <c r="C43" s="102">
        <f>标准成本!E5</f>
        <v>118.72449999999999</v>
      </c>
      <c r="D43" s="102">
        <f>标准成本!E17</f>
        <v>38.172999999999995</v>
      </c>
      <c r="E43" s="104"/>
      <c r="AE43" s="93" t="s">
        <v>58</v>
      </c>
      <c r="AF43" s="93" t="s">
        <v>118</v>
      </c>
    </row>
    <row r="44" spans="1:32">
      <c r="A44" s="90">
        <v>2</v>
      </c>
      <c r="B44" s="105" t="s">
        <v>119</v>
      </c>
      <c r="C44" s="102">
        <f>标准成本!E9</f>
        <v>25.139500000000002</v>
      </c>
      <c r="D44" s="102">
        <f>标准成本!E21</f>
        <v>8.0830000000000002</v>
      </c>
      <c r="E44" s="104"/>
      <c r="AE44" s="93" t="s">
        <v>60</v>
      </c>
      <c r="AF44" s="93" t="s">
        <v>119</v>
      </c>
    </row>
    <row r="45" spans="1:32">
      <c r="A45" s="90">
        <v>3</v>
      </c>
      <c r="B45" s="105" t="s">
        <v>120</v>
      </c>
      <c r="C45" s="102">
        <f>标准成本!E8</f>
        <v>37.6175</v>
      </c>
      <c r="D45" s="102">
        <f>标准成本!E20</f>
        <v>12.095000000000001</v>
      </c>
      <c r="E45" s="104"/>
      <c r="AE45" s="93" t="s">
        <v>105</v>
      </c>
      <c r="AF45" s="93" t="s">
        <v>120</v>
      </c>
    </row>
    <row r="46" spans="1:32" s="88" customFormat="1">
      <c r="A46" s="90">
        <v>4</v>
      </c>
      <c r="B46" s="105" t="s">
        <v>121</v>
      </c>
      <c r="C46" s="110">
        <f>C21/C6</f>
        <v>6.333333333333333</v>
      </c>
      <c r="D46" s="110">
        <f>D21/D6</f>
        <v>6.333333333333333</v>
      </c>
      <c r="E46" s="110"/>
      <c r="AE46" s="105" t="s">
        <v>65</v>
      </c>
      <c r="AF46" s="105" t="s">
        <v>123</v>
      </c>
    </row>
    <row r="47" spans="1:32" s="88" customFormat="1">
      <c r="A47" s="90">
        <v>5</v>
      </c>
      <c r="B47" s="105" t="s">
        <v>123</v>
      </c>
      <c r="C47" s="110">
        <f>标准成本!E11</f>
        <v>80.006</v>
      </c>
      <c r="D47" s="110">
        <f>标准成本!E23</f>
        <v>25.724</v>
      </c>
      <c r="E47" s="110"/>
      <c r="AE47" s="105" t="s">
        <v>65</v>
      </c>
      <c r="AF47" s="105" t="s">
        <v>123</v>
      </c>
    </row>
    <row r="48" spans="1:32">
      <c r="A48" s="93" t="s">
        <v>116</v>
      </c>
      <c r="B48" s="98" t="s">
        <v>134</v>
      </c>
      <c r="C48" s="104">
        <f>C40-C43-C44-C45-C47-C46</f>
        <v>320.82343275608406</v>
      </c>
      <c r="D48" s="104">
        <f>D40-D43-D44-D45-D47-D46</f>
        <v>97.549416666666701</v>
      </c>
      <c r="E48" s="104"/>
      <c r="AE48" s="93" t="s">
        <v>133</v>
      </c>
      <c r="AF48" s="98" t="s">
        <v>134</v>
      </c>
    </row>
    <row r="51" spans="2:10">
      <c r="C51" s="111"/>
      <c r="D51" s="111"/>
    </row>
    <row r="54" spans="2:10">
      <c r="B54" s="2"/>
      <c r="C54" s="112"/>
      <c r="D54" s="112"/>
      <c r="E54" s="112"/>
      <c r="F54" s="2"/>
      <c r="G54" s="2"/>
      <c r="H54" s="2"/>
      <c r="I54" s="2"/>
      <c r="J54" s="2"/>
    </row>
    <row r="55" spans="2:10">
      <c r="B55" s="2"/>
      <c r="C55" s="112"/>
      <c r="D55" s="112"/>
      <c r="E55" s="112"/>
      <c r="F55" s="2"/>
      <c r="G55" s="2"/>
      <c r="H55" s="2"/>
      <c r="I55" s="2"/>
      <c r="J55" s="2"/>
    </row>
    <row r="56" spans="2:10">
      <c r="B56" s="2"/>
      <c r="C56" s="112"/>
      <c r="D56" s="112"/>
      <c r="E56" s="112"/>
      <c r="F56" s="2"/>
      <c r="G56" s="2"/>
      <c r="H56" s="2"/>
      <c r="I56" s="2"/>
      <c r="J56" s="2"/>
    </row>
    <row r="57" spans="2:10">
      <c r="B57" s="2"/>
      <c r="C57" s="112"/>
      <c r="D57" s="112"/>
      <c r="E57" s="112"/>
      <c r="F57" s="2"/>
      <c r="G57" s="2"/>
      <c r="H57" s="2"/>
      <c r="I57" s="2"/>
      <c r="J57" s="2"/>
    </row>
    <row r="58" spans="2:10">
      <c r="B58" s="2"/>
      <c r="C58" s="112"/>
      <c r="D58" s="112"/>
      <c r="E58" s="112"/>
      <c r="F58" s="2"/>
      <c r="G58" s="2"/>
      <c r="H58" s="2"/>
      <c r="I58" s="2"/>
      <c r="J58" s="2"/>
    </row>
    <row r="59" spans="2:10">
      <c r="B59" s="2"/>
      <c r="C59" s="112"/>
      <c r="D59" s="112"/>
      <c r="E59" s="112"/>
      <c r="F59" s="2"/>
      <c r="G59" s="2"/>
      <c r="H59" s="2"/>
      <c r="I59" s="2"/>
      <c r="J59" s="2"/>
    </row>
    <row r="60" spans="2:10">
      <c r="B60" s="2"/>
      <c r="C60" s="112"/>
      <c r="D60" s="112"/>
      <c r="E60" s="112"/>
      <c r="F60" s="2"/>
      <c r="G60" s="2"/>
      <c r="H60" s="2"/>
      <c r="I60" s="2"/>
      <c r="J60" s="2"/>
    </row>
    <row r="61" spans="2:10">
      <c r="B61" s="2"/>
      <c r="C61" s="112"/>
      <c r="D61" s="112"/>
      <c r="E61" s="112"/>
      <c r="F61" s="2"/>
      <c r="G61" s="2"/>
      <c r="H61" s="2"/>
      <c r="I61" s="2"/>
      <c r="J61" s="2"/>
    </row>
    <row r="62" spans="2:10">
      <c r="B62" s="2"/>
      <c r="C62" s="112"/>
      <c r="D62" s="112"/>
      <c r="E62" s="112"/>
      <c r="F62" s="2"/>
      <c r="G62" s="2"/>
      <c r="H62" s="2"/>
      <c r="I62" s="2"/>
      <c r="J62" s="2"/>
    </row>
    <row r="63" spans="2:10">
      <c r="B63" s="2"/>
      <c r="C63" s="112"/>
      <c r="D63" s="112"/>
      <c r="E63" s="112"/>
      <c r="F63" s="2"/>
      <c r="G63" s="2"/>
      <c r="H63" s="2"/>
      <c r="I63" s="2"/>
      <c r="J63" s="2"/>
    </row>
    <row r="64" spans="2:10">
      <c r="B64" s="2"/>
      <c r="C64" s="112"/>
      <c r="D64" s="112"/>
      <c r="E64" s="112"/>
      <c r="F64" s="2"/>
      <c r="G64" s="2"/>
      <c r="H64" s="2"/>
      <c r="I64" s="2"/>
      <c r="J64" s="2"/>
    </row>
    <row r="65" spans="2:10">
      <c r="B65" s="2"/>
      <c r="C65" s="112"/>
      <c r="D65" s="112"/>
      <c r="E65" s="112"/>
      <c r="F65" s="2"/>
      <c r="G65" s="2"/>
      <c r="H65" s="2"/>
      <c r="I65" s="2"/>
      <c r="J65" s="2"/>
    </row>
    <row r="66" spans="2:10">
      <c r="B66" s="2"/>
      <c r="C66" s="112"/>
      <c r="D66" s="112"/>
      <c r="E66" s="112"/>
      <c r="F66" s="2"/>
      <c r="G66" s="2"/>
      <c r="H66" s="2"/>
      <c r="I66" s="2"/>
      <c r="J66" s="2"/>
    </row>
    <row r="67" spans="2:10">
      <c r="B67" s="2"/>
      <c r="C67" s="112"/>
      <c r="D67" s="112"/>
      <c r="E67" s="112"/>
      <c r="F67" s="2"/>
    </row>
    <row r="68" spans="2:10">
      <c r="B68" s="2"/>
      <c r="C68" s="112"/>
      <c r="D68" s="112"/>
      <c r="E68" s="112"/>
      <c r="F68" s="2"/>
    </row>
    <row r="69" spans="2:10">
      <c r="B69" s="2"/>
      <c r="C69" s="112"/>
      <c r="D69" s="112"/>
      <c r="E69" s="112"/>
      <c r="F69" s="2"/>
    </row>
    <row r="70" spans="2:10">
      <c r="B70" s="2"/>
      <c r="C70" s="112"/>
      <c r="D70" s="112"/>
      <c r="E70" s="112"/>
      <c r="F70" s="2"/>
    </row>
    <row r="71" spans="2:10">
      <c r="B71" s="2"/>
      <c r="C71" s="112"/>
      <c r="D71" s="112"/>
      <c r="E71" s="112"/>
      <c r="F71" s="2"/>
    </row>
    <row r="72" spans="2:10">
      <c r="B72" s="2"/>
      <c r="C72" s="112"/>
      <c r="D72" s="112"/>
      <c r="E72" s="112"/>
      <c r="F72" s="2"/>
    </row>
    <row r="73" spans="2:10">
      <c r="B73" s="2"/>
      <c r="C73" s="112"/>
      <c r="D73" s="112"/>
      <c r="E73" s="112"/>
      <c r="F73" s="2"/>
    </row>
    <row r="74" spans="2:10">
      <c r="B74" s="2"/>
      <c r="C74" s="112"/>
      <c r="D74" s="112"/>
      <c r="E74" s="112"/>
      <c r="F74" s="2"/>
    </row>
  </sheetData>
  <mergeCells count="8">
    <mergeCell ref="A4:B4"/>
    <mergeCell ref="A5:B5"/>
    <mergeCell ref="E3:E5"/>
    <mergeCell ref="A1:B1"/>
    <mergeCell ref="C1:E1"/>
    <mergeCell ref="A2:B2"/>
    <mergeCell ref="C2:E2"/>
    <mergeCell ref="A3:B3"/>
  </mergeCells>
  <phoneticPr fontId="47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zoomScale="85" zoomScaleNormal="85" workbookViewId="0">
      <selection activeCell="B25" sqref="B25:E25"/>
    </sheetView>
  </sheetViews>
  <sheetFormatPr defaultColWidth="9" defaultRowHeight="16.5"/>
  <cols>
    <col min="1" max="1" width="5.125" style="86" customWidth="1"/>
    <col min="2" max="2" width="17.5" style="86" customWidth="1"/>
    <col min="3" max="4" width="14.375" style="89" customWidth="1"/>
    <col min="5" max="5" width="18.75" style="89" customWidth="1"/>
    <col min="6" max="6" width="12.375" style="86" customWidth="1"/>
    <col min="7" max="7" width="10.125" style="86" customWidth="1"/>
    <col min="8" max="14" width="9" style="86" customWidth="1"/>
    <col min="15" max="30" width="9" style="86"/>
    <col min="31" max="31" width="4.375" style="86" customWidth="1"/>
    <col min="32" max="32" width="13.875" style="86" customWidth="1"/>
    <col min="33" max="16384" width="9" style="86"/>
  </cols>
  <sheetData>
    <row r="1" spans="1:33">
      <c r="A1" s="207" t="s">
        <v>144</v>
      </c>
      <c r="B1" s="207"/>
      <c r="C1" s="211" t="s">
        <v>281</v>
      </c>
      <c r="D1" s="212"/>
      <c r="E1" s="213"/>
    </row>
    <row r="2" spans="1:33">
      <c r="A2" s="207" t="s">
        <v>145</v>
      </c>
      <c r="B2" s="207"/>
      <c r="C2" s="214" t="str">
        <f>'2025年'!$C$2</f>
        <v>陕汽重型汽车有限公司</v>
      </c>
      <c r="D2" s="214"/>
      <c r="E2" s="214"/>
    </row>
    <row r="3" spans="1:33" ht="45">
      <c r="A3" s="207" t="s">
        <v>146</v>
      </c>
      <c r="B3" s="207"/>
      <c r="C3" s="91" t="str">
        <f>'2025年'!C3</f>
        <v>左空气悬浮座椅总成/一体式头枕/X5000/扶手/报警锁扣/斜滑轨</v>
      </c>
      <c r="D3" s="91" t="str">
        <f>'2025年'!D3</f>
        <v>副司机座椅</v>
      </c>
      <c r="E3" s="208" t="s">
        <v>54</v>
      </c>
    </row>
    <row r="4" spans="1:33">
      <c r="A4" s="207" t="s">
        <v>147</v>
      </c>
      <c r="B4" s="207"/>
      <c r="C4" s="91" t="str">
        <f>'2025年'!C4</f>
        <v>DZ14251510207/8</v>
      </c>
      <c r="D4" s="91" t="str">
        <f>'2025年'!D4</f>
        <v>DZ14251510122</v>
      </c>
      <c r="E4" s="209"/>
    </row>
    <row r="5" spans="1:33" ht="42.75">
      <c r="A5" s="207" t="s">
        <v>148</v>
      </c>
      <c r="B5" s="207"/>
      <c r="C5" s="92" t="str">
        <f>'2025年'!C5</f>
        <v>与X5000配置一致，需要重新开发滑轨+底座总成</v>
      </c>
      <c r="D5" s="92">
        <f>'2025年'!D5</f>
        <v>0</v>
      </c>
      <c r="E5" s="210"/>
      <c r="AG5" s="86" t="s">
        <v>55</v>
      </c>
    </row>
    <row r="6" spans="1:33">
      <c r="A6" s="93" t="s">
        <v>21</v>
      </c>
      <c r="B6" s="94" t="s">
        <v>149</v>
      </c>
      <c r="C6" s="95">
        <f>销量!C14</f>
        <v>0</v>
      </c>
      <c r="D6" s="95">
        <f>销量!D14</f>
        <v>0</v>
      </c>
      <c r="E6" s="96">
        <f t="shared" ref="E6:E15" si="0">+SUM(C6:D6)</f>
        <v>0</v>
      </c>
      <c r="AE6" s="93" t="s">
        <v>21</v>
      </c>
      <c r="AF6" s="94" t="s">
        <v>3</v>
      </c>
      <c r="AG6" s="86" t="s">
        <v>56</v>
      </c>
    </row>
    <row r="7" spans="1:33">
      <c r="A7" s="90">
        <v>1</v>
      </c>
      <c r="B7" s="94" t="s">
        <v>57</v>
      </c>
      <c r="C7" s="96">
        <f>C6*销量!C8</f>
        <v>0</v>
      </c>
      <c r="D7" s="96">
        <f>D6*销量!D8</f>
        <v>0</v>
      </c>
      <c r="E7" s="96">
        <f t="shared" si="0"/>
        <v>0</v>
      </c>
      <c r="F7" s="89"/>
      <c r="AE7" s="93" t="s">
        <v>58</v>
      </c>
      <c r="AF7" s="94" t="s">
        <v>57</v>
      </c>
      <c r="AG7" s="86" t="s">
        <v>56</v>
      </c>
    </row>
    <row r="8" spans="1:33">
      <c r="A8" s="90">
        <v>2</v>
      </c>
      <c r="B8" s="90" t="s">
        <v>59</v>
      </c>
      <c r="C8" s="96">
        <f>C7*(1-销量!$K$11)</f>
        <v>0</v>
      </c>
      <c r="D8" s="96">
        <f>D7*(1-销量!$K$11)</f>
        <v>0</v>
      </c>
      <c r="E8" s="96">
        <f t="shared" si="0"/>
        <v>0</v>
      </c>
      <c r="F8" s="97"/>
      <c r="AE8" s="93" t="s">
        <v>60</v>
      </c>
      <c r="AF8" s="90" t="s">
        <v>61</v>
      </c>
      <c r="AG8" s="86" t="s">
        <v>56</v>
      </c>
    </row>
    <row r="9" spans="1:33">
      <c r="A9" s="90">
        <v>3</v>
      </c>
      <c r="B9" s="94" t="s">
        <v>62</v>
      </c>
      <c r="C9" s="96">
        <f>+C7-C8</f>
        <v>0</v>
      </c>
      <c r="D9" s="96">
        <f>+D7-D8</f>
        <v>0</v>
      </c>
      <c r="E9" s="96">
        <f t="shared" si="0"/>
        <v>0</v>
      </c>
      <c r="AE9" s="93" t="s">
        <v>63</v>
      </c>
      <c r="AF9" s="94" t="s">
        <v>62</v>
      </c>
      <c r="AG9" s="86" t="s">
        <v>64</v>
      </c>
    </row>
    <row r="10" spans="1:33">
      <c r="A10" s="90">
        <v>4</v>
      </c>
      <c r="B10" s="93" t="s">
        <v>66</v>
      </c>
      <c r="C10" s="96">
        <f>C6*C33</f>
        <v>0</v>
      </c>
      <c r="D10" s="96">
        <f>D6*D33</f>
        <v>0</v>
      </c>
      <c r="E10" s="96">
        <f t="shared" si="0"/>
        <v>0</v>
      </c>
      <c r="AE10" s="93" t="s">
        <v>65</v>
      </c>
      <c r="AF10" s="93" t="s">
        <v>66</v>
      </c>
      <c r="AG10" s="86" t="s">
        <v>67</v>
      </c>
    </row>
    <row r="11" spans="1:33">
      <c r="A11" s="90">
        <v>5</v>
      </c>
      <c r="B11" s="93" t="s">
        <v>68</v>
      </c>
      <c r="C11" s="96">
        <f>+C6*C36</f>
        <v>0</v>
      </c>
      <c r="D11" s="96">
        <f>+D6*D36</f>
        <v>0</v>
      </c>
      <c r="E11" s="96">
        <f t="shared" si="0"/>
        <v>0</v>
      </c>
      <c r="AE11" s="93" t="s">
        <v>69</v>
      </c>
      <c r="AF11" s="93" t="s">
        <v>68</v>
      </c>
    </row>
    <row r="12" spans="1:33">
      <c r="A12" s="90">
        <v>6</v>
      </c>
      <c r="B12" s="93" t="s">
        <v>70</v>
      </c>
      <c r="C12" s="96">
        <f>+C6*C37</f>
        <v>0</v>
      </c>
      <c r="D12" s="96">
        <f>+D6*D37</f>
        <v>0</v>
      </c>
      <c r="E12" s="96">
        <f t="shared" si="0"/>
        <v>0</v>
      </c>
      <c r="AE12" s="93" t="s">
        <v>71</v>
      </c>
      <c r="AF12" s="93" t="s">
        <v>70</v>
      </c>
    </row>
    <row r="13" spans="1:33">
      <c r="A13" s="90">
        <v>7</v>
      </c>
      <c r="B13" s="93" t="s">
        <v>72</v>
      </c>
      <c r="C13" s="96">
        <f>+C6*C38</f>
        <v>0</v>
      </c>
      <c r="D13" s="96">
        <f>+D6*D38</f>
        <v>0</v>
      </c>
      <c r="E13" s="96">
        <f t="shared" si="0"/>
        <v>0</v>
      </c>
      <c r="AE13" s="93" t="s">
        <v>73</v>
      </c>
      <c r="AF13" s="93" t="s">
        <v>72</v>
      </c>
      <c r="AG13" s="86" t="s">
        <v>56</v>
      </c>
    </row>
    <row r="14" spans="1:33">
      <c r="A14" s="90">
        <v>8</v>
      </c>
      <c r="B14" s="98" t="s">
        <v>74</v>
      </c>
      <c r="C14" s="96">
        <f>SUM(C11:C13)</f>
        <v>0</v>
      </c>
      <c r="D14" s="96">
        <f>SUM(D11:D13)</f>
        <v>0</v>
      </c>
      <c r="E14" s="96">
        <f t="shared" si="0"/>
        <v>0</v>
      </c>
      <c r="AE14" s="93" t="s">
        <v>75</v>
      </c>
      <c r="AF14" s="98" t="s">
        <v>74</v>
      </c>
    </row>
    <row r="15" spans="1:33">
      <c r="A15" s="90">
        <v>9</v>
      </c>
      <c r="B15" s="98" t="s">
        <v>76</v>
      </c>
      <c r="C15" s="96">
        <f>+C9-C10-C14</f>
        <v>0</v>
      </c>
      <c r="D15" s="96">
        <f>+D9-D10-D14</f>
        <v>0</v>
      </c>
      <c r="E15" s="96">
        <f t="shared" si="0"/>
        <v>0</v>
      </c>
      <c r="AE15" s="93" t="s">
        <v>77</v>
      </c>
      <c r="AF15" s="98" t="s">
        <v>76</v>
      </c>
    </row>
    <row r="16" spans="1:33">
      <c r="A16" s="90">
        <v>10</v>
      </c>
      <c r="B16" s="93" t="s">
        <v>78</v>
      </c>
      <c r="C16" s="99" t="e">
        <f>+C15/C9</f>
        <v>#DIV/0!</v>
      </c>
      <c r="D16" s="99" t="e">
        <f>+D15/D9</f>
        <v>#DIV/0!</v>
      </c>
      <c r="E16" s="99" t="e">
        <f>+E15/E9</f>
        <v>#DIV/0!</v>
      </c>
      <c r="F16" s="100"/>
      <c r="G16" s="100"/>
      <c r="H16" s="100"/>
      <c r="AE16" s="93" t="s">
        <v>79</v>
      </c>
      <c r="AF16" s="93" t="s">
        <v>78</v>
      </c>
    </row>
    <row r="17" spans="1:33">
      <c r="A17" s="90">
        <v>11</v>
      </c>
      <c r="B17" s="93" t="s">
        <v>80</v>
      </c>
      <c r="C17" s="96" t="e">
        <f>C6*C43+C18</f>
        <v>#DIV/0!</v>
      </c>
      <c r="D17" s="96" t="e">
        <f>D6*D43+D18</f>
        <v>#DIV/0!</v>
      </c>
      <c r="E17" s="96" t="e">
        <f>+SUM(C17:D17)</f>
        <v>#DIV/0!</v>
      </c>
      <c r="F17" s="97"/>
      <c r="AE17" s="93" t="s">
        <v>81</v>
      </c>
      <c r="AF17" s="93" t="s">
        <v>80</v>
      </c>
    </row>
    <row r="18" spans="1:33" s="87" customFormat="1">
      <c r="A18" s="90">
        <v>12</v>
      </c>
      <c r="B18" s="101" t="s">
        <v>150</v>
      </c>
      <c r="C18" s="102" t="e">
        <f>$E$18/$E$6*C6</f>
        <v>#DIV/0!</v>
      </c>
      <c r="D18" s="102" t="e">
        <f>$E$18/$E$6*D6</f>
        <v>#DIV/0!</v>
      </c>
      <c r="E18" s="96">
        <f>项目投资!I26</f>
        <v>0</v>
      </c>
      <c r="F18" s="103" t="s">
        <v>151</v>
      </c>
      <c r="G18" s="103"/>
      <c r="H18" s="103"/>
    </row>
    <row r="19" spans="1:33">
      <c r="A19" s="90">
        <v>13</v>
      </c>
      <c r="B19" s="93" t="s">
        <v>82</v>
      </c>
      <c r="C19" s="96">
        <f>C6*C44</f>
        <v>0</v>
      </c>
      <c r="D19" s="96">
        <f>D6*D44</f>
        <v>0</v>
      </c>
      <c r="E19" s="96">
        <f>+SUM(C19:D19)</f>
        <v>0</v>
      </c>
      <c r="F19" s="87"/>
      <c r="AE19" s="93" t="s">
        <v>83</v>
      </c>
      <c r="AF19" s="93" t="s">
        <v>82</v>
      </c>
      <c r="AG19" s="86" t="s">
        <v>56</v>
      </c>
    </row>
    <row r="20" spans="1:33">
      <c r="A20" s="90">
        <v>14</v>
      </c>
      <c r="B20" s="93" t="s">
        <v>84</v>
      </c>
      <c r="C20" s="96">
        <f>C6*C45</f>
        <v>0</v>
      </c>
      <c r="D20" s="96">
        <f>D6*D45</f>
        <v>0</v>
      </c>
      <c r="E20" s="96">
        <f>+SUM(C20:D20)</f>
        <v>0</v>
      </c>
      <c r="AE20" s="93" t="s">
        <v>85</v>
      </c>
      <c r="AF20" s="93" t="s">
        <v>84</v>
      </c>
    </row>
    <row r="21" spans="1:33">
      <c r="A21" s="90">
        <v>15</v>
      </c>
      <c r="B21" s="93" t="s">
        <v>86</v>
      </c>
      <c r="C21" s="104" t="e">
        <f>$E$21/$E$6*C6</f>
        <v>#DIV/0!</v>
      </c>
      <c r="D21" s="104" t="e">
        <f>$E$21/$E$6*D6</f>
        <v>#DIV/0!</v>
      </c>
      <c r="E21" s="96">
        <f>项目投资!I27</f>
        <v>0</v>
      </c>
      <c r="AE21" s="93"/>
      <c r="AF21" s="93"/>
    </row>
    <row r="22" spans="1:33">
      <c r="A22" s="90">
        <v>16</v>
      </c>
      <c r="B22" s="93" t="s">
        <v>87</v>
      </c>
      <c r="C22" s="96">
        <f>C6*C47</f>
        <v>0</v>
      </c>
      <c r="D22" s="96">
        <f>D6*D47</f>
        <v>0</v>
      </c>
      <c r="E22" s="96">
        <f>+SUM(C22:D22)</f>
        <v>0</v>
      </c>
      <c r="AE22" s="93" t="s">
        <v>88</v>
      </c>
      <c r="AF22" s="93" t="s">
        <v>87</v>
      </c>
    </row>
    <row r="23" spans="1:33">
      <c r="A23" s="90">
        <v>17</v>
      </c>
      <c r="B23" s="98" t="s">
        <v>89</v>
      </c>
      <c r="C23" s="104" t="e">
        <f>+C22+C21+C20+C19+C17</f>
        <v>#DIV/0!</v>
      </c>
      <c r="D23" s="104" t="e">
        <f>+D22+D21+D20+D19+D17</f>
        <v>#DIV/0!</v>
      </c>
      <c r="E23" s="104" t="e">
        <f>+E22+E21+E20+E19+E17</f>
        <v>#DIV/0!</v>
      </c>
      <c r="AE23" s="93" t="s">
        <v>90</v>
      </c>
      <c r="AF23" s="98" t="s">
        <v>89</v>
      </c>
    </row>
    <row r="24" spans="1:33">
      <c r="A24" s="90">
        <v>18</v>
      </c>
      <c r="B24" s="105" t="s">
        <v>91</v>
      </c>
      <c r="C24" s="104" t="e">
        <f>+C15-C23</f>
        <v>#DIV/0!</v>
      </c>
      <c r="D24" s="104" t="e">
        <f>+D15-D23</f>
        <v>#DIV/0!</v>
      </c>
      <c r="E24" s="104" t="e">
        <f>+E15-E23</f>
        <v>#DIV/0!</v>
      </c>
      <c r="G24" s="106"/>
      <c r="AE24" s="93" t="s">
        <v>92</v>
      </c>
      <c r="AF24" s="93" t="s">
        <v>91</v>
      </c>
    </row>
    <row r="25" spans="1:33">
      <c r="A25" s="90">
        <v>19</v>
      </c>
      <c r="B25" s="93" t="s">
        <v>303</v>
      </c>
      <c r="C25" s="104" t="e">
        <f>IF(C24&lt;0,0,C24*0.15)</f>
        <v>#DIV/0!</v>
      </c>
      <c r="D25" s="104" t="e">
        <f t="shared" ref="D25:E25" si="1">IF(D24&lt;0,0,D24*0.15)</f>
        <v>#DIV/0!</v>
      </c>
      <c r="E25" s="104" t="e">
        <f t="shared" si="1"/>
        <v>#DIV/0!</v>
      </c>
      <c r="F25" s="2"/>
      <c r="G25" s="2"/>
      <c r="H25" s="2"/>
      <c r="AE25" s="93" t="s">
        <v>93</v>
      </c>
      <c r="AF25" s="93" t="s">
        <v>38</v>
      </c>
    </row>
    <row r="26" spans="1:33">
      <c r="A26" s="90">
        <v>20</v>
      </c>
      <c r="B26" s="93" t="s">
        <v>94</v>
      </c>
      <c r="C26" s="104" t="e">
        <f>C24-C25</f>
        <v>#DIV/0!</v>
      </c>
      <c r="D26" s="104" t="e">
        <f>D24-D25</f>
        <v>#DIV/0!</v>
      </c>
      <c r="E26" s="96" t="e">
        <f>+SUM(C26:D26)</f>
        <v>#DIV/0!</v>
      </c>
      <c r="F26" s="2"/>
      <c r="G26" s="2"/>
      <c r="H26" s="2"/>
      <c r="AE26" s="93" t="s">
        <v>95</v>
      </c>
      <c r="AF26" s="93" t="s">
        <v>94</v>
      </c>
    </row>
    <row r="27" spans="1:33">
      <c r="A27" s="90">
        <v>21</v>
      </c>
      <c r="B27" s="93" t="s">
        <v>98</v>
      </c>
      <c r="C27" s="107" t="e">
        <f>C26/C7</f>
        <v>#DIV/0!</v>
      </c>
      <c r="D27" s="107" t="e">
        <f>D26/D7</f>
        <v>#DIV/0!</v>
      </c>
      <c r="E27" s="107" t="e">
        <f>E26/E7</f>
        <v>#DIV/0!</v>
      </c>
      <c r="F27" s="2"/>
      <c r="G27" s="2"/>
      <c r="H27" s="2"/>
      <c r="AE27" s="93" t="s">
        <v>97</v>
      </c>
      <c r="AF27" s="93" t="s">
        <v>98</v>
      </c>
    </row>
    <row r="28" spans="1:33">
      <c r="F28" s="2"/>
      <c r="G28" s="2"/>
      <c r="H28" s="2"/>
    </row>
    <row r="29" spans="1:33">
      <c r="A29" s="86" t="s">
        <v>99</v>
      </c>
      <c r="E29" s="89" t="s">
        <v>152</v>
      </c>
      <c r="F29" s="2"/>
      <c r="G29" s="2"/>
      <c r="H29" s="2"/>
      <c r="AE29" s="86" t="s">
        <v>99</v>
      </c>
    </row>
    <row r="30" spans="1:33">
      <c r="A30" s="93" t="s">
        <v>100</v>
      </c>
      <c r="B30" s="98" t="s">
        <v>101</v>
      </c>
      <c r="C30" s="104"/>
      <c r="D30" s="104"/>
      <c r="E30" s="104"/>
      <c r="F30" s="2"/>
      <c r="G30" s="2"/>
      <c r="H30" s="2"/>
      <c r="J30" s="2"/>
      <c r="AE30" s="93" t="s">
        <v>102</v>
      </c>
      <c r="AF30" s="98" t="s">
        <v>101</v>
      </c>
    </row>
    <row r="31" spans="1:33">
      <c r="A31" s="90">
        <v>1</v>
      </c>
      <c r="B31" s="101" t="s">
        <v>103</v>
      </c>
      <c r="C31" s="108">
        <f>销量!C8</f>
        <v>1835</v>
      </c>
      <c r="D31" s="108">
        <f>销量!D8</f>
        <v>590</v>
      </c>
      <c r="E31" s="104"/>
      <c r="F31" s="2"/>
      <c r="G31" s="2"/>
      <c r="H31" s="2"/>
      <c r="J31" s="2"/>
      <c r="AE31" s="93" t="s">
        <v>58</v>
      </c>
      <c r="AF31" s="93" t="s">
        <v>103</v>
      </c>
    </row>
    <row r="32" spans="1:33">
      <c r="A32" s="90">
        <v>2</v>
      </c>
      <c r="B32" s="93" t="s">
        <v>153</v>
      </c>
      <c r="C32" s="96">
        <f>C31*1</f>
        <v>1835</v>
      </c>
      <c r="D32" s="96">
        <f>D31*1</f>
        <v>590</v>
      </c>
      <c r="E32" s="104"/>
      <c r="F32" s="2"/>
      <c r="G32" s="2"/>
      <c r="H32" s="2"/>
      <c r="I32" s="2"/>
      <c r="J32" s="2"/>
      <c r="K32" s="2"/>
      <c r="L32" s="2"/>
      <c r="AE32" s="93"/>
      <c r="AF32" s="93"/>
    </row>
    <row r="33" spans="1:32">
      <c r="A33" s="90">
        <v>3</v>
      </c>
      <c r="B33" s="101" t="s">
        <v>104</v>
      </c>
      <c r="C33" s="96">
        <f>材料成本!D26</f>
        <v>1101.0237339105827</v>
      </c>
      <c r="D33" s="96">
        <f>材料成本!E26</f>
        <v>355.31424999999996</v>
      </c>
      <c r="E33" s="104"/>
      <c r="G33" s="2"/>
      <c r="H33" s="2"/>
      <c r="I33" s="2"/>
      <c r="J33" s="2"/>
      <c r="K33" s="2"/>
      <c r="L33" s="2"/>
      <c r="AE33" s="93" t="s">
        <v>60</v>
      </c>
      <c r="AF33" s="93" t="s">
        <v>104</v>
      </c>
    </row>
    <row r="34" spans="1:32" ht="17.25" customHeight="1">
      <c r="A34" s="90">
        <v>4</v>
      </c>
      <c r="B34" s="93" t="s">
        <v>106</v>
      </c>
      <c r="C34" s="109">
        <f>C32-C33</f>
        <v>733.97626608941732</v>
      </c>
      <c r="D34" s="109">
        <f>D32-D33</f>
        <v>234.68575000000004</v>
      </c>
      <c r="E34" s="104"/>
      <c r="G34" s="2"/>
      <c r="H34" s="2"/>
      <c r="I34" s="2"/>
      <c r="J34" s="2"/>
      <c r="K34" s="2"/>
      <c r="L34" s="2"/>
      <c r="AE34" s="93" t="s">
        <v>105</v>
      </c>
      <c r="AF34" s="93" t="s">
        <v>106</v>
      </c>
    </row>
    <row r="35" spans="1:32">
      <c r="A35" s="93" t="s">
        <v>102</v>
      </c>
      <c r="B35" s="98" t="s">
        <v>10</v>
      </c>
      <c r="C35" s="104"/>
      <c r="D35" s="104"/>
      <c r="E35" s="104"/>
      <c r="F35" s="2"/>
      <c r="G35" s="2"/>
      <c r="H35" s="2"/>
      <c r="I35" s="2"/>
      <c r="J35" s="2"/>
      <c r="K35" s="2"/>
      <c r="L35" s="2"/>
      <c r="M35" s="2"/>
      <c r="N35" s="2"/>
      <c r="O35" s="2"/>
      <c r="AE35" s="93" t="s">
        <v>108</v>
      </c>
      <c r="AF35" s="98" t="s">
        <v>10</v>
      </c>
    </row>
    <row r="36" spans="1:32">
      <c r="A36" s="90">
        <v>1</v>
      </c>
      <c r="B36" s="93" t="s">
        <v>109</v>
      </c>
      <c r="C36" s="102">
        <f>标准成本!E4</f>
        <v>53.765499999999996</v>
      </c>
      <c r="D36" s="102">
        <f>标准成本!E16</f>
        <v>17.286999999999999</v>
      </c>
      <c r="E36" s="108"/>
      <c r="F36" s="2"/>
      <c r="G36" s="2"/>
      <c r="H36" s="2"/>
      <c r="I36" s="2"/>
      <c r="J36" s="2"/>
      <c r="K36" s="2"/>
      <c r="L36" s="2"/>
      <c r="M36" s="2"/>
      <c r="N36" s="2"/>
      <c r="O36" s="2"/>
      <c r="AE36" s="93" t="s">
        <v>105</v>
      </c>
      <c r="AF36" s="93" t="s">
        <v>109</v>
      </c>
    </row>
    <row r="37" spans="1:32">
      <c r="A37" s="90">
        <v>2</v>
      </c>
      <c r="B37" s="93" t="s">
        <v>110</v>
      </c>
      <c r="C37" s="102">
        <f>标准成本!E6</f>
        <v>15.964499999999999</v>
      </c>
      <c r="D37" s="102">
        <f>标准成本!E18</f>
        <v>5.133</v>
      </c>
      <c r="E37" s="108"/>
      <c r="F37" s="2"/>
      <c r="G37" s="2"/>
      <c r="H37" s="2"/>
      <c r="I37" s="2"/>
      <c r="J37" s="2"/>
      <c r="K37" s="2"/>
      <c r="L37" s="2"/>
      <c r="M37" s="2"/>
      <c r="N37" s="2"/>
      <c r="O37" s="2"/>
      <c r="AE37" s="93" t="s">
        <v>63</v>
      </c>
      <c r="AF37" s="93" t="s">
        <v>110</v>
      </c>
    </row>
    <row r="38" spans="1:32">
      <c r="A38" s="90">
        <v>3</v>
      </c>
      <c r="B38" s="93" t="s">
        <v>111</v>
      </c>
      <c r="C38" s="102">
        <f>标准成本!E10</f>
        <v>75.602000000000004</v>
      </c>
      <c r="D38" s="102">
        <f>标准成本!E22</f>
        <v>24.308</v>
      </c>
      <c r="E38" s="108"/>
      <c r="F38" s="2"/>
      <c r="G38" s="2"/>
      <c r="H38" s="2"/>
      <c r="I38" s="2"/>
      <c r="J38" s="2"/>
      <c r="K38" s="2"/>
      <c r="L38" s="2"/>
      <c r="M38" s="2"/>
      <c r="N38" s="2"/>
      <c r="O38" s="2"/>
      <c r="AE38" s="93" t="s">
        <v>69</v>
      </c>
      <c r="AF38" s="93" t="s">
        <v>111</v>
      </c>
    </row>
    <row r="39" spans="1:32">
      <c r="A39" s="93" t="s">
        <v>108</v>
      </c>
      <c r="B39" s="98" t="s">
        <v>113</v>
      </c>
      <c r="C39" s="104"/>
      <c r="D39" s="104"/>
      <c r="E39" s="104"/>
      <c r="AE39" s="93" t="s">
        <v>112</v>
      </c>
      <c r="AF39" s="98" t="s">
        <v>113</v>
      </c>
    </row>
    <row r="40" spans="1:32">
      <c r="A40" s="90">
        <v>1</v>
      </c>
      <c r="B40" s="93" t="s">
        <v>114</v>
      </c>
      <c r="C40" s="104">
        <f>C34-C36-C37-C38</f>
        <v>588.64426608941733</v>
      </c>
      <c r="D40" s="104">
        <f>D34-D36-D37-D38</f>
        <v>187.95775000000003</v>
      </c>
      <c r="E40" s="104"/>
      <c r="AE40" s="93" t="s">
        <v>58</v>
      </c>
      <c r="AF40" s="93" t="s">
        <v>114</v>
      </c>
    </row>
    <row r="41" spans="1:32">
      <c r="A41" s="90">
        <v>2</v>
      </c>
      <c r="B41" s="93" t="s">
        <v>115</v>
      </c>
      <c r="C41" s="104"/>
      <c r="D41" s="104"/>
      <c r="E41" s="104"/>
      <c r="AE41" s="93" t="s">
        <v>60</v>
      </c>
      <c r="AF41" s="93" t="s">
        <v>115</v>
      </c>
    </row>
    <row r="42" spans="1:32">
      <c r="A42" s="93" t="s">
        <v>112</v>
      </c>
      <c r="B42" s="98" t="s">
        <v>117</v>
      </c>
      <c r="C42" s="104"/>
      <c r="D42" s="104"/>
      <c r="E42" s="104"/>
      <c r="AE42" s="93" t="s">
        <v>116</v>
      </c>
      <c r="AF42" s="98" t="s">
        <v>117</v>
      </c>
    </row>
    <row r="43" spans="1:32">
      <c r="A43" s="90">
        <v>1</v>
      </c>
      <c r="B43" s="105" t="s">
        <v>118</v>
      </c>
      <c r="C43" s="102">
        <f>标准成本!E5</f>
        <v>118.72449999999999</v>
      </c>
      <c r="D43" s="102">
        <f>标准成本!E17</f>
        <v>38.172999999999995</v>
      </c>
      <c r="E43" s="104"/>
      <c r="AE43" s="93" t="s">
        <v>58</v>
      </c>
      <c r="AF43" s="93" t="s">
        <v>118</v>
      </c>
    </row>
    <row r="44" spans="1:32">
      <c r="A44" s="90">
        <v>2</v>
      </c>
      <c r="B44" s="105" t="s">
        <v>119</v>
      </c>
      <c r="C44" s="102">
        <f>标准成本!E9</f>
        <v>25.139500000000002</v>
      </c>
      <c r="D44" s="102">
        <f>标准成本!E21</f>
        <v>8.0830000000000002</v>
      </c>
      <c r="E44" s="104"/>
      <c r="AE44" s="93" t="s">
        <v>60</v>
      </c>
      <c r="AF44" s="93" t="s">
        <v>119</v>
      </c>
    </row>
    <row r="45" spans="1:32">
      <c r="A45" s="90">
        <v>3</v>
      </c>
      <c r="B45" s="105" t="s">
        <v>120</v>
      </c>
      <c r="C45" s="102">
        <f>标准成本!E8</f>
        <v>37.6175</v>
      </c>
      <c r="D45" s="102">
        <f>标准成本!E20</f>
        <v>12.095000000000001</v>
      </c>
      <c r="E45" s="104"/>
      <c r="AE45" s="93" t="s">
        <v>105</v>
      </c>
      <c r="AF45" s="93" t="s">
        <v>120</v>
      </c>
    </row>
    <row r="46" spans="1:32" s="88" customFormat="1">
      <c r="A46" s="90">
        <v>4</v>
      </c>
      <c r="B46" s="105" t="s">
        <v>121</v>
      </c>
      <c r="C46" s="110" t="e">
        <f>C21/C6</f>
        <v>#DIV/0!</v>
      </c>
      <c r="D46" s="110" t="e">
        <f>D21/D6</f>
        <v>#DIV/0!</v>
      </c>
      <c r="E46" s="110"/>
      <c r="AE46" s="105" t="s">
        <v>65</v>
      </c>
      <c r="AF46" s="105" t="s">
        <v>123</v>
      </c>
    </row>
    <row r="47" spans="1:32" s="88" customFormat="1">
      <c r="A47" s="90">
        <v>5</v>
      </c>
      <c r="B47" s="105" t="s">
        <v>123</v>
      </c>
      <c r="C47" s="110">
        <f>标准成本!E11</f>
        <v>80.006</v>
      </c>
      <c r="D47" s="110">
        <f>标准成本!E23</f>
        <v>25.724</v>
      </c>
      <c r="E47" s="110"/>
      <c r="AE47" s="105" t="s">
        <v>65</v>
      </c>
      <c r="AF47" s="105" t="s">
        <v>123</v>
      </c>
    </row>
    <row r="48" spans="1:32">
      <c r="A48" s="93" t="s">
        <v>116</v>
      </c>
      <c r="B48" s="98" t="s">
        <v>134</v>
      </c>
      <c r="C48" s="104" t="e">
        <f>C40-C43-C44-C45-C47-C46</f>
        <v>#DIV/0!</v>
      </c>
      <c r="D48" s="104" t="e">
        <f>D40-D43-D44-D45-D47-D46</f>
        <v>#DIV/0!</v>
      </c>
      <c r="E48" s="104"/>
      <c r="AE48" s="93" t="s">
        <v>133</v>
      </c>
      <c r="AF48" s="98" t="s">
        <v>134</v>
      </c>
    </row>
    <row r="51" spans="2:10">
      <c r="C51" s="111"/>
      <c r="D51" s="111"/>
    </row>
    <row r="54" spans="2:10">
      <c r="B54" s="2"/>
      <c r="C54" s="112"/>
      <c r="D54" s="112"/>
      <c r="E54" s="112"/>
      <c r="F54" s="2"/>
      <c r="G54" s="2"/>
      <c r="H54" s="2"/>
      <c r="I54" s="2"/>
      <c r="J54" s="2"/>
    </row>
    <row r="55" spans="2:10">
      <c r="B55" s="2"/>
      <c r="C55" s="112"/>
      <c r="D55" s="112"/>
      <c r="E55" s="112"/>
      <c r="F55" s="2"/>
      <c r="G55" s="2"/>
      <c r="H55" s="2"/>
      <c r="I55" s="2"/>
      <c r="J55" s="2"/>
    </row>
    <row r="56" spans="2:10">
      <c r="B56" s="2"/>
      <c r="C56" s="112"/>
      <c r="D56" s="112"/>
      <c r="E56" s="112"/>
      <c r="F56" s="2"/>
      <c r="G56" s="2"/>
      <c r="H56" s="2"/>
      <c r="I56" s="2"/>
      <c r="J56" s="2"/>
    </row>
    <row r="57" spans="2:10">
      <c r="B57" s="2"/>
      <c r="C57" s="112"/>
      <c r="D57" s="112"/>
      <c r="E57" s="112"/>
      <c r="F57" s="2"/>
      <c r="G57" s="2"/>
      <c r="H57" s="2"/>
      <c r="I57" s="2"/>
      <c r="J57" s="2"/>
    </row>
    <row r="58" spans="2:10">
      <c r="B58" s="2"/>
      <c r="C58" s="112"/>
      <c r="D58" s="112"/>
      <c r="E58" s="112"/>
      <c r="F58" s="2"/>
      <c r="G58" s="2"/>
      <c r="H58" s="2"/>
      <c r="I58" s="2"/>
      <c r="J58" s="2"/>
    </row>
    <row r="59" spans="2:10">
      <c r="B59" s="2"/>
      <c r="C59" s="112"/>
      <c r="D59" s="112"/>
      <c r="E59" s="112"/>
      <c r="F59" s="2"/>
      <c r="G59" s="2"/>
      <c r="H59" s="2"/>
      <c r="I59" s="2"/>
      <c r="J59" s="2"/>
    </row>
    <row r="60" spans="2:10">
      <c r="B60" s="2"/>
      <c r="C60" s="112"/>
      <c r="D60" s="112"/>
      <c r="E60" s="112"/>
      <c r="F60" s="2"/>
      <c r="G60" s="2"/>
      <c r="H60" s="2"/>
      <c r="I60" s="2"/>
      <c r="J60" s="2"/>
    </row>
    <row r="61" spans="2:10">
      <c r="B61" s="2"/>
      <c r="C61" s="112"/>
      <c r="D61" s="112"/>
      <c r="E61" s="112"/>
      <c r="F61" s="2"/>
      <c r="G61" s="2"/>
      <c r="H61" s="2"/>
      <c r="I61" s="2"/>
      <c r="J61" s="2"/>
    </row>
    <row r="62" spans="2:10">
      <c r="B62" s="2"/>
      <c r="C62" s="112"/>
      <c r="D62" s="112"/>
      <c r="E62" s="112"/>
      <c r="F62" s="2"/>
      <c r="G62" s="2"/>
      <c r="H62" s="2"/>
      <c r="I62" s="2"/>
      <c r="J62" s="2"/>
    </row>
    <row r="63" spans="2:10">
      <c r="B63" s="2"/>
      <c r="C63" s="112"/>
      <c r="D63" s="112"/>
      <c r="E63" s="112"/>
      <c r="F63" s="2"/>
      <c r="G63" s="2"/>
      <c r="H63" s="2"/>
      <c r="I63" s="2"/>
      <c r="J63" s="2"/>
    </row>
    <row r="64" spans="2:10">
      <c r="B64" s="2"/>
      <c r="C64" s="112"/>
      <c r="D64" s="112"/>
      <c r="E64" s="112"/>
      <c r="F64" s="2"/>
      <c r="G64" s="2"/>
      <c r="H64" s="2"/>
      <c r="I64" s="2"/>
      <c r="J64" s="2"/>
    </row>
    <row r="65" spans="2:10">
      <c r="B65" s="2"/>
      <c r="C65" s="112"/>
      <c r="D65" s="112"/>
      <c r="E65" s="112"/>
      <c r="F65" s="2"/>
      <c r="G65" s="2"/>
      <c r="H65" s="2"/>
      <c r="I65" s="2"/>
      <c r="J65" s="2"/>
    </row>
    <row r="66" spans="2:10">
      <c r="B66" s="2"/>
      <c r="C66" s="112"/>
      <c r="D66" s="112"/>
      <c r="E66" s="112"/>
      <c r="F66" s="2"/>
      <c r="G66" s="2"/>
      <c r="H66" s="2"/>
      <c r="I66" s="2"/>
      <c r="J66" s="2"/>
    </row>
    <row r="67" spans="2:10">
      <c r="B67" s="2"/>
      <c r="C67" s="112"/>
      <c r="D67" s="112"/>
      <c r="E67" s="112"/>
      <c r="F67" s="2"/>
    </row>
    <row r="68" spans="2:10">
      <c r="B68" s="2"/>
      <c r="C68" s="112"/>
      <c r="D68" s="112"/>
      <c r="E68" s="112"/>
      <c r="F68" s="2"/>
    </row>
    <row r="69" spans="2:10">
      <c r="B69" s="2"/>
      <c r="C69" s="112"/>
      <c r="D69" s="112"/>
      <c r="E69" s="112"/>
      <c r="F69" s="2"/>
    </row>
    <row r="70" spans="2:10">
      <c r="B70" s="2"/>
      <c r="C70" s="112"/>
      <c r="D70" s="112"/>
      <c r="E70" s="112"/>
      <c r="F70" s="2"/>
    </row>
    <row r="71" spans="2:10">
      <c r="B71" s="2"/>
      <c r="C71" s="112"/>
      <c r="D71" s="112"/>
      <c r="E71" s="112"/>
      <c r="F71" s="2"/>
    </row>
    <row r="72" spans="2:10">
      <c r="B72" s="2"/>
      <c r="C72" s="112"/>
      <c r="D72" s="112"/>
      <c r="E72" s="112"/>
      <c r="F72" s="2"/>
    </row>
    <row r="73" spans="2:10">
      <c r="B73" s="2"/>
      <c r="C73" s="112"/>
      <c r="D73" s="112"/>
      <c r="E73" s="112"/>
      <c r="F73" s="2"/>
    </row>
    <row r="74" spans="2:10">
      <c r="B74" s="2"/>
      <c r="C74" s="112"/>
      <c r="D74" s="112"/>
      <c r="E74" s="112"/>
      <c r="F74" s="2"/>
    </row>
  </sheetData>
  <mergeCells count="8">
    <mergeCell ref="A4:B4"/>
    <mergeCell ref="A5:B5"/>
    <mergeCell ref="E3:E5"/>
    <mergeCell ref="A1:B1"/>
    <mergeCell ref="C1:E1"/>
    <mergeCell ref="A2:B2"/>
    <mergeCell ref="C2:E2"/>
    <mergeCell ref="A3:B3"/>
  </mergeCells>
  <phoneticPr fontId="47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4</vt:i4>
      </vt:variant>
    </vt:vector>
  </HeadingPairs>
  <TitlesOfParts>
    <vt:vector size="19" baseType="lpstr">
      <vt:lpstr>假设条件</vt:lpstr>
      <vt:lpstr>现金</vt:lpstr>
      <vt:lpstr>损益表</vt:lpstr>
      <vt:lpstr>2025年</vt:lpstr>
      <vt:lpstr>2026年</vt:lpstr>
      <vt:lpstr>2027年</vt:lpstr>
      <vt:lpstr>2028年</vt:lpstr>
      <vt:lpstr>2029年</vt:lpstr>
      <vt:lpstr>2030年</vt:lpstr>
      <vt:lpstr>2031年</vt:lpstr>
      <vt:lpstr>项目投资</vt:lpstr>
      <vt:lpstr>销量</vt:lpstr>
      <vt:lpstr>材料成本</vt:lpstr>
      <vt:lpstr>其他</vt:lpstr>
      <vt:lpstr>标准成本</vt:lpstr>
      <vt:lpstr>'2026年'!Print_Area</vt:lpstr>
      <vt:lpstr>'2027年'!Print_Area</vt:lpstr>
      <vt:lpstr>'2028年'!Print_Area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2025-04-14T06:59:23Z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9545D4B7266740A89BCEAE7E60B7E103</vt:lpwstr>
  </property>
</Properties>
</file>