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安路普产品报价 （不考虑合格率）" sheetId="4" r:id="rId1"/>
    <sheet name="重点产品核算" sheetId="3" state="hidden" r:id="rId2"/>
  </sheets>
  <definedNames>
    <definedName name="_xlnm._FilterDatabase" localSheetId="0" hidden="1">'安路普产品报价 （不考虑合格率）'!$A$4:$AJ$6</definedName>
    <definedName name="_xlnm._FilterDatabase" localSheetId="1" hidden="1">重点产品核算!$A$4:$W$24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sunpeilin</author>
  </authors>
  <commentList>
    <comment ref="P3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含五险一金</t>
        </r>
      </text>
    </comment>
  </commentList>
</comments>
</file>

<file path=xl/sharedStrings.xml><?xml version="1.0" encoding="utf-8"?>
<sst xmlns="http://schemas.openxmlformats.org/spreadsheetml/2006/main" count="127" uniqueCount="89">
  <si>
    <t>内部定价核算方式</t>
  </si>
  <si>
    <t>实际费用占比</t>
  </si>
  <si>
    <r>
      <rPr>
        <b/>
        <sz val="11"/>
        <rFont val="宋体"/>
        <charset val="134"/>
        <scheme val="minor"/>
      </rPr>
      <t>（料+工+费）*</t>
    </r>
    <r>
      <rPr>
        <b/>
        <sz val="11"/>
        <color rgb="FFFF0000"/>
        <rFont val="宋体"/>
        <charset val="134"/>
        <scheme val="minor"/>
      </rPr>
      <t>1.5</t>
    </r>
    <r>
      <rPr>
        <b/>
        <sz val="11"/>
        <rFont val="宋体"/>
        <charset val="134"/>
        <scheme val="minor"/>
      </rPr>
      <t>+外*1.1+包装+运费+丝印</t>
    </r>
  </si>
  <si>
    <t>序号</t>
  </si>
  <si>
    <t>物料代码</t>
  </si>
  <si>
    <t>名称</t>
  </si>
  <si>
    <t>材质</t>
  </si>
  <si>
    <t>单件重量/㎏</t>
  </si>
  <si>
    <t>未税材料单价/kg</t>
  </si>
  <si>
    <t>合格率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</si>
  <si>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</si>
  <si>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</si>
  <si>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</si>
  <si>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</si>
  <si>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</si>
  <si>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</si>
  <si>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</si>
  <si>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</si>
  <si>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</si>
  <si>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</si>
  <si>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</si>
  <si>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</si>
  <si>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丝印</t>
  </si>
  <si>
    <t>财务给出内部结算指导价（未税）</t>
  </si>
  <si>
    <t>25年最新报价</t>
  </si>
  <si>
    <t>差异</t>
  </si>
  <si>
    <t>运费</t>
  </si>
  <si>
    <t>直接人工</t>
  </si>
  <si>
    <t>电费</t>
  </si>
  <si>
    <t>包装</t>
  </si>
  <si>
    <t>材料附加值</t>
  </si>
  <si>
    <t>公式模拟（不考虑合格率）</t>
  </si>
  <si>
    <t>现执行价格小计</t>
  </si>
  <si>
    <t>瑞龙祥价格下降10%</t>
  </si>
  <si>
    <t>净重</t>
  </si>
  <si>
    <t>毛重</t>
  </si>
  <si>
    <t>单价</t>
  </si>
  <si>
    <t>SHT0017255</t>
  </si>
  <si>
    <t>座椅气囊上盖</t>
  </si>
  <si>
    <t>PA6+GF30</t>
  </si>
  <si>
    <t>PL2500/900</t>
  </si>
  <si>
    <t>SHT0017256</t>
  </si>
  <si>
    <t>座椅气囊下盖</t>
  </si>
  <si>
    <t>固定费用及利润占比</t>
  </si>
  <si>
    <t>2024年开票数量</t>
  </si>
  <si>
    <t>成本变化</t>
  </si>
  <si>
    <t>北京预计</t>
  </si>
  <si>
    <t>管理费用</t>
  </si>
  <si>
    <t>财务费用</t>
  </si>
  <si>
    <t>制造费用</t>
  </si>
  <si>
    <t>园区分摊</t>
  </si>
  <si>
    <t>利润</t>
  </si>
  <si>
    <t>BPC0010059</t>
  </si>
  <si>
    <t>升降气阀手柄（黑色）</t>
  </si>
  <si>
    <t>ABS+PC</t>
  </si>
  <si>
    <t>BPC0010058</t>
  </si>
  <si>
    <t>升降气阀安装座</t>
  </si>
  <si>
    <t>SHT0011210</t>
  </si>
  <si>
    <t>气囊上盖</t>
  </si>
  <si>
    <t>SHT0011211</t>
  </si>
  <si>
    <t>气囊下盖</t>
  </si>
  <si>
    <t>SHT0010349</t>
  </si>
  <si>
    <t>主驾驶座椅高度调节手柄</t>
  </si>
  <si>
    <t>SHT0012891</t>
  </si>
  <si>
    <t>升降调节手柄</t>
  </si>
  <si>
    <t>SHT0012892</t>
  </si>
  <si>
    <t>升降调节手柄底座</t>
  </si>
  <si>
    <t>SHT0011965</t>
  </si>
  <si>
    <t>升降气阀手柄</t>
  </si>
  <si>
    <t>SHT0013746</t>
  </si>
  <si>
    <t>X5000阻尼调节手柄</t>
  </si>
  <si>
    <t>SHT0013747</t>
  </si>
  <si>
    <t>SHT0012026</t>
  </si>
  <si>
    <t>升级气阀固定板</t>
  </si>
  <si>
    <t>SLT0010278</t>
  </si>
  <si>
    <t>轻卡气囊上盖</t>
  </si>
  <si>
    <t>SLT0010279</t>
  </si>
  <si>
    <t>轻卡气囊下座</t>
  </si>
  <si>
    <t>SHT0013068</t>
  </si>
  <si>
    <t>SHT0002196</t>
  </si>
  <si>
    <t>SHT0002201</t>
  </si>
  <si>
    <t>气阀主体</t>
  </si>
  <si>
    <t>POM</t>
  </si>
  <si>
    <t>SHT0002223</t>
  </si>
  <si>
    <t>小剪刀摆轮</t>
  </si>
  <si>
    <t>SHT0001743</t>
  </si>
  <si>
    <t>X3000阻尼器调节手柄（灰）</t>
  </si>
  <si>
    <t>SHT0011047</t>
  </si>
  <si>
    <t>阻尼器调节机构手柄(黑色H4)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</si>
</sst>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0.00_ "/>
    <numFmt numFmtId="179" formatCode="0.0000_);[Red]\(0.0000\)"/>
    <numFmt numFmtId="180" formatCode="0.0%"/>
    <numFmt numFmtId="181" formatCode="_ * #,##0.00_ ;_ * \-#,##0.00_ ;_ * &quot;-&quot;??.0_ ;_ @_ "/>
    <numFmt numFmtId="182" formatCode="_ * #,##0.0_ ;_ * \-#,##0.0_ ;_ * &quot;-&quot;??_ ;_ @_ "/>
    <numFmt numFmtId="183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F000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4" applyNumberFormat="0" applyAlignment="0" applyProtection="0">
      <alignment vertical="center"/>
    </xf>
    <xf numFmtId="0" fontId="15" fillId="6" borderId="15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43" fontId="0" fillId="0" borderId="0" xfId="0" applyNumberFormat="1" applyFill="1">
      <alignment vertical="center"/>
    </xf>
    <xf numFmtId="43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>
      <alignment vertical="center"/>
    </xf>
    <xf numFmtId="177" fontId="1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0" borderId="1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left" vertical="center" wrapText="1"/>
    </xf>
    <xf numFmtId="0" fontId="1" fillId="0" borderId="1" xfId="0" applyFont="1" applyFill="1" applyBorder="1">
      <alignment vertical="center"/>
    </xf>
    <xf numFmtId="177" fontId="1" fillId="0" borderId="1" xfId="0" applyNumberFormat="1" applyFont="1" applyFill="1" applyBorder="1">
      <alignment vertical="center"/>
    </xf>
    <xf numFmtId="177" fontId="1" fillId="0" borderId="1" xfId="3" applyNumberFormat="1" applyFont="1" applyFill="1" applyBorder="1">
      <alignment vertical="center"/>
    </xf>
    <xf numFmtId="0" fontId="4" fillId="0" borderId="1" xfId="49" applyFont="1" applyFill="1" applyBorder="1" applyAlignment="1">
      <alignment horizontal="left" vertical="center"/>
    </xf>
    <xf numFmtId="43" fontId="1" fillId="0" borderId="0" xfId="0" applyNumberFormat="1" applyFont="1" applyFill="1">
      <alignment vertical="center"/>
    </xf>
    <xf numFmtId="43" fontId="3" fillId="0" borderId="0" xfId="0" applyNumberFormat="1" applyFont="1" applyFill="1" applyAlignment="1">
      <alignment horizontal="center" vertical="center"/>
    </xf>
    <xf numFmtId="176" fontId="2" fillId="0" borderId="1" xfId="1" applyNumberFormat="1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horizontal="center" vertical="center" wrapText="1"/>
    </xf>
    <xf numFmtId="176" fontId="2" fillId="0" borderId="1" xfId="1" applyNumberFormat="1" applyFont="1" applyFill="1" applyBorder="1" applyAlignment="1">
      <alignment horizontal="center" vertical="center"/>
    </xf>
    <xf numFmtId="43" fontId="2" fillId="0" borderId="1" xfId="1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>
      <alignment vertical="center"/>
    </xf>
    <xf numFmtId="43" fontId="1" fillId="2" borderId="1" xfId="0" applyNumberFormat="1" applyFont="1" applyFill="1" applyBorder="1">
      <alignment vertical="center"/>
    </xf>
    <xf numFmtId="10" fontId="1" fillId="0" borderId="2" xfId="3" applyNumberFormat="1" applyFont="1" applyFill="1" applyBorder="1" applyAlignment="1">
      <alignment horizontal="center" vertical="center"/>
    </xf>
    <xf numFmtId="10" fontId="1" fillId="0" borderId="3" xfId="3" applyNumberFormat="1" applyFont="1" applyFill="1" applyBorder="1" applyAlignment="1">
      <alignment horizontal="center" vertical="center"/>
    </xf>
    <xf numFmtId="10" fontId="1" fillId="0" borderId="4" xfId="3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center" vertical="center" wrapText="1"/>
    </xf>
    <xf numFmtId="43" fontId="1" fillId="0" borderId="1" xfId="0" applyNumberFormat="1" applyFont="1" applyFill="1" applyBorder="1">
      <alignment vertical="center"/>
    </xf>
    <xf numFmtId="177" fontId="1" fillId="3" borderId="1" xfId="0" applyNumberFormat="1" applyFont="1" applyFill="1" applyBorder="1">
      <alignment vertical="center"/>
    </xf>
    <xf numFmtId="0" fontId="1" fillId="3" borderId="1" xfId="0" applyFont="1" applyFill="1" applyBorder="1">
      <alignment vertical="center"/>
    </xf>
    <xf numFmtId="178" fontId="1" fillId="3" borderId="5" xfId="0" applyNumberFormat="1" applyFont="1" applyFill="1" applyBorder="1">
      <alignment vertical="center"/>
    </xf>
    <xf numFmtId="179" fontId="1" fillId="0" borderId="0" xfId="0" applyNumberFormat="1" applyFont="1" applyFill="1">
      <alignment vertical="center"/>
    </xf>
    <xf numFmtId="180" fontId="1" fillId="0" borderId="0" xfId="3" applyNumberFormat="1" applyFont="1" applyFill="1">
      <alignment vertical="center"/>
    </xf>
    <xf numFmtId="181" fontId="1" fillId="3" borderId="0" xfId="0" applyNumberFormat="1" applyFont="1" applyFill="1">
      <alignment vertical="center"/>
    </xf>
    <xf numFmtId="182" fontId="1" fillId="0" borderId="0" xfId="0" applyNumberFormat="1" applyFont="1" applyFill="1">
      <alignment vertical="center"/>
    </xf>
    <xf numFmtId="10" fontId="1" fillId="0" borderId="0" xfId="3" applyNumberFormat="1" applyFont="1" applyFill="1">
      <alignment vertical="center"/>
    </xf>
    <xf numFmtId="180" fontId="3" fillId="0" borderId="0" xfId="3" applyNumberFormat="1" applyFont="1" applyFill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180" fontId="2" fillId="0" borderId="1" xfId="3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>
      <alignment vertical="center"/>
    </xf>
    <xf numFmtId="180" fontId="1" fillId="0" borderId="1" xfId="3" applyNumberFormat="1" applyFont="1" applyFill="1" applyBorder="1">
      <alignment vertical="center"/>
    </xf>
    <xf numFmtId="0" fontId="2" fillId="0" borderId="1" xfId="0" applyFont="1" applyFill="1" applyBorder="1" applyAlignment="1">
      <alignment horizontal="center" vertical="center" shrinkToFit="1"/>
    </xf>
    <xf numFmtId="183" fontId="2" fillId="0" borderId="1" xfId="0" applyNumberFormat="1" applyFont="1" applyFill="1" applyBorder="1" applyAlignment="1">
      <alignment horizontal="center" vertical="center" wrapText="1"/>
    </xf>
    <xf numFmtId="183" fontId="1" fillId="0" borderId="1" xfId="0" applyNumberFormat="1" applyFont="1" applyFill="1" applyBorder="1">
      <alignment vertical="center"/>
    </xf>
    <xf numFmtId="178" fontId="1" fillId="0" borderId="5" xfId="0" applyNumberFormat="1" applyFont="1" applyFill="1" applyBorder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81" fontId="2" fillId="3" borderId="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>
      <alignment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9" fontId="1" fillId="0" borderId="10" xfId="3" applyFont="1" applyFill="1" applyBorder="1">
      <alignment vertical="center"/>
    </xf>
    <xf numFmtId="9" fontId="1" fillId="0" borderId="1" xfId="3" applyFont="1" applyFill="1" applyBorder="1">
      <alignment vertical="center"/>
    </xf>
    <xf numFmtId="9" fontId="1" fillId="0" borderId="5" xfId="3" applyFont="1" applyFill="1" applyBorder="1">
      <alignment vertical="center"/>
    </xf>
    <xf numFmtId="181" fontId="1" fillId="3" borderId="5" xfId="0" applyNumberFormat="1" applyFont="1" applyFill="1" applyBorder="1">
      <alignment vertical="center"/>
    </xf>
    <xf numFmtId="182" fontId="2" fillId="0" borderId="1" xfId="0" applyNumberFormat="1" applyFont="1" applyFill="1" applyBorder="1" applyAlignment="1">
      <alignment horizontal="center" vertical="center" wrapText="1"/>
    </xf>
    <xf numFmtId="10" fontId="2" fillId="0" borderId="0" xfId="3" applyNumberFormat="1" applyFont="1" applyFill="1">
      <alignment vertical="center"/>
    </xf>
    <xf numFmtId="182" fontId="1" fillId="0" borderId="1" xfId="0" applyNumberFormat="1" applyFont="1" applyFill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7" xfId="49"/>
    <cellStyle name="样式 1" xfId="50"/>
    <cellStyle name="常规 3 3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J6"/>
  <sheetViews>
    <sheetView tabSelected="1" workbookViewId="0">
      <pane xSplit="4" ySplit="4" topLeftCell="E5" activePane="bottomRight" state="frozen"/>
      <selection/>
      <selection pane="topRight"/>
      <selection pane="bottomLeft"/>
      <selection pane="bottomRight" activeCell="B18" sqref="B18"/>
    </sheetView>
  </sheetViews>
  <sheetFormatPr defaultColWidth="8.88333333333333" defaultRowHeight="13.5" outlineLevelRow="5"/>
  <cols>
    <col min="1" max="1" width="5.26666666666667" style="1" customWidth="1"/>
    <col min="2" max="2" width="15.7916666666667" style="6" customWidth="1"/>
    <col min="3" max="3" width="16.4416666666667" style="7" customWidth="1"/>
    <col min="4" max="4" width="9.20833333333333" style="1" customWidth="1"/>
    <col min="5" max="5" width="10.6333333333333" style="43" customWidth="1"/>
    <col min="6" max="6" width="8.5" style="43" customWidth="1"/>
    <col min="7" max="7" width="8.76666666666667" style="9" customWidth="1"/>
    <col min="8" max="8" width="7.125" style="44" customWidth="1"/>
    <col min="9" max="9" width="8.125" style="8" customWidth="1"/>
    <col min="10" max="10" width="11.7916666666667" style="1" customWidth="1"/>
    <col min="11" max="11" width="9.09166666666667" style="9" customWidth="1"/>
    <col min="12" max="12" width="5.625" style="1" customWidth="1"/>
    <col min="13" max="13" width="5.5" style="1" customWidth="1"/>
    <col min="14" max="14" width="7.5" style="1" customWidth="1"/>
    <col min="15" max="15" width="8.625" style="1" customWidth="1"/>
    <col min="16" max="16" width="6.5" style="1" customWidth="1"/>
    <col min="17" max="17" width="7.625" style="1" customWidth="1"/>
    <col min="18" max="18" width="7.125" style="9" customWidth="1"/>
    <col min="19" max="20" width="8.125" style="8" customWidth="1"/>
    <col min="21" max="21" width="6.26666666666667" style="1" customWidth="1"/>
    <col min="22" max="23" width="8.88333333333333" style="1"/>
    <col min="24" max="24" width="7.38333333333333" style="1" customWidth="1"/>
    <col min="25" max="25" width="5.44166666666667" style="1" hidden="1" customWidth="1"/>
    <col min="26" max="26" width="6.44166666666667" style="1" hidden="1" customWidth="1"/>
    <col min="27" max="27" width="7.20833333333333" style="9" hidden="1" customWidth="1"/>
    <col min="28" max="28" width="5.20833333333333" style="1" hidden="1" customWidth="1"/>
    <col min="29" max="30" width="5.10833333333333" style="1" hidden="1" customWidth="1"/>
    <col min="31" max="31" width="8" style="1" hidden="1" customWidth="1"/>
    <col min="32" max="32" width="35.875" style="45" customWidth="1"/>
    <col min="33" max="33" width="17.5583333333333" style="46" hidden="1" customWidth="1"/>
    <col min="34" max="34" width="15.5583333333333" style="46" hidden="1" customWidth="1"/>
    <col min="35" max="35" width="12.8166666666667" style="1" hidden="1" customWidth="1"/>
    <col min="36" max="36" width="12.8166666666667" style="47" hidden="1" customWidth="1"/>
    <col min="37" max="16384" width="8.88333333333333" style="1"/>
  </cols>
  <sheetData>
    <row r="2" ht="20.25" spans="1:32">
      <c r="A2" s="10" t="s">
        <v>0</v>
      </c>
      <c r="B2" s="10"/>
      <c r="C2" s="10"/>
      <c r="D2" s="10"/>
      <c r="E2" s="10"/>
      <c r="F2" s="10"/>
      <c r="G2" s="10"/>
      <c r="H2" s="48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57" t="s">
        <v>1</v>
      </c>
      <c r="Z2" s="58"/>
      <c r="AA2" s="58"/>
      <c r="AB2" s="58"/>
      <c r="AC2" s="58"/>
      <c r="AD2" s="58"/>
      <c r="AE2" s="58"/>
      <c r="AF2" s="59" t="s">
        <v>2</v>
      </c>
    </row>
    <row r="3" s="2" customFormat="1" spans="1:36">
      <c r="A3" s="11" t="s">
        <v>3</v>
      </c>
      <c r="B3" s="11" t="s">
        <v>4</v>
      </c>
      <c r="C3" s="12" t="s">
        <v>5</v>
      </c>
      <c r="D3" s="11" t="s">
        <v>6</v>
      </c>
      <c r="E3" s="49" t="s">
        <v>7</v>
      </c>
      <c r="F3" s="49"/>
      <c r="G3" s="15" t="s">
        <v>8</v>
      </c>
      <c r="H3" s="50" t="s">
        <v>9</v>
      </c>
      <c r="I3" s="13" t="s">
        <v>10</v>
      </c>
      <c r="J3" s="53" t="s">
        <v>11</v>
      </c>
      <c r="K3" s="15" t="s">
        <v>12</v>
      </c>
      <c r="L3" s="54" t="s">
        <v>13</v>
      </c>
      <c r="M3" s="14" t="s">
        <v>14</v>
      </c>
      <c r="N3" s="11" t="s">
        <v>15</v>
      </c>
      <c r="O3" s="14" t="s">
        <v>16</v>
      </c>
      <c r="P3" s="14" t="s">
        <v>17</v>
      </c>
      <c r="Q3" s="15" t="s">
        <v>18</v>
      </c>
      <c r="R3" s="16" t="s">
        <v>19</v>
      </c>
      <c r="S3" s="26" t="s">
        <v>20</v>
      </c>
      <c r="T3" s="26" t="s">
        <v>21</v>
      </c>
      <c r="U3" s="27" t="s">
        <v>22</v>
      </c>
      <c r="V3" s="36" t="s">
        <v>23</v>
      </c>
      <c r="W3" s="36" t="s">
        <v>24</v>
      </c>
      <c r="X3" s="37" t="s">
        <v>25</v>
      </c>
      <c r="Y3" s="60" t="s">
        <v>26</v>
      </c>
      <c r="Z3" s="61" t="s">
        <v>27</v>
      </c>
      <c r="AA3" s="62" t="s">
        <v>28</v>
      </c>
      <c r="AB3" s="62"/>
      <c r="AC3" s="63" t="s">
        <v>29</v>
      </c>
      <c r="AD3" s="63" t="s">
        <v>22</v>
      </c>
      <c r="AE3" s="64" t="s">
        <v>30</v>
      </c>
      <c r="AF3" s="59" t="s">
        <v>31</v>
      </c>
      <c r="AG3" s="73" t="s">
        <v>32</v>
      </c>
      <c r="AH3" s="73" t="s">
        <v>33</v>
      </c>
      <c r="AJ3" s="74"/>
    </row>
    <row r="4" s="2" customFormat="1" spans="1:36">
      <c r="A4" s="11"/>
      <c r="B4" s="11"/>
      <c r="C4" s="12"/>
      <c r="D4" s="11"/>
      <c r="E4" s="49" t="s">
        <v>34</v>
      </c>
      <c r="F4" s="49" t="s">
        <v>35</v>
      </c>
      <c r="G4" s="15"/>
      <c r="H4" s="50"/>
      <c r="I4" s="13"/>
      <c r="J4" s="53"/>
      <c r="K4" s="15"/>
      <c r="L4" s="54"/>
      <c r="M4" s="14"/>
      <c r="N4" s="11"/>
      <c r="O4" s="14"/>
      <c r="P4" s="14"/>
      <c r="Q4" s="15"/>
      <c r="R4" s="16"/>
      <c r="S4" s="29"/>
      <c r="T4" s="29"/>
      <c r="U4" s="27"/>
      <c r="V4" s="36"/>
      <c r="W4" s="36"/>
      <c r="X4" s="37"/>
      <c r="Y4" s="65"/>
      <c r="Z4" s="14"/>
      <c r="AA4" s="66"/>
      <c r="AB4" s="66"/>
      <c r="AC4" s="67"/>
      <c r="AD4" s="67"/>
      <c r="AE4" s="68"/>
      <c r="AF4" s="59" t="s">
        <v>36</v>
      </c>
      <c r="AG4" s="73"/>
      <c r="AH4" s="73"/>
      <c r="AJ4" s="74"/>
    </row>
    <row r="5" spans="1:36">
      <c r="A5" s="17">
        <v>1</v>
      </c>
      <c r="B5" s="18" t="s">
        <v>37</v>
      </c>
      <c r="C5" s="23" t="s">
        <v>38</v>
      </c>
      <c r="D5" s="20" t="s">
        <v>39</v>
      </c>
      <c r="E5" s="51">
        <v>0</v>
      </c>
      <c r="F5" s="51">
        <v>0.1372</v>
      </c>
      <c r="G5" s="21">
        <v>13.7168</v>
      </c>
      <c r="H5" s="52">
        <v>0.95</v>
      </c>
      <c r="I5" s="21">
        <f>F5*G5/H5</f>
        <v>1.98099469473684</v>
      </c>
      <c r="J5" s="20" t="s">
        <v>40</v>
      </c>
      <c r="K5" s="21">
        <v>45</v>
      </c>
      <c r="L5" s="55">
        <v>80</v>
      </c>
      <c r="M5" s="20">
        <v>2</v>
      </c>
      <c r="N5" s="20">
        <v>52.05</v>
      </c>
      <c r="O5" s="20">
        <v>0.76</v>
      </c>
      <c r="P5" s="20">
        <v>22.5</v>
      </c>
      <c r="Q5" s="21">
        <f>P5/K5/M5</f>
        <v>0.25</v>
      </c>
      <c r="R5" s="21">
        <v>1.05</v>
      </c>
      <c r="S5" s="31">
        <v>0.0560826666666667</v>
      </c>
      <c r="T5" s="31">
        <v>0.133333333333333</v>
      </c>
      <c r="U5" s="20">
        <v>0</v>
      </c>
      <c r="V5" s="21">
        <f>(I5+Q5+(N5*O5/K5/M5)/2)/H5*1.11+R5*1.03+S5+T5+U5</f>
        <v>4.13443716963989</v>
      </c>
      <c r="W5" s="20">
        <v>5.45</v>
      </c>
      <c r="X5" s="56">
        <f>V5-W5</f>
        <v>-1.31556283036011</v>
      </c>
      <c r="Y5" s="69">
        <f>T5/V5</f>
        <v>0.0322494520686951</v>
      </c>
      <c r="Z5" s="70">
        <f>Q5/V5</f>
        <v>0.0604677226288034</v>
      </c>
      <c r="AA5" s="22">
        <f>(N5*O5/K5/M5)/2</f>
        <v>0.219766666666667</v>
      </c>
      <c r="AB5" s="70">
        <f>AA5/V5</f>
        <v>0.0531551593722268</v>
      </c>
      <c r="AC5" s="71">
        <f>S5/V5</f>
        <v>0.0135647645291346</v>
      </c>
      <c r="AD5" s="71">
        <f>U5/V5</f>
        <v>0</v>
      </c>
      <c r="AE5" s="71">
        <f>1-I5/V5</f>
        <v>0.520855049078086</v>
      </c>
      <c r="AF5" s="72">
        <f>(I5+Q5+(N5*O5/K5/M5)/2)*1.5+R5*1.1+S5+T5+U5</f>
        <v>5.02055804210526</v>
      </c>
      <c r="AG5" s="75" t="e">
        <f>V5*#REF!</f>
        <v>#REF!</v>
      </c>
      <c r="AH5" s="75" t="e">
        <f>W5*#REF!</f>
        <v>#REF!</v>
      </c>
      <c r="AI5" s="1">
        <f>AF5/I5</f>
        <v>2.53436218453488</v>
      </c>
      <c r="AJ5" s="47">
        <f>(AF5-W5)/W5</f>
        <v>-0.0787966895219702</v>
      </c>
    </row>
    <row r="6" spans="1:36">
      <c r="A6" s="17">
        <v>2</v>
      </c>
      <c r="B6" s="18" t="s">
        <v>41</v>
      </c>
      <c r="C6" s="23" t="s">
        <v>42</v>
      </c>
      <c r="D6" s="20" t="s">
        <v>39</v>
      </c>
      <c r="E6" s="51">
        <v>0</v>
      </c>
      <c r="F6" s="51">
        <v>0.0774</v>
      </c>
      <c r="G6" s="21">
        <v>13.7168</v>
      </c>
      <c r="H6" s="52">
        <v>0.95</v>
      </c>
      <c r="I6" s="21">
        <f>F6*G6/H6</f>
        <v>1.11755823157895</v>
      </c>
      <c r="J6" s="20" t="s">
        <v>40</v>
      </c>
      <c r="K6" s="21">
        <v>45</v>
      </c>
      <c r="L6" s="55">
        <v>80</v>
      </c>
      <c r="M6" s="20">
        <v>2</v>
      </c>
      <c r="N6" s="20">
        <v>52.05</v>
      </c>
      <c r="O6" s="20">
        <v>0.76</v>
      </c>
      <c r="P6" s="20">
        <v>22.5</v>
      </c>
      <c r="Q6" s="21">
        <f>P6/K6/M6</f>
        <v>0.25</v>
      </c>
      <c r="R6" s="21">
        <v>1.25</v>
      </c>
      <c r="S6" s="31">
        <v>0.042062</v>
      </c>
      <c r="T6" s="31">
        <v>0.1</v>
      </c>
      <c r="U6" s="20">
        <v>0</v>
      </c>
      <c r="V6" s="21">
        <f>(I6+Q6+(N6*O6/K6/M6)/2)/H6*1.11+R6*1.03+S6+T6+U6</f>
        <v>3.28422582847645</v>
      </c>
      <c r="W6" s="20">
        <v>3.14</v>
      </c>
      <c r="X6" s="56">
        <f>V6-W6</f>
        <v>0.144225828476455</v>
      </c>
      <c r="Y6" s="69">
        <f>T6/V6</f>
        <v>0.0304485760793099</v>
      </c>
      <c r="Z6" s="70">
        <f>Q6/V6</f>
        <v>0.0761214401982748</v>
      </c>
      <c r="AA6" s="22">
        <f>(N6*O6/K6/M6)/2</f>
        <v>0.219766666666667</v>
      </c>
      <c r="AB6" s="70">
        <f>AA6/V6</f>
        <v>0.0669158206969634</v>
      </c>
      <c r="AC6" s="71">
        <f>S6/V6</f>
        <v>0.0128072800704793</v>
      </c>
      <c r="AD6" s="71">
        <f>U6/V6</f>
        <v>0</v>
      </c>
      <c r="AE6" s="71">
        <f>1-I6/V6</f>
        <v>0.659719431627094</v>
      </c>
      <c r="AF6" s="72">
        <f>(I6+Q6+(N6*O6/K6/M6)/2)*1.5+R6*1.1+S6+T6+U6</f>
        <v>3.89804934736842</v>
      </c>
      <c r="AG6" s="75" t="e">
        <f>V6*#REF!</f>
        <v>#REF!</v>
      </c>
      <c r="AH6" s="75" t="e">
        <f>W6*#REF!</f>
        <v>#REF!</v>
      </c>
      <c r="AI6" s="1">
        <f>AF6/I6</f>
        <v>3.48800557968335</v>
      </c>
      <c r="AJ6" s="47">
        <f>(AF6-W6)/W6</f>
        <v>0.241416989607777</v>
      </c>
    </row>
  </sheetData>
  <autoFilter xmlns:etc="http://www.wps.cn/officeDocument/2017/etCustomData" ref="A4:AJ6" etc:filterBottomFollowUsedRange="0">
    <extLst/>
  </autoFilter>
  <mergeCells count="33">
    <mergeCell ref="A2:X2"/>
    <mergeCell ref="Y2:AE2"/>
    <mergeCell ref="E3:F3"/>
    <mergeCell ref="A3:A4"/>
    <mergeCell ref="B3:B4"/>
    <mergeCell ref="C3:C4"/>
    <mergeCell ref="D3:D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C3:AC4"/>
    <mergeCell ref="AD3:AD4"/>
    <mergeCell ref="AE3:AE4"/>
    <mergeCell ref="AG3:AG4"/>
    <mergeCell ref="AH3:AH4"/>
    <mergeCell ref="AA3:AB4"/>
  </mergeCells>
  <conditionalFormatting sqref="B$1:B$1048576">
    <cfRule type="duplicateValues" dxfId="0" priority="1"/>
  </conditionalFormatting>
  <conditionalFormatting sqref="B5:B6">
    <cfRule type="duplicateValues" dxfId="0" priority="60"/>
    <cfRule type="duplicateValues" dxfId="0" priority="57"/>
    <cfRule type="duplicateValues" dxfId="0" priority="62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4"/>
  <sheetViews>
    <sheetView topLeftCell="I1" workbookViewId="0">
      <selection activeCell="O5" sqref="O5:O23"/>
    </sheetView>
  </sheetViews>
  <sheetFormatPr defaultColWidth="8.71666666666667" defaultRowHeight="13.5"/>
  <cols>
    <col min="1" max="1" width="5.71666666666667" customWidth="1"/>
    <col min="2" max="2" width="13" customWidth="1"/>
    <col min="3" max="3" width="22.9083333333333" customWidth="1"/>
    <col min="9" max="11" width="8.71666666666667" style="3"/>
    <col min="12" max="12" width="10.8166666666667" style="4" customWidth="1"/>
    <col min="13" max="13" width="15" style="4" customWidth="1"/>
    <col min="14" max="19" width="10.8166666666667" style="4" customWidth="1"/>
    <col min="23" max="23" width="12.9083333333333" style="5" customWidth="1"/>
    <col min="24" max="24" width="15.1833333333333"/>
    <col min="25" max="25" width="12.8166666666667"/>
  </cols>
  <sheetData>
    <row r="1" s="1" customFormat="1" spans="2:23">
      <c r="B1" s="6"/>
      <c r="C1" s="7"/>
      <c r="E1" s="8"/>
      <c r="H1" s="9"/>
      <c r="I1" s="8"/>
      <c r="J1" s="8"/>
      <c r="K1" s="1"/>
      <c r="L1" s="24"/>
      <c r="M1" s="24"/>
      <c r="N1" s="24"/>
      <c r="O1" s="24"/>
      <c r="P1" s="24"/>
      <c r="Q1" s="24"/>
      <c r="R1" s="24"/>
      <c r="S1" s="24"/>
      <c r="W1" s="24"/>
    </row>
    <row r="2" s="1" customFormat="1" ht="20.25" spans="1:23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25"/>
      <c r="M2" s="25"/>
      <c r="N2" s="25"/>
      <c r="O2" s="25"/>
      <c r="P2" s="25"/>
      <c r="Q2" s="25"/>
      <c r="R2" s="25"/>
      <c r="S2" s="25"/>
      <c r="T2" s="10"/>
      <c r="U2" s="10"/>
      <c r="V2" s="10"/>
      <c r="W2" s="24"/>
    </row>
    <row r="3" s="2" customFormat="1" spans="1:24">
      <c r="A3" s="11" t="s">
        <v>3</v>
      </c>
      <c r="B3" s="11" t="s">
        <v>4</v>
      </c>
      <c r="C3" s="12" t="s">
        <v>5</v>
      </c>
      <c r="D3" s="11" t="s">
        <v>6</v>
      </c>
      <c r="E3" s="13" t="s">
        <v>10</v>
      </c>
      <c r="F3" s="14" t="s">
        <v>28</v>
      </c>
      <c r="G3" s="15" t="s">
        <v>18</v>
      </c>
      <c r="H3" s="16" t="s">
        <v>19</v>
      </c>
      <c r="I3" s="26" t="s">
        <v>20</v>
      </c>
      <c r="J3" s="26" t="s">
        <v>21</v>
      </c>
      <c r="K3" s="27" t="s">
        <v>22</v>
      </c>
      <c r="L3" s="28" t="s">
        <v>43</v>
      </c>
      <c r="M3" s="28"/>
      <c r="N3" s="28"/>
      <c r="O3" s="28"/>
      <c r="P3" s="28"/>
      <c r="Q3" s="28"/>
      <c r="R3" s="28"/>
      <c r="S3" s="28"/>
      <c r="T3" s="36" t="s">
        <v>23</v>
      </c>
      <c r="U3" s="36" t="s">
        <v>24</v>
      </c>
      <c r="V3" s="37" t="s">
        <v>25</v>
      </c>
      <c r="W3" s="38" t="s">
        <v>44</v>
      </c>
      <c r="X3" s="11" t="s">
        <v>45</v>
      </c>
    </row>
    <row r="4" s="2" customFormat="1" spans="1:24">
      <c r="A4" s="11"/>
      <c r="B4" s="11"/>
      <c r="C4" s="12"/>
      <c r="D4" s="11"/>
      <c r="E4" s="13"/>
      <c r="F4" s="14"/>
      <c r="G4" s="15"/>
      <c r="H4" s="16"/>
      <c r="I4" s="29"/>
      <c r="J4" s="29"/>
      <c r="K4" s="27"/>
      <c r="L4" s="30" t="s">
        <v>46</v>
      </c>
      <c r="M4" s="28" t="s">
        <v>47</v>
      </c>
      <c r="N4" s="28" t="s">
        <v>48</v>
      </c>
      <c r="O4" s="28" t="s">
        <v>49</v>
      </c>
      <c r="P4" s="28" t="s">
        <v>50</v>
      </c>
      <c r="Q4" s="28" t="s">
        <v>51</v>
      </c>
      <c r="R4" s="28"/>
      <c r="S4" s="28"/>
      <c r="T4" s="36"/>
      <c r="U4" s="36"/>
      <c r="V4" s="37"/>
      <c r="W4" s="38"/>
      <c r="X4" s="11"/>
    </row>
    <row r="5" s="1" customFormat="1" spans="1:24">
      <c r="A5" s="17">
        <v>16</v>
      </c>
      <c r="B5" s="18" t="s">
        <v>52</v>
      </c>
      <c r="C5" s="19" t="s">
        <v>53</v>
      </c>
      <c r="D5" s="20" t="s">
        <v>54</v>
      </c>
      <c r="E5" s="21">
        <v>0.704088324742268</v>
      </c>
      <c r="F5" s="22">
        <v>0.187581818181818</v>
      </c>
      <c r="G5" s="21" t="e">
        <f>VLOOKUP(B:B,#REF!,16,0)</f>
        <v>#REF!</v>
      </c>
      <c r="H5" s="21" t="e">
        <f>VLOOKUP(B:B,#REF!,17,0)</f>
        <v>#REF!</v>
      </c>
      <c r="I5" s="31" t="e">
        <f>VLOOKUP(B:B,#REF!,18,0)</f>
        <v>#REF!</v>
      </c>
      <c r="J5" s="31" t="e">
        <f>VLOOKUP(B:B,#REF!,19,0)</f>
        <v>#REF!</v>
      </c>
      <c r="K5" s="20" t="e">
        <f>VLOOKUP(B:B,#REF!,20,0)</f>
        <v>#REF!</v>
      </c>
      <c r="L5" s="32">
        <v>0.158474007775093</v>
      </c>
      <c r="M5" s="33">
        <v>0.0166</v>
      </c>
      <c r="N5" s="33">
        <v>0.0656</v>
      </c>
      <c r="O5" s="33">
        <v>0.1001</v>
      </c>
      <c r="P5" s="33">
        <v>0.015</v>
      </c>
      <c r="Q5" s="33"/>
      <c r="R5" s="39"/>
      <c r="S5" s="39"/>
      <c r="T5" s="40" t="e">
        <f>VLOOKUP(B:B,#REF!,21,0)</f>
        <v>#REF!</v>
      </c>
      <c r="U5" s="41">
        <v>2.79</v>
      </c>
      <c r="V5" s="42">
        <v>-0.854995373110346</v>
      </c>
      <c r="W5" s="39">
        <v>6550</v>
      </c>
      <c r="X5" s="39">
        <f t="shared" ref="X5:X23" si="0">W5*V5</f>
        <v>-5600.21969387277</v>
      </c>
    </row>
    <row r="6" s="1" customFormat="1" spans="1:24">
      <c r="A6" s="17">
        <v>18</v>
      </c>
      <c r="B6" s="18" t="s">
        <v>55</v>
      </c>
      <c r="C6" s="23" t="s">
        <v>56</v>
      </c>
      <c r="D6" s="20" t="s">
        <v>39</v>
      </c>
      <c r="E6" s="21">
        <v>0.65373685106383</v>
      </c>
      <c r="F6" s="22">
        <v>0.363638888888889</v>
      </c>
      <c r="G6" s="21" t="e">
        <f>VLOOKUP(B:B,#REF!,16,0)</f>
        <v>#REF!</v>
      </c>
      <c r="H6" s="21" t="e">
        <f>VLOOKUP(B:B,#REF!,17,0)</f>
        <v>#REF!</v>
      </c>
      <c r="I6" s="31" t="e">
        <f>VLOOKUP(B:B,#REF!,18,0)</f>
        <v>#REF!</v>
      </c>
      <c r="J6" s="31" t="e">
        <f>VLOOKUP(B:B,#REF!,19,0)</f>
        <v>#REF!</v>
      </c>
      <c r="K6" s="20" t="e">
        <f>VLOOKUP(B:B,#REF!,20,0)</f>
        <v>#REF!</v>
      </c>
      <c r="L6" s="32">
        <v>0.267509442331878</v>
      </c>
      <c r="M6" s="34"/>
      <c r="N6" s="34"/>
      <c r="O6" s="34"/>
      <c r="P6" s="34"/>
      <c r="Q6" s="34"/>
      <c r="R6" s="39"/>
      <c r="S6" s="39"/>
      <c r="T6" s="40" t="e">
        <f>VLOOKUP(B:B,#REF!,21,0)</f>
        <v>#REF!</v>
      </c>
      <c r="U6" s="41">
        <v>4.59</v>
      </c>
      <c r="V6" s="42">
        <v>-1.96908264380236</v>
      </c>
      <c r="W6" s="39">
        <v>43454</v>
      </c>
      <c r="X6" s="39">
        <f t="shared" si="0"/>
        <v>-85564.5172037877</v>
      </c>
    </row>
    <row r="7" s="1" customFormat="1" spans="1:24">
      <c r="A7" s="17">
        <v>40</v>
      </c>
      <c r="B7" s="18" t="s">
        <v>57</v>
      </c>
      <c r="C7" s="23" t="s">
        <v>58</v>
      </c>
      <c r="D7" s="20" t="s">
        <v>39</v>
      </c>
      <c r="E7" s="21">
        <v>1.22440488421053</v>
      </c>
      <c r="F7" s="22">
        <v>0.4206125</v>
      </c>
      <c r="G7" s="21" t="e">
        <f>VLOOKUP(B:B,#REF!,16,0)</f>
        <v>#REF!</v>
      </c>
      <c r="H7" s="21" t="e">
        <f>VLOOKUP(B:B,#REF!,17,0)</f>
        <v>#REF!</v>
      </c>
      <c r="I7" s="31" t="e">
        <f>VLOOKUP(B:B,#REF!,18,0)</f>
        <v>#REF!</v>
      </c>
      <c r="J7" s="31" t="e">
        <f>VLOOKUP(B:B,#REF!,19,0)</f>
        <v>#REF!</v>
      </c>
      <c r="K7" s="20" t="e">
        <f>VLOOKUP(B:B,#REF!,20,0)</f>
        <v>#REF!</v>
      </c>
      <c r="L7" s="32">
        <v>0.33231871734072</v>
      </c>
      <c r="M7" s="34"/>
      <c r="N7" s="34"/>
      <c r="O7" s="34"/>
      <c r="P7" s="34"/>
      <c r="Q7" s="34"/>
      <c r="R7" s="39"/>
      <c r="S7" s="39"/>
      <c r="T7" s="40" t="e">
        <f>VLOOKUP(B:B,#REF!,21,0)</f>
        <v>#REF!</v>
      </c>
      <c r="U7" s="41">
        <v>3.65</v>
      </c>
      <c r="V7" s="42">
        <v>-1.15512289844875</v>
      </c>
      <c r="W7" s="39">
        <v>8451</v>
      </c>
      <c r="X7" s="39">
        <f t="shared" si="0"/>
        <v>-9761.94361479039</v>
      </c>
    </row>
    <row r="8" s="1" customFormat="1" spans="1:24">
      <c r="A8" s="17">
        <v>41</v>
      </c>
      <c r="B8" s="18" t="s">
        <v>59</v>
      </c>
      <c r="C8" s="23" t="s">
        <v>60</v>
      </c>
      <c r="D8" s="20" t="s">
        <v>39</v>
      </c>
      <c r="E8" s="21">
        <v>3.45894379789474</v>
      </c>
      <c r="F8" s="22">
        <v>0.4206125</v>
      </c>
      <c r="G8" s="21" t="e">
        <f>VLOOKUP(B:B,#REF!,16,0)</f>
        <v>#REF!</v>
      </c>
      <c r="H8" s="21" t="e">
        <f>VLOOKUP(B:B,#REF!,17,0)</f>
        <v>#REF!</v>
      </c>
      <c r="I8" s="31" t="e">
        <f>VLOOKUP(B:B,#REF!,18,0)</f>
        <v>#REF!</v>
      </c>
      <c r="J8" s="31" t="e">
        <f>VLOOKUP(B:B,#REF!,19,0)</f>
        <v>#REF!</v>
      </c>
      <c r="K8" s="20" t="e">
        <f>VLOOKUP(B:B,#REF!,20,0)</f>
        <v>#REF!</v>
      </c>
      <c r="L8" s="32">
        <v>0.708662113329639</v>
      </c>
      <c r="M8" s="34"/>
      <c r="N8" s="34"/>
      <c r="O8" s="34"/>
      <c r="P8" s="34"/>
      <c r="Q8" s="34"/>
      <c r="R8" s="39"/>
      <c r="S8" s="39"/>
      <c r="T8" s="40" t="e">
        <f>VLOOKUP(B:B,#REF!,21,0)</f>
        <v>#REF!</v>
      </c>
      <c r="U8" s="41">
        <v>8.87</v>
      </c>
      <c r="V8" s="42">
        <v>-3.66953258877562</v>
      </c>
      <c r="W8" s="39">
        <v>3710</v>
      </c>
      <c r="X8" s="39">
        <f t="shared" si="0"/>
        <v>-13613.9659043576</v>
      </c>
    </row>
    <row r="9" s="1" customFormat="1" spans="1:24">
      <c r="A9" s="17">
        <v>43</v>
      </c>
      <c r="B9" s="18" t="s">
        <v>61</v>
      </c>
      <c r="C9" s="19" t="s">
        <v>62</v>
      </c>
      <c r="D9" s="20" t="s">
        <v>39</v>
      </c>
      <c r="E9" s="21">
        <v>1.28865726315789</v>
      </c>
      <c r="F9" s="22">
        <v>0.3004375</v>
      </c>
      <c r="G9" s="21" t="e">
        <f>VLOOKUP(B:B,#REF!,16,0)</f>
        <v>#REF!</v>
      </c>
      <c r="H9" s="21" t="e">
        <f>VLOOKUP(B:B,#REF!,17,0)</f>
        <v>#REF!</v>
      </c>
      <c r="I9" s="31" t="e">
        <f>VLOOKUP(B:B,#REF!,18,0)</f>
        <v>#REF!</v>
      </c>
      <c r="J9" s="31" t="e">
        <f>VLOOKUP(B:B,#REF!,19,0)</f>
        <v>#REF!</v>
      </c>
      <c r="K9" s="20" t="e">
        <f>VLOOKUP(B:B,#REF!,20,0)</f>
        <v>#REF!</v>
      </c>
      <c r="L9" s="32">
        <v>0.307110696952917</v>
      </c>
      <c r="M9" s="34"/>
      <c r="N9" s="34"/>
      <c r="O9" s="34"/>
      <c r="P9" s="34"/>
      <c r="Q9" s="34"/>
      <c r="R9" s="39"/>
      <c r="S9" s="39"/>
      <c r="T9" s="40" t="e">
        <f>VLOOKUP(B:B,#REF!,21,0)</f>
        <v>#REF!</v>
      </c>
      <c r="U9" s="41">
        <v>3.45</v>
      </c>
      <c r="V9" s="42">
        <v>-1.00241620655586</v>
      </c>
      <c r="W9" s="39">
        <v>6550</v>
      </c>
      <c r="X9" s="39">
        <f t="shared" si="0"/>
        <v>-6565.82615294088</v>
      </c>
    </row>
    <row r="10" s="1" customFormat="1" spans="1:24">
      <c r="A10" s="17">
        <v>50</v>
      </c>
      <c r="B10" s="18" t="s">
        <v>63</v>
      </c>
      <c r="C10" s="19" t="s">
        <v>64</v>
      </c>
      <c r="D10" s="20" t="s">
        <v>39</v>
      </c>
      <c r="E10" s="21">
        <v>0.786056620408163</v>
      </c>
      <c r="F10" s="22">
        <v>0.3004375</v>
      </c>
      <c r="G10" s="21" t="e">
        <f>VLOOKUP(B:B,#REF!,16,0)</f>
        <v>#REF!</v>
      </c>
      <c r="H10" s="21" t="e">
        <f>VLOOKUP(B:B,#REF!,17,0)</f>
        <v>#REF!</v>
      </c>
      <c r="I10" s="31" t="e">
        <f>VLOOKUP(B:B,#REF!,18,0)</f>
        <v>#REF!</v>
      </c>
      <c r="J10" s="31" t="e">
        <f>VLOOKUP(B:B,#REF!,19,0)</f>
        <v>#REF!</v>
      </c>
      <c r="K10" s="20" t="e">
        <f>VLOOKUP(B:B,#REF!,20,0)</f>
        <v>#REF!</v>
      </c>
      <c r="L10" s="32">
        <v>0.175217332299047</v>
      </c>
      <c r="M10" s="34"/>
      <c r="N10" s="34"/>
      <c r="O10" s="34"/>
      <c r="P10" s="34"/>
      <c r="Q10" s="34"/>
      <c r="R10" s="39"/>
      <c r="S10" s="39"/>
      <c r="T10" s="40" t="e">
        <f>VLOOKUP(B:B,#REF!,21,0)</f>
        <v>#REF!</v>
      </c>
      <c r="U10" s="41">
        <v>3.15</v>
      </c>
      <c r="V10" s="42">
        <v>-1.05668954729279</v>
      </c>
      <c r="W10" s="39">
        <v>13771</v>
      </c>
      <c r="X10" s="39">
        <f t="shared" si="0"/>
        <v>-14551.671755769</v>
      </c>
    </row>
    <row r="11" s="1" customFormat="1" spans="1:24">
      <c r="A11" s="17">
        <v>52</v>
      </c>
      <c r="B11" s="18" t="s">
        <v>65</v>
      </c>
      <c r="C11" s="19" t="s">
        <v>66</v>
      </c>
      <c r="D11" s="20" t="s">
        <v>39</v>
      </c>
      <c r="E11" s="21">
        <v>1.1702145</v>
      </c>
      <c r="F11" s="22">
        <v>0.320466666666667</v>
      </c>
      <c r="G11" s="21" t="e">
        <f>VLOOKUP(B:B,#REF!,16,0)</f>
        <v>#REF!</v>
      </c>
      <c r="H11" s="21" t="e">
        <f>VLOOKUP(B:B,#REF!,17,0)</f>
        <v>#REF!</v>
      </c>
      <c r="I11" s="31" t="e">
        <f>VLOOKUP(B:B,#REF!,18,0)</f>
        <v>#REF!</v>
      </c>
      <c r="J11" s="31" t="e">
        <f>VLOOKUP(B:B,#REF!,19,0)</f>
        <v>#REF!</v>
      </c>
      <c r="K11" s="20" t="e">
        <f>VLOOKUP(B:B,#REF!,20,0)</f>
        <v>#REF!</v>
      </c>
      <c r="L11" s="32">
        <v>0.271981432291663</v>
      </c>
      <c r="M11" s="34"/>
      <c r="N11" s="34"/>
      <c r="O11" s="34"/>
      <c r="P11" s="34"/>
      <c r="Q11" s="34"/>
      <c r="R11" s="39"/>
      <c r="S11" s="39"/>
      <c r="T11" s="40" t="e">
        <f>VLOOKUP(B:B,#REF!,21,0)</f>
        <v>#REF!</v>
      </c>
      <c r="U11" s="41">
        <v>3.31</v>
      </c>
      <c r="V11" s="42">
        <v>-1.01321340104167</v>
      </c>
      <c r="W11" s="39">
        <v>37820</v>
      </c>
      <c r="X11" s="39">
        <f t="shared" si="0"/>
        <v>-38319.730827396</v>
      </c>
    </row>
    <row r="12" s="1" customFormat="1" spans="1:24">
      <c r="A12" s="17">
        <v>63</v>
      </c>
      <c r="B12" s="18" t="s">
        <v>67</v>
      </c>
      <c r="C12" s="23" t="s">
        <v>68</v>
      </c>
      <c r="D12" s="20" t="s">
        <v>54</v>
      </c>
      <c r="E12" s="21">
        <v>1.0569706875</v>
      </c>
      <c r="F12" s="22">
        <v>0.268770833333333</v>
      </c>
      <c r="G12" s="21" t="e">
        <f>VLOOKUP(B:B,#REF!,16,0)</f>
        <v>#REF!</v>
      </c>
      <c r="H12" s="21" t="e">
        <f>VLOOKUP(B:B,#REF!,17,0)</f>
        <v>#REF!</v>
      </c>
      <c r="I12" s="31" t="e">
        <f>VLOOKUP(B:B,#REF!,18,0)</f>
        <v>#REF!</v>
      </c>
      <c r="J12" s="31" t="e">
        <f>VLOOKUP(B:B,#REF!,19,0)</f>
        <v>#REF!</v>
      </c>
      <c r="K12" s="20" t="e">
        <f>VLOOKUP(B:B,#REF!,20,0)</f>
        <v>#REF!</v>
      </c>
      <c r="L12" s="32">
        <v>0.243768206380204</v>
      </c>
      <c r="M12" s="34"/>
      <c r="N12" s="34"/>
      <c r="O12" s="34"/>
      <c r="P12" s="34"/>
      <c r="Q12" s="34"/>
      <c r="R12" s="39"/>
      <c r="S12" s="39"/>
      <c r="T12" s="40" t="e">
        <f>VLOOKUP(B:B,#REF!,21,0)</f>
        <v>#REF!</v>
      </c>
      <c r="U12" s="41">
        <v>3.44</v>
      </c>
      <c r="V12" s="42">
        <v>-1.00732193945313</v>
      </c>
      <c r="W12" s="39">
        <v>3730</v>
      </c>
      <c r="X12" s="39">
        <f t="shared" si="0"/>
        <v>-3757.31083416018</v>
      </c>
    </row>
    <row r="13" s="1" customFormat="1" spans="1:24">
      <c r="A13" s="17">
        <v>67</v>
      </c>
      <c r="B13" s="18" t="s">
        <v>69</v>
      </c>
      <c r="C13" s="19" t="s">
        <v>70</v>
      </c>
      <c r="D13" s="20" t="s">
        <v>54</v>
      </c>
      <c r="E13" s="21">
        <v>0.75885075</v>
      </c>
      <c r="F13" s="22">
        <v>0.15734375</v>
      </c>
      <c r="G13" s="21" t="e">
        <f>VLOOKUP(B:B,#REF!,16,0)</f>
        <v>#REF!</v>
      </c>
      <c r="H13" s="21" t="e">
        <f>VLOOKUP(B:B,#REF!,17,0)</f>
        <v>#REF!</v>
      </c>
      <c r="I13" s="31" t="e">
        <f>VLOOKUP(B:B,#REF!,18,0)</f>
        <v>#REF!</v>
      </c>
      <c r="J13" s="31" t="e">
        <f>VLOOKUP(B:B,#REF!,19,0)</f>
        <v>#REF!</v>
      </c>
      <c r="K13" s="20" t="e">
        <f>VLOOKUP(B:B,#REF!,20,0)</f>
        <v>#REF!</v>
      </c>
      <c r="L13" s="32">
        <v>0.268466216666667</v>
      </c>
      <c r="M13" s="34"/>
      <c r="N13" s="34"/>
      <c r="O13" s="34"/>
      <c r="P13" s="34"/>
      <c r="Q13" s="34"/>
      <c r="R13" s="39"/>
      <c r="S13" s="39"/>
      <c r="T13" s="40" t="e">
        <f>VLOOKUP(B:B,#REF!,21,0)</f>
        <v>#REF!</v>
      </c>
      <c r="U13" s="41">
        <v>3.27</v>
      </c>
      <c r="V13" s="42">
        <v>-1.22217095</v>
      </c>
      <c r="W13" s="39">
        <v>4961</v>
      </c>
      <c r="X13" s="39">
        <f t="shared" si="0"/>
        <v>-6063.19008295</v>
      </c>
    </row>
    <row r="14" s="1" customFormat="1" spans="1:24">
      <c r="A14" s="17">
        <v>68</v>
      </c>
      <c r="B14" s="18" t="s">
        <v>71</v>
      </c>
      <c r="C14" s="23" t="s">
        <v>68</v>
      </c>
      <c r="D14" s="20" t="s">
        <v>54</v>
      </c>
      <c r="E14" s="21">
        <v>0.76442598</v>
      </c>
      <c r="F14" s="22">
        <v>0.137318181818182</v>
      </c>
      <c r="G14" s="21" t="e">
        <f>VLOOKUP(B:B,#REF!,16,0)</f>
        <v>#REF!</v>
      </c>
      <c r="H14" s="21" t="e">
        <f>VLOOKUP(B:B,#REF!,17,0)</f>
        <v>#REF!</v>
      </c>
      <c r="I14" s="31" t="e">
        <f>VLOOKUP(B:B,#REF!,18,0)</f>
        <v>#REF!</v>
      </c>
      <c r="J14" s="31" t="e">
        <f>VLOOKUP(B:B,#REF!,19,0)</f>
        <v>#REF!</v>
      </c>
      <c r="K14" s="20" t="e">
        <f>VLOOKUP(B:B,#REF!,20,0)</f>
        <v>#REF!</v>
      </c>
      <c r="L14" s="32">
        <v>0.25813424381818</v>
      </c>
      <c r="M14" s="34"/>
      <c r="N14" s="34"/>
      <c r="O14" s="34"/>
      <c r="P14" s="34"/>
      <c r="Q14" s="34"/>
      <c r="R14" s="39"/>
      <c r="S14" s="39"/>
      <c r="T14" s="40" t="e">
        <f>VLOOKUP(B:B,#REF!,21,0)</f>
        <v>#REF!</v>
      </c>
      <c r="U14" s="41">
        <v>2.79</v>
      </c>
      <c r="V14" s="42">
        <v>-0.796782806484849</v>
      </c>
      <c r="W14" s="39">
        <v>2500</v>
      </c>
      <c r="X14" s="39">
        <f t="shared" si="0"/>
        <v>-1991.95701621212</v>
      </c>
    </row>
    <row r="15" s="1" customFormat="1" spans="1:24">
      <c r="A15" s="17">
        <v>69</v>
      </c>
      <c r="B15" s="18" t="s">
        <v>72</v>
      </c>
      <c r="C15" s="23" t="s">
        <v>73</v>
      </c>
      <c r="D15" s="20" t="s">
        <v>39</v>
      </c>
      <c r="E15" s="21">
        <v>0.727712336842105</v>
      </c>
      <c r="F15" s="22">
        <v>0.178322916666667</v>
      </c>
      <c r="G15" s="21" t="e">
        <f>VLOOKUP(B:B,#REF!,16,0)</f>
        <v>#REF!</v>
      </c>
      <c r="H15" s="21" t="e">
        <f>VLOOKUP(B:B,#REF!,17,0)</f>
        <v>#REF!</v>
      </c>
      <c r="I15" s="31" t="e">
        <f>VLOOKUP(B:B,#REF!,18,0)</f>
        <v>#REF!</v>
      </c>
      <c r="J15" s="31" t="e">
        <f>VLOOKUP(B:B,#REF!,19,0)</f>
        <v>#REF!</v>
      </c>
      <c r="K15" s="20" t="e">
        <f>VLOOKUP(B:B,#REF!,20,0)</f>
        <v>#REF!</v>
      </c>
      <c r="L15" s="32">
        <v>0.197332253222527</v>
      </c>
      <c r="M15" s="34"/>
      <c r="N15" s="34"/>
      <c r="O15" s="34"/>
      <c r="P15" s="34"/>
      <c r="Q15" s="34"/>
      <c r="R15" s="39"/>
      <c r="S15" s="39"/>
      <c r="T15" s="40" t="e">
        <f>VLOOKUP(B:B,#REF!,21,0)</f>
        <v>#REF!</v>
      </c>
      <c r="U15" s="41">
        <v>2.48</v>
      </c>
      <c r="V15" s="42">
        <v>-0.968945493268697</v>
      </c>
      <c r="W15" s="39">
        <v>6500</v>
      </c>
      <c r="X15" s="39">
        <f t="shared" si="0"/>
        <v>-6298.14570624653</v>
      </c>
    </row>
    <row r="16" s="1" customFormat="1" spans="1:24">
      <c r="A16" s="17">
        <v>77</v>
      </c>
      <c r="B16" s="18" t="s">
        <v>74</v>
      </c>
      <c r="C16" s="23" t="s">
        <v>75</v>
      </c>
      <c r="D16" s="20" t="s">
        <v>39</v>
      </c>
      <c r="E16" s="21">
        <v>1.79040336842105</v>
      </c>
      <c r="F16" s="22">
        <v>0.320466666666667</v>
      </c>
      <c r="G16" s="21" t="e">
        <f>VLOOKUP(B:B,#REF!,16,0)</f>
        <v>#REF!</v>
      </c>
      <c r="H16" s="21" t="e">
        <f>VLOOKUP(B:B,#REF!,17,0)</f>
        <v>#REF!</v>
      </c>
      <c r="I16" s="31" t="e">
        <f>VLOOKUP(B:B,#REF!,18,0)</f>
        <v>#REF!</v>
      </c>
      <c r="J16" s="31" t="e">
        <f>VLOOKUP(B:B,#REF!,19,0)</f>
        <v>#REF!</v>
      </c>
      <c r="K16" s="20" t="e">
        <f>VLOOKUP(B:B,#REF!,20,0)</f>
        <v>#REF!</v>
      </c>
      <c r="L16" s="32">
        <v>0.397620216435833</v>
      </c>
      <c r="M16" s="34"/>
      <c r="N16" s="34"/>
      <c r="O16" s="34"/>
      <c r="P16" s="34"/>
      <c r="Q16" s="34"/>
      <c r="R16" s="39"/>
      <c r="S16" s="39"/>
      <c r="T16" s="40" t="e">
        <f>VLOOKUP(B:B,#REF!,21,0)</f>
        <v>#REF!</v>
      </c>
      <c r="U16" s="41">
        <v>5</v>
      </c>
      <c r="V16" s="42">
        <v>-2.05209374847645</v>
      </c>
      <c r="W16" s="39">
        <v>42052</v>
      </c>
      <c r="X16" s="39">
        <f t="shared" si="0"/>
        <v>-86294.6463109317</v>
      </c>
    </row>
    <row r="17" s="1" customFormat="1" spans="1:24">
      <c r="A17" s="17">
        <v>78</v>
      </c>
      <c r="B17" s="18" t="s">
        <v>76</v>
      </c>
      <c r="C17" s="23" t="s">
        <v>77</v>
      </c>
      <c r="D17" s="20" t="s">
        <v>39</v>
      </c>
      <c r="E17" s="21">
        <v>1.36807031578947</v>
      </c>
      <c r="F17" s="22">
        <v>0.320466666666667</v>
      </c>
      <c r="G17" s="21" t="e">
        <f>VLOOKUP(B:B,#REF!,16,0)</f>
        <v>#REF!</v>
      </c>
      <c r="H17" s="21" t="e">
        <f>VLOOKUP(B:B,#REF!,17,0)</f>
        <v>#REF!</v>
      </c>
      <c r="I17" s="31" t="e">
        <f>VLOOKUP(B:B,#REF!,18,0)</f>
        <v>#REF!</v>
      </c>
      <c r="J17" s="31" t="e">
        <f>VLOOKUP(B:B,#REF!,19,0)</f>
        <v>#REF!</v>
      </c>
      <c r="K17" s="20" t="e">
        <f>VLOOKUP(B:B,#REF!,20,0)</f>
        <v>#REF!</v>
      </c>
      <c r="L17" s="32">
        <v>0.326490439150513</v>
      </c>
      <c r="M17" s="34"/>
      <c r="N17" s="34"/>
      <c r="O17" s="34"/>
      <c r="P17" s="34"/>
      <c r="Q17" s="34"/>
      <c r="R17" s="39"/>
      <c r="S17" s="39"/>
      <c r="T17" s="40" t="e">
        <f>VLOOKUP(B:B,#REF!,21,0)</f>
        <v>#REF!</v>
      </c>
      <c r="U17" s="41">
        <v>4.46</v>
      </c>
      <c r="V17" s="42">
        <v>-2.00555657839335</v>
      </c>
      <c r="W17" s="39">
        <v>43930</v>
      </c>
      <c r="X17" s="39">
        <f t="shared" si="0"/>
        <v>-88104.1004888199</v>
      </c>
    </row>
    <row r="18" s="1" customFormat="1" spans="1:24">
      <c r="A18" s="17">
        <v>79</v>
      </c>
      <c r="B18" s="18" t="s">
        <v>78</v>
      </c>
      <c r="C18" s="23" t="s">
        <v>60</v>
      </c>
      <c r="D18" s="20" t="s">
        <v>39</v>
      </c>
      <c r="E18" s="21">
        <v>3.67321465263158</v>
      </c>
      <c r="F18" s="22">
        <v>0.489408333333334</v>
      </c>
      <c r="G18" s="21" t="e">
        <f>VLOOKUP(B:B,#REF!,16,0)</f>
        <v>#REF!</v>
      </c>
      <c r="H18" s="21" t="e">
        <f>VLOOKUP(B:B,#REF!,17,0)</f>
        <v>#REF!</v>
      </c>
      <c r="I18" s="31" t="e">
        <f>VLOOKUP(B:B,#REF!,18,0)</f>
        <v>#REF!</v>
      </c>
      <c r="J18" s="31" t="e">
        <f>VLOOKUP(B:B,#REF!,19,0)</f>
        <v>#REF!</v>
      </c>
      <c r="K18" s="20" t="e">
        <f>VLOOKUP(B:B,#REF!,20,0)</f>
        <v>#REF!</v>
      </c>
      <c r="L18" s="32">
        <v>0.758968081846726</v>
      </c>
      <c r="M18" s="34"/>
      <c r="N18" s="34"/>
      <c r="O18" s="34"/>
      <c r="P18" s="34"/>
      <c r="Q18" s="34"/>
      <c r="R18" s="39"/>
      <c r="S18" s="39"/>
      <c r="T18" s="40" t="e">
        <f>VLOOKUP(B:B,#REF!,21,0)</f>
        <v>#REF!</v>
      </c>
      <c r="U18" s="41">
        <v>8.91</v>
      </c>
      <c r="V18" s="42">
        <v>-3.45524293218836</v>
      </c>
      <c r="W18" s="39">
        <v>3841</v>
      </c>
      <c r="X18" s="39">
        <f t="shared" si="0"/>
        <v>-13271.5881025355</v>
      </c>
    </row>
    <row r="19" s="1" customFormat="1" spans="1:24">
      <c r="A19" s="17">
        <v>81</v>
      </c>
      <c r="B19" s="18" t="s">
        <v>79</v>
      </c>
      <c r="C19" s="23" t="s">
        <v>38</v>
      </c>
      <c r="D19" s="20" t="s">
        <v>39</v>
      </c>
      <c r="E19" s="21">
        <v>1.98099469473684</v>
      </c>
      <c r="F19" s="22">
        <v>0.219766666666667</v>
      </c>
      <c r="G19" s="21" t="e">
        <f>VLOOKUP(B:B,#REF!,16,0)</f>
        <v>#REF!</v>
      </c>
      <c r="H19" s="21" t="e">
        <f>VLOOKUP(B:B,#REF!,17,0)</f>
        <v>#REF!</v>
      </c>
      <c r="I19" s="31" t="e">
        <f>VLOOKUP(B:B,#REF!,18,0)</f>
        <v>#REF!</v>
      </c>
      <c r="J19" s="31" t="e">
        <f>VLOOKUP(B:B,#REF!,19,0)</f>
        <v>#REF!</v>
      </c>
      <c r="K19" s="20" t="e">
        <f>VLOOKUP(B:B,#REF!,20,0)</f>
        <v>#REF!</v>
      </c>
      <c r="L19" s="32">
        <v>0.444259808236383</v>
      </c>
      <c r="M19" s="34"/>
      <c r="N19" s="34"/>
      <c r="O19" s="34"/>
      <c r="P19" s="34"/>
      <c r="Q19" s="34"/>
      <c r="R19" s="39"/>
      <c r="S19" s="39"/>
      <c r="T19" s="40" t="e">
        <f>VLOOKUP(B:B,#REF!,21,0)</f>
        <v>#REF!</v>
      </c>
      <c r="U19" s="41">
        <v>5.45</v>
      </c>
      <c r="V19" s="42">
        <v>-1.31556283036011</v>
      </c>
      <c r="W19" s="39">
        <v>99252</v>
      </c>
      <c r="X19" s="39">
        <f t="shared" si="0"/>
        <v>-130572.242038902</v>
      </c>
    </row>
    <row r="20" s="1" customFormat="1" spans="1:24">
      <c r="A20" s="17">
        <v>83</v>
      </c>
      <c r="B20" s="18" t="s">
        <v>80</v>
      </c>
      <c r="C20" s="23" t="s">
        <v>81</v>
      </c>
      <c r="D20" s="20" t="s">
        <v>82</v>
      </c>
      <c r="E20" s="21">
        <v>0.196474483333333</v>
      </c>
      <c r="F20" s="22">
        <v>0.123938461538462</v>
      </c>
      <c r="G20" s="21" t="e">
        <f>VLOOKUP(B:B,#REF!,16,0)</f>
        <v>#REF!</v>
      </c>
      <c r="H20" s="21" t="e">
        <f>VLOOKUP(B:B,#REF!,17,0)</f>
        <v>#REF!</v>
      </c>
      <c r="I20" s="31" t="e">
        <f>VLOOKUP(B:B,#REF!,18,0)</f>
        <v>#REF!</v>
      </c>
      <c r="J20" s="31" t="e">
        <f>VLOOKUP(B:B,#REF!,19,0)</f>
        <v>#REF!</v>
      </c>
      <c r="K20" s="20" t="e">
        <f>VLOOKUP(B:B,#REF!,20,0)</f>
        <v>#REF!</v>
      </c>
      <c r="L20" s="32">
        <v>0.155532251239316</v>
      </c>
      <c r="M20" s="34"/>
      <c r="N20" s="34"/>
      <c r="O20" s="34"/>
      <c r="P20" s="34"/>
      <c r="Q20" s="34"/>
      <c r="R20" s="39"/>
      <c r="S20" s="39"/>
      <c r="T20" s="40" t="e">
        <f>VLOOKUP(B:B,#REF!,21,0)</f>
        <v>#REF!</v>
      </c>
      <c r="U20" s="41">
        <v>2.06</v>
      </c>
      <c r="V20" s="42">
        <v>-1.18107615773504</v>
      </c>
      <c r="W20" s="39">
        <v>60497</v>
      </c>
      <c r="X20" s="39">
        <f t="shared" si="0"/>
        <v>-71451.5643144967</v>
      </c>
    </row>
    <row r="21" s="1" customFormat="1" spans="1:24">
      <c r="A21" s="17">
        <v>97</v>
      </c>
      <c r="B21" s="18" t="s">
        <v>83</v>
      </c>
      <c r="C21" s="23" t="s">
        <v>84</v>
      </c>
      <c r="D21" s="20" t="s">
        <v>82</v>
      </c>
      <c r="E21" s="21">
        <v>0.222877001052632</v>
      </c>
      <c r="F21" s="22">
        <v>0.0429875</v>
      </c>
      <c r="G21" s="21" t="e">
        <f>VLOOKUP(B:B,#REF!,16,0)</f>
        <v>#REF!</v>
      </c>
      <c r="H21" s="21" t="e">
        <f>VLOOKUP(B:B,#REF!,17,0)</f>
        <v>#REF!</v>
      </c>
      <c r="I21" s="31" t="e">
        <f>VLOOKUP(B:B,#REF!,18,0)</f>
        <v>#REF!</v>
      </c>
      <c r="J21" s="31" t="e">
        <f>VLOOKUP(B:B,#REF!,19,0)</f>
        <v>#REF!</v>
      </c>
      <c r="K21" s="20" t="e">
        <f>VLOOKUP(B:B,#REF!,20,0)</f>
        <v>#REF!</v>
      </c>
      <c r="L21" s="32">
        <v>0.074066652808864</v>
      </c>
      <c r="M21" s="34"/>
      <c r="N21" s="34"/>
      <c r="O21" s="34"/>
      <c r="P21" s="34"/>
      <c r="Q21" s="34"/>
      <c r="R21" s="39"/>
      <c r="S21" s="39"/>
      <c r="T21" s="40" t="e">
        <f>VLOOKUP(B:B,#REF!,21,0)</f>
        <v>#REF!</v>
      </c>
      <c r="U21" s="41">
        <v>1.81</v>
      </c>
      <c r="V21" s="42">
        <v>-0.878673846138504</v>
      </c>
      <c r="W21" s="39">
        <v>44468</v>
      </c>
      <c r="X21" s="39">
        <f t="shared" si="0"/>
        <v>-39072.868590087</v>
      </c>
    </row>
    <row r="22" s="1" customFormat="1" ht="27" spans="1:24">
      <c r="A22" s="17">
        <v>110</v>
      </c>
      <c r="B22" s="18" t="s">
        <v>85</v>
      </c>
      <c r="C22" s="19" t="s">
        <v>86</v>
      </c>
      <c r="D22" s="20" t="s">
        <v>54</v>
      </c>
      <c r="E22" s="21">
        <v>0.4769919</v>
      </c>
      <c r="F22" s="22">
        <v>0.15734375</v>
      </c>
      <c r="G22" s="21" t="e">
        <f>VLOOKUP(B:B,#REF!,16,0)</f>
        <v>#REF!</v>
      </c>
      <c r="H22" s="21" t="e">
        <f>VLOOKUP(B:B,#REF!,17,0)</f>
        <v>#REF!</v>
      </c>
      <c r="I22" s="31" t="e">
        <f>VLOOKUP(B:B,#REF!,18,0)</f>
        <v>#REF!</v>
      </c>
      <c r="J22" s="31" t="e">
        <f>VLOOKUP(B:B,#REF!,19,0)</f>
        <v>#REF!</v>
      </c>
      <c r="K22" s="20" t="e">
        <f>VLOOKUP(B:B,#REF!,20,0)</f>
        <v>#REF!</v>
      </c>
      <c r="L22" s="32">
        <v>0.202699151666667</v>
      </c>
      <c r="M22" s="34"/>
      <c r="N22" s="34"/>
      <c r="O22" s="34"/>
      <c r="P22" s="34"/>
      <c r="Q22" s="34"/>
      <c r="R22" s="39"/>
      <c r="S22" s="39"/>
      <c r="T22" s="40" t="e">
        <f>VLOOKUP(B:B,#REF!,21,0)</f>
        <v>#REF!</v>
      </c>
      <c r="U22" s="41">
        <v>3.29</v>
      </c>
      <c r="V22" s="42">
        <v>-1.589796865</v>
      </c>
      <c r="W22" s="39">
        <v>1982</v>
      </c>
      <c r="X22" s="39">
        <f t="shared" si="0"/>
        <v>-3150.97738643</v>
      </c>
    </row>
    <row r="23" s="1" customFormat="1" ht="27" spans="1:24">
      <c r="A23" s="17">
        <v>111</v>
      </c>
      <c r="B23" s="18" t="s">
        <v>87</v>
      </c>
      <c r="C23" s="19" t="s">
        <v>88</v>
      </c>
      <c r="D23" s="20" t="s">
        <v>54</v>
      </c>
      <c r="E23" s="21">
        <v>0.940025076</v>
      </c>
      <c r="F23" s="22">
        <v>0.125875</v>
      </c>
      <c r="G23" s="21" t="e">
        <f>VLOOKUP(B:B,#REF!,16,0)</f>
        <v>#REF!</v>
      </c>
      <c r="H23" s="21" t="e">
        <f>VLOOKUP(B:B,#REF!,17,0)</f>
        <v>#REF!</v>
      </c>
      <c r="I23" s="31" t="e">
        <f>VLOOKUP(B:B,#REF!,18,0)</f>
        <v>#REF!</v>
      </c>
      <c r="J23" s="31" t="e">
        <f>VLOOKUP(B:B,#REF!,19,0)</f>
        <v>#REF!</v>
      </c>
      <c r="K23" s="20" t="e">
        <f>VLOOKUP(B:B,#REF!,20,0)</f>
        <v>#REF!</v>
      </c>
      <c r="L23" s="32">
        <v>0.292460017733337</v>
      </c>
      <c r="M23" s="35"/>
      <c r="N23" s="35"/>
      <c r="O23" s="35"/>
      <c r="P23" s="35"/>
      <c r="Q23" s="35"/>
      <c r="R23" s="39"/>
      <c r="S23" s="39"/>
      <c r="T23" s="40" t="e">
        <f>VLOOKUP(B:B,#REF!,21,0)</f>
        <v>#REF!</v>
      </c>
      <c r="U23" s="41">
        <v>3.27</v>
      </c>
      <c r="V23" s="42">
        <v>-1.09534657293333</v>
      </c>
      <c r="W23" s="39">
        <v>14433</v>
      </c>
      <c r="X23" s="39">
        <f t="shared" si="0"/>
        <v>-15809.1370871468</v>
      </c>
    </row>
    <row r="24" spans="23:24">
      <c r="W24" s="5">
        <f>SUM(W5:W23)</f>
        <v>448452</v>
      </c>
      <c r="X24" s="5">
        <f>SUM(X5:X23)</f>
        <v>-639815.603111832</v>
      </c>
    </row>
  </sheetData>
  <autoFilter xmlns:etc="http://www.wps.cn/officeDocument/2017/etCustomData" ref="A4:W24" etc:filterBottomFollowUsedRange="0">
    <extLst/>
  </autoFilter>
  <mergeCells count="23">
    <mergeCell ref="A2:V2"/>
    <mergeCell ref="L3:S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M5:M23"/>
    <mergeCell ref="N5:N23"/>
    <mergeCell ref="O5:O23"/>
    <mergeCell ref="P5:P23"/>
    <mergeCell ref="Q5:Q23"/>
    <mergeCell ref="T3:T4"/>
    <mergeCell ref="U3:U4"/>
    <mergeCell ref="V3:V4"/>
    <mergeCell ref="W3:W4"/>
    <mergeCell ref="X3:X4"/>
  </mergeCells>
  <conditionalFormatting sqref="B13">
    <cfRule type="duplicateValues" dxfId="0" priority="10"/>
  </conditionalFormatting>
  <conditionalFormatting sqref="B18">
    <cfRule type="duplicateValues" dxfId="0" priority="20"/>
  </conditionalFormatting>
  <conditionalFormatting sqref="B22">
    <cfRule type="duplicateValues" dxfId="0" priority="14"/>
  </conditionalFormatting>
  <conditionalFormatting sqref="B23">
    <cfRule type="duplicateValues" dxfId="0" priority="13"/>
  </conditionalFormatting>
  <conditionalFormatting sqref="B9:B11">
    <cfRule type="duplicateValues" dxfId="0" priority="24"/>
  </conditionalFormatting>
  <conditionalFormatting sqref="B5:B6 B12 B14">
    <cfRule type="duplicateValues" dxfId="0" priority="22"/>
  </conditionalFormatting>
  <conditionalFormatting sqref="B5:B12 B14:B17 B19:B21">
    <cfRule type="duplicateValues" dxfId="0" priority="21"/>
  </conditionalFormatting>
  <conditionalFormatting sqref="B5:B12 B14:B21">
    <cfRule type="duplicateValues" dxfId="0" priority="19"/>
  </conditionalFormatting>
  <conditionalFormatting sqref="B7:B8 B15:B17 B19:B21">
    <cfRule type="duplicateValues" dxfId="0" priority="2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安路普产品报价 （不考虑合格率）</vt:lpstr>
      <vt:lpstr>重点产品核算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浅笑安然</cp:lastModifiedBy>
  <dcterms:created xsi:type="dcterms:W3CDTF">2023-05-12T11:15:00Z</dcterms:created>
  <dcterms:modified xsi:type="dcterms:W3CDTF">2025-04-23T02:40:54Z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3E2D9335F86A4F07B99FCC191652D3A3_13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