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52" tabRatio="889" activeTab="15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K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不含原材料</t>
        </r>
      </text>
    </comment>
    <comment ref="G22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没包含7.57%（租赁费、折旧费、软件服务费）</t>
        </r>
      </text>
    </comment>
    <comment ref="F24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调整前为9.6%，减去北京分给河北的，结果为4%</t>
        </r>
      </text>
    </comment>
    <comment ref="G36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没包含7.57%（租赁费、折旧费、软件服务费）</t>
        </r>
      </text>
    </comment>
    <comment ref="F38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调整前为9.6%，减去北京分给河北的，结果为4%</t>
        </r>
      </text>
    </comment>
    <comment ref="G49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没包含7.57%（租赁费、折旧费、软件服务费）</t>
        </r>
      </text>
    </comment>
    <comment ref="F51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调整前为9.6%，减去北京分给河北的，结果为4%</t>
        </r>
      </text>
    </comment>
    <comment ref="G62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没包含7.57%（租赁费、折旧费、软件服务费）</t>
        </r>
      </text>
    </comment>
    <comment ref="F64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调整前为9.6%，减去北京分给河北的，结果为4%</t>
        </r>
      </text>
    </comment>
    <comment ref="G75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没包含7.57%（租赁费、折旧费、软件服务费）</t>
        </r>
      </text>
    </comment>
    <comment ref="G89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<sst xmlns="http://schemas.openxmlformats.org/spreadsheetml/2006/main" count="1841" uniqueCount="307">
  <si>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</si>
  <si>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</si>
  <si>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</si>
  <si>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</si>
  <si>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</si>
  <si>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</si>
  <si>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销售价格（未税）：由营销部门提供，河北工厂制造，包括年降1%。</t>
  </si>
  <si>
    <t>材料成本</t>
  </si>
  <si>
    <t>按初步BOM预计。供应商年度降价与销价年降持平。</t>
  </si>
  <si>
    <t>单台材料成本为未税价格。</t>
  </si>
  <si>
    <t>变动费用</t>
  </si>
  <si>
    <t>变动费用参考河北工厂历年实际暂估，出口海运包装运费保险关税等仅按销售德国报价时预计。</t>
  </si>
  <si>
    <t>固定费用</t>
  </si>
  <si>
    <t>预测工厂产能满足客户订单。</t>
  </si>
  <si>
    <t>开发费用客户PPAP后一次性付清。</t>
  </si>
  <si>
    <t>财务费用按河北综合考虑。</t>
  </si>
  <si>
    <t>如有产线改造按照产销量摊销，无净残值。</t>
  </si>
  <si>
    <t>投资回收期</t>
  </si>
  <si>
    <t>投资仅指此项目研发费用及模夹检具工装、生产地产线改造投入。</t>
  </si>
  <si>
    <t>Volvo后视镜项目投资收益分析</t>
  </si>
  <si>
    <t>单位：未税、元</t>
  </si>
  <si>
    <t>序号</t>
  </si>
  <si>
    <t>项   目</t>
  </si>
  <si>
    <r>
      <rPr>
        <b/>
        <sz val="10"/>
        <rFont val="CorpoS"/>
        <charset val="134"/>
      </rPr>
      <t>2026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</si>
  <si>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2027年</t>
    </r>
  </si>
  <si>
    <r>
      <rPr>
        <b/>
        <sz val="10"/>
        <rFont val="CorpoS"/>
        <charset val="134"/>
      </rPr>
      <t>2028年</t>
    </r>
  </si>
  <si>
    <r>
      <rPr>
        <b/>
        <sz val="10"/>
        <rFont val="CorpoS"/>
        <charset val="134"/>
      </rPr>
      <t>2029年</t>
    </r>
  </si>
  <si>
    <r>
      <rPr>
        <b/>
        <sz val="10"/>
        <rFont val="CorpoS"/>
        <charset val="134"/>
      </rPr>
      <t>2030年</t>
    </r>
  </si>
  <si>
    <r>
      <rPr>
        <b/>
        <sz val="10"/>
        <rFont val="CorpoS"/>
        <charset val="134"/>
      </rPr>
      <t>2031年</t>
    </r>
  </si>
  <si>
    <r>
      <rPr>
        <b/>
        <sz val="10"/>
        <rFont val="CorpoS"/>
        <charset val="134"/>
      </rPr>
      <t>2032年</t>
    </r>
  </si>
  <si>
    <t>合 计</t>
  </si>
  <si>
    <t>各责任主体</t>
  </si>
  <si>
    <t>销   量</t>
  </si>
  <si>
    <t>销售公司</t>
  </si>
  <si>
    <t>收   入</t>
  </si>
  <si>
    <t>1、</t>
  </si>
  <si>
    <t>收入</t>
  </si>
  <si>
    <t>年   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</si>
  <si>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</si>
  <si>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</si>
  <si>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</si>
  <si>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</si>
  <si>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</si>
  <si>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</si>
  <si>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</si>
  <si>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</si>
  <si>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</si>
  <si>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</si>
  <si>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</si>
  <si>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</si>
  <si>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</si>
  <si>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</si>
  <si>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</si>
  <si>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</si>
  <si>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</si>
  <si>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</si>
  <si>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</si>
  <si>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</si>
  <si>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</si>
  <si>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</si>
  <si>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</si>
  <si>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</si>
  <si>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</si>
  <si>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</si>
  <si>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</si>
  <si>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</si>
  <si>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</si>
  <si>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</si>
  <si>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</si>
  <si>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</si>
  <si>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</si>
  <si>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所得税15%</t>
  </si>
  <si>
    <t>20、</t>
  </si>
  <si>
    <t>所得税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</si>
  <si>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</si>
  <si>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</si>
  <si>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</si>
  <si>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</si>
  <si>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</si>
  <si>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</si>
  <si>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</si>
  <si>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</si>
  <si>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</si>
  <si>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</si>
  <si>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</si>
  <si>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</si>
  <si>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</si>
  <si>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</si>
  <si>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</si>
  <si>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</si>
  <si>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</si>
  <si>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</si>
  <si>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</si>
  <si>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</si>
  <si>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</si>
  <si>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</si>
  <si>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</si>
  <si>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</si>
  <si>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</si>
  <si>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</si>
  <si>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</si>
  <si>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</si>
  <si>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</si>
  <si>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</si>
  <si>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</si>
  <si>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</si>
  <si>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</si>
  <si>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</si>
  <si>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</si>
  <si>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</si>
  <si>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</si>
  <si>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</si>
  <si>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</si>
  <si>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</si>
  <si>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</si>
  <si>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</si>
  <si>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</si>
  <si>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</si>
  <si>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</si>
  <si>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</si>
  <si>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</si>
  <si>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</si>
  <si>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</si>
  <si>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</si>
  <si>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</si>
  <si>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</si>
  <si>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</si>
  <si>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</si>
  <si>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</si>
  <si>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</si>
  <si>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</si>
  <si>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</si>
  <si>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</si>
  <si>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</si>
  <si>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</si>
  <si>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</si>
  <si>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</si>
  <si>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</si>
  <si>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</si>
  <si>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</si>
  <si>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</si>
  <si>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</si>
  <si>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</si>
  <si>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</si>
  <si>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</si>
  <si>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</si>
  <si>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</si>
  <si>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</si>
  <si>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</si>
  <si>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</si>
  <si>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</si>
  <si>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</si>
  <si>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</si>
  <si>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</si>
  <si>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</si>
  <si>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2026年  </t>
  </si>
  <si>
    <t>客户全称</t>
  </si>
  <si>
    <t>沃尔沃集团</t>
  </si>
  <si>
    <t>产品名称</t>
  </si>
  <si>
    <t>合计</t>
  </si>
  <si>
    <t>产品图号</t>
  </si>
  <si>
    <t>车型</t>
  </si>
  <si>
    <t>销量(件）</t>
  </si>
  <si>
    <t>年降</t>
  </si>
  <si>
    <t>设备模具等折旧分摊</t>
  </si>
  <si>
    <t>假设包含在固定制造费用中</t>
  </si>
  <si>
    <t>所得税(税率15%）</t>
  </si>
  <si>
    <t>单位：元</t>
  </si>
  <si>
    <t>单件销售收入净额</t>
  </si>
  <si>
    <t xml:space="preserve">2027年  </t>
  </si>
  <si>
    <t xml:space="preserve">2028年  </t>
  </si>
  <si>
    <t xml:space="preserve">2029年  </t>
  </si>
  <si>
    <t xml:space="preserve">2030年  </t>
  </si>
  <si>
    <t xml:space="preserve">2031年  </t>
  </si>
  <si>
    <t xml:space="preserve">2032年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</si>
  <si>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</si>
  <si>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Volvo后视镜项目研发费用预算表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</si>
  <si>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</si>
  <si>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</si>
  <si>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</si>
  <si>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</si>
  <si>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</si>
  <si>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</si>
  <si>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</si>
  <si>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按3年或1万台分摊</t>
  </si>
  <si>
    <t>二、建设工程投资</t>
  </si>
  <si>
    <t>改造</t>
  </si>
  <si>
    <t>三、设备投资</t>
  </si>
  <si>
    <t>模、夹、检、工装等</t>
  </si>
  <si>
    <t>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</si>
  <si>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</si>
  <si>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</si>
  <si>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</si>
  <si>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</si>
  <si>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</si>
  <si>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</si>
  <si>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</si>
  <si>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</si>
  <si>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</si>
  <si>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客户一次性支付</t>
  </si>
  <si>
    <t>工装</t>
  </si>
  <si>
    <t xml:space="preserve">其它 </t>
  </si>
  <si>
    <t>人力成本</t>
  </si>
  <si>
    <t>分摊</t>
  </si>
  <si>
    <t>差旅费</t>
  </si>
  <si>
    <t>邮寄费</t>
  </si>
  <si>
    <t>运费</t>
  </si>
  <si>
    <t>设计费</t>
  </si>
  <si>
    <t>样品费</t>
  </si>
  <si>
    <t>试验费</t>
  </si>
  <si>
    <t>维修费</t>
  </si>
  <si>
    <t>SOP</t>
  </si>
  <si>
    <t>注：生产线改造、机器人及生产设备等投入费用预算由工厂策划预算。</t>
  </si>
  <si>
    <t>摊余系数</t>
  </si>
  <si>
    <t>2025年</t>
  </si>
  <si>
    <t>2026年</t>
  </si>
  <si>
    <t>2027年</t>
  </si>
  <si>
    <t>2028年</t>
  </si>
  <si>
    <t>2029年</t>
  </si>
  <si>
    <t>2030年</t>
  </si>
  <si>
    <t>2031年</t>
  </si>
  <si>
    <t>预计净残值</t>
  </si>
  <si>
    <t>研发费用分摊</t>
  </si>
  <si>
    <t>产品量价规划</t>
  </si>
  <si>
    <t>一、销量、售价</t>
  </si>
  <si>
    <t>预计销价年降</t>
  </si>
  <si>
    <t>3年</t>
  </si>
  <si>
    <t>新开发产品</t>
  </si>
  <si>
    <t>主镜</t>
  </si>
  <si>
    <t>补盲镜</t>
  </si>
  <si>
    <t>前下镜</t>
  </si>
  <si>
    <t>配置</t>
  </si>
  <si>
    <t>二类电动，四类手动</t>
  </si>
  <si>
    <t>手动</t>
  </si>
  <si>
    <t xml:space="preserve">销售价格
（元，未税）  </t>
  </si>
  <si>
    <t>销量（件）</t>
  </si>
  <si>
    <t>2032年</t>
  </si>
  <si>
    <t>预估原材料成本（单位：元，未税）</t>
  </si>
  <si>
    <t>供应商年降：    3 年1%</t>
  </si>
  <si>
    <t>模块</t>
  </si>
  <si>
    <t>项目名称</t>
  </si>
  <si>
    <t>Volvo后视镜</t>
  </si>
  <si>
    <t>项目编号</t>
  </si>
  <si>
    <t>HSJ2501</t>
  </si>
  <si>
    <t>汇总</t>
  </si>
  <si>
    <t>材料成本年降汇总表1%</t>
  </si>
  <si>
    <t>项    目</t>
  </si>
  <si>
    <t>内容</t>
  </si>
  <si>
    <t>说明</t>
  </si>
  <si>
    <t>生产地点</t>
  </si>
  <si>
    <t>河北黄骅</t>
  </si>
  <si>
    <t>客户地点</t>
  </si>
  <si>
    <t>德国光华荣昌库房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</si>
  <si>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</si>
  <si>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</si>
  <si>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</si>
  <si>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</si>
  <si>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</si>
  <si>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</si>
  <si>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海运--纸箱</t>
  </si>
  <si>
    <t>客户现场服务要求</t>
  </si>
  <si>
    <t>无现场服务要求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</si>
  <si>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</si>
  <si>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</si>
  <si>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</si>
  <si>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</si>
  <si>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</si>
  <si>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</si>
  <si>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客户承担开发费，PPAP后一次性付清</t>
  </si>
  <si>
    <t>产品应用场景</t>
  </si>
  <si>
    <t>三包周期</t>
  </si>
  <si>
    <t>涂红色处为必填项</t>
  </si>
  <si>
    <t>单位：元、%、未税</t>
  </si>
  <si>
    <t>一</t>
  </si>
  <si>
    <t>科目</t>
  </si>
  <si>
    <t>河北工厂平均值</t>
  </si>
  <si>
    <t>预计</t>
  </si>
  <si>
    <t>精密注塑</t>
  </si>
  <si>
    <t>座椅单件金额</t>
  </si>
  <si>
    <t>后视镜单件金额</t>
  </si>
  <si>
    <t>座椅占收入比率</t>
  </si>
  <si>
    <t>后视镜占收入比率</t>
  </si>
  <si>
    <t>综合占收入比率</t>
  </si>
  <si>
    <t>后视镜2024年度</t>
  </si>
  <si>
    <t>兆威机电</t>
  </si>
  <si>
    <t>人工成本</t>
  </si>
  <si>
    <t xml:space="preserve">直接材料 </t>
  </si>
  <si>
    <t>制造费用</t>
  </si>
  <si>
    <t>固定</t>
  </si>
  <si>
    <t>变动</t>
  </si>
  <si>
    <t>标准成本小计</t>
  </si>
  <si>
    <t>含研发费用</t>
  </si>
  <si>
    <t>销售费用</t>
  </si>
  <si>
    <t>含集团3.27%</t>
  </si>
  <si>
    <t>预计出口包装海运关税保险等</t>
  </si>
  <si>
    <t>二</t>
  </si>
  <si>
    <t>三</t>
  </si>
  <si>
    <t>四</t>
  </si>
  <si>
    <t>五</t>
  </si>
  <si>
    <t>六</t>
  </si>
  <si>
    <t>七</t>
  </si>
  <si>
    <t>附加值汇总表（未税）</t>
  </si>
  <si>
    <t>名称</t>
  </si>
  <si>
    <t>成本</t>
  </si>
  <si>
    <t>报价（不含海外）</t>
  </si>
  <si>
    <t>附加值率</t>
  </si>
  <si>
    <t>不算出口海外所有费用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</si>
</sst>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</numFmts>
  <fonts count="6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0"/>
      <name val="Arial"/>
      <charset val="134"/>
    </font>
    <font>
      <b/>
      <sz val="10"/>
      <name val="微软雅黑"/>
      <charset val="134"/>
    </font>
    <font>
      <sz val="12"/>
      <color rgb="FFFF0000"/>
      <name val="微软雅黑"/>
      <charset val="134"/>
    </font>
    <font>
      <sz val="11"/>
      <color rgb="FF000000"/>
      <name val="Arial"/>
      <charset val="134"/>
    </font>
    <font>
      <sz val="11"/>
      <color rgb="FF0D0D0D"/>
      <name val="Arial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2"/>
      <color rgb="FF000000"/>
      <name val="微软雅黑"/>
      <charset val="134"/>
    </font>
    <font>
      <b/>
      <sz val="10"/>
      <color rgb="FFFF0000"/>
      <name val="Arial"/>
      <charset val="134"/>
    </font>
    <font>
      <sz val="10"/>
      <color rgb="FFFF0000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4"/>
      <name val="宋体"/>
      <charset val="134"/>
    </font>
    <font>
      <sz val="18"/>
      <color theme="1"/>
      <name val="微软雅黑"/>
      <charset val="134"/>
    </font>
    <font>
      <b/>
      <sz val="10"/>
      <name val="CorpoS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2" borderId="19" applyNumberFormat="0" applyAlignment="0" applyProtection="0">
      <alignment vertical="center"/>
    </xf>
    <xf numFmtId="0" fontId="49" fillId="13" borderId="20" applyNumberFormat="0" applyAlignment="0" applyProtection="0">
      <alignment vertical="center"/>
    </xf>
    <xf numFmtId="0" fontId="50" fillId="13" borderId="19" applyNumberFormat="0" applyAlignment="0" applyProtection="0">
      <alignment vertical="center"/>
    </xf>
    <xf numFmtId="0" fontId="51" fillId="14" borderId="21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9" fillId="0" borderId="0"/>
    <xf numFmtId="0" fontId="60" fillId="0" borderId="2" applyNumberFormat="0" applyFill="0" applyBorder="0" applyAlignment="0" applyProtection="0">
      <alignment vertical="center"/>
    </xf>
    <xf numFmtId="0" fontId="1" fillId="0" borderId="0">
      <alignment vertical="center"/>
    </xf>
    <xf numFmtId="0" fontId="61" fillId="0" borderId="0"/>
    <xf numFmtId="0" fontId="61" fillId="0" borderId="0"/>
    <xf numFmtId="0" fontId="62" fillId="0" borderId="0"/>
    <xf numFmtId="1" fontId="63" fillId="0" borderId="2" applyBorder="0"/>
    <xf numFmtId="43" fontId="64" fillId="0" borderId="0" applyFont="0" applyFill="0" applyBorder="0" applyAlignment="0" applyProtection="0">
      <alignment vertical="center"/>
    </xf>
    <xf numFmtId="0" fontId="61" fillId="0" borderId="0"/>
  </cellStyleXfs>
  <cellXfs count="3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3" applyNumberFormat="1" applyFont="1" applyFill="1" applyBorder="1" applyAlignment="1">
      <alignment horizontal="center" vertical="center"/>
    </xf>
    <xf numFmtId="10" fontId="0" fillId="0" borderId="2" xfId="1" applyNumberFormat="1" applyFont="1" applyFill="1" applyBorder="1">
      <alignment vertical="center"/>
    </xf>
    <xf numFmtId="10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43" fontId="9" fillId="0" borderId="2" xfId="0" applyNumberFormat="1" applyFont="1" applyFill="1" applyBorder="1" applyAlignment="1">
      <alignment horizontal="center" vertical="center"/>
    </xf>
    <xf numFmtId="10" fontId="9" fillId="0" borderId="2" xfId="3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43" fontId="0" fillId="2" borderId="2" xfId="0" applyNumberFormat="1" applyFill="1" applyBorder="1" applyAlignment="1">
      <alignment horizontal="center" vertical="center"/>
    </xf>
    <xf numFmtId="176" fontId="0" fillId="0" borderId="2" xfId="3" applyNumberFormat="1" applyFont="1" applyFill="1" applyBorder="1" applyAlignment="1">
      <alignment horizontal="center" vertical="center"/>
    </xf>
    <xf numFmtId="9" fontId="0" fillId="0" borderId="2" xfId="3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10" fontId="8" fillId="0" borderId="0" xfId="3" applyNumberFormat="1" applyFont="1" applyFill="1" applyAlignment="1">
      <alignment horizontal="center" vertical="center"/>
    </xf>
    <xf numFmtId="10" fontId="8" fillId="0" borderId="0" xfId="3" applyNumberFormat="1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43" fontId="0" fillId="2" borderId="0" xfId="1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 wrapText="1"/>
    </xf>
    <xf numFmtId="10" fontId="1" fillId="0" borderId="0" xfId="3" applyNumberFormat="1" applyFont="1" applyFill="1" applyAlignment="1">
      <alignment horizontal="center" vertical="center" wrapText="1"/>
    </xf>
    <xf numFmtId="4" fontId="0" fillId="0" borderId="0" xfId="0" applyNumberFormat="1" applyFill="1">
      <alignment vertical="center"/>
    </xf>
    <xf numFmtId="10" fontId="10" fillId="0" borderId="0" xfId="3" applyNumberFormat="1" applyFont="1" applyFill="1">
      <alignment vertical="center"/>
    </xf>
    <xf numFmtId="10" fontId="7" fillId="0" borderId="0" xfId="3" applyNumberFormat="1" applyFont="1" applyFill="1">
      <alignment vertical="center"/>
    </xf>
    <xf numFmtId="10" fontId="11" fillId="0" borderId="0" xfId="3" applyNumberFormat="1" applyFont="1" applyFill="1">
      <alignment vertical="center"/>
    </xf>
    <xf numFmtId="0" fontId="11" fillId="0" borderId="0" xfId="0" applyFont="1" applyFill="1">
      <alignment vertical="center"/>
    </xf>
    <xf numFmtId="10" fontId="0" fillId="0" borderId="0" xfId="0" applyNumberFormat="1" applyFill="1">
      <alignment vertical="center"/>
    </xf>
    <xf numFmtId="43" fontId="0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3" fillId="3" borderId="0" xfId="0" applyFont="1" applyFill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43" fontId="14" fillId="0" borderId="2" xfId="1" applyFont="1" applyBorder="1">
      <alignment vertical="center"/>
    </xf>
    <xf numFmtId="43" fontId="14" fillId="5" borderId="2" xfId="1" applyFont="1" applyFill="1" applyBorder="1">
      <alignment vertical="center"/>
    </xf>
    <xf numFmtId="43" fontId="17" fillId="5" borderId="2" xfId="1" applyFont="1" applyFill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3" fontId="17" fillId="0" borderId="2" xfId="1" applyFont="1" applyBorder="1">
      <alignment vertical="center"/>
    </xf>
    <xf numFmtId="43" fontId="14" fillId="0" borderId="0" xfId="0" applyNumberFormat="1" applyFo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3" fontId="14" fillId="0" borderId="2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43" fontId="14" fillId="0" borderId="2" xfId="0" applyNumberFormat="1" applyFont="1" applyBorder="1">
      <alignment vertical="center"/>
    </xf>
    <xf numFmtId="0" fontId="3" fillId="0" borderId="2" xfId="0" applyFont="1" applyFill="1" applyBorder="1" applyAlignment="1">
      <alignment vertical="center" wrapText="1"/>
    </xf>
    <xf numFmtId="43" fontId="14" fillId="0" borderId="0" xfId="0" applyNumberFormat="1" applyFont="1" applyBorder="1">
      <alignment vertical="center"/>
    </xf>
    <xf numFmtId="0" fontId="15" fillId="5" borderId="12" xfId="0" applyFont="1" applyFill="1" applyBorder="1" applyAlignment="1">
      <alignment horizontal="center" vertical="center" wrapText="1"/>
    </xf>
    <xf numFmtId="43" fontId="14" fillId="0" borderId="7" xfId="0" applyNumberFormat="1" applyFont="1" applyBorder="1" applyAlignment="1">
      <alignment horizontal="center" vertical="center"/>
    </xf>
    <xf numFmtId="43" fontId="14" fillId="0" borderId="13" xfId="0" applyNumberFormat="1" applyFont="1" applyBorder="1" applyAlignment="1">
      <alignment horizontal="center" vertical="center"/>
    </xf>
    <xf numFmtId="43" fontId="14" fillId="0" borderId="8" xfId="0" applyNumberFormat="1" applyFont="1" applyBorder="1" applyAlignment="1">
      <alignment horizontal="center" vertical="center"/>
    </xf>
    <xf numFmtId="43" fontId="17" fillId="0" borderId="2" xfId="1" applyFont="1" applyFill="1" applyBorder="1">
      <alignment vertical="center"/>
    </xf>
    <xf numFmtId="0" fontId="14" fillId="0" borderId="2" xfId="0" applyFont="1" applyBorder="1">
      <alignment vertical="center"/>
    </xf>
    <xf numFmtId="2" fontId="14" fillId="2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Border="1">
      <alignment vertical="center"/>
    </xf>
    <xf numFmtId="0" fontId="18" fillId="0" borderId="0" xfId="0" applyFont="1" applyAlignment="1">
      <alignment vertical="center" wrapText="1"/>
    </xf>
    <xf numFmtId="177" fontId="14" fillId="0" borderId="0" xfId="1" applyNumberFormat="1" applyFont="1">
      <alignment vertical="center"/>
    </xf>
    <xf numFmtId="0" fontId="18" fillId="0" borderId="0" xfId="0" applyFont="1" applyAlignment="1">
      <alignment vertical="center"/>
    </xf>
    <xf numFmtId="0" fontId="14" fillId="5" borderId="0" xfId="0" applyFont="1" applyFill="1">
      <alignment vertical="center"/>
    </xf>
    <xf numFmtId="10" fontId="14" fillId="0" borderId="0" xfId="0" applyNumberFormat="1" applyFont="1">
      <alignment vertical="center"/>
    </xf>
    <xf numFmtId="0" fontId="19" fillId="0" borderId="2" xfId="53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20" fillId="6" borderId="2" xfId="1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 readingOrder="1"/>
    </xf>
    <xf numFmtId="177" fontId="13" fillId="6" borderId="2" xfId="0" applyNumberFormat="1" applyFont="1" applyFill="1" applyBorder="1" applyAlignment="1">
      <alignment horizontal="center" wrapText="1" readingOrder="1"/>
    </xf>
    <xf numFmtId="43" fontId="14" fillId="0" borderId="0" xfId="1" applyFont="1">
      <alignment vertical="center"/>
    </xf>
    <xf numFmtId="178" fontId="17" fillId="6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 readingOrder="1"/>
    </xf>
    <xf numFmtId="0" fontId="23" fillId="0" borderId="2" xfId="0" applyFont="1" applyBorder="1" applyAlignment="1">
      <alignment horizontal="center" vertical="center" wrapText="1"/>
    </xf>
    <xf numFmtId="177" fontId="13" fillId="6" borderId="5" xfId="1" applyNumberFormat="1" applyFont="1" applyFill="1" applyBorder="1" applyAlignment="1">
      <alignment horizontal="center" vertical="center" wrapText="1" readingOrder="1"/>
    </xf>
    <xf numFmtId="0" fontId="14" fillId="2" borderId="0" xfId="0" applyFont="1" applyFill="1">
      <alignment vertical="center"/>
    </xf>
    <xf numFmtId="177" fontId="13" fillId="6" borderId="5" xfId="0" applyNumberFormat="1" applyFont="1" applyFill="1" applyBorder="1" applyAlignment="1">
      <alignment horizontal="center" wrapText="1" readingOrder="1"/>
    </xf>
    <xf numFmtId="43" fontId="0" fillId="0" borderId="0" xfId="1" applyFont="1">
      <alignment vertical="center"/>
    </xf>
    <xf numFmtId="0" fontId="24" fillId="7" borderId="1" xfId="49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8" fontId="25" fillId="8" borderId="2" xfId="54" applyNumberFormat="1" applyFont="1" applyFill="1" applyBorder="1" applyAlignment="1">
      <alignment horizontal="center" vertical="center" wrapText="1"/>
    </xf>
    <xf numFmtId="43" fontId="25" fillId="8" borderId="2" xfId="1" applyFont="1" applyFill="1" applyBorder="1" applyAlignment="1">
      <alignment horizontal="center" vertical="center" wrapText="1"/>
    </xf>
    <xf numFmtId="0" fontId="25" fillId="8" borderId="2" xfId="49" applyNumberFormat="1" applyFont="1" applyFill="1" applyBorder="1" applyAlignment="1" applyProtection="1">
      <alignment horizontal="center" vertical="center"/>
    </xf>
    <xf numFmtId="178" fontId="26" fillId="0" borderId="2" xfId="54" applyNumberFormat="1" applyFont="1" applyFill="1" applyBorder="1" applyAlignment="1">
      <alignment horizontal="left" vertical="center"/>
    </xf>
    <xf numFmtId="43" fontId="26" fillId="5" borderId="2" xfId="1" applyFont="1" applyFill="1" applyBorder="1" applyAlignment="1">
      <alignment horizontal="center" vertical="center"/>
    </xf>
    <xf numFmtId="0" fontId="27" fillId="7" borderId="2" xfId="49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43" fontId="0" fillId="5" borderId="2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8" fillId="7" borderId="2" xfId="49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6" borderId="2" xfId="0" applyFont="1" applyFill="1" applyBorder="1">
      <alignment vertical="center"/>
    </xf>
    <xf numFmtId="43" fontId="12" fillId="4" borderId="2" xfId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6" borderId="2" xfId="0" applyFill="1" applyBorder="1">
      <alignment vertical="center"/>
    </xf>
    <xf numFmtId="178" fontId="26" fillId="0" borderId="3" xfId="54" applyNumberFormat="1" applyFont="1" applyFill="1" applyBorder="1" applyAlignment="1">
      <alignment horizontal="center" vertical="center"/>
    </xf>
    <xf numFmtId="178" fontId="26" fillId="0" borderId="3" xfId="54" applyNumberFormat="1" applyFont="1" applyFill="1" applyBorder="1" applyAlignment="1">
      <alignment horizontal="left" vertical="center" wrapText="1"/>
    </xf>
    <xf numFmtId="0" fontId="27" fillId="7" borderId="2" xfId="49" applyNumberFormat="1" applyFont="1" applyFill="1" applyBorder="1" applyAlignment="1" applyProtection="1">
      <alignment horizontal="center" vertical="center" wrapText="1"/>
    </xf>
    <xf numFmtId="43" fontId="26" fillId="4" borderId="2" xfId="1" applyFont="1" applyFill="1" applyBorder="1" applyAlignment="1" applyProtection="1">
      <alignment horizontal="center" vertical="center"/>
    </xf>
    <xf numFmtId="43" fontId="10" fillId="0" borderId="0" xfId="1" applyFont="1">
      <alignment vertical="center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9" fillId="6" borderId="2" xfId="0" applyFont="1" applyFill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readingOrder="1"/>
    </xf>
    <xf numFmtId="43" fontId="17" fillId="0" borderId="2" xfId="0" applyNumberFormat="1" applyFont="1" applyBorder="1">
      <alignment vertical="center"/>
    </xf>
    <xf numFmtId="43" fontId="17" fillId="0" borderId="2" xfId="1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31" fontId="30" fillId="0" borderId="0" xfId="0" applyNumberFormat="1" applyFo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3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43" fontId="5" fillId="0" borderId="0" xfId="1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5" borderId="2" xfId="1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43" fontId="32" fillId="0" borderId="2" xfId="1" applyFont="1" applyFill="1" applyBorder="1" applyAlignment="1">
      <alignment horizontal="center" vertical="center" wrapText="1"/>
    </xf>
    <xf numFmtId="43" fontId="32" fillId="0" borderId="8" xfId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33" fillId="0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 readingOrder="1"/>
    </xf>
    <xf numFmtId="43" fontId="5" fillId="0" borderId="2" xfId="1" applyFont="1" applyFill="1" applyBorder="1" applyAlignment="1">
      <alignment horizontal="center" vertical="center"/>
    </xf>
    <xf numFmtId="0" fontId="33" fillId="0" borderId="2" xfId="0" applyFont="1" applyFill="1" applyBorder="1">
      <alignment vertical="center"/>
    </xf>
    <xf numFmtId="9" fontId="5" fillId="0" borderId="2" xfId="3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31" fillId="0" borderId="2" xfId="1" applyNumberFormat="1" applyFont="1" applyFill="1" applyBorder="1">
      <alignment vertical="center"/>
    </xf>
    <xf numFmtId="43" fontId="5" fillId="0" borderId="2" xfId="1" applyFont="1" applyFill="1" applyBorder="1">
      <alignment vertical="center"/>
    </xf>
    <xf numFmtId="0" fontId="3" fillId="0" borderId="2" xfId="0" applyFont="1" applyFill="1" applyBorder="1">
      <alignment vertical="center"/>
    </xf>
    <xf numFmtId="9" fontId="5" fillId="0" borderId="2" xfId="3" applyFont="1" applyFill="1" applyBorder="1">
      <alignment vertical="center"/>
    </xf>
    <xf numFmtId="43" fontId="31" fillId="0" borderId="2" xfId="1" applyFont="1" applyFill="1" applyBorder="1" applyAlignment="1">
      <alignment horizontal="center" vertical="center"/>
    </xf>
    <xf numFmtId="43" fontId="5" fillId="0" borderId="2" xfId="0" applyNumberFormat="1" applyFont="1" applyFill="1" applyBorder="1">
      <alignment vertical="center"/>
    </xf>
    <xf numFmtId="43" fontId="31" fillId="0" borderId="2" xfId="1" applyFont="1" applyFill="1" applyBorder="1">
      <alignment vertical="center"/>
    </xf>
    <xf numFmtId="43" fontId="3" fillId="0" borderId="2" xfId="1" applyFont="1" applyFill="1" applyBorder="1">
      <alignment vertical="center"/>
    </xf>
    <xf numFmtId="43" fontId="5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5" fillId="0" borderId="5" xfId="1" applyFont="1" applyFill="1" applyBorder="1" applyAlignment="1">
      <alignment horizontal="center" vertical="center"/>
    </xf>
    <xf numFmtId="43" fontId="32" fillId="0" borderId="7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43" fontId="5" fillId="0" borderId="0" xfId="0" applyNumberFormat="1" applyFont="1" applyFill="1">
      <alignment vertical="center"/>
    </xf>
    <xf numFmtId="179" fontId="5" fillId="0" borderId="0" xfId="0" applyNumberFormat="1" applyFont="1" applyFill="1">
      <alignment vertical="center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1" fontId="26" fillId="7" borderId="0" xfId="49" applyNumberFormat="1" applyFont="1" applyFill="1" applyProtection="1"/>
    <xf numFmtId="0" fontId="26" fillId="7" borderId="0" xfId="49" applyFont="1" applyFill="1" applyProtection="1"/>
    <xf numFmtId="0" fontId="34" fillId="7" borderId="0" xfId="49" applyFont="1" applyFill="1" applyAlignment="1" applyProtection="1">
      <alignment horizontal="centerContinuous"/>
    </xf>
    <xf numFmtId="0" fontId="26" fillId="7" borderId="0" xfId="49" applyFont="1" applyFill="1" applyAlignment="1">
      <alignment horizontal="centerContinuous"/>
    </xf>
    <xf numFmtId="0" fontId="26" fillId="7" borderId="0" xfId="49" applyFont="1" applyFill="1" applyAlignment="1" applyProtection="1">
      <alignment horizontal="centerContinuous"/>
    </xf>
    <xf numFmtId="9" fontId="26" fillId="7" borderId="0" xfId="49" applyNumberFormat="1" applyFont="1" applyFill="1" applyProtection="1"/>
    <xf numFmtId="0" fontId="26" fillId="7" borderId="7" xfId="49" applyFont="1" applyFill="1" applyBorder="1" applyAlignment="1" applyProtection="1">
      <alignment horizontal="center"/>
    </xf>
    <xf numFmtId="0" fontId="28" fillId="7" borderId="2" xfId="49" applyFont="1" applyFill="1" applyBorder="1" applyAlignment="1" applyProtection="1">
      <alignment horizontal="center"/>
    </xf>
    <xf numFmtId="0" fontId="28" fillId="7" borderId="4" xfId="49" applyFont="1" applyFill="1" applyBorder="1" applyAlignment="1" applyProtection="1">
      <alignment horizontal="center"/>
    </xf>
    <xf numFmtId="1" fontId="28" fillId="7" borderId="4" xfId="55" applyFont="1" applyFill="1" applyBorder="1"/>
    <xf numFmtId="1" fontId="26" fillId="7" borderId="4" xfId="55" applyFont="1" applyFill="1" applyBorder="1"/>
    <xf numFmtId="0" fontId="26" fillId="7" borderId="8" xfId="49" applyFont="1" applyFill="1" applyBorder="1" applyProtection="1"/>
    <xf numFmtId="0" fontId="26" fillId="7" borderId="2" xfId="49" applyFont="1" applyFill="1" applyBorder="1" applyAlignment="1" applyProtection="1">
      <alignment horizontal="center"/>
    </xf>
    <xf numFmtId="0" fontId="26" fillId="7" borderId="2" xfId="49" applyFont="1" applyFill="1" applyBorder="1" applyAlignment="1" applyProtection="1">
      <alignment horizontal="left"/>
    </xf>
    <xf numFmtId="0" fontId="26" fillId="9" borderId="2" xfId="49" applyFont="1" applyFill="1" applyBorder="1" applyProtection="1"/>
    <xf numFmtId="177" fontId="26" fillId="9" borderId="2" xfId="1" applyNumberFormat="1" applyFont="1" applyFill="1" applyBorder="1" applyAlignment="1" applyProtection="1"/>
    <xf numFmtId="0" fontId="26" fillId="7" borderId="2" xfId="49" applyFont="1" applyFill="1" applyBorder="1" applyProtection="1"/>
    <xf numFmtId="177" fontId="26" fillId="7" borderId="2" xfId="1" applyNumberFormat="1" applyFont="1" applyFill="1" applyBorder="1" applyAlignment="1" applyProtection="1"/>
    <xf numFmtId="0" fontId="26" fillId="7" borderId="2" xfId="49" applyNumberFormat="1" applyFont="1" applyFill="1" applyBorder="1" applyAlignment="1" applyProtection="1">
      <alignment horizontal="left"/>
    </xf>
    <xf numFmtId="1" fontId="26" fillId="7" borderId="2" xfId="49" applyNumberFormat="1" applyFont="1" applyFill="1" applyBorder="1" applyProtection="1"/>
    <xf numFmtId="1" fontId="26" fillId="7" borderId="2" xfId="49" applyNumberFormat="1" applyFont="1" applyFill="1" applyBorder="1" applyAlignment="1" applyProtection="1">
      <alignment horizontal="left"/>
    </xf>
    <xf numFmtId="0" fontId="26" fillId="7" borderId="10" xfId="49" applyFont="1" applyFill="1" applyBorder="1" applyProtection="1"/>
    <xf numFmtId="0" fontId="26" fillId="7" borderId="11" xfId="49" applyFont="1" applyFill="1" applyBorder="1" applyProtection="1"/>
    <xf numFmtId="0" fontId="26" fillId="7" borderId="14" xfId="49" applyFont="1" applyFill="1" applyBorder="1" applyProtection="1"/>
    <xf numFmtId="0" fontId="26" fillId="7" borderId="0" xfId="49" applyFont="1" applyFill="1" applyBorder="1" applyProtection="1"/>
    <xf numFmtId="180" fontId="26" fillId="7" borderId="0" xfId="49" applyNumberFormat="1" applyFont="1" applyFill="1" applyBorder="1" applyProtection="1"/>
    <xf numFmtId="10" fontId="26" fillId="7" borderId="0" xfId="49" applyNumberFormat="1" applyFont="1" applyFill="1" applyBorder="1" applyProtection="1"/>
    <xf numFmtId="1" fontId="26" fillId="7" borderId="0" xfId="49" applyNumberFormat="1" applyFont="1" applyFill="1" applyBorder="1" applyProtection="1"/>
    <xf numFmtId="0" fontId="26" fillId="7" borderId="9" xfId="49" applyFont="1" applyFill="1" applyBorder="1" applyProtection="1"/>
    <xf numFmtId="0" fontId="26" fillId="7" borderId="1" xfId="49" applyFont="1" applyFill="1" applyBorder="1" applyProtection="1"/>
    <xf numFmtId="2" fontId="26" fillId="7" borderId="1" xfId="49" applyNumberFormat="1" applyFont="1" applyFill="1" applyBorder="1" applyProtection="1"/>
    <xf numFmtId="0" fontId="26" fillId="7" borderId="5" xfId="49" applyFont="1" applyFill="1" applyBorder="1"/>
    <xf numFmtId="1" fontId="26" fillId="7" borderId="8" xfId="55" applyFont="1" applyFill="1" applyBorder="1" applyAlignment="1">
      <alignment horizontal="center"/>
    </xf>
    <xf numFmtId="0" fontId="26" fillId="7" borderId="12" xfId="49" applyFont="1" applyFill="1" applyBorder="1" applyProtection="1"/>
    <xf numFmtId="0" fontId="26" fillId="7" borderId="6" xfId="49" applyFont="1" applyFill="1" applyBorder="1" applyProtection="1"/>
    <xf numFmtId="0" fontId="26" fillId="7" borderId="15" xfId="49" applyFont="1" applyFill="1" applyBorder="1" applyProtection="1"/>
    <xf numFmtId="0" fontId="3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>
      <alignment vertical="center"/>
    </xf>
    <xf numFmtId="43" fontId="5" fillId="0" borderId="0" xfId="1" applyFo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3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36" fillId="0" borderId="2" xfId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center" vertical="center"/>
    </xf>
    <xf numFmtId="0" fontId="5" fillId="6" borderId="2" xfId="0" applyFont="1" applyFill="1" applyBorder="1">
      <alignment vertical="center"/>
    </xf>
    <xf numFmtId="0" fontId="33" fillId="9" borderId="2" xfId="0" applyFont="1" applyFill="1" applyBorder="1">
      <alignment vertical="center"/>
    </xf>
    <xf numFmtId="177" fontId="3" fillId="9" borderId="2" xfId="1" applyNumberFormat="1" applyFont="1" applyFill="1" applyBorder="1" applyAlignment="1">
      <alignment horizontal="center" vertical="center"/>
    </xf>
    <xf numFmtId="177" fontId="5" fillId="10" borderId="2" xfId="1" applyNumberFormat="1" applyFont="1" applyFill="1" applyBorder="1" applyAlignment="1">
      <alignment horizontal="center" vertical="center"/>
    </xf>
    <xf numFmtId="177" fontId="3" fillId="10" borderId="2" xfId="1" applyNumberFormat="1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5" fillId="0" borderId="2" xfId="0" applyFont="1" applyBorder="1">
      <alignment vertical="center"/>
    </xf>
    <xf numFmtId="10" fontId="3" fillId="0" borderId="2" xfId="3" applyNumberFormat="1" applyFont="1" applyBorder="1" applyAlignment="1">
      <alignment vertical="center"/>
    </xf>
    <xf numFmtId="177" fontId="3" fillId="0" borderId="2" xfId="1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177" fontId="5" fillId="0" borderId="2" xfId="1" applyNumberFormat="1" applyFont="1" applyBorder="1" applyAlignment="1">
      <alignment horizontal="center" vertical="center"/>
    </xf>
    <xf numFmtId="10" fontId="5" fillId="0" borderId="2" xfId="3" applyNumberFormat="1" applyFont="1" applyFill="1" applyBorder="1">
      <alignment vertical="center"/>
    </xf>
    <xf numFmtId="177" fontId="5" fillId="0" borderId="0" xfId="3" applyNumberFormat="1" applyFont="1" applyFill="1" applyBorder="1">
      <alignment vertical="center"/>
    </xf>
    <xf numFmtId="10" fontId="5" fillId="0" borderId="0" xfId="3" applyNumberFormat="1" applyFont="1" applyFill="1" applyBorder="1">
      <alignment vertical="center"/>
    </xf>
    <xf numFmtId="43" fontId="5" fillId="0" borderId="0" xfId="1" applyFont="1" applyFill="1" applyBorder="1">
      <alignment vertical="center"/>
    </xf>
    <xf numFmtId="10" fontId="5" fillId="0" borderId="2" xfId="3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3" fontId="5" fillId="0" borderId="2" xfId="1" applyFont="1" applyBorder="1">
      <alignment vertical="center"/>
    </xf>
    <xf numFmtId="177" fontId="5" fillId="0" borderId="2" xfId="1" applyNumberFormat="1" applyFont="1" applyBorder="1">
      <alignment vertical="center"/>
    </xf>
    <xf numFmtId="43" fontId="5" fillId="0" borderId="0" xfId="1" applyFont="1" applyAlignment="1">
      <alignment vertical="center" wrapText="1"/>
    </xf>
    <xf numFmtId="0" fontId="5" fillId="0" borderId="1" xfId="0" applyFont="1" applyBorder="1" applyAlignment="1">
      <alignment vertical="center"/>
    </xf>
    <xf numFmtId="43" fontId="20" fillId="0" borderId="2" xfId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5" fillId="0" borderId="7" xfId="0" applyFont="1" applyFill="1" applyBorder="1">
      <alignment vertical="center"/>
    </xf>
    <xf numFmtId="0" fontId="37" fillId="0" borderId="0" xfId="0" applyFont="1">
      <alignment vertical="center"/>
    </xf>
    <xf numFmtId="0" fontId="38" fillId="0" borderId="2" xfId="0" applyFont="1" applyBorder="1" applyAlignment="1">
      <alignment horizontal="center" vertical="center" wrapText="1" readingOrder="1"/>
    </xf>
    <xf numFmtId="0" fontId="37" fillId="0" borderId="0" xfId="0" applyFont="1" applyFill="1">
      <alignment vertical="center"/>
    </xf>
    <xf numFmtId="0" fontId="29" fillId="0" borderId="2" xfId="0" applyFont="1" applyBorder="1" applyAlignment="1">
      <alignment horizontal="center" vertical="center" wrapText="1" readingOrder="1"/>
    </xf>
    <xf numFmtId="0" fontId="39" fillId="0" borderId="2" xfId="0" applyFont="1" applyBorder="1" applyAlignment="1">
      <alignment horizontal="left" vertical="center" wrapText="1" readingOrder="1"/>
    </xf>
    <xf numFmtId="0" fontId="21" fillId="0" borderId="2" xfId="0" applyFont="1" applyBorder="1" applyAlignment="1">
      <alignment horizontal="left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left" vertical="center" wrapText="1" readingOrder="1"/>
    </xf>
    <xf numFmtId="0" fontId="29" fillId="0" borderId="13" xfId="0" applyFont="1" applyBorder="1" applyAlignment="1">
      <alignment horizontal="center" vertical="center" wrapText="1" readingOrder="1"/>
    </xf>
    <xf numFmtId="0" fontId="39" fillId="0" borderId="2" xfId="0" applyFont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left" vertical="center" wrapText="1" readingOrder="1"/>
    </xf>
    <xf numFmtId="0" fontId="39" fillId="0" borderId="0" xfId="0" applyFont="1" applyFill="1" applyBorder="1" applyAlignment="1">
      <alignment horizontal="left" vertical="center" wrapText="1" readingOrder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 2 2" xfId="53"/>
    <cellStyle name="常规_20061221C2项目损益分析（概念稿）" xfId="54"/>
    <cellStyle name="普通_销售收入.XLS" xfId="55"/>
    <cellStyle name="千位分隔 2 25" xfId="56"/>
    <cellStyle name="样式 1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48640" y="403860"/>
          <a:ext cx="195453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17942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17942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17942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45044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45044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45044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450445" y="40386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450445" y="45573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5626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4864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48640" y="4557395"/>
          <a:ext cx="19545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2" sqref="C2"/>
    </sheetView>
  </sheetViews>
  <sheetFormatPr defaultColWidth="9" defaultRowHeight="14.4" outlineLevelCol="3"/>
  <cols>
    <col min="1" max="1" width="8.87962962962963" customWidth="1"/>
    <col min="2" max="2" width="16.3796296296296" customWidth="1"/>
    <col min="3" max="3" width="89.75" customWidth="1"/>
  </cols>
  <sheetData>
    <row r="2" s="300" customFormat="1" ht="35.25" customHeight="1" spans="1:4">
      <c r="A2" s="301" t="s">
        <v>0</v>
      </c>
      <c r="B2" s="301" t="s">
        <v>1</v>
      </c>
      <c r="C2" s="301" t="s">
        <v>2</v>
      </c>
      <c r="D2" s="302"/>
    </row>
    <row r="3" s="300" customFormat="1" ht="33.75" customHeight="1" spans="1:4">
      <c r="A3" s="303">
        <v>1</v>
      </c>
      <c r="B3" s="303" t="s">
        <v>3</v>
      </c>
      <c r="C3" s="304" t="s">
        <v>4</v>
      </c>
      <c r="D3" s="302"/>
    </row>
    <row r="4" s="300" customFormat="1" ht="33.75" customHeight="1" spans="1:3">
      <c r="A4" s="303">
        <v>2</v>
      </c>
      <c r="B4" s="303" t="s">
        <v>5</v>
      </c>
      <c r="C4" s="305" t="s">
        <v>6</v>
      </c>
    </row>
    <row r="5" s="300" customFormat="1" ht="33.75" customHeight="1" spans="1:3">
      <c r="A5" s="303">
        <v>3</v>
      </c>
      <c r="B5" s="306" t="s">
        <v>7</v>
      </c>
      <c r="C5" s="307" t="s">
        <v>8</v>
      </c>
    </row>
    <row r="6" s="300" customFormat="1" ht="33.75" customHeight="1" spans="1:3">
      <c r="A6" s="303">
        <v>4</v>
      </c>
      <c r="B6" s="308"/>
      <c r="C6" s="304" t="s">
        <v>9</v>
      </c>
    </row>
    <row r="7" s="300" customFormat="1" ht="33.75" customHeight="1" spans="1:3">
      <c r="A7" s="303">
        <v>5</v>
      </c>
      <c r="B7" s="309" t="s">
        <v>10</v>
      </c>
      <c r="C7" s="304" t="s">
        <v>11</v>
      </c>
    </row>
    <row r="8" s="300" customFormat="1" ht="33.75" customHeight="1" spans="1:3">
      <c r="A8" s="303">
        <v>6</v>
      </c>
      <c r="B8" s="306" t="s">
        <v>12</v>
      </c>
      <c r="C8" s="304" t="s">
        <v>13</v>
      </c>
    </row>
    <row r="9" s="300" customFormat="1" ht="33.75" customHeight="1" spans="1:3">
      <c r="A9" s="303">
        <v>7</v>
      </c>
      <c r="B9" s="308"/>
      <c r="C9" s="304" t="s">
        <v>14</v>
      </c>
    </row>
    <row r="10" s="300" customFormat="1" ht="33.75" customHeight="1" spans="1:3">
      <c r="A10" s="303">
        <v>8</v>
      </c>
      <c r="B10" s="308"/>
      <c r="C10" s="310" t="s">
        <v>15</v>
      </c>
    </row>
    <row r="11" s="300" customFormat="1" ht="33.75" customHeight="1" spans="1:3">
      <c r="A11" s="303">
        <v>9</v>
      </c>
      <c r="B11" s="308"/>
      <c r="C11" s="305" t="s">
        <v>16</v>
      </c>
    </row>
    <row r="12" s="300" customFormat="1" ht="33.75" customHeight="1" spans="1:3">
      <c r="A12" s="303">
        <v>10</v>
      </c>
      <c r="B12" s="309" t="s">
        <v>17</v>
      </c>
      <c r="C12" s="304" t="s">
        <v>18</v>
      </c>
    </row>
    <row r="13" ht="33.75" customHeight="1"/>
    <row r="14" ht="33.75" customHeight="1"/>
    <row r="15" ht="33.75" customHeight="1" spans="3:3">
      <c r="C15" s="311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selection activeCell="F43" sqref="F43"/>
    </sheetView>
  </sheetViews>
  <sheetFormatPr defaultColWidth="9" defaultRowHeight="15"/>
  <cols>
    <col min="1" max="1" width="5.12962962962963" style="190" customWidth="1"/>
    <col min="2" max="2" width="17.5" style="190" customWidth="1"/>
    <col min="3" max="8" width="13.25" style="191" customWidth="1"/>
    <col min="9" max="9" width="18.75" style="191" customWidth="1"/>
    <col min="10" max="10" width="12.3796296296296" style="190" customWidth="1"/>
    <col min="11" max="11" width="10.1296296296296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174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195" t="str">
        <f>'2026年'!C2:I2</f>
        <v>沃尔沃集团</v>
      </c>
      <c r="D2" s="195"/>
      <c r="E2" s="195"/>
      <c r="F2" s="195"/>
      <c r="G2" s="195"/>
      <c r="H2" s="195"/>
      <c r="I2" s="195"/>
    </row>
    <row r="3" spans="1:9">
      <c r="A3" s="192" t="s">
        <v>158</v>
      </c>
      <c r="B3" s="192"/>
      <c r="C3" s="87" t="str">
        <f>'2026年'!C3</f>
        <v>主镜</v>
      </c>
      <c r="D3" s="196" t="str">
        <f>'2026年'!D3</f>
        <v>补盲镜</v>
      </c>
      <c r="E3" s="196" t="str">
        <f>'2026年'!E3</f>
        <v>前下镜</v>
      </c>
      <c r="F3" s="196">
        <f>'2026年'!F3</f>
        <v>0</v>
      </c>
      <c r="G3" s="196">
        <f>'2026年'!G3</f>
        <v>0</v>
      </c>
      <c r="H3" s="196">
        <f>'2026年'!H3</f>
        <v>0</v>
      </c>
      <c r="I3" s="217" t="s">
        <v>159</v>
      </c>
    </row>
    <row r="4" spans="1:9">
      <c r="A4" s="192" t="s">
        <v>160</v>
      </c>
      <c r="B4" s="192"/>
      <c r="C4" s="87">
        <f>'2026年'!C4</f>
        <v>22286155</v>
      </c>
      <c r="D4" s="87">
        <f>'2026年'!D4</f>
        <v>84099794</v>
      </c>
      <c r="E4" s="87">
        <f>'2026年'!E4</f>
        <v>21151129</v>
      </c>
      <c r="F4" s="87">
        <f>'2026年'!F4</f>
        <v>0</v>
      </c>
      <c r="G4" s="87">
        <f>'2026年'!G4</f>
        <v>0</v>
      </c>
      <c r="H4" s="87">
        <f>'2026年'!H4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销量!C15</f>
        <v>0</v>
      </c>
      <c r="D6" s="201">
        <f>销量!D15</f>
        <v>0</v>
      </c>
      <c r="E6" s="201">
        <f>销量!E15</f>
        <v>0</v>
      </c>
      <c r="F6" s="201">
        <f>销量!F15</f>
        <v>0</v>
      </c>
      <c r="G6" s="201">
        <f>销量!G15</f>
        <v>0</v>
      </c>
      <c r="H6" s="201">
        <f>销量!H15</f>
        <v>0</v>
      </c>
      <c r="I6" s="202">
        <f t="shared" ref="I6:I15" si="0">SUM(C6:H6)</f>
        <v>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0</v>
      </c>
      <c r="D7" s="202">
        <f>D6*销量!D8</f>
        <v>0</v>
      </c>
      <c r="E7" s="202">
        <f>E6*销量!E8</f>
        <v>0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0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>
        <f>C7*(1-销量!$M$10)</f>
        <v>0</v>
      </c>
      <c r="D8" s="202">
        <f>D7*(1-销量!$M$10)</f>
        <v>0</v>
      </c>
      <c r="E8" s="202">
        <f>E7*(1-销量!$M$10)</f>
        <v>0</v>
      </c>
      <c r="F8" s="202">
        <f>F7*(1-销量!$M$10)</f>
        <v>0</v>
      </c>
      <c r="G8" s="202">
        <f>G7*(1-销量!$M$10)</f>
        <v>0</v>
      </c>
      <c r="H8" s="202">
        <f>H7*(1-销量!$M$10)</f>
        <v>0</v>
      </c>
      <c r="I8" s="202">
        <f t="shared" si="0"/>
        <v>0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0</v>
      </c>
      <c r="D9" s="202">
        <f t="shared" ref="D9:H9" si="1">+D7-D8</f>
        <v>0</v>
      </c>
      <c r="E9" s="202">
        <f t="shared" si="1"/>
        <v>0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0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0</v>
      </c>
      <c r="D10" s="202">
        <f t="shared" ref="D10:H10" si="2">D6*D33</f>
        <v>0</v>
      </c>
      <c r="E10" s="202">
        <f t="shared" si="2"/>
        <v>0</v>
      </c>
      <c r="F10" s="202">
        <f t="shared" si="2"/>
        <v>0</v>
      </c>
      <c r="G10" s="202">
        <f t="shared" si="2"/>
        <v>0</v>
      </c>
      <c r="H10" s="202">
        <f t="shared" si="2"/>
        <v>0</v>
      </c>
      <c r="I10" s="202">
        <f t="shared" si="0"/>
        <v>0</v>
      </c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0</v>
      </c>
      <c r="D11" s="202">
        <f t="shared" ref="D11:H11" si="3">+D6*D36</f>
        <v>0</v>
      </c>
      <c r="E11" s="202">
        <f t="shared" si="3"/>
        <v>0</v>
      </c>
      <c r="F11" s="202">
        <f t="shared" si="3"/>
        <v>0</v>
      </c>
      <c r="G11" s="202">
        <f t="shared" si="3"/>
        <v>0</v>
      </c>
      <c r="H11" s="202">
        <f t="shared" si="3"/>
        <v>0</v>
      </c>
      <c r="I11" s="202">
        <f t="shared" si="0"/>
        <v>0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0</v>
      </c>
      <c r="D12" s="202">
        <f t="shared" ref="D12:H12" si="4">+D6*D37</f>
        <v>0</v>
      </c>
      <c r="E12" s="202">
        <f t="shared" si="4"/>
        <v>0</v>
      </c>
      <c r="F12" s="202">
        <f t="shared" si="4"/>
        <v>0</v>
      </c>
      <c r="G12" s="202">
        <f t="shared" si="4"/>
        <v>0</v>
      </c>
      <c r="H12" s="202">
        <f t="shared" si="4"/>
        <v>0</v>
      </c>
      <c r="I12" s="202">
        <f t="shared" si="0"/>
        <v>0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0</v>
      </c>
      <c r="D13" s="202">
        <f t="shared" ref="D13:H13" si="5">+D6*D38</f>
        <v>0</v>
      </c>
      <c r="E13" s="202">
        <f t="shared" si="5"/>
        <v>0</v>
      </c>
      <c r="F13" s="202">
        <f t="shared" si="5"/>
        <v>0</v>
      </c>
      <c r="G13" s="202">
        <f t="shared" si="5"/>
        <v>0</v>
      </c>
      <c r="H13" s="202">
        <f t="shared" si="5"/>
        <v>0</v>
      </c>
      <c r="I13" s="202">
        <f t="shared" si="0"/>
        <v>0</v>
      </c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0</v>
      </c>
      <c r="D14" s="202">
        <f t="shared" ref="D14:H14" si="6">SUM(D11:D13)</f>
        <v>0</v>
      </c>
      <c r="E14" s="202">
        <f t="shared" si="6"/>
        <v>0</v>
      </c>
      <c r="F14" s="202">
        <f t="shared" si="6"/>
        <v>0</v>
      </c>
      <c r="G14" s="202">
        <f t="shared" si="6"/>
        <v>0</v>
      </c>
      <c r="H14" s="202">
        <f t="shared" si="6"/>
        <v>0</v>
      </c>
      <c r="I14" s="202">
        <f t="shared" si="0"/>
        <v>0</v>
      </c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0</v>
      </c>
      <c r="D15" s="202">
        <f t="shared" ref="D15:H15" si="7">+D9-D10-D14</f>
        <v>0</v>
      </c>
      <c r="E15" s="202">
        <f t="shared" si="7"/>
        <v>0</v>
      </c>
      <c r="F15" s="202">
        <f t="shared" si="7"/>
        <v>0</v>
      </c>
      <c r="G15" s="202">
        <f t="shared" si="7"/>
        <v>0</v>
      </c>
      <c r="H15" s="202">
        <f t="shared" si="7"/>
        <v>0</v>
      </c>
      <c r="I15" s="202">
        <f t="shared" si="0"/>
        <v>0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 t="e">
        <f>+C15/C9</f>
        <v>#DIV/0!</v>
      </c>
      <c r="D16" s="204" t="e">
        <f t="shared" ref="D16:H16" si="8">+D15/D9</f>
        <v>#DIV/0!</v>
      </c>
      <c r="E16" s="204" t="e">
        <f t="shared" si="8"/>
        <v>#DIV/0!</v>
      </c>
      <c r="F16" s="204" t="e">
        <f t="shared" si="8"/>
        <v>#DIV/0!</v>
      </c>
      <c r="G16" s="204" t="e">
        <f t="shared" si="8"/>
        <v>#DIV/0!</v>
      </c>
      <c r="H16" s="204" t="e">
        <f t="shared" si="8"/>
        <v>#DIV/0!</v>
      </c>
      <c r="I16" s="204" t="e">
        <f t="shared" ref="I16" si="9">+I15/I9</f>
        <v>#DIV/0!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 t="e">
        <f>C6*C43+C18</f>
        <v>#DIV/0!</v>
      </c>
      <c r="D17" s="202" t="e">
        <f t="shared" ref="D17:H17" si="10">D6*D43+D18</f>
        <v>#DIV/0!</v>
      </c>
      <c r="E17" s="202" t="e">
        <f t="shared" si="10"/>
        <v>#DIV/0!</v>
      </c>
      <c r="F17" s="202" t="e">
        <f t="shared" si="10"/>
        <v>#DIV/0!</v>
      </c>
      <c r="G17" s="202" t="e">
        <f t="shared" si="10"/>
        <v>#DIV/0!</v>
      </c>
      <c r="H17" s="202" t="e">
        <f t="shared" si="10"/>
        <v>#DIV/0!</v>
      </c>
      <c r="I17" s="202" t="e">
        <f>SUM(C17:H17)</f>
        <v>#DIV/0!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06" t="e">
        <f>$I$18/$I$9*C9</f>
        <v>#DIV/0!</v>
      </c>
      <c r="D18" s="206" t="e">
        <f t="shared" ref="D18:H18" si="11">$I$18/$I$9*D9</f>
        <v>#DIV/0!</v>
      </c>
      <c r="E18" s="206" t="e">
        <f t="shared" si="11"/>
        <v>#DIV/0!</v>
      </c>
      <c r="F18" s="206" t="e">
        <f t="shared" si="11"/>
        <v>#DIV/0!</v>
      </c>
      <c r="G18" s="206" t="e">
        <f t="shared" si="11"/>
        <v>#DIV/0!</v>
      </c>
      <c r="H18" s="206" t="e">
        <f t="shared" si="11"/>
        <v>#DIV/0!</v>
      </c>
      <c r="I18" s="212">
        <f>项目投资!J26</f>
        <v>0</v>
      </c>
      <c r="J18" s="66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0</v>
      </c>
      <c r="D19" s="202">
        <f t="shared" ref="D19:H19" si="12">D6*D44</f>
        <v>0</v>
      </c>
      <c r="E19" s="202">
        <f t="shared" si="12"/>
        <v>0</v>
      </c>
      <c r="F19" s="202">
        <f t="shared" si="12"/>
        <v>0</v>
      </c>
      <c r="G19" s="202">
        <f t="shared" si="12"/>
        <v>0</v>
      </c>
      <c r="H19" s="202">
        <f t="shared" si="12"/>
        <v>0</v>
      </c>
      <c r="I19" s="202">
        <f>SUM(C19:H19)</f>
        <v>0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0</v>
      </c>
      <c r="D20" s="202">
        <f t="shared" ref="D20:H20" si="13">D6*D45</f>
        <v>0</v>
      </c>
      <c r="E20" s="202">
        <f t="shared" si="13"/>
        <v>0</v>
      </c>
      <c r="F20" s="202">
        <f t="shared" si="13"/>
        <v>0</v>
      </c>
      <c r="G20" s="202">
        <f t="shared" si="13"/>
        <v>0</v>
      </c>
      <c r="H20" s="202">
        <f t="shared" si="13"/>
        <v>0</v>
      </c>
      <c r="I20" s="202">
        <f>SUM(C20:H20)</f>
        <v>0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 t="e">
        <f t="shared" ref="C21:H21" si="14">$I$21/$I$6*C6</f>
        <v>#DIV/0!</v>
      </c>
      <c r="D21" s="207" t="e">
        <f t="shared" si="14"/>
        <v>#DIV/0!</v>
      </c>
      <c r="E21" s="207" t="e">
        <f t="shared" si="14"/>
        <v>#DIV/0!</v>
      </c>
      <c r="F21" s="207" t="e">
        <f t="shared" si="14"/>
        <v>#DIV/0!</v>
      </c>
      <c r="G21" s="207" t="e">
        <f t="shared" si="14"/>
        <v>#DIV/0!</v>
      </c>
      <c r="H21" s="207" t="e">
        <f t="shared" si="14"/>
        <v>#DIV/0!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0</v>
      </c>
      <c r="D22" s="202">
        <f t="shared" ref="D22:H22" si="15">D6*D47</f>
        <v>0</v>
      </c>
      <c r="E22" s="202">
        <f t="shared" si="15"/>
        <v>0</v>
      </c>
      <c r="F22" s="202">
        <f t="shared" si="15"/>
        <v>0</v>
      </c>
      <c r="G22" s="202">
        <f t="shared" si="15"/>
        <v>0</v>
      </c>
      <c r="H22" s="202">
        <f t="shared" si="15"/>
        <v>0</v>
      </c>
      <c r="I22" s="202">
        <f>SUM(C22:H22)</f>
        <v>0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 t="e">
        <f>+C22+C21+C20+C19+C17</f>
        <v>#DIV/0!</v>
      </c>
      <c r="D23" s="207" t="e">
        <f t="shared" ref="D23:H23" si="16">+D22+D21+D20+D19+D17</f>
        <v>#DIV/0!</v>
      </c>
      <c r="E23" s="207" t="e">
        <f t="shared" si="16"/>
        <v>#DIV/0!</v>
      </c>
      <c r="F23" s="207" t="e">
        <f t="shared" si="16"/>
        <v>#DIV/0!</v>
      </c>
      <c r="G23" s="207" t="e">
        <f t="shared" si="16"/>
        <v>#DIV/0!</v>
      </c>
      <c r="H23" s="207" t="e">
        <f t="shared" si="16"/>
        <v>#DIV/0!</v>
      </c>
      <c r="I23" s="207" t="e">
        <f t="shared" ref="I23" si="17">+I22+I21+I20+I19+I17</f>
        <v>#DIV/0!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 t="e">
        <f>+C15-C23</f>
        <v>#DIV/0!</v>
      </c>
      <c r="D24" s="207" t="e">
        <f t="shared" ref="D24:H24" si="18">+D15-D23</f>
        <v>#DIV/0!</v>
      </c>
      <c r="E24" s="207" t="e">
        <f t="shared" si="18"/>
        <v>#DIV/0!</v>
      </c>
      <c r="F24" s="207" t="e">
        <f t="shared" si="18"/>
        <v>#DIV/0!</v>
      </c>
      <c r="G24" s="207" t="e">
        <f t="shared" si="18"/>
        <v>#DIV/0!</v>
      </c>
      <c r="H24" s="207" t="e">
        <f t="shared" si="18"/>
        <v>#DIV/0!</v>
      </c>
      <c r="I24" s="207" t="e">
        <f t="shared" ref="I24" si="19">+I15-I23</f>
        <v>#DIV/0!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 t="e">
        <f>IF(C24&lt;0,0,C24*0.15)</f>
        <v>#DIV/0!</v>
      </c>
      <c r="D25" s="207" t="e">
        <f t="shared" ref="D25:I25" si="20">IF(D24&lt;0,0,D24*0.15)</f>
        <v>#DIV/0!</v>
      </c>
      <c r="E25" s="207" t="e">
        <f t="shared" si="20"/>
        <v>#DIV/0!</v>
      </c>
      <c r="F25" s="207" t="e">
        <f t="shared" si="20"/>
        <v>#DIV/0!</v>
      </c>
      <c r="G25" s="207" t="e">
        <f t="shared" si="20"/>
        <v>#DIV/0!</v>
      </c>
      <c r="H25" s="207" t="e">
        <f t="shared" si="20"/>
        <v>#DIV/0!</v>
      </c>
      <c r="I25" s="207" t="e">
        <f t="shared" si="20"/>
        <v>#DIV/0!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 t="e">
        <f t="shared" ref="C26:H26" si="21">C24-C25</f>
        <v>#DIV/0!</v>
      </c>
      <c r="D26" s="207" t="e">
        <f t="shared" si="21"/>
        <v>#DIV/0!</v>
      </c>
      <c r="E26" s="207" t="e">
        <f t="shared" si="21"/>
        <v>#DIV/0!</v>
      </c>
      <c r="F26" s="207" t="e">
        <f t="shared" si="21"/>
        <v>#DIV/0!</v>
      </c>
      <c r="G26" s="207" t="e">
        <f t="shared" si="21"/>
        <v>#DIV/0!</v>
      </c>
      <c r="H26" s="207" t="e">
        <f t="shared" si="21"/>
        <v>#DIV/0!</v>
      </c>
      <c r="I26" s="202" t="e">
        <f>+SUM(C26:H26)</f>
        <v>#DIV/0!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 t="e">
        <f t="shared" ref="C27:I27" si="22">C26/C7</f>
        <v>#DIV/0!</v>
      </c>
      <c r="D27" s="209" t="e">
        <f t="shared" ref="D27:H27" si="23">D26/D7</f>
        <v>#DIV/0!</v>
      </c>
      <c r="E27" s="209" t="e">
        <f t="shared" si="23"/>
        <v>#DIV/0!</v>
      </c>
      <c r="F27" s="209" t="e">
        <f t="shared" si="23"/>
        <v>#DIV/0!</v>
      </c>
      <c r="G27" s="209" t="e">
        <f t="shared" si="23"/>
        <v>#DIV/0!</v>
      </c>
      <c r="H27" s="209" t="e">
        <f t="shared" si="23"/>
        <v>#DIV/0!</v>
      </c>
      <c r="I27" s="209" t="e">
        <f t="shared" si="22"/>
        <v>#DIV/0!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 t="e">
        <f>C9/C6</f>
        <v>#DIV/0!</v>
      </c>
      <c r="D32" s="202" t="e">
        <f t="shared" ref="D32:H32" si="24">D9/D6</f>
        <v>#DIV/0!</v>
      </c>
      <c r="E32" s="202" t="e">
        <f t="shared" si="24"/>
        <v>#DIV/0!</v>
      </c>
      <c r="F32" s="202" t="e">
        <f t="shared" si="24"/>
        <v>#DIV/0!</v>
      </c>
      <c r="G32" s="202" t="e">
        <f t="shared" si="24"/>
        <v>#DIV/0!</v>
      </c>
      <c r="H32" s="202" t="e">
        <f t="shared" si="24"/>
        <v>#DIV/0!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材料成本!K19</f>
        <v>0</v>
      </c>
      <c r="D33" s="202">
        <f>材料成本!K20</f>
        <v>0</v>
      </c>
      <c r="E33" s="202">
        <f>材料成本!K21</f>
        <v>0</v>
      </c>
      <c r="F33" s="202">
        <f>材料成本!K22</f>
        <v>0</v>
      </c>
      <c r="G33" s="202">
        <f>材料成本!K23</f>
        <v>0</v>
      </c>
      <c r="H33" s="202">
        <f>材料成本!K24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 t="e">
        <f>C32-C33</f>
        <v>#DIV/0!</v>
      </c>
      <c r="D34" s="211" t="e">
        <f t="shared" ref="D34:H34" si="25">D32-D33</f>
        <v>#DIV/0!</v>
      </c>
      <c r="E34" s="211" t="e">
        <f t="shared" si="25"/>
        <v>#DIV/0!</v>
      </c>
      <c r="F34" s="211" t="e">
        <f t="shared" si="25"/>
        <v>#DIV/0!</v>
      </c>
      <c r="G34" s="211" t="e">
        <f t="shared" si="25"/>
        <v>#DIV/0!</v>
      </c>
      <c r="H34" s="211" t="e">
        <f t="shared" si="25"/>
        <v>#DIV/0!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'2026年'!C36</f>
        <v>34.1092860794682</v>
      </c>
      <c r="D36" s="212">
        <f>'2026年'!D36</f>
        <v>6.05109</v>
      </c>
      <c r="E36" s="212">
        <f>'2026年'!E36</f>
        <v>7.05872624616804</v>
      </c>
      <c r="F36" s="212">
        <f>'2026年'!F36</f>
        <v>0</v>
      </c>
      <c r="G36" s="212">
        <f>'2026年'!G36</f>
        <v>0</v>
      </c>
      <c r="H36" s="212">
        <f>'2026年'!H36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'2026年'!C37</f>
        <v>55.7571995638189</v>
      </c>
      <c r="D37" s="212">
        <f>'2026年'!D37</f>
        <v>9.891495</v>
      </c>
      <c r="E37" s="212">
        <f>'2026年'!E37</f>
        <v>11.5386410333246</v>
      </c>
      <c r="F37" s="212">
        <f>'2026年'!F37</f>
        <v>0</v>
      </c>
      <c r="G37" s="212">
        <f>'2026年'!G37</f>
        <v>0</v>
      </c>
      <c r="H37" s="212">
        <f>'2026年'!H37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'2026年'!C38</f>
        <v>122.77</v>
      </c>
      <c r="D38" s="212">
        <f>'2026年'!D38</f>
        <v>15.93</v>
      </c>
      <c r="E38" s="212">
        <f>'2026年'!E38</f>
        <v>26.46</v>
      </c>
      <c r="F38" s="212">
        <f>'2026年'!F38</f>
        <v>0</v>
      </c>
      <c r="G38" s="212">
        <f>'2026年'!G38</f>
        <v>0</v>
      </c>
      <c r="H38" s="212">
        <f>'2026年'!H38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 t="e">
        <f>C34-C36-C37-C38</f>
        <v>#DIV/0!</v>
      </c>
      <c r="D40" s="207" t="e">
        <f t="shared" ref="D40:H40" si="26">D34-D36-D37-D38</f>
        <v>#DIV/0!</v>
      </c>
      <c r="E40" s="207" t="e">
        <f t="shared" si="26"/>
        <v>#DIV/0!</v>
      </c>
      <c r="F40" s="207" t="e">
        <f t="shared" si="26"/>
        <v>#DIV/0!</v>
      </c>
      <c r="G40" s="207" t="e">
        <f t="shared" si="26"/>
        <v>#DIV/0!</v>
      </c>
      <c r="H40" s="207" t="e">
        <f t="shared" si="26"/>
        <v>#DIV/0!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'2026年'!C43</f>
        <v>21.6904437662454</v>
      </c>
      <c r="D43" s="212">
        <f>'2026年'!D43</f>
        <v>3.84795</v>
      </c>
      <c r="E43" s="212">
        <f>'2026年'!E43</f>
        <v>4.48871619145349</v>
      </c>
      <c r="F43" s="212">
        <f>'2026年'!F43</f>
        <v>0</v>
      </c>
      <c r="G43" s="212">
        <f>'2026年'!G43</f>
        <v>0</v>
      </c>
      <c r="H43" s="212">
        <f>'2026年'!H43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'2026年'!C44</f>
        <v>8.84629863407654</v>
      </c>
      <c r="D44" s="212">
        <f>'2026年'!D44</f>
        <v>1.56936</v>
      </c>
      <c r="E44" s="212">
        <f>'2026年'!E44</f>
        <v>1.83069209376927</v>
      </c>
      <c r="F44" s="212">
        <f>'2026年'!F44</f>
        <v>0</v>
      </c>
      <c r="G44" s="212">
        <f>'2026年'!G44</f>
        <v>0</v>
      </c>
      <c r="H44" s="212">
        <f>'2026年'!H44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'2026年'!C45</f>
        <v>9.90955568144151</v>
      </c>
      <c r="D45" s="212">
        <f>'2026年'!D45</f>
        <v>1.757985</v>
      </c>
      <c r="E45" s="212">
        <f>'2026年'!E45</f>
        <v>2.05072720119346</v>
      </c>
      <c r="F45" s="212">
        <f>'2026年'!F45</f>
        <v>0</v>
      </c>
      <c r="G45" s="212">
        <f>'2026年'!G45</f>
        <v>0</v>
      </c>
      <c r="H45" s="212">
        <f>'2026年'!H45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 t="e">
        <f>C21/C6</f>
        <v>#DIV/0!</v>
      </c>
      <c r="D46" s="213" t="e">
        <f t="shared" ref="D46:F46" si="27">D21/D6</f>
        <v>#DIV/0!</v>
      </c>
      <c r="E46" s="213" t="e">
        <f t="shared" si="27"/>
        <v>#DIV/0!</v>
      </c>
      <c r="F46" s="213" t="e">
        <f t="shared" si="27"/>
        <v>#DIV/0!</v>
      </c>
      <c r="G46" s="213" t="e">
        <f t="shared" ref="G46:H46" si="28">G21/G6</f>
        <v>#DIV/0!</v>
      </c>
      <c r="H46" s="213" t="e">
        <f t="shared" si="28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'2026年'!C47</f>
        <v>15.0982500725825</v>
      </c>
      <c r="D47" s="213">
        <f>'2026年'!D47</f>
        <v>2.678475</v>
      </c>
      <c r="E47" s="213">
        <f>'2026年'!E47</f>
        <v>3.12449852542351</v>
      </c>
      <c r="F47" s="213">
        <f>'2026年'!F47</f>
        <v>0</v>
      </c>
      <c r="G47" s="213">
        <f>'2026年'!G47</f>
        <v>0</v>
      </c>
      <c r="H47" s="213">
        <f>'2026年'!H47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 t="e">
        <f>C40-C43-C44-C45-C47-C46</f>
        <v>#DIV/0!</v>
      </c>
      <c r="D48" s="207" t="e">
        <f t="shared" ref="D48:F48" si="29">D40-D43-D44-D45-D47-D46</f>
        <v>#DIV/0!</v>
      </c>
      <c r="E48" s="207" t="e">
        <f t="shared" si="29"/>
        <v>#DIV/0!</v>
      </c>
      <c r="F48" s="207" t="e">
        <f t="shared" si="29"/>
        <v>#DIV/0!</v>
      </c>
      <c r="G48" s="207" t="e">
        <f t="shared" ref="G48" si="30">G40-G43-G44-G45-G47-G46</f>
        <v>#DIV/0!</v>
      </c>
      <c r="H48" s="207" t="e">
        <f t="shared" ref="H48" si="31">H40-H43-H44-H45-H47-H46</f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zoomScale="90" zoomScaleNormal="90" workbookViewId="0">
      <pane xSplit="6" ySplit="2" topLeftCell="G12" activePane="bottomRight" state="frozen"/>
      <selection/>
      <selection pane="topRight"/>
      <selection pane="bottomLeft"/>
      <selection pane="bottomRight" activeCell="B20" sqref="B20"/>
    </sheetView>
  </sheetViews>
  <sheetFormatPr defaultColWidth="9" defaultRowHeight="14.4"/>
  <cols>
    <col min="1" max="1" width="17.25" customWidth="1"/>
    <col min="2" max="2" width="15.8796296296296" style="139" customWidth="1"/>
    <col min="3" max="3" width="9.12962962962963" customWidth="1"/>
    <col min="4" max="6" width="14.5" customWidth="1"/>
    <col min="7" max="9" width="15.1296296296296" customWidth="1"/>
    <col min="10" max="10" width="15.75" customWidth="1"/>
    <col min="11" max="11" width="14.1296296296296" customWidth="1"/>
    <col min="12" max="12" width="10.8796296296296" customWidth="1"/>
  </cols>
  <sheetData>
    <row r="1" ht="20.4" spans="1:9">
      <c r="A1" s="140" t="s">
        <v>175</v>
      </c>
      <c r="B1" s="140"/>
      <c r="C1" s="140"/>
      <c r="E1" s="141" t="s">
        <v>176</v>
      </c>
      <c r="F1" s="142"/>
      <c r="G1" s="142"/>
      <c r="H1" s="143"/>
      <c r="I1" s="180"/>
    </row>
    <row r="2" ht="23.45" customHeight="1" spans="1:9">
      <c r="A2" s="144" t="s">
        <v>1</v>
      </c>
      <c r="B2" s="145" t="s">
        <v>177</v>
      </c>
      <c r="C2" s="146" t="s">
        <v>178</v>
      </c>
      <c r="E2" s="25" t="s">
        <v>179</v>
      </c>
      <c r="F2" s="25" t="s">
        <v>1</v>
      </c>
      <c r="G2" s="11" t="s">
        <v>180</v>
      </c>
      <c r="H2" s="25" t="s">
        <v>178</v>
      </c>
      <c r="I2" s="180"/>
    </row>
    <row r="3" ht="15.75" customHeight="1" spans="1:9">
      <c r="A3" s="147" t="s">
        <v>181</v>
      </c>
      <c r="B3" s="148"/>
      <c r="C3" s="149"/>
      <c r="E3" s="150" t="s">
        <v>182</v>
      </c>
      <c r="F3" s="151" t="s">
        <v>183</v>
      </c>
      <c r="G3" s="152"/>
      <c r="H3" s="153" t="s">
        <v>184</v>
      </c>
      <c r="I3" s="180"/>
    </row>
    <row r="4" ht="15.75" customHeight="1" spans="1:9">
      <c r="A4" s="147" t="s">
        <v>185</v>
      </c>
      <c r="B4" s="148"/>
      <c r="C4" s="154"/>
      <c r="E4" s="155"/>
      <c r="F4" s="151" t="s">
        <v>186</v>
      </c>
      <c r="G4" s="152"/>
      <c r="H4" s="156"/>
      <c r="I4" s="180"/>
    </row>
    <row r="5" ht="15.75" customHeight="1" spans="1:9">
      <c r="A5" s="147" t="s">
        <v>187</v>
      </c>
      <c r="B5" s="157">
        <f>SUM(G3:G4)</f>
        <v>0</v>
      </c>
      <c r="C5" s="149"/>
      <c r="E5" s="158" t="s">
        <v>188</v>
      </c>
      <c r="F5" s="159" t="s">
        <v>189</v>
      </c>
      <c r="G5" s="160">
        <v>915.6</v>
      </c>
      <c r="H5" s="156"/>
      <c r="I5" s="180"/>
    </row>
    <row r="6" ht="15.75" customHeight="1" spans="1:9">
      <c r="A6" s="147" t="s">
        <v>190</v>
      </c>
      <c r="B6" s="148"/>
      <c r="C6" s="149"/>
      <c r="E6" s="161"/>
      <c r="F6" s="162" t="s">
        <v>191</v>
      </c>
      <c r="G6" s="160"/>
      <c r="H6" s="156"/>
      <c r="I6" s="180"/>
    </row>
    <row r="7" ht="15.75" customHeight="1" spans="1:9">
      <c r="A7" s="163" t="s">
        <v>192</v>
      </c>
      <c r="B7" s="157">
        <f>SUM(B3:B6)</f>
        <v>0</v>
      </c>
      <c r="C7" s="149"/>
      <c r="E7" s="161"/>
      <c r="F7" s="162" t="s">
        <v>193</v>
      </c>
      <c r="G7" s="160"/>
      <c r="H7" s="156"/>
      <c r="I7" s="180"/>
    </row>
    <row r="8" ht="15.75" customHeight="1" spans="1:9">
      <c r="A8" s="164" t="s">
        <v>194</v>
      </c>
      <c r="B8" s="157">
        <f>SUM(G5:G12)</f>
        <v>1035.2</v>
      </c>
      <c r="C8" s="165"/>
      <c r="E8" s="161"/>
      <c r="F8" s="162" t="s">
        <v>195</v>
      </c>
      <c r="G8" s="160"/>
      <c r="H8" s="156"/>
      <c r="I8" s="180"/>
    </row>
    <row r="9" ht="15.75" customHeight="1" spans="1:9">
      <c r="A9" s="147" t="s">
        <v>196</v>
      </c>
      <c r="B9" s="157">
        <f>SUM(G13:G21)</f>
        <v>77.43</v>
      </c>
      <c r="C9" s="154"/>
      <c r="E9" s="161"/>
      <c r="F9" s="151" t="s">
        <v>197</v>
      </c>
      <c r="G9" s="160"/>
      <c r="H9" s="156"/>
      <c r="I9" s="180"/>
    </row>
    <row r="10" ht="15.75" customHeight="1" spans="1:9">
      <c r="A10" s="154" t="s">
        <v>159</v>
      </c>
      <c r="B10" s="157">
        <f>B7+B8+B9</f>
        <v>1112.63</v>
      </c>
      <c r="C10" s="149"/>
      <c r="E10" s="161"/>
      <c r="F10" s="151" t="s">
        <v>198</v>
      </c>
      <c r="G10" s="166">
        <v>66.9</v>
      </c>
      <c r="H10" s="156"/>
      <c r="I10" s="180"/>
    </row>
    <row r="11" ht="15.75" customHeight="1" spans="2:9">
      <c r="B11" s="167" t="s">
        <v>199</v>
      </c>
      <c r="E11" s="161"/>
      <c r="F11" s="151" t="s">
        <v>200</v>
      </c>
      <c r="G11" s="166">
        <v>52.7</v>
      </c>
      <c r="H11" s="156"/>
      <c r="I11" s="180"/>
    </row>
    <row r="12" ht="15.75" customHeight="1" spans="5:9">
      <c r="E12" s="168"/>
      <c r="F12" s="151" t="s">
        <v>201</v>
      </c>
      <c r="G12" s="169"/>
      <c r="H12" s="170"/>
      <c r="I12" s="180"/>
    </row>
    <row r="13" ht="15.75" customHeight="1" spans="5:9">
      <c r="E13" s="150" t="s">
        <v>64</v>
      </c>
      <c r="F13" s="151" t="s">
        <v>202</v>
      </c>
      <c r="G13" s="160"/>
      <c r="H13" s="153" t="s">
        <v>203</v>
      </c>
      <c r="I13" s="180"/>
    </row>
    <row r="14" ht="15.75" customHeight="1" spans="5:9">
      <c r="E14" s="155"/>
      <c r="F14" s="151" t="s">
        <v>204</v>
      </c>
      <c r="G14" s="160">
        <v>5</v>
      </c>
      <c r="H14" s="156"/>
      <c r="I14" s="181"/>
    </row>
    <row r="15" ht="15.75" customHeight="1" spans="5:9">
      <c r="E15" s="155"/>
      <c r="F15" s="151" t="s">
        <v>205</v>
      </c>
      <c r="G15" s="160"/>
      <c r="H15" s="156"/>
      <c r="I15" s="181"/>
    </row>
    <row r="16" ht="15.75" customHeight="1" spans="5:9">
      <c r="E16" s="155"/>
      <c r="F16" s="151" t="s">
        <v>206</v>
      </c>
      <c r="G16" s="160"/>
      <c r="H16" s="156"/>
      <c r="I16" s="181"/>
    </row>
    <row r="17" ht="15.75" customHeight="1" spans="5:9">
      <c r="E17" s="155"/>
      <c r="F17" s="151" t="s">
        <v>207</v>
      </c>
      <c r="G17" s="160"/>
      <c r="H17" s="156"/>
      <c r="I17" s="182"/>
    </row>
    <row r="18" ht="15.75" customHeight="1" spans="5:9">
      <c r="E18" s="155"/>
      <c r="F18" s="151" t="s">
        <v>208</v>
      </c>
      <c r="G18" s="160">
        <v>3</v>
      </c>
      <c r="H18" s="156"/>
      <c r="I18" s="183"/>
    </row>
    <row r="19" ht="15.75" customHeight="1" spans="5:9">
      <c r="E19" s="155"/>
      <c r="F19" s="151" t="s">
        <v>209</v>
      </c>
      <c r="G19" s="160">
        <v>69.43</v>
      </c>
      <c r="H19" s="156"/>
      <c r="I19" s="183"/>
    </row>
    <row r="20" ht="15.75" customHeight="1" spans="5:9">
      <c r="E20" s="155"/>
      <c r="F20" s="151" t="s">
        <v>210</v>
      </c>
      <c r="G20" s="160"/>
      <c r="H20" s="156"/>
      <c r="I20" s="181"/>
    </row>
    <row r="21" ht="15.75" customHeight="1" spans="5:9">
      <c r="E21" s="171"/>
      <c r="F21" s="151" t="s">
        <v>142</v>
      </c>
      <c r="G21" s="160"/>
      <c r="H21" s="156"/>
      <c r="I21" s="181"/>
    </row>
    <row r="22" ht="15.75" customHeight="1" spans="5:9">
      <c r="E22" s="25" t="s">
        <v>159</v>
      </c>
      <c r="F22" s="151"/>
      <c r="G22" s="11">
        <f>SUM(G3:G21)</f>
        <v>1112.63</v>
      </c>
      <c r="H22" s="170"/>
      <c r="I22" s="184" t="s">
        <v>211</v>
      </c>
    </row>
    <row r="23" ht="30.75" customHeight="1" spans="5:9">
      <c r="E23" s="172" t="s">
        <v>212</v>
      </c>
      <c r="F23" s="172"/>
      <c r="G23" s="172"/>
      <c r="H23" s="172"/>
      <c r="I23" s="185">
        <v>45981</v>
      </c>
    </row>
    <row r="25" ht="17.4" spans="1:12">
      <c r="A25" s="100" t="s">
        <v>1</v>
      </c>
      <c r="B25" s="100" t="s">
        <v>177</v>
      </c>
      <c r="C25" s="100" t="s">
        <v>213</v>
      </c>
      <c r="D25" s="173" t="s">
        <v>214</v>
      </c>
      <c r="E25" s="173" t="s">
        <v>215</v>
      </c>
      <c r="F25" s="173" t="s">
        <v>216</v>
      </c>
      <c r="G25" s="173" t="s">
        <v>217</v>
      </c>
      <c r="H25" s="173" t="s">
        <v>218</v>
      </c>
      <c r="I25" s="173" t="s">
        <v>219</v>
      </c>
      <c r="J25" s="173" t="s">
        <v>220</v>
      </c>
      <c r="K25" s="173" t="s">
        <v>159</v>
      </c>
      <c r="L25" s="186" t="s">
        <v>221</v>
      </c>
    </row>
    <row r="26" ht="16.2" spans="1:12">
      <c r="A26" s="174" t="s">
        <v>164</v>
      </c>
      <c r="B26" s="175"/>
      <c r="C26" s="176">
        <v>0.05</v>
      </c>
      <c r="D26" s="97">
        <f>B26*(1-C26)/3</f>
        <v>0</v>
      </c>
      <c r="E26" s="97">
        <f>D26</f>
        <v>0</v>
      </c>
      <c r="F26" s="97">
        <f>E26</f>
        <v>0</v>
      </c>
      <c r="G26" s="97"/>
      <c r="H26" s="97"/>
      <c r="I26" s="97"/>
      <c r="J26" s="97">
        <f>I26</f>
        <v>0</v>
      </c>
      <c r="K26" s="97">
        <f>SUM(D26:J26)</f>
        <v>0</v>
      </c>
      <c r="L26" s="97">
        <f>B26*0.05</f>
        <v>0</v>
      </c>
    </row>
    <row r="27" ht="16.2" spans="1:12">
      <c r="A27" s="174" t="s">
        <v>222</v>
      </c>
      <c r="B27" s="175"/>
      <c r="C27" s="97"/>
      <c r="D27" s="97">
        <f>B27/3</f>
        <v>0</v>
      </c>
      <c r="E27" s="97">
        <f t="shared" ref="E27:J27" si="0">D27</f>
        <v>0</v>
      </c>
      <c r="F27" s="97">
        <f t="shared" si="0"/>
        <v>0</v>
      </c>
      <c r="G27" s="97"/>
      <c r="H27" s="97">
        <f t="shared" si="0"/>
        <v>0</v>
      </c>
      <c r="I27" s="97">
        <f t="shared" si="0"/>
        <v>0</v>
      </c>
      <c r="J27" s="97">
        <f t="shared" si="0"/>
        <v>0</v>
      </c>
      <c r="K27" s="97">
        <f>SUM(D27:J27)</f>
        <v>0</v>
      </c>
      <c r="L27" s="97"/>
    </row>
    <row r="28" ht="16.2" spans="1:12">
      <c r="A28" s="177" t="s">
        <v>123</v>
      </c>
      <c r="B28" s="178"/>
      <c r="C28" s="179"/>
      <c r="D28" s="97">
        <f>SUM(D26:D27)</f>
        <v>0</v>
      </c>
      <c r="E28" s="97">
        <f t="shared" ref="E28:J28" si="1">SUM(E26:E27)</f>
        <v>0</v>
      </c>
      <c r="F28" s="97">
        <f t="shared" si="1"/>
        <v>0</v>
      </c>
      <c r="G28" s="97">
        <f t="shared" si="1"/>
        <v>0</v>
      </c>
      <c r="H28" s="97">
        <f t="shared" si="1"/>
        <v>0</v>
      </c>
      <c r="I28" s="97">
        <f t="shared" si="1"/>
        <v>0</v>
      </c>
      <c r="J28" s="97">
        <f t="shared" si="1"/>
        <v>0</v>
      </c>
      <c r="K28" s="187"/>
      <c r="L28" s="187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80" zoomScaleNormal="80" workbookViewId="0">
      <selection activeCell="M9" sqref="M9"/>
    </sheetView>
  </sheetViews>
  <sheetFormatPr defaultColWidth="9" defaultRowHeight="15.6"/>
  <cols>
    <col min="1" max="1" width="14" style="77" customWidth="1"/>
    <col min="2" max="2" width="14.1296296296296" style="77" customWidth="1"/>
    <col min="3" max="9" width="18.25" style="77" customWidth="1"/>
    <col min="10" max="10" width="11.6296296296296" style="77" customWidth="1"/>
    <col min="11" max="11" width="1.75" style="77" customWidth="1"/>
    <col min="12" max="12" width="9.12962962962963" style="77" customWidth="1"/>
    <col min="13" max="16384" width="9" style="77"/>
  </cols>
  <sheetData>
    <row r="1" ht="29.25" customHeight="1" spans="1:10">
      <c r="A1" s="116" t="s">
        <v>223</v>
      </c>
      <c r="E1" s="117"/>
      <c r="F1" s="117"/>
      <c r="G1" s="117"/>
      <c r="H1" s="117"/>
      <c r="I1" s="117"/>
      <c r="J1" s="117"/>
    </row>
    <row r="2" ht="24" customHeight="1" spans="1:10">
      <c r="A2" s="118" t="s">
        <v>224</v>
      </c>
      <c r="E2" s="117"/>
      <c r="F2" s="117"/>
      <c r="G2" s="117"/>
      <c r="H2" s="117"/>
      <c r="I2" s="117"/>
      <c r="J2" s="117"/>
    </row>
    <row r="3" spans="3:5">
      <c r="C3" s="77" t="s">
        <v>225</v>
      </c>
      <c r="D3" s="119" t="s">
        <v>226</v>
      </c>
      <c r="E3" s="120">
        <v>0.01</v>
      </c>
    </row>
    <row r="5" ht="45" customHeight="1" spans="1:10">
      <c r="A5" s="100" t="s">
        <v>227</v>
      </c>
      <c r="B5" s="83" t="s">
        <v>158</v>
      </c>
      <c r="C5" s="102" t="s">
        <v>228</v>
      </c>
      <c r="D5" s="102" t="s">
        <v>229</v>
      </c>
      <c r="E5" s="102" t="s">
        <v>230</v>
      </c>
      <c r="F5" s="106"/>
      <c r="G5" s="106"/>
      <c r="H5" s="106"/>
      <c r="I5" s="113"/>
      <c r="J5" s="129" t="s">
        <v>159</v>
      </c>
    </row>
    <row r="6" ht="31.5" customHeight="1" spans="1:12">
      <c r="A6" s="100"/>
      <c r="B6" s="83" t="s">
        <v>160</v>
      </c>
      <c r="C6" s="20">
        <v>22286155</v>
      </c>
      <c r="D6" s="20">
        <v>84099794</v>
      </c>
      <c r="E6" s="20">
        <v>21151129</v>
      </c>
      <c r="F6" s="121"/>
      <c r="G6" s="122"/>
      <c r="H6" s="122"/>
      <c r="I6" s="132"/>
      <c r="J6" s="129"/>
      <c r="L6" s="77">
        <v>100</v>
      </c>
    </row>
    <row r="7" ht="36.6" customHeight="1" spans="1:13">
      <c r="A7" s="100"/>
      <c r="B7" s="123" t="s">
        <v>231</v>
      </c>
      <c r="C7" s="20" t="s">
        <v>232</v>
      </c>
      <c r="D7" s="20" t="s">
        <v>233</v>
      </c>
      <c r="E7" s="20" t="s">
        <v>233</v>
      </c>
      <c r="F7" s="124"/>
      <c r="G7" s="124"/>
      <c r="H7" s="124"/>
      <c r="I7" s="132"/>
      <c r="J7" s="129"/>
      <c r="L7" s="77">
        <f>L6*(1-$E$3)</f>
        <v>99</v>
      </c>
      <c r="M7" s="77">
        <f>L7/$L$6</f>
        <v>0.99</v>
      </c>
    </row>
    <row r="8" ht="31.2" spans="1:13">
      <c r="A8" s="100"/>
      <c r="B8" s="123" t="s">
        <v>234</v>
      </c>
      <c r="C8" s="125">
        <v>548.072818945987</v>
      </c>
      <c r="D8" s="125">
        <v>91.38</v>
      </c>
      <c r="E8" s="125">
        <v>114.474042969676</v>
      </c>
      <c r="F8" s="126"/>
      <c r="G8" s="126"/>
      <c r="H8" s="126"/>
      <c r="I8" s="133"/>
      <c r="J8" s="134"/>
      <c r="L8" s="77">
        <f>L7*(1-$E$3)</f>
        <v>98.01</v>
      </c>
      <c r="M8" s="77">
        <f t="shared" ref="M8:M11" si="0">L8/$L$6</f>
        <v>0.9801</v>
      </c>
    </row>
    <row r="9" ht="17.4" spans="1:13">
      <c r="A9" s="100" t="s">
        <v>235</v>
      </c>
      <c r="B9" s="100" t="s">
        <v>215</v>
      </c>
      <c r="C9" s="127">
        <v>30000</v>
      </c>
      <c r="D9" s="127">
        <v>15000</v>
      </c>
      <c r="E9" s="127">
        <v>15000</v>
      </c>
      <c r="F9" s="127"/>
      <c r="G9" s="127"/>
      <c r="H9" s="127"/>
      <c r="I9" s="135"/>
      <c r="J9" s="136">
        <f>SUM(C9:I9)</f>
        <v>60000</v>
      </c>
      <c r="L9" s="77">
        <f t="shared" ref="L9" si="1">L8*(1-$E$3)</f>
        <v>97.0299</v>
      </c>
      <c r="M9" s="77">
        <f t="shared" si="0"/>
        <v>0.970299</v>
      </c>
    </row>
    <row r="10" ht="17.4" spans="1:13">
      <c r="A10" s="100"/>
      <c r="B10" s="100" t="s">
        <v>216</v>
      </c>
      <c r="C10" s="127">
        <v>30000</v>
      </c>
      <c r="D10" s="127">
        <v>15000</v>
      </c>
      <c r="E10" s="127">
        <v>15000</v>
      </c>
      <c r="F10" s="127"/>
      <c r="G10" s="127"/>
      <c r="H10" s="127"/>
      <c r="I10" s="128"/>
      <c r="J10" s="136">
        <f t="shared" ref="J10:J15" si="2">SUM(C10:I10)</f>
        <v>60000</v>
      </c>
      <c r="L10" s="137">
        <f>L9</f>
        <v>97.0299</v>
      </c>
      <c r="M10" s="137">
        <f t="shared" si="0"/>
        <v>0.970299</v>
      </c>
    </row>
    <row r="11" ht="17.4" spans="1:13">
      <c r="A11" s="100"/>
      <c r="B11" s="100" t="s">
        <v>217</v>
      </c>
      <c r="C11" s="127">
        <v>30000</v>
      </c>
      <c r="D11" s="127">
        <v>15000</v>
      </c>
      <c r="E11" s="127">
        <v>15000</v>
      </c>
      <c r="F11" s="127"/>
      <c r="G11" s="127"/>
      <c r="H11" s="127"/>
      <c r="I11" s="128"/>
      <c r="J11" s="136">
        <f t="shared" si="2"/>
        <v>60000</v>
      </c>
      <c r="L11" s="137">
        <f>L10</f>
        <v>97.0299</v>
      </c>
      <c r="M11" s="137">
        <f t="shared" si="0"/>
        <v>0.970299</v>
      </c>
    </row>
    <row r="12" ht="17.4" spans="1:10">
      <c r="A12" s="100"/>
      <c r="B12" s="100" t="s">
        <v>218</v>
      </c>
      <c r="C12" s="127">
        <v>30000</v>
      </c>
      <c r="D12" s="127">
        <v>15000</v>
      </c>
      <c r="E12" s="127">
        <v>15000</v>
      </c>
      <c r="F12" s="127"/>
      <c r="G12" s="127"/>
      <c r="H12" s="127"/>
      <c r="I12" s="128"/>
      <c r="J12" s="136">
        <f t="shared" si="2"/>
        <v>60000</v>
      </c>
    </row>
    <row r="13" ht="17.4" spans="1:10">
      <c r="A13" s="100"/>
      <c r="B13" s="100" t="s">
        <v>219</v>
      </c>
      <c r="C13" s="127">
        <v>30000</v>
      </c>
      <c r="D13" s="127">
        <v>15000</v>
      </c>
      <c r="E13" s="127">
        <v>15000</v>
      </c>
      <c r="F13" s="127"/>
      <c r="G13" s="127"/>
      <c r="H13" s="127"/>
      <c r="I13" s="128"/>
      <c r="J13" s="136">
        <f t="shared" si="2"/>
        <v>60000</v>
      </c>
    </row>
    <row r="14" spans="1:10">
      <c r="A14" s="100"/>
      <c r="B14" s="100" t="s">
        <v>220</v>
      </c>
      <c r="C14" s="128"/>
      <c r="D14" s="128"/>
      <c r="E14" s="128"/>
      <c r="F14" s="128"/>
      <c r="G14" s="128"/>
      <c r="H14" s="128"/>
      <c r="I14" s="128"/>
      <c r="J14" s="136">
        <f t="shared" si="2"/>
        <v>0</v>
      </c>
    </row>
    <row r="15" spans="1:10">
      <c r="A15" s="100"/>
      <c r="B15" s="100" t="s">
        <v>236</v>
      </c>
      <c r="C15" s="128"/>
      <c r="D15" s="128"/>
      <c r="E15" s="128"/>
      <c r="F15" s="128"/>
      <c r="G15" s="128"/>
      <c r="H15" s="128"/>
      <c r="I15" s="128"/>
      <c r="J15" s="136">
        <f t="shared" si="2"/>
        <v>0</v>
      </c>
    </row>
    <row r="16" spans="1:10">
      <c r="A16" s="129" t="s">
        <v>159</v>
      </c>
      <c r="B16" s="129"/>
      <c r="C16" s="130">
        <f t="shared" ref="C16:J16" si="3">SUM(C9:C15)</f>
        <v>150000</v>
      </c>
      <c r="D16" s="130">
        <f t="shared" si="3"/>
        <v>75000</v>
      </c>
      <c r="E16" s="130">
        <f t="shared" si="3"/>
        <v>75000</v>
      </c>
      <c r="F16" s="130">
        <f t="shared" si="3"/>
        <v>0</v>
      </c>
      <c r="G16" s="130">
        <f t="shared" si="3"/>
        <v>0</v>
      </c>
      <c r="H16" s="130">
        <f t="shared" si="3"/>
        <v>0</v>
      </c>
      <c r="I16" s="130">
        <f t="shared" si="3"/>
        <v>0</v>
      </c>
      <c r="J16" s="138">
        <f t="shared" si="3"/>
        <v>300000</v>
      </c>
    </row>
    <row r="17" spans="1:3">
      <c r="A17" s="131"/>
      <c r="B17" s="131"/>
      <c r="C17" s="131"/>
    </row>
  </sheetData>
  <mergeCells count="4">
    <mergeCell ref="A16:B16"/>
    <mergeCell ref="A5:A8"/>
    <mergeCell ref="A9:A15"/>
    <mergeCell ref="J5:J8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5.6"/>
  <cols>
    <col min="1" max="1" width="8.37962962962963" style="77" customWidth="1"/>
    <col min="2" max="2" width="8.87962962962963" style="77" customWidth="1"/>
    <col min="3" max="3" width="14" style="77" customWidth="1"/>
    <col min="4" max="4" width="15.1296296296296" style="77" customWidth="1"/>
    <col min="5" max="6" width="12.1296296296296" style="77" customWidth="1"/>
    <col min="7" max="9" width="13.1296296296296" style="77" customWidth="1"/>
    <col min="10" max="10" width="10.6296296296296" style="77" customWidth="1"/>
    <col min="11" max="11" width="11.75" style="77" customWidth="1"/>
    <col min="12" max="16384" width="9" style="77"/>
  </cols>
  <sheetData>
    <row r="1" s="76" customFormat="1" ht="28.5" customHeight="1" spans="1:11">
      <c r="A1" s="78" t="s">
        <v>7</v>
      </c>
      <c r="B1" s="78"/>
      <c r="C1" s="78"/>
      <c r="K1" s="107"/>
    </row>
    <row r="2" ht="16.2" spans="1:11">
      <c r="A2" s="79" t="s">
        <v>237</v>
      </c>
      <c r="B2" s="79"/>
      <c r="C2" s="80"/>
      <c r="D2" s="80"/>
      <c r="E2" s="81" t="s">
        <v>238</v>
      </c>
      <c r="F2" s="82"/>
      <c r="G2" s="82"/>
      <c r="H2" s="82"/>
      <c r="I2" s="82"/>
      <c r="J2" s="82"/>
      <c r="K2" s="82"/>
    </row>
    <row r="3" ht="16.2" spans="1:11">
      <c r="A3" s="83" t="s">
        <v>21</v>
      </c>
      <c r="B3" s="83" t="s">
        <v>239</v>
      </c>
      <c r="C3" s="83" t="s">
        <v>240</v>
      </c>
      <c r="D3" s="84" t="s">
        <v>241</v>
      </c>
      <c r="E3" s="84"/>
      <c r="F3" s="83" t="s">
        <v>242</v>
      </c>
      <c r="G3" s="85" t="s">
        <v>243</v>
      </c>
      <c r="H3" s="86"/>
      <c r="I3" s="108"/>
      <c r="J3" s="84"/>
      <c r="K3" s="109" t="s">
        <v>178</v>
      </c>
    </row>
    <row r="4" ht="27.75" customHeight="1" spans="1:11">
      <c r="A4" s="83"/>
      <c r="B4" s="83"/>
      <c r="C4" s="83" t="s">
        <v>158</v>
      </c>
      <c r="D4" s="87" t="str">
        <f>销量!C5</f>
        <v>主镜</v>
      </c>
      <c r="E4" s="87" t="str">
        <f>销量!D5</f>
        <v>补盲镜</v>
      </c>
      <c r="F4" s="87" t="str">
        <f>销量!E5</f>
        <v>前下镜</v>
      </c>
      <c r="G4" s="87">
        <f>销量!F5</f>
        <v>0</v>
      </c>
      <c r="H4" s="87">
        <f>销量!G5</f>
        <v>0</v>
      </c>
      <c r="I4" s="87">
        <f>销量!H5</f>
        <v>0</v>
      </c>
      <c r="J4" s="87"/>
      <c r="K4" s="110"/>
    </row>
    <row r="5" ht="16.2" spans="1:11">
      <c r="A5" s="83"/>
      <c r="B5" s="83"/>
      <c r="C5" s="83" t="s">
        <v>160</v>
      </c>
      <c r="D5" s="87">
        <f>销量!C6</f>
        <v>22286155</v>
      </c>
      <c r="E5" s="87">
        <f>销量!D6</f>
        <v>84099794</v>
      </c>
      <c r="F5" s="87">
        <f>销量!E6</f>
        <v>21151129</v>
      </c>
      <c r="G5" s="87">
        <f>销量!F6</f>
        <v>0</v>
      </c>
      <c r="H5" s="87">
        <f>销量!G6</f>
        <v>0</v>
      </c>
      <c r="I5" s="87">
        <f>销量!H6</f>
        <v>0</v>
      </c>
      <c r="J5" s="87">
        <f>销量!I6</f>
        <v>0</v>
      </c>
      <c r="K5" s="111"/>
    </row>
    <row r="6" ht="16.5" customHeight="1" spans="1:11">
      <c r="A6" s="88">
        <v>1</v>
      </c>
      <c r="B6" s="89" t="s">
        <v>7</v>
      </c>
      <c r="C6" s="90"/>
      <c r="D6" s="91">
        <v>266.768819587629</v>
      </c>
      <c r="E6" s="91">
        <v>60.6349</v>
      </c>
      <c r="F6" s="91">
        <v>54.7893791340206</v>
      </c>
      <c r="G6" s="91"/>
      <c r="H6" s="91"/>
      <c r="I6" s="91"/>
      <c r="J6" s="93"/>
      <c r="K6" s="112"/>
    </row>
    <row r="7" ht="16.5" customHeight="1" spans="1:11">
      <c r="A7" s="88">
        <v>2</v>
      </c>
      <c r="B7" s="89"/>
      <c r="C7" s="90"/>
      <c r="D7" s="92"/>
      <c r="E7" s="92"/>
      <c r="F7" s="92"/>
      <c r="G7" s="92"/>
      <c r="H7" s="92"/>
      <c r="I7" s="92"/>
      <c r="J7" s="92"/>
      <c r="K7" s="113"/>
    </row>
    <row r="8" ht="16.5" customHeight="1" spans="1:11">
      <c r="A8" s="88">
        <v>3</v>
      </c>
      <c r="B8" s="89"/>
      <c r="C8" s="90"/>
      <c r="D8" s="93"/>
      <c r="E8" s="92"/>
      <c r="F8" s="93"/>
      <c r="G8" s="92"/>
      <c r="H8" s="93"/>
      <c r="I8" s="93"/>
      <c r="J8" s="93"/>
      <c r="K8" s="113"/>
    </row>
    <row r="9" spans="1:11">
      <c r="A9" s="88">
        <v>4</v>
      </c>
      <c r="B9" s="89"/>
      <c r="C9" s="90"/>
      <c r="D9" s="93"/>
      <c r="E9" s="93"/>
      <c r="F9" s="93"/>
      <c r="G9" s="93"/>
      <c r="H9" s="92"/>
      <c r="I9" s="92"/>
      <c r="J9" s="92"/>
      <c r="K9" s="113"/>
    </row>
    <row r="10" spans="1:11">
      <c r="A10" s="88">
        <v>5</v>
      </c>
      <c r="B10" s="89"/>
      <c r="C10" s="90"/>
      <c r="D10" s="92"/>
      <c r="E10" s="92"/>
      <c r="F10" s="92"/>
      <c r="G10" s="92"/>
      <c r="H10" s="92"/>
      <c r="I10" s="92"/>
      <c r="J10" s="92"/>
      <c r="K10" s="113"/>
    </row>
    <row r="11" ht="31.5" customHeight="1" spans="1:11">
      <c r="A11" s="94" t="s">
        <v>244</v>
      </c>
      <c r="B11" s="95"/>
      <c r="C11" s="96"/>
      <c r="D11" s="97">
        <f t="shared" ref="D11:J11" si="0">SUM(D6:D10)</f>
        <v>266.768819587629</v>
      </c>
      <c r="E11" s="97">
        <f t="shared" si="0"/>
        <v>60.6349</v>
      </c>
      <c r="F11" s="97">
        <f t="shared" si="0"/>
        <v>54.7893791340206</v>
      </c>
      <c r="G11" s="97">
        <f t="shared" si="0"/>
        <v>0</v>
      </c>
      <c r="H11" s="97">
        <f t="shared" si="0"/>
        <v>0</v>
      </c>
      <c r="I11" s="97">
        <f t="shared" si="0"/>
        <v>0</v>
      </c>
      <c r="J11" s="97">
        <f t="shared" si="0"/>
        <v>0</v>
      </c>
      <c r="K11" s="113"/>
    </row>
    <row r="12" spans="4:5">
      <c r="D12" s="98"/>
      <c r="E12" s="98"/>
    </row>
    <row r="16" ht="27.75" customHeight="1" spans="4:10">
      <c r="D16" s="99" t="s">
        <v>245</v>
      </c>
      <c r="E16" s="99"/>
      <c r="F16" s="99"/>
      <c r="G16" s="99"/>
      <c r="H16" s="99"/>
      <c r="I16" s="99"/>
      <c r="J16" s="99"/>
    </row>
    <row r="17" spans="4:11">
      <c r="D17" s="100" t="s">
        <v>158</v>
      </c>
      <c r="E17" s="101" t="s">
        <v>7</v>
      </c>
      <c r="F17" s="101"/>
      <c r="G17" s="101"/>
      <c r="H17" s="101"/>
      <c r="I17" s="101"/>
      <c r="J17" s="101"/>
      <c r="K17" s="113"/>
    </row>
    <row r="18" spans="4:11">
      <c r="D18" s="100"/>
      <c r="E18" s="100" t="s">
        <v>215</v>
      </c>
      <c r="F18" s="100" t="s">
        <v>216</v>
      </c>
      <c r="G18" s="100" t="s">
        <v>217</v>
      </c>
      <c r="H18" s="100" t="s">
        <v>218</v>
      </c>
      <c r="I18" s="100" t="s">
        <v>219</v>
      </c>
      <c r="J18" s="100" t="s">
        <v>220</v>
      </c>
      <c r="K18" s="100" t="s">
        <v>236</v>
      </c>
    </row>
    <row r="19" ht="15.75" customHeight="1" spans="4:11">
      <c r="D19" s="102" t="str">
        <f>D4</f>
        <v>主镜</v>
      </c>
      <c r="E19" s="103">
        <f>D11</f>
        <v>266.768819587629</v>
      </c>
      <c r="F19" s="104">
        <f>E19*销量!$M$7</f>
        <v>264.101131391753</v>
      </c>
      <c r="G19" s="104">
        <f>F19*销量!$M$7</f>
        <v>261.460120077835</v>
      </c>
      <c r="H19" s="104">
        <f>G19*销量!$M$7</f>
        <v>258.845518877057</v>
      </c>
      <c r="I19" s="114">
        <f>H19</f>
        <v>258.845518877057</v>
      </c>
      <c r="J19" s="104"/>
      <c r="K19" s="115"/>
    </row>
    <row r="20" ht="15.75" customHeight="1" spans="4:11">
      <c r="D20" s="102" t="str">
        <f>E4</f>
        <v>补盲镜</v>
      </c>
      <c r="E20" s="105">
        <f>E11</f>
        <v>60.6349</v>
      </c>
      <c r="F20" s="104">
        <f>E20*销量!$M$7</f>
        <v>60.028551</v>
      </c>
      <c r="G20" s="104">
        <f>F20*销量!$M$7</f>
        <v>59.42826549</v>
      </c>
      <c r="H20" s="104">
        <f>G20*销量!$M$7</f>
        <v>58.8339828351</v>
      </c>
      <c r="I20" s="114">
        <f t="shared" ref="I20:I25" si="1">H20</f>
        <v>58.8339828351</v>
      </c>
      <c r="J20" s="104"/>
      <c r="K20" s="115"/>
    </row>
    <row r="21" ht="15.75" customHeight="1" spans="4:11">
      <c r="D21" s="102" t="str">
        <f>F4</f>
        <v>前下镜</v>
      </c>
      <c r="E21" s="105">
        <f>F11</f>
        <v>54.7893791340206</v>
      </c>
      <c r="F21" s="104">
        <f>E21*销量!$M$7</f>
        <v>54.2414853426804</v>
      </c>
      <c r="G21" s="104">
        <f>F21*销量!$M$7</f>
        <v>53.6990704892536</v>
      </c>
      <c r="H21" s="104">
        <f>G21*销量!$M$7</f>
        <v>53.1620797843611</v>
      </c>
      <c r="I21" s="114">
        <f t="shared" si="1"/>
        <v>53.1620797843611</v>
      </c>
      <c r="J21" s="104"/>
      <c r="K21" s="115"/>
    </row>
    <row r="22" ht="15.75" customHeight="1" spans="4:11">
      <c r="D22" s="106">
        <f>G4</f>
        <v>0</v>
      </c>
      <c r="E22" s="105">
        <f>G11</f>
        <v>0</v>
      </c>
      <c r="F22" s="104">
        <f>E22*销量!$M$7</f>
        <v>0</v>
      </c>
      <c r="G22" s="104">
        <f>F22*销量!$M$7</f>
        <v>0</v>
      </c>
      <c r="H22" s="104">
        <f>G22*销量!$M$7</f>
        <v>0</v>
      </c>
      <c r="I22" s="114">
        <f t="shared" si="1"/>
        <v>0</v>
      </c>
      <c r="J22" s="104"/>
      <c r="K22" s="115"/>
    </row>
    <row r="23" ht="15.75" customHeight="1" spans="4:11">
      <c r="D23" s="106">
        <f>H4</f>
        <v>0</v>
      </c>
      <c r="E23" s="105">
        <f>H11</f>
        <v>0</v>
      </c>
      <c r="F23" s="104">
        <f>E23*销量!$M$7</f>
        <v>0</v>
      </c>
      <c r="G23" s="104">
        <f>F23*销量!$M$7</f>
        <v>0</v>
      </c>
      <c r="H23" s="104">
        <f>G23*销量!$M$7</f>
        <v>0</v>
      </c>
      <c r="I23" s="114">
        <f t="shared" si="1"/>
        <v>0</v>
      </c>
      <c r="J23" s="104"/>
      <c r="K23" s="115"/>
    </row>
    <row r="24" ht="15.75" customHeight="1" spans="4:11">
      <c r="D24" s="106">
        <f>I4</f>
        <v>0</v>
      </c>
      <c r="E24" s="105">
        <f>I11</f>
        <v>0</v>
      </c>
      <c r="F24" s="104">
        <f>E24*销量!$M$7</f>
        <v>0</v>
      </c>
      <c r="G24" s="104">
        <f>F24*销量!$M$7</f>
        <v>0</v>
      </c>
      <c r="H24" s="104">
        <f>G24*销量!$M$7</f>
        <v>0</v>
      </c>
      <c r="I24" s="114">
        <f t="shared" si="1"/>
        <v>0</v>
      </c>
      <c r="J24" s="104"/>
      <c r="K24" s="115"/>
    </row>
    <row r="25" spans="4:11">
      <c r="D25" s="87">
        <f>J4</f>
        <v>0</v>
      </c>
      <c r="E25" s="105">
        <f>J11</f>
        <v>0</v>
      </c>
      <c r="F25" s="104">
        <f>E25*销量!$M$7</f>
        <v>0</v>
      </c>
      <c r="G25" s="104">
        <f>F25*销量!$M$7</f>
        <v>0</v>
      </c>
      <c r="H25" s="104">
        <f>G25*销量!$M$7</f>
        <v>0</v>
      </c>
      <c r="I25" s="114">
        <f t="shared" si="1"/>
        <v>0</v>
      </c>
      <c r="J25" s="104"/>
      <c r="K25" s="115"/>
    </row>
  </sheetData>
  <mergeCells count="17">
    <mergeCell ref="A1:B1"/>
    <mergeCell ref="A2:D2"/>
    <mergeCell ref="E2:K2"/>
    <mergeCell ref="D3:E3"/>
    <mergeCell ref="G3:I3"/>
    <mergeCell ref="B6:C6"/>
    <mergeCell ref="B7:C7"/>
    <mergeCell ref="B8:C8"/>
    <mergeCell ref="B9:C9"/>
    <mergeCell ref="B10:C10"/>
    <mergeCell ref="A11:C11"/>
    <mergeCell ref="D16:J16"/>
    <mergeCell ref="E17:J17"/>
    <mergeCell ref="A3:A5"/>
    <mergeCell ref="B3:B5"/>
    <mergeCell ref="D17:D18"/>
    <mergeCell ref="K3:K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4.4" outlineLevelCol="3"/>
  <cols>
    <col min="1" max="1" width="9" style="69"/>
    <col min="2" max="2" width="29.6296296296296" style="69" customWidth="1"/>
    <col min="3" max="3" width="33" style="69" customWidth="1"/>
    <col min="4" max="4" width="22" style="69" customWidth="1"/>
    <col min="5" max="16384" width="9" style="69"/>
  </cols>
  <sheetData>
    <row r="1" ht="27" customHeight="1" spans="1:4">
      <c r="A1" s="70" t="s">
        <v>21</v>
      </c>
      <c r="B1" s="70" t="s">
        <v>246</v>
      </c>
      <c r="C1" s="70" t="s">
        <v>247</v>
      </c>
      <c r="D1" s="70" t="s">
        <v>248</v>
      </c>
    </row>
    <row r="2" ht="24" customHeight="1" spans="1:4">
      <c r="A2" s="70">
        <v>1</v>
      </c>
      <c r="B2" s="71" t="s">
        <v>249</v>
      </c>
      <c r="C2" s="72" t="s">
        <v>250</v>
      </c>
      <c r="D2" s="70"/>
    </row>
    <row r="3" ht="24" customHeight="1" spans="1:4">
      <c r="A3" s="70">
        <v>2</v>
      </c>
      <c r="B3" s="71" t="s">
        <v>251</v>
      </c>
      <c r="C3" s="73" t="s">
        <v>252</v>
      </c>
      <c r="D3" s="70" t="s">
        <v>253</v>
      </c>
    </row>
    <row r="4" ht="24" customHeight="1" spans="1:4">
      <c r="A4" s="70">
        <v>3</v>
      </c>
      <c r="B4" s="71" t="s">
        <v>254</v>
      </c>
      <c r="C4" s="72"/>
      <c r="D4" s="70" t="s">
        <v>255</v>
      </c>
    </row>
    <row r="5" ht="24" customHeight="1" spans="1:4">
      <c r="A5" s="70">
        <v>4</v>
      </c>
      <c r="B5" s="71" t="s">
        <v>256</v>
      </c>
      <c r="C5" s="72"/>
      <c r="D5" s="70"/>
    </row>
    <row r="6" ht="24" customHeight="1" spans="1:4">
      <c r="A6" s="70">
        <v>5</v>
      </c>
      <c r="B6" s="71" t="s">
        <v>257</v>
      </c>
      <c r="C6" s="72"/>
      <c r="D6" s="70"/>
    </row>
    <row r="7" ht="24" customHeight="1" spans="1:4">
      <c r="A7" s="70">
        <v>6</v>
      </c>
      <c r="B7" s="70" t="s">
        <v>258</v>
      </c>
      <c r="C7" s="73" t="s">
        <v>259</v>
      </c>
      <c r="D7" s="70"/>
    </row>
    <row r="8" ht="24" customHeight="1" spans="1:4">
      <c r="A8" s="70">
        <v>7</v>
      </c>
      <c r="B8" s="71" t="s">
        <v>260</v>
      </c>
      <c r="C8" s="74" t="s">
        <v>261</v>
      </c>
      <c r="D8" s="70"/>
    </row>
    <row r="9" ht="24" customHeight="1" spans="1:4">
      <c r="A9" s="70">
        <v>8</v>
      </c>
      <c r="B9" s="70" t="s">
        <v>262</v>
      </c>
      <c r="C9" s="74"/>
      <c r="D9" s="70"/>
    </row>
    <row r="10" ht="24" customHeight="1" spans="1:4">
      <c r="A10" s="70">
        <v>9</v>
      </c>
      <c r="B10" s="70" t="s">
        <v>263</v>
      </c>
      <c r="C10" s="74"/>
      <c r="D10" s="70"/>
    </row>
    <row r="11" ht="24" customHeight="1" spans="1:4">
      <c r="A11" s="70">
        <v>10</v>
      </c>
      <c r="B11" s="70" t="s">
        <v>264</v>
      </c>
      <c r="C11" s="74"/>
      <c r="D11" s="70" t="s">
        <v>265</v>
      </c>
    </row>
    <row r="12" ht="24" customHeight="1" spans="1:4">
      <c r="A12" s="70">
        <v>11</v>
      </c>
      <c r="B12" s="70" t="s">
        <v>266</v>
      </c>
      <c r="C12" s="74"/>
      <c r="D12" s="70"/>
    </row>
    <row r="13" ht="24" customHeight="1" spans="1:4">
      <c r="A13" s="70">
        <v>12</v>
      </c>
      <c r="B13" s="71" t="s">
        <v>267</v>
      </c>
      <c r="C13" s="74" t="s">
        <v>268</v>
      </c>
      <c r="D13" s="70"/>
    </row>
    <row r="14" ht="24" customHeight="1" spans="1:4">
      <c r="A14" s="70">
        <v>13</v>
      </c>
      <c r="B14" s="71" t="s">
        <v>269</v>
      </c>
      <c r="C14" s="74"/>
      <c r="D14" s="70"/>
    </row>
    <row r="15" ht="24" customHeight="1" spans="1:4">
      <c r="A15" s="70">
        <v>14</v>
      </c>
      <c r="B15" s="71" t="s">
        <v>270</v>
      </c>
      <c r="C15" s="74"/>
      <c r="D15" s="70"/>
    </row>
    <row r="16" ht="24" customHeight="1" spans="1:4">
      <c r="A16" s="70">
        <v>15</v>
      </c>
      <c r="B16" s="70" t="s">
        <v>142</v>
      </c>
      <c r="C16" s="70"/>
      <c r="D16" s="70"/>
    </row>
    <row r="17" ht="15.6" spans="2:2">
      <c r="B17" s="75" t="s">
        <v>271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92"/>
  <sheetViews>
    <sheetView workbookViewId="0">
      <selection activeCell="R18" sqref="R18"/>
    </sheetView>
  </sheetViews>
  <sheetFormatPr defaultColWidth="9" defaultRowHeight="14.4"/>
  <cols>
    <col min="1" max="1" width="4" style="29" customWidth="1"/>
    <col min="2" max="3" width="9" style="29"/>
    <col min="4" max="4" width="8" style="29" customWidth="1"/>
    <col min="5" max="5" width="10.25" style="29" customWidth="1"/>
    <col min="6" max="6" width="9.37962962962963" style="29" customWidth="1"/>
    <col min="7" max="7" width="10.6296296296296" style="29" customWidth="1"/>
    <col min="8" max="8" width="9.12962962962963" style="29" customWidth="1"/>
    <col min="9" max="9" width="16.3796296296296" style="30" customWidth="1"/>
    <col min="10" max="10" width="1.37962962962963" style="30" customWidth="1"/>
    <col min="11" max="11" width="10.5" style="31" customWidth="1"/>
    <col min="12" max="12" width="9" style="29"/>
    <col min="13" max="14" width="2.5" style="29" customWidth="1"/>
    <col min="15" max="15" width="9" style="29"/>
    <col min="16" max="16" width="16.1296296296296" style="29" customWidth="1"/>
    <col min="17" max="17" width="9" style="29"/>
    <col min="18" max="18" width="17.1296296296296" style="29" customWidth="1"/>
    <col min="19" max="16384" width="9" style="29"/>
  </cols>
  <sheetData>
    <row r="1" s="28" customFormat="1" ht="18.75" customHeight="1" spans="7:11">
      <c r="G1" s="32" t="s">
        <v>272</v>
      </c>
      <c r="H1" s="32"/>
      <c r="I1" s="55"/>
      <c r="J1" s="55"/>
      <c r="K1" s="56"/>
    </row>
    <row r="2" ht="21" customHeight="1" spans="1:16">
      <c r="A2" s="33" t="s">
        <v>273</v>
      </c>
      <c r="B2" s="34" t="s">
        <v>274</v>
      </c>
      <c r="C2" s="34"/>
      <c r="D2" s="35" t="s">
        <v>275</v>
      </c>
      <c r="E2" s="36"/>
      <c r="F2" s="36"/>
      <c r="G2" s="36"/>
      <c r="H2" s="37"/>
      <c r="I2" s="57" t="s">
        <v>276</v>
      </c>
      <c r="J2" s="57"/>
      <c r="P2" s="58" t="s">
        <v>277</v>
      </c>
    </row>
    <row r="3" ht="29.25" customHeight="1" spans="1:18">
      <c r="A3" s="38"/>
      <c r="B3" s="34"/>
      <c r="C3" s="34"/>
      <c r="D3" s="39" t="s">
        <v>278</v>
      </c>
      <c r="E3" s="39" t="s">
        <v>279</v>
      </c>
      <c r="F3" s="39" t="s">
        <v>280</v>
      </c>
      <c r="G3" s="39" t="s">
        <v>281</v>
      </c>
      <c r="H3" s="39" t="s">
        <v>282</v>
      </c>
      <c r="I3" s="59">
        <f>销量!C8-E10</f>
        <v>425.302818945987</v>
      </c>
      <c r="J3" s="60"/>
      <c r="K3" s="61" t="s">
        <v>283</v>
      </c>
      <c r="N3" s="2"/>
      <c r="O3" s="29" t="s">
        <v>284</v>
      </c>
      <c r="P3" s="29">
        <v>2023</v>
      </c>
      <c r="R3" s="29">
        <v>2022</v>
      </c>
    </row>
    <row r="4" ht="24" customHeight="1" spans="2:19">
      <c r="B4" s="40" t="s">
        <v>285</v>
      </c>
      <c r="C4" s="40"/>
      <c r="D4" s="41"/>
      <c r="E4" s="42">
        <f>$I$3*G4</f>
        <v>34.1092860794682</v>
      </c>
      <c r="F4" s="43">
        <v>0.0694</v>
      </c>
      <c r="G4" s="44">
        <v>0.0802</v>
      </c>
      <c r="H4" s="45"/>
      <c r="K4" s="31">
        <v>0.0802</v>
      </c>
      <c r="N4" s="2"/>
      <c r="O4" s="58" t="s">
        <v>286</v>
      </c>
      <c r="P4" s="62">
        <v>166818787.37</v>
      </c>
      <c r="Q4" s="31">
        <f>P4/$P$7</f>
        <v>0.712661210819019</v>
      </c>
      <c r="R4" s="62">
        <v>170477096.53</v>
      </c>
      <c r="S4" s="31">
        <f>R4/$R$7</f>
        <v>0.721480305868004</v>
      </c>
    </row>
    <row r="5" ht="24" customHeight="1" spans="2:19">
      <c r="B5" s="40" t="s">
        <v>287</v>
      </c>
      <c r="C5" s="40" t="s">
        <v>288</v>
      </c>
      <c r="D5" s="41"/>
      <c r="E5" s="42">
        <f t="shared" ref="E5:E8" si="0">$I$3*G5</f>
        <v>21.6904437662454</v>
      </c>
      <c r="F5" s="45">
        <v>0.0598</v>
      </c>
      <c r="G5" s="44">
        <v>0.051</v>
      </c>
      <c r="H5" s="45"/>
      <c r="I5" s="61"/>
      <c r="K5" s="31">
        <v>0.051</v>
      </c>
      <c r="L5" s="63">
        <v>0.3853</v>
      </c>
      <c r="O5" s="58" t="s">
        <v>46</v>
      </c>
      <c r="P5" s="62">
        <v>8604445.05</v>
      </c>
      <c r="Q5" s="31">
        <f t="shared" ref="Q5:Q7" si="1">P5/$P$7</f>
        <v>0.0367587747425472</v>
      </c>
      <c r="R5" s="62">
        <v>11799590.5</v>
      </c>
      <c r="S5" s="31">
        <f t="shared" ref="S5:S7" si="2">R5/$R$7</f>
        <v>0.0499373366648057</v>
      </c>
    </row>
    <row r="6" ht="24" customHeight="1" spans="2:19">
      <c r="B6" s="40"/>
      <c r="C6" s="40" t="s">
        <v>289</v>
      </c>
      <c r="D6" s="41"/>
      <c r="E6" s="42">
        <f t="shared" si="0"/>
        <v>55.7571995638189</v>
      </c>
      <c r="F6" s="43">
        <v>0.0661</v>
      </c>
      <c r="G6" s="44">
        <v>0.1311</v>
      </c>
      <c r="H6" s="45"/>
      <c r="K6" s="64">
        <v>0.1311</v>
      </c>
      <c r="L6" s="65"/>
      <c r="O6" s="58" t="s">
        <v>287</v>
      </c>
      <c r="P6" s="62">
        <v>58655436.15</v>
      </c>
      <c r="Q6" s="31">
        <f t="shared" si="1"/>
        <v>0.250580014438434</v>
      </c>
      <c r="R6" s="62">
        <v>54011254.78</v>
      </c>
      <c r="S6" s="31">
        <f t="shared" si="2"/>
        <v>0.22858235746719</v>
      </c>
    </row>
    <row r="7" ht="24" customHeight="1" spans="2:19">
      <c r="B7" s="35" t="s">
        <v>290</v>
      </c>
      <c r="C7" s="37"/>
      <c r="D7" s="46"/>
      <c r="E7" s="47">
        <f t="shared" si="0"/>
        <v>111.556929409532</v>
      </c>
      <c r="F7" s="48">
        <f>SUM(F4:F6)</f>
        <v>0.1953</v>
      </c>
      <c r="G7" s="48">
        <f>G4+G5+G6</f>
        <v>0.2623</v>
      </c>
      <c r="H7" s="43"/>
      <c r="K7" s="31">
        <f>SUM(K4:K6)</f>
        <v>0.2623</v>
      </c>
      <c r="O7" s="58" t="s">
        <v>159</v>
      </c>
      <c r="P7" s="62">
        <f>SUM(P4:P6)</f>
        <v>234078668.57</v>
      </c>
      <c r="Q7" s="31">
        <f t="shared" si="1"/>
        <v>1</v>
      </c>
      <c r="R7" s="62">
        <f>SUM(R4:R6)</f>
        <v>236287941.81</v>
      </c>
      <c r="S7" s="31">
        <f t="shared" si="2"/>
        <v>1</v>
      </c>
    </row>
    <row r="8" ht="24" customHeight="1" spans="2:12">
      <c r="B8" s="40" t="s">
        <v>62</v>
      </c>
      <c r="C8" s="40"/>
      <c r="D8" s="41"/>
      <c r="E8" s="42">
        <f t="shared" si="0"/>
        <v>9.90955568144151</v>
      </c>
      <c r="F8" s="45">
        <v>0.0264</v>
      </c>
      <c r="G8" s="44">
        <v>0.0233</v>
      </c>
      <c r="H8" s="45"/>
      <c r="K8" s="31">
        <v>0.0233</v>
      </c>
      <c r="L8" s="58" t="s">
        <v>291</v>
      </c>
    </row>
    <row r="9" ht="24" customHeight="1" spans="2:12">
      <c r="B9" s="49" t="s">
        <v>292</v>
      </c>
      <c r="C9" s="40" t="s">
        <v>288</v>
      </c>
      <c r="D9" s="41"/>
      <c r="E9" s="42">
        <f t="shared" ref="E9:E11" si="3">$I$3*G9</f>
        <v>8.84629863407654</v>
      </c>
      <c r="F9" s="45">
        <f>2.98%-2.11%</f>
        <v>0.0087</v>
      </c>
      <c r="G9" s="44">
        <f>5.35%-3.27%</f>
        <v>0.0208</v>
      </c>
      <c r="H9" s="45"/>
      <c r="K9" s="31">
        <v>0.0535</v>
      </c>
      <c r="L9" s="66" t="s">
        <v>293</v>
      </c>
    </row>
    <row r="10" ht="24" customHeight="1" spans="2:13">
      <c r="B10" s="50"/>
      <c r="C10" s="40" t="s">
        <v>289</v>
      </c>
      <c r="D10" s="41"/>
      <c r="E10" s="51">
        <v>122.77</v>
      </c>
      <c r="F10" s="30">
        <v>0.0736</v>
      </c>
      <c r="G10" s="44"/>
      <c r="H10" s="45"/>
      <c r="I10" s="61" t="s">
        <v>294</v>
      </c>
      <c r="K10" s="31">
        <v>0.0462</v>
      </c>
      <c r="L10" s="67"/>
      <c r="M10" s="67"/>
    </row>
    <row r="11" ht="24" customHeight="1" spans="2:12">
      <c r="B11" s="40" t="s">
        <v>65</v>
      </c>
      <c r="C11" s="40"/>
      <c r="D11" s="41"/>
      <c r="E11" s="42">
        <f t="shared" si="3"/>
        <v>15.0982500725825</v>
      </c>
      <c r="F11" s="45">
        <v>0.0355</v>
      </c>
      <c r="G11" s="44">
        <v>0.0355</v>
      </c>
      <c r="H11" s="45"/>
      <c r="K11" s="31">
        <v>0.0355</v>
      </c>
      <c r="L11" s="63">
        <v>0.0656</v>
      </c>
    </row>
    <row r="15" spans="2:10">
      <c r="B15" s="28"/>
      <c r="C15" s="28"/>
      <c r="D15" s="28"/>
      <c r="E15" s="28"/>
      <c r="F15" s="28"/>
      <c r="G15" s="32" t="s">
        <v>272</v>
      </c>
      <c r="H15" s="32"/>
      <c r="I15" s="55"/>
      <c r="J15" s="55"/>
    </row>
    <row r="16" ht="25.5" customHeight="1" spans="1:10">
      <c r="A16" s="33" t="s">
        <v>295</v>
      </c>
      <c r="B16" s="34" t="s">
        <v>274</v>
      </c>
      <c r="C16" s="34"/>
      <c r="D16" s="35" t="s">
        <v>275</v>
      </c>
      <c r="E16" s="36"/>
      <c r="F16" s="36"/>
      <c r="G16" s="36"/>
      <c r="H16" s="37"/>
      <c r="I16" s="57" t="s">
        <v>276</v>
      </c>
      <c r="J16" s="57"/>
    </row>
    <row r="17" ht="28.8" spans="1:10">
      <c r="A17" s="38"/>
      <c r="B17" s="34"/>
      <c r="C17" s="34"/>
      <c r="D17" s="39" t="s">
        <v>278</v>
      </c>
      <c r="E17" s="39" t="s">
        <v>279</v>
      </c>
      <c r="F17" s="39" t="s">
        <v>280</v>
      </c>
      <c r="G17" s="39" t="s">
        <v>281</v>
      </c>
      <c r="H17" s="39" t="s">
        <v>282</v>
      </c>
      <c r="I17" s="59">
        <f>销量!D8-E24</f>
        <v>75.45</v>
      </c>
      <c r="J17" s="68"/>
    </row>
    <row r="18" spans="2:8">
      <c r="B18" s="40" t="s">
        <v>285</v>
      </c>
      <c r="C18" s="40"/>
      <c r="D18" s="41"/>
      <c r="E18" s="42">
        <f>$I$17*G18</f>
        <v>6.05109</v>
      </c>
      <c r="F18" s="52">
        <f t="shared" ref="F18:F25" si="4">F4</f>
        <v>0.0694</v>
      </c>
      <c r="G18" s="44">
        <f t="shared" ref="G18:G25" si="5">G4</f>
        <v>0.0802</v>
      </c>
      <c r="H18" s="45">
        <v>0.0448</v>
      </c>
    </row>
    <row r="19" spans="2:8">
      <c r="B19" s="40" t="s">
        <v>287</v>
      </c>
      <c r="C19" s="40" t="s">
        <v>288</v>
      </c>
      <c r="D19" s="41"/>
      <c r="E19" s="42">
        <f>$I$17*G19</f>
        <v>3.84795</v>
      </c>
      <c r="F19" s="45">
        <f t="shared" si="4"/>
        <v>0.0598</v>
      </c>
      <c r="G19" s="44">
        <f t="shared" si="5"/>
        <v>0.051</v>
      </c>
      <c r="H19" s="45">
        <v>0.0404</v>
      </c>
    </row>
    <row r="20" spans="2:8">
      <c r="B20" s="40"/>
      <c r="C20" s="40" t="s">
        <v>289</v>
      </c>
      <c r="D20" s="41"/>
      <c r="E20" s="42">
        <f t="shared" ref="E20:E25" si="6">$I$17*G20</f>
        <v>9.891495</v>
      </c>
      <c r="F20" s="52">
        <f t="shared" si="4"/>
        <v>0.0661</v>
      </c>
      <c r="G20" s="44">
        <f t="shared" si="5"/>
        <v>0.1311</v>
      </c>
      <c r="H20" s="45">
        <v>0.0166</v>
      </c>
    </row>
    <row r="21" spans="2:8">
      <c r="B21" s="35" t="s">
        <v>290</v>
      </c>
      <c r="C21" s="37"/>
      <c r="D21" s="46"/>
      <c r="E21" s="42">
        <f t="shared" si="6"/>
        <v>19.790535</v>
      </c>
      <c r="F21" s="53">
        <f t="shared" si="4"/>
        <v>0.1953</v>
      </c>
      <c r="G21" s="44">
        <f t="shared" si="5"/>
        <v>0.2623</v>
      </c>
      <c r="H21" s="43">
        <f>SUM(H18:H20)</f>
        <v>0.1018</v>
      </c>
    </row>
    <row r="22" spans="2:8">
      <c r="B22" s="40" t="s">
        <v>62</v>
      </c>
      <c r="C22" s="40"/>
      <c r="D22" s="41"/>
      <c r="E22" s="42">
        <f t="shared" si="6"/>
        <v>1.757985</v>
      </c>
      <c r="F22" s="54">
        <f t="shared" si="4"/>
        <v>0.0264</v>
      </c>
      <c r="G22" s="44">
        <f t="shared" si="5"/>
        <v>0.0233</v>
      </c>
      <c r="H22" s="45">
        <f>1.97%+0.75%</f>
        <v>0.0272</v>
      </c>
    </row>
    <row r="23" spans="2:8">
      <c r="B23" s="49" t="s">
        <v>292</v>
      </c>
      <c r="C23" s="40" t="s">
        <v>288</v>
      </c>
      <c r="D23" s="41"/>
      <c r="E23" s="42">
        <f t="shared" si="6"/>
        <v>1.56936</v>
      </c>
      <c r="F23" s="45">
        <f t="shared" si="4"/>
        <v>0.0087</v>
      </c>
      <c r="G23" s="44">
        <f t="shared" si="5"/>
        <v>0.0208</v>
      </c>
      <c r="H23" s="45">
        <v>0.0053</v>
      </c>
    </row>
    <row r="24" spans="2:8">
      <c r="B24" s="50"/>
      <c r="C24" s="40" t="s">
        <v>289</v>
      </c>
      <c r="D24" s="41"/>
      <c r="E24" s="51">
        <v>15.93</v>
      </c>
      <c r="F24" s="30">
        <f t="shared" si="4"/>
        <v>0.0736</v>
      </c>
      <c r="G24" s="44">
        <f t="shared" si="5"/>
        <v>0</v>
      </c>
      <c r="H24" s="45">
        <v>0.0341</v>
      </c>
    </row>
    <row r="25" spans="2:8">
      <c r="B25" s="40" t="s">
        <v>65</v>
      </c>
      <c r="C25" s="40"/>
      <c r="D25" s="41"/>
      <c r="E25" s="42">
        <f t="shared" si="6"/>
        <v>2.678475</v>
      </c>
      <c r="F25" s="45">
        <f t="shared" si="4"/>
        <v>0.0355</v>
      </c>
      <c r="G25" s="44">
        <f t="shared" si="5"/>
        <v>0.0355</v>
      </c>
      <c r="H25" s="45">
        <v>0.011</v>
      </c>
    </row>
    <row r="29" spans="2:10">
      <c r="B29" s="28"/>
      <c r="C29" s="28"/>
      <c r="D29" s="28"/>
      <c r="E29" s="28"/>
      <c r="F29" s="28"/>
      <c r="G29" s="32" t="s">
        <v>272</v>
      </c>
      <c r="H29" s="32"/>
      <c r="I29" s="55"/>
      <c r="J29" s="55"/>
    </row>
    <row r="30" ht="27.75" customHeight="1" spans="1:10">
      <c r="A30" s="33" t="s">
        <v>296</v>
      </c>
      <c r="B30" s="34" t="s">
        <v>274</v>
      </c>
      <c r="C30" s="34"/>
      <c r="D30" s="35" t="s">
        <v>275</v>
      </c>
      <c r="E30" s="36"/>
      <c r="F30" s="36"/>
      <c r="G30" s="36"/>
      <c r="H30" s="37"/>
      <c r="I30" s="57" t="s">
        <v>276</v>
      </c>
      <c r="J30" s="57"/>
    </row>
    <row r="31" ht="28.8" spans="1:10">
      <c r="A31" s="38"/>
      <c r="B31" s="34"/>
      <c r="C31" s="34"/>
      <c r="D31" s="39" t="s">
        <v>278</v>
      </c>
      <c r="E31" s="39" t="s">
        <v>279</v>
      </c>
      <c r="F31" s="39" t="s">
        <v>280</v>
      </c>
      <c r="G31" s="39" t="s">
        <v>281</v>
      </c>
      <c r="H31" s="39" t="s">
        <v>282</v>
      </c>
      <c r="I31" s="59">
        <f>销量!E8-E38</f>
        <v>88.0140429696764</v>
      </c>
      <c r="J31" s="68"/>
    </row>
    <row r="32" spans="2:8">
      <c r="B32" s="40" t="s">
        <v>285</v>
      </c>
      <c r="C32" s="40"/>
      <c r="D32" s="41"/>
      <c r="E32" s="42">
        <f>$I$31*G32</f>
        <v>7.05872624616804</v>
      </c>
      <c r="F32" s="52">
        <f t="shared" ref="F32:F39" si="7">F4</f>
        <v>0.0694</v>
      </c>
      <c r="G32" s="44">
        <f t="shared" ref="G32:G39" si="8">G4</f>
        <v>0.0802</v>
      </c>
      <c r="H32" s="45">
        <v>0.0448</v>
      </c>
    </row>
    <row r="33" spans="2:8">
      <c r="B33" s="40" t="s">
        <v>287</v>
      </c>
      <c r="C33" s="40" t="s">
        <v>288</v>
      </c>
      <c r="D33" s="41"/>
      <c r="E33" s="42">
        <f>$I$31*G33</f>
        <v>4.48871619145349</v>
      </c>
      <c r="F33" s="45">
        <f t="shared" si="7"/>
        <v>0.0598</v>
      </c>
      <c r="G33" s="44">
        <f t="shared" si="8"/>
        <v>0.051</v>
      </c>
      <c r="H33" s="45">
        <v>0.0404</v>
      </c>
    </row>
    <row r="34" spans="2:8">
      <c r="B34" s="40"/>
      <c r="C34" s="40" t="s">
        <v>289</v>
      </c>
      <c r="D34" s="41"/>
      <c r="E34" s="42">
        <f t="shared" ref="E34:E39" si="9">$I$31*G34</f>
        <v>11.5386410333246</v>
      </c>
      <c r="F34" s="52">
        <f t="shared" si="7"/>
        <v>0.0661</v>
      </c>
      <c r="G34" s="44">
        <f t="shared" si="8"/>
        <v>0.1311</v>
      </c>
      <c r="H34" s="45">
        <v>0.0166</v>
      </c>
    </row>
    <row r="35" spans="2:8">
      <c r="B35" s="35" t="s">
        <v>290</v>
      </c>
      <c r="C35" s="37"/>
      <c r="D35" s="46"/>
      <c r="E35" s="42">
        <f t="shared" si="9"/>
        <v>23.0860834709461</v>
      </c>
      <c r="F35" s="53">
        <f t="shared" si="7"/>
        <v>0.1953</v>
      </c>
      <c r="G35" s="44">
        <f t="shared" si="8"/>
        <v>0.2623</v>
      </c>
      <c r="H35" s="43">
        <f>SUM(H32:H34)</f>
        <v>0.1018</v>
      </c>
    </row>
    <row r="36" spans="2:8">
      <c r="B36" s="40" t="s">
        <v>62</v>
      </c>
      <c r="C36" s="40"/>
      <c r="D36" s="41"/>
      <c r="E36" s="42">
        <f t="shared" si="9"/>
        <v>2.05072720119346</v>
      </c>
      <c r="F36" s="54">
        <f t="shared" si="7"/>
        <v>0.0264</v>
      </c>
      <c r="G36" s="44">
        <f t="shared" si="8"/>
        <v>0.0233</v>
      </c>
      <c r="H36" s="45">
        <f>1.97%+0.75%</f>
        <v>0.0272</v>
      </c>
    </row>
    <row r="37" spans="2:8">
      <c r="B37" s="49" t="s">
        <v>292</v>
      </c>
      <c r="C37" s="40" t="s">
        <v>288</v>
      </c>
      <c r="D37" s="41"/>
      <c r="E37" s="42">
        <f t="shared" si="9"/>
        <v>1.83069209376927</v>
      </c>
      <c r="F37" s="45">
        <f t="shared" si="7"/>
        <v>0.0087</v>
      </c>
      <c r="G37" s="44">
        <f t="shared" si="8"/>
        <v>0.0208</v>
      </c>
      <c r="H37" s="45">
        <v>0.0053</v>
      </c>
    </row>
    <row r="38" spans="2:8">
      <c r="B38" s="50"/>
      <c r="C38" s="40" t="s">
        <v>289</v>
      </c>
      <c r="D38" s="41"/>
      <c r="E38" s="51">
        <v>26.46</v>
      </c>
      <c r="F38" s="30">
        <f t="shared" si="7"/>
        <v>0.0736</v>
      </c>
      <c r="G38" s="44">
        <f t="shared" si="8"/>
        <v>0</v>
      </c>
      <c r="H38" s="45">
        <v>0.0341</v>
      </c>
    </row>
    <row r="39" spans="2:8">
      <c r="B39" s="40" t="s">
        <v>65</v>
      </c>
      <c r="C39" s="40"/>
      <c r="D39" s="41"/>
      <c r="E39" s="42">
        <f t="shared" si="9"/>
        <v>3.12449852542351</v>
      </c>
      <c r="F39" s="45">
        <f t="shared" si="7"/>
        <v>0.0355</v>
      </c>
      <c r="G39" s="44">
        <f t="shared" si="8"/>
        <v>0.0355</v>
      </c>
      <c r="H39" s="45">
        <v>0.011</v>
      </c>
    </row>
    <row r="42" spans="2:10">
      <c r="B42" s="28"/>
      <c r="C42" s="28"/>
      <c r="D42" s="28"/>
      <c r="E42" s="28"/>
      <c r="F42" s="28"/>
      <c r="G42" s="32" t="s">
        <v>272</v>
      </c>
      <c r="H42" s="32"/>
      <c r="I42" s="55"/>
      <c r="J42" s="55"/>
    </row>
    <row r="43" spans="1:10">
      <c r="A43" s="33" t="s">
        <v>297</v>
      </c>
      <c r="B43" s="34" t="s">
        <v>274</v>
      </c>
      <c r="C43" s="34"/>
      <c r="D43" s="35" t="s">
        <v>275</v>
      </c>
      <c r="E43" s="36"/>
      <c r="F43" s="36"/>
      <c r="G43" s="36"/>
      <c r="H43" s="37"/>
      <c r="I43" s="57" t="s">
        <v>276</v>
      </c>
      <c r="J43" s="57"/>
    </row>
    <row r="44" ht="28.8" spans="1:10">
      <c r="A44" s="38"/>
      <c r="B44" s="34"/>
      <c r="C44" s="34"/>
      <c r="D44" s="39" t="s">
        <v>278</v>
      </c>
      <c r="E44" s="39" t="s">
        <v>279</v>
      </c>
      <c r="F44" s="39" t="s">
        <v>280</v>
      </c>
      <c r="G44" s="39" t="s">
        <v>281</v>
      </c>
      <c r="H44" s="39" t="s">
        <v>282</v>
      </c>
      <c r="I44" s="68">
        <f>销量!F8</f>
        <v>0</v>
      </c>
      <c r="J44" s="68"/>
    </row>
    <row r="45" spans="2:8">
      <c r="B45" s="40" t="s">
        <v>285</v>
      </c>
      <c r="C45" s="40"/>
      <c r="D45" s="41"/>
      <c r="E45" s="42">
        <f>$I$44*G45</f>
        <v>0</v>
      </c>
      <c r="F45" s="52">
        <f t="shared" ref="F45:F52" si="10">F4</f>
        <v>0.0694</v>
      </c>
      <c r="G45" s="44">
        <f t="shared" ref="G45:G52" si="11">G4</f>
        <v>0.0802</v>
      </c>
      <c r="H45" s="45">
        <v>0.0448</v>
      </c>
    </row>
    <row r="46" spans="2:8">
      <c r="B46" s="40" t="s">
        <v>287</v>
      </c>
      <c r="C46" s="40" t="s">
        <v>288</v>
      </c>
      <c r="D46" s="41"/>
      <c r="E46" s="42">
        <f>$I$44*G46</f>
        <v>0</v>
      </c>
      <c r="F46" s="45">
        <f t="shared" si="10"/>
        <v>0.0598</v>
      </c>
      <c r="G46" s="44">
        <f t="shared" si="11"/>
        <v>0.051</v>
      </c>
      <c r="H46" s="45">
        <v>0.0404</v>
      </c>
    </row>
    <row r="47" spans="2:8">
      <c r="B47" s="40"/>
      <c r="C47" s="40" t="s">
        <v>289</v>
      </c>
      <c r="D47" s="41"/>
      <c r="E47" s="42">
        <f t="shared" ref="E47:E52" si="12">$I$44*G47</f>
        <v>0</v>
      </c>
      <c r="F47" s="52">
        <f t="shared" si="10"/>
        <v>0.0661</v>
      </c>
      <c r="G47" s="44">
        <f t="shared" si="11"/>
        <v>0.1311</v>
      </c>
      <c r="H47" s="45">
        <v>0.0166</v>
      </c>
    </row>
    <row r="48" spans="2:8">
      <c r="B48" s="35" t="s">
        <v>290</v>
      </c>
      <c r="C48" s="37"/>
      <c r="D48" s="46"/>
      <c r="E48" s="42">
        <f t="shared" si="12"/>
        <v>0</v>
      </c>
      <c r="F48" s="53">
        <f t="shared" si="10"/>
        <v>0.1953</v>
      </c>
      <c r="G48" s="44">
        <f t="shared" si="11"/>
        <v>0.2623</v>
      </c>
      <c r="H48" s="43">
        <f>SUM(H45:H47)</f>
        <v>0.1018</v>
      </c>
    </row>
    <row r="49" spans="2:8">
      <c r="B49" s="40" t="s">
        <v>62</v>
      </c>
      <c r="C49" s="40"/>
      <c r="D49" s="41"/>
      <c r="E49" s="42">
        <f t="shared" si="12"/>
        <v>0</v>
      </c>
      <c r="F49" s="54">
        <f t="shared" si="10"/>
        <v>0.0264</v>
      </c>
      <c r="G49" s="44">
        <f t="shared" si="11"/>
        <v>0.0233</v>
      </c>
      <c r="H49" s="45">
        <f>1.97%+0.75%</f>
        <v>0.0272</v>
      </c>
    </row>
    <row r="50" spans="2:8">
      <c r="B50" s="49" t="s">
        <v>292</v>
      </c>
      <c r="C50" s="40" t="s">
        <v>288</v>
      </c>
      <c r="D50" s="41"/>
      <c r="E50" s="42">
        <f t="shared" si="12"/>
        <v>0</v>
      </c>
      <c r="F50" s="45">
        <f t="shared" si="10"/>
        <v>0.0087</v>
      </c>
      <c r="G50" s="44">
        <f t="shared" si="11"/>
        <v>0.0208</v>
      </c>
      <c r="H50" s="45">
        <v>0.0053</v>
      </c>
    </row>
    <row r="51" spans="2:8">
      <c r="B51" s="50"/>
      <c r="C51" s="40" t="s">
        <v>289</v>
      </c>
      <c r="D51" s="41"/>
      <c r="E51" s="42">
        <f t="shared" si="12"/>
        <v>0</v>
      </c>
      <c r="F51" s="30">
        <f t="shared" si="10"/>
        <v>0.0736</v>
      </c>
      <c r="G51" s="44">
        <f t="shared" si="11"/>
        <v>0</v>
      </c>
      <c r="H51" s="45">
        <v>0.0341</v>
      </c>
    </row>
    <row r="52" spans="2:8">
      <c r="B52" s="40" t="s">
        <v>65</v>
      </c>
      <c r="C52" s="40"/>
      <c r="D52" s="41"/>
      <c r="E52" s="42">
        <f t="shared" si="12"/>
        <v>0</v>
      </c>
      <c r="F52" s="45">
        <f t="shared" si="10"/>
        <v>0.0355</v>
      </c>
      <c r="G52" s="44">
        <f t="shared" si="11"/>
        <v>0.0355</v>
      </c>
      <c r="H52" s="45">
        <v>0.011</v>
      </c>
    </row>
    <row r="55" spans="2:10">
      <c r="B55" s="28"/>
      <c r="C55" s="28"/>
      <c r="D55" s="28"/>
      <c r="E55" s="28"/>
      <c r="F55" s="28"/>
      <c r="G55" s="32" t="s">
        <v>272</v>
      </c>
      <c r="H55" s="32"/>
      <c r="I55" s="55"/>
      <c r="J55" s="55"/>
    </row>
    <row r="56" spans="1:10">
      <c r="A56" s="33" t="s">
        <v>298</v>
      </c>
      <c r="B56" s="34" t="s">
        <v>274</v>
      </c>
      <c r="C56" s="34"/>
      <c r="D56" s="35" t="s">
        <v>275</v>
      </c>
      <c r="E56" s="36"/>
      <c r="F56" s="36"/>
      <c r="G56" s="36"/>
      <c r="H56" s="37"/>
      <c r="I56" s="57" t="s">
        <v>276</v>
      </c>
      <c r="J56" s="57"/>
    </row>
    <row r="57" ht="28.8" spans="1:10">
      <c r="A57" s="38"/>
      <c r="B57" s="34"/>
      <c r="C57" s="34"/>
      <c r="D57" s="39" t="s">
        <v>278</v>
      </c>
      <c r="E57" s="39" t="s">
        <v>279</v>
      </c>
      <c r="F57" s="39" t="s">
        <v>280</v>
      </c>
      <c r="G57" s="39" t="s">
        <v>281</v>
      </c>
      <c r="H57" s="39" t="s">
        <v>282</v>
      </c>
      <c r="I57" s="68">
        <f>销量!G8</f>
        <v>0</v>
      </c>
      <c r="J57" s="68"/>
    </row>
    <row r="58" spans="2:8">
      <c r="B58" s="40" t="s">
        <v>285</v>
      </c>
      <c r="C58" s="40"/>
      <c r="D58" s="41"/>
      <c r="E58" s="42">
        <f>$I$57*G58</f>
        <v>0</v>
      </c>
      <c r="F58" s="52">
        <f t="shared" ref="F58:F65" si="13">F4</f>
        <v>0.0694</v>
      </c>
      <c r="G58" s="44">
        <f t="shared" ref="G58:G65" si="14">G4</f>
        <v>0.0802</v>
      </c>
      <c r="H58" s="45">
        <v>0.0448</v>
      </c>
    </row>
    <row r="59" spans="2:8">
      <c r="B59" s="40" t="s">
        <v>287</v>
      </c>
      <c r="C59" s="40" t="s">
        <v>288</v>
      </c>
      <c r="D59" s="41"/>
      <c r="E59" s="42">
        <f>$I$57*G59</f>
        <v>0</v>
      </c>
      <c r="F59" s="45">
        <f t="shared" si="13"/>
        <v>0.0598</v>
      </c>
      <c r="G59" s="44">
        <f t="shared" si="14"/>
        <v>0.051</v>
      </c>
      <c r="H59" s="45">
        <v>0.0404</v>
      </c>
    </row>
    <row r="60" spans="2:8">
      <c r="B60" s="40"/>
      <c r="C60" s="40" t="s">
        <v>289</v>
      </c>
      <c r="D60" s="41"/>
      <c r="E60" s="42">
        <f t="shared" ref="E60:E65" si="15">$I$57*G60</f>
        <v>0</v>
      </c>
      <c r="F60" s="52">
        <f t="shared" si="13"/>
        <v>0.0661</v>
      </c>
      <c r="G60" s="44">
        <f t="shared" si="14"/>
        <v>0.1311</v>
      </c>
      <c r="H60" s="45">
        <v>0.0166</v>
      </c>
    </row>
    <row r="61" spans="2:8">
      <c r="B61" s="35" t="s">
        <v>290</v>
      </c>
      <c r="C61" s="37"/>
      <c r="D61" s="46"/>
      <c r="E61" s="42">
        <f t="shared" si="15"/>
        <v>0</v>
      </c>
      <c r="F61" s="53">
        <f t="shared" si="13"/>
        <v>0.1953</v>
      </c>
      <c r="G61" s="44">
        <f t="shared" si="14"/>
        <v>0.2623</v>
      </c>
      <c r="H61" s="43">
        <f>SUM(H58:H60)</f>
        <v>0.1018</v>
      </c>
    </row>
    <row r="62" spans="2:8">
      <c r="B62" s="40" t="s">
        <v>62</v>
      </c>
      <c r="C62" s="40"/>
      <c r="D62" s="41"/>
      <c r="E62" s="42">
        <f t="shared" si="15"/>
        <v>0</v>
      </c>
      <c r="F62" s="54">
        <f t="shared" si="13"/>
        <v>0.0264</v>
      </c>
      <c r="G62" s="44">
        <f t="shared" si="14"/>
        <v>0.0233</v>
      </c>
      <c r="H62" s="45">
        <f>1.97%+0.75%</f>
        <v>0.0272</v>
      </c>
    </row>
    <row r="63" spans="2:8">
      <c r="B63" s="49" t="s">
        <v>292</v>
      </c>
      <c r="C63" s="40" t="s">
        <v>288</v>
      </c>
      <c r="D63" s="41"/>
      <c r="E63" s="42">
        <f t="shared" si="15"/>
        <v>0</v>
      </c>
      <c r="F63" s="45">
        <f t="shared" si="13"/>
        <v>0.0087</v>
      </c>
      <c r="G63" s="44">
        <f t="shared" si="14"/>
        <v>0.0208</v>
      </c>
      <c r="H63" s="45">
        <v>0.0053</v>
      </c>
    </row>
    <row r="64" spans="2:8">
      <c r="B64" s="50"/>
      <c r="C64" s="40" t="s">
        <v>289</v>
      </c>
      <c r="D64" s="41"/>
      <c r="E64" s="42">
        <f t="shared" si="15"/>
        <v>0</v>
      </c>
      <c r="F64" s="30">
        <f t="shared" si="13"/>
        <v>0.0736</v>
      </c>
      <c r="G64" s="44">
        <f t="shared" si="14"/>
        <v>0</v>
      </c>
      <c r="H64" s="45">
        <v>0.0341</v>
      </c>
    </row>
    <row r="65" spans="2:8">
      <c r="B65" s="40" t="s">
        <v>65</v>
      </c>
      <c r="C65" s="40"/>
      <c r="D65" s="41"/>
      <c r="E65" s="42">
        <f t="shared" si="15"/>
        <v>0</v>
      </c>
      <c r="F65" s="45">
        <f t="shared" si="13"/>
        <v>0.0355</v>
      </c>
      <c r="G65" s="44">
        <f t="shared" si="14"/>
        <v>0.0355</v>
      </c>
      <c r="H65" s="45">
        <v>0.011</v>
      </c>
    </row>
    <row r="68" spans="2:10">
      <c r="B68" s="28"/>
      <c r="C68" s="28"/>
      <c r="D68" s="28"/>
      <c r="E68" s="28"/>
      <c r="F68" s="28"/>
      <c r="G68" s="32" t="s">
        <v>272</v>
      </c>
      <c r="H68" s="32"/>
      <c r="I68" s="55"/>
      <c r="J68" s="55"/>
    </row>
    <row r="69" spans="1:10">
      <c r="A69" s="33" t="s">
        <v>299</v>
      </c>
      <c r="B69" s="34" t="s">
        <v>274</v>
      </c>
      <c r="C69" s="34"/>
      <c r="D69" s="35" t="s">
        <v>275</v>
      </c>
      <c r="E69" s="36"/>
      <c r="F69" s="36"/>
      <c r="G69" s="36"/>
      <c r="H69" s="37"/>
      <c r="I69" s="57" t="s">
        <v>276</v>
      </c>
      <c r="J69" s="57"/>
    </row>
    <row r="70" ht="28.8" spans="1:10">
      <c r="A70" s="38"/>
      <c r="B70" s="34"/>
      <c r="C70" s="34"/>
      <c r="D70" s="39" t="s">
        <v>278</v>
      </c>
      <c r="E70" s="39" t="s">
        <v>279</v>
      </c>
      <c r="F70" s="39" t="s">
        <v>280</v>
      </c>
      <c r="G70" s="39" t="s">
        <v>281</v>
      </c>
      <c r="H70" s="39" t="s">
        <v>282</v>
      </c>
      <c r="I70" s="68">
        <f>销量!H8</f>
        <v>0</v>
      </c>
      <c r="J70" s="68"/>
    </row>
    <row r="71" spans="2:8">
      <c r="B71" s="40" t="s">
        <v>285</v>
      </c>
      <c r="C71" s="40"/>
      <c r="D71" s="41"/>
      <c r="E71" s="42">
        <f>$I$70*G71</f>
        <v>0</v>
      </c>
      <c r="F71" s="52">
        <f t="shared" ref="F71:F78" si="16">F4</f>
        <v>0.0694</v>
      </c>
      <c r="G71" s="44">
        <f t="shared" ref="G71:G78" si="17">G4</f>
        <v>0.0802</v>
      </c>
      <c r="H71" s="45"/>
    </row>
    <row r="72" spans="2:8">
      <c r="B72" s="40" t="s">
        <v>287</v>
      </c>
      <c r="C72" s="40" t="s">
        <v>288</v>
      </c>
      <c r="D72" s="41"/>
      <c r="E72" s="42">
        <f>$I$70*G72</f>
        <v>0</v>
      </c>
      <c r="F72" s="45">
        <f t="shared" si="16"/>
        <v>0.0598</v>
      </c>
      <c r="G72" s="44">
        <f t="shared" si="17"/>
        <v>0.051</v>
      </c>
      <c r="H72" s="45"/>
    </row>
    <row r="73" spans="2:8">
      <c r="B73" s="40"/>
      <c r="C73" s="40" t="s">
        <v>289</v>
      </c>
      <c r="D73" s="41"/>
      <c r="E73" s="42">
        <f t="shared" ref="E73:E78" si="18">$I$70*G73</f>
        <v>0</v>
      </c>
      <c r="F73" s="52">
        <f t="shared" si="16"/>
        <v>0.0661</v>
      </c>
      <c r="G73" s="44">
        <f t="shared" si="17"/>
        <v>0.1311</v>
      </c>
      <c r="H73" s="45"/>
    </row>
    <row r="74" spans="2:8">
      <c r="B74" s="35" t="s">
        <v>290</v>
      </c>
      <c r="C74" s="37"/>
      <c r="D74" s="46"/>
      <c r="E74" s="42">
        <f t="shared" si="18"/>
        <v>0</v>
      </c>
      <c r="F74" s="53">
        <f t="shared" si="16"/>
        <v>0.1953</v>
      </c>
      <c r="G74" s="44">
        <f t="shared" si="17"/>
        <v>0.2623</v>
      </c>
      <c r="H74" s="43"/>
    </row>
    <row r="75" spans="2:8">
      <c r="B75" s="40" t="s">
        <v>62</v>
      </c>
      <c r="C75" s="40"/>
      <c r="D75" s="41"/>
      <c r="E75" s="42">
        <f t="shared" si="18"/>
        <v>0</v>
      </c>
      <c r="F75" s="54">
        <f t="shared" si="16"/>
        <v>0.0264</v>
      </c>
      <c r="G75" s="44">
        <f t="shared" si="17"/>
        <v>0.0233</v>
      </c>
      <c r="H75" s="45"/>
    </row>
    <row r="76" spans="2:8">
      <c r="B76" s="49" t="s">
        <v>292</v>
      </c>
      <c r="C76" s="40" t="s">
        <v>288</v>
      </c>
      <c r="D76" s="41"/>
      <c r="E76" s="42">
        <f t="shared" si="18"/>
        <v>0</v>
      </c>
      <c r="F76" s="45">
        <f t="shared" si="16"/>
        <v>0.0087</v>
      </c>
      <c r="G76" s="44">
        <f t="shared" si="17"/>
        <v>0.0208</v>
      </c>
      <c r="H76" s="45"/>
    </row>
    <row r="77" spans="2:8">
      <c r="B77" s="50"/>
      <c r="C77" s="40" t="s">
        <v>289</v>
      </c>
      <c r="D77" s="41"/>
      <c r="E77" s="42">
        <f t="shared" si="18"/>
        <v>0</v>
      </c>
      <c r="F77" s="30">
        <f t="shared" si="16"/>
        <v>0.0736</v>
      </c>
      <c r="G77" s="44">
        <f t="shared" si="17"/>
        <v>0</v>
      </c>
      <c r="H77" s="45"/>
    </row>
    <row r="78" spans="2:8">
      <c r="B78" s="40" t="s">
        <v>65</v>
      </c>
      <c r="C78" s="40"/>
      <c r="D78" s="41"/>
      <c r="E78" s="42">
        <f t="shared" si="18"/>
        <v>0</v>
      </c>
      <c r="F78" s="45">
        <f t="shared" si="16"/>
        <v>0.0355</v>
      </c>
      <c r="G78" s="44">
        <f t="shared" si="17"/>
        <v>0.0355</v>
      </c>
      <c r="H78" s="45"/>
    </row>
    <row r="82" spans="2:10">
      <c r="B82" s="28"/>
      <c r="C82" s="28"/>
      <c r="D82" s="28"/>
      <c r="E82" s="28"/>
      <c r="F82" s="28"/>
      <c r="G82" s="32" t="s">
        <v>272</v>
      </c>
      <c r="H82" s="32"/>
      <c r="I82" s="55"/>
      <c r="J82" s="55"/>
    </row>
    <row r="83" spans="1:10">
      <c r="A83" s="33" t="s">
        <v>300</v>
      </c>
      <c r="B83" s="34" t="s">
        <v>274</v>
      </c>
      <c r="C83" s="34"/>
      <c r="D83" s="35" t="s">
        <v>275</v>
      </c>
      <c r="E83" s="36"/>
      <c r="F83" s="36"/>
      <c r="G83" s="36"/>
      <c r="H83" s="37"/>
      <c r="I83" s="57" t="s">
        <v>276</v>
      </c>
      <c r="J83" s="57"/>
    </row>
    <row r="84" ht="28.8" spans="1:10">
      <c r="A84" s="38"/>
      <c r="B84" s="34"/>
      <c r="C84" s="34"/>
      <c r="D84" s="39" t="s">
        <v>278</v>
      </c>
      <c r="E84" s="39" t="s">
        <v>279</v>
      </c>
      <c r="F84" s="39" t="s">
        <v>280</v>
      </c>
      <c r="G84" s="39" t="s">
        <v>281</v>
      </c>
      <c r="H84" s="39" t="s">
        <v>282</v>
      </c>
      <c r="I84" s="68">
        <f>销量!I8</f>
        <v>0</v>
      </c>
      <c r="J84" s="68"/>
    </row>
    <row r="85" spans="2:8">
      <c r="B85" s="40" t="s">
        <v>285</v>
      </c>
      <c r="C85" s="40"/>
      <c r="D85" s="41"/>
      <c r="E85" s="42">
        <f>$I$84*G85</f>
        <v>0</v>
      </c>
      <c r="F85" s="52">
        <f t="shared" ref="F85:F92" si="19">F4</f>
        <v>0.0694</v>
      </c>
      <c r="G85" s="44">
        <v>0.0518917536533678</v>
      </c>
      <c r="H85" s="45"/>
    </row>
    <row r="86" spans="2:8">
      <c r="B86" s="40" t="s">
        <v>287</v>
      </c>
      <c r="C86" s="40" t="s">
        <v>288</v>
      </c>
      <c r="D86" s="41"/>
      <c r="E86" s="42">
        <f>$I$84*G86</f>
        <v>0</v>
      </c>
      <c r="F86" s="45">
        <f t="shared" si="19"/>
        <v>0.0598</v>
      </c>
      <c r="G86" s="44">
        <v>0.0766</v>
      </c>
      <c r="H86" s="45"/>
    </row>
    <row r="87" spans="2:8">
      <c r="B87" s="40"/>
      <c r="C87" s="40" t="s">
        <v>289</v>
      </c>
      <c r="D87" s="41"/>
      <c r="E87" s="42">
        <f t="shared" ref="E87:E92" si="20">$I$84*G87</f>
        <v>0</v>
      </c>
      <c r="F87" s="52">
        <f t="shared" si="19"/>
        <v>0.0661</v>
      </c>
      <c r="G87" s="44">
        <v>0.00905130055457883</v>
      </c>
      <c r="H87" s="45"/>
    </row>
    <row r="88" spans="2:8">
      <c r="B88" s="35" t="s">
        <v>290</v>
      </c>
      <c r="C88" s="37"/>
      <c r="D88" s="46"/>
      <c r="E88" s="42">
        <f t="shared" si="20"/>
        <v>0</v>
      </c>
      <c r="F88" s="53">
        <f t="shared" si="19"/>
        <v>0.1953</v>
      </c>
      <c r="G88" s="44">
        <f>G85+G86+G87</f>
        <v>0.137543054207947</v>
      </c>
      <c r="H88" s="43"/>
    </row>
    <row r="89" spans="2:8">
      <c r="B89" s="40" t="s">
        <v>62</v>
      </c>
      <c r="C89" s="40"/>
      <c r="D89" s="41"/>
      <c r="E89" s="42">
        <f t="shared" si="20"/>
        <v>0</v>
      </c>
      <c r="F89" s="54">
        <f t="shared" si="19"/>
        <v>0.0264</v>
      </c>
      <c r="G89" s="44">
        <v>0.0347</v>
      </c>
      <c r="H89" s="45"/>
    </row>
    <row r="90" spans="2:8">
      <c r="B90" s="49" t="s">
        <v>292</v>
      </c>
      <c r="C90" s="40" t="s">
        <v>288</v>
      </c>
      <c r="D90" s="41"/>
      <c r="E90" s="42">
        <f t="shared" si="20"/>
        <v>0</v>
      </c>
      <c r="F90" s="45">
        <f t="shared" si="19"/>
        <v>0.0087</v>
      </c>
      <c r="G90" s="44">
        <v>0.0034</v>
      </c>
      <c r="H90" s="45"/>
    </row>
    <row r="91" spans="2:8">
      <c r="B91" s="50"/>
      <c r="C91" s="40" t="s">
        <v>289</v>
      </c>
      <c r="D91" s="41"/>
      <c r="E91" s="42">
        <f t="shared" si="20"/>
        <v>0</v>
      </c>
      <c r="F91" s="30">
        <f t="shared" si="19"/>
        <v>0.0736</v>
      </c>
      <c r="G91" s="44">
        <v>0.011</v>
      </c>
      <c r="H91" s="45"/>
    </row>
    <row r="92" spans="2:8">
      <c r="B92" s="40" t="s">
        <v>65</v>
      </c>
      <c r="C92" s="40"/>
      <c r="D92" s="41"/>
      <c r="E92" s="42">
        <f t="shared" si="20"/>
        <v>0</v>
      </c>
      <c r="F92" s="45">
        <f t="shared" si="19"/>
        <v>0.0355</v>
      </c>
      <c r="G92" s="44">
        <v>0.04</v>
      </c>
      <c r="H92" s="45"/>
    </row>
  </sheetData>
  <mergeCells count="70">
    <mergeCell ref="G1:H1"/>
    <mergeCell ref="D2:H2"/>
    <mergeCell ref="B4:C4"/>
    <mergeCell ref="B7:C7"/>
    <mergeCell ref="B8:C8"/>
    <mergeCell ref="B11:C11"/>
    <mergeCell ref="G15:H15"/>
    <mergeCell ref="D16:H16"/>
    <mergeCell ref="B18:C18"/>
    <mergeCell ref="B21:C21"/>
    <mergeCell ref="B22:C22"/>
    <mergeCell ref="B25:C25"/>
    <mergeCell ref="G29:H29"/>
    <mergeCell ref="D30:H30"/>
    <mergeCell ref="B32:C32"/>
    <mergeCell ref="B35:C35"/>
    <mergeCell ref="B36:C36"/>
    <mergeCell ref="B39:C39"/>
    <mergeCell ref="G42:H42"/>
    <mergeCell ref="D43:H43"/>
    <mergeCell ref="B45:C45"/>
    <mergeCell ref="B48:C48"/>
    <mergeCell ref="B49:C49"/>
    <mergeCell ref="B52:C52"/>
    <mergeCell ref="G55:H55"/>
    <mergeCell ref="D56:H56"/>
    <mergeCell ref="B58:C58"/>
    <mergeCell ref="B61:C61"/>
    <mergeCell ref="B62:C62"/>
    <mergeCell ref="B65:C65"/>
    <mergeCell ref="G68:H68"/>
    <mergeCell ref="D69:H69"/>
    <mergeCell ref="B71:C71"/>
    <mergeCell ref="B74:C74"/>
    <mergeCell ref="B75:C75"/>
    <mergeCell ref="B78:C78"/>
    <mergeCell ref="G82:H82"/>
    <mergeCell ref="D83:H83"/>
    <mergeCell ref="B85:C85"/>
    <mergeCell ref="B88:C88"/>
    <mergeCell ref="B89:C89"/>
    <mergeCell ref="B92:C92"/>
    <mergeCell ref="A2:A3"/>
    <mergeCell ref="A16:A17"/>
    <mergeCell ref="A30:A31"/>
    <mergeCell ref="A43:A44"/>
    <mergeCell ref="A56:A57"/>
    <mergeCell ref="A69:A70"/>
    <mergeCell ref="A83:A84"/>
    <mergeCell ref="B5:B6"/>
    <mergeCell ref="B9:B10"/>
    <mergeCell ref="B19:B20"/>
    <mergeCell ref="B23:B24"/>
    <mergeCell ref="B33:B34"/>
    <mergeCell ref="B37:B38"/>
    <mergeCell ref="B46:B47"/>
    <mergeCell ref="B50:B51"/>
    <mergeCell ref="B59:B60"/>
    <mergeCell ref="B63:B64"/>
    <mergeCell ref="B72:B73"/>
    <mergeCell ref="B76:B77"/>
    <mergeCell ref="B86:B87"/>
    <mergeCell ref="B90:B91"/>
    <mergeCell ref="B83:C84"/>
    <mergeCell ref="B2:C3"/>
    <mergeCell ref="B16:C17"/>
    <mergeCell ref="B30:C31"/>
    <mergeCell ref="B43:C44"/>
    <mergeCell ref="B56:C57"/>
    <mergeCell ref="B69:C70"/>
  </mergeCells>
  <pageMargins left="0.7" right="0.7" top="0.75" bottom="0.75" header="0.3" footer="0.3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6" sqref="F6"/>
    </sheetView>
  </sheetViews>
  <sheetFormatPr defaultColWidth="9" defaultRowHeight="14.4"/>
  <cols>
    <col min="2" max="2" width="15.3796296296296" customWidth="1"/>
    <col min="3" max="3" width="13.6296296296296" customWidth="1"/>
    <col min="4" max="4" width="10.75" customWidth="1"/>
    <col min="5" max="5" width="9.25" customWidth="1"/>
    <col min="6" max="6" width="12.6296296296296" customWidth="1"/>
    <col min="7" max="7" width="10.5" customWidth="1"/>
    <col min="9" max="9" width="22.3796296296296" customWidth="1"/>
    <col min="10" max="10" width="8.5" customWidth="1"/>
  </cols>
  <sheetData>
    <row r="1" spans="1:1">
      <c r="A1" s="2"/>
    </row>
    <row r="2" ht="50.25" customHeight="1" spans="2:9">
      <c r="B2" s="3" t="s">
        <v>301</v>
      </c>
      <c r="C2" s="3"/>
      <c r="D2" s="3"/>
      <c r="E2" s="3"/>
      <c r="F2" s="3"/>
      <c r="G2" s="3"/>
      <c r="H2" s="3"/>
      <c r="I2" s="3"/>
    </row>
    <row r="3" s="1" customFormat="1" ht="45.75" customHeight="1" spans="2:9">
      <c r="B3" s="4" t="s">
        <v>160</v>
      </c>
      <c r="C3" s="4" t="s">
        <v>302</v>
      </c>
      <c r="D3" s="5" t="s">
        <v>231</v>
      </c>
      <c r="E3" s="4" t="s">
        <v>303</v>
      </c>
      <c r="F3" s="6" t="s">
        <v>304</v>
      </c>
      <c r="G3" s="7" t="s">
        <v>81</v>
      </c>
      <c r="H3" s="8" t="s">
        <v>305</v>
      </c>
      <c r="I3" s="7" t="s">
        <v>178</v>
      </c>
    </row>
    <row r="4" ht="37.9" customHeight="1" spans="2:10">
      <c r="B4" s="9">
        <f>销量!C6</f>
        <v>22286155</v>
      </c>
      <c r="C4" s="9" t="str">
        <f>销量!C5</f>
        <v>主镜</v>
      </c>
      <c r="D4" s="10" t="str">
        <f>销量!C7</f>
        <v>二类电动，四类手动</v>
      </c>
      <c r="E4" s="11">
        <f>材料成本!D6</f>
        <v>266.768819587629</v>
      </c>
      <c r="F4" s="12">
        <f>标准成本!I3</f>
        <v>425.302818945987</v>
      </c>
      <c r="G4" s="11">
        <f t="shared" ref="G4:G10" si="0">F4-E4</f>
        <v>158.533999358358</v>
      </c>
      <c r="H4" s="13">
        <f t="shared" ref="H4:H11" si="1">G4/F4</f>
        <v>0.372755580955818</v>
      </c>
      <c r="I4" s="23" t="s">
        <v>306</v>
      </c>
      <c r="J4" s="24"/>
    </row>
    <row r="5" ht="34.15" customHeight="1" spans="2:10">
      <c r="B5" s="9">
        <f>销量!D6</f>
        <v>84099794</v>
      </c>
      <c r="C5" s="9" t="str">
        <f>销量!D5</f>
        <v>补盲镜</v>
      </c>
      <c r="D5" s="4" t="str">
        <f>销量!D7</f>
        <v>手动</v>
      </c>
      <c r="E5" s="11">
        <f>材料成本!E6</f>
        <v>60.6349</v>
      </c>
      <c r="F5" s="12">
        <f>标准成本!I17</f>
        <v>75.45</v>
      </c>
      <c r="G5" s="11">
        <f t="shared" si="0"/>
        <v>14.8151</v>
      </c>
      <c r="H5" s="13">
        <f t="shared" si="1"/>
        <v>0.196356527501657</v>
      </c>
      <c r="I5" s="23" t="s">
        <v>306</v>
      </c>
      <c r="J5" s="24"/>
    </row>
    <row r="6" ht="31.5" customHeight="1" spans="2:10">
      <c r="B6" s="9">
        <f>销量!E6</f>
        <v>21151129</v>
      </c>
      <c r="C6" s="9" t="str">
        <f>销量!E5</f>
        <v>前下镜</v>
      </c>
      <c r="D6" s="14" t="str">
        <f>销量!E7</f>
        <v>手动</v>
      </c>
      <c r="E6" s="11">
        <f>材料成本!F6</f>
        <v>54.7893791340206</v>
      </c>
      <c r="F6" s="12">
        <f>标准成本!I31</f>
        <v>88.0140429696764</v>
      </c>
      <c r="G6" s="11">
        <f t="shared" si="0"/>
        <v>33.2246638356557</v>
      </c>
      <c r="H6" s="13">
        <f t="shared" si="1"/>
        <v>0.377492758139774</v>
      </c>
      <c r="I6" s="23" t="s">
        <v>306</v>
      </c>
      <c r="J6" s="24"/>
    </row>
    <row r="7" spans="2:9">
      <c r="B7" s="9">
        <f>销量!F6</f>
        <v>0</v>
      </c>
      <c r="C7" s="9">
        <f>销量!F5</f>
        <v>0</v>
      </c>
      <c r="D7" s="14">
        <f>销量!F7</f>
        <v>0</v>
      </c>
      <c r="E7" s="11">
        <f>材料成本!G6</f>
        <v>0</v>
      </c>
      <c r="F7" s="15">
        <f>销量!F8</f>
        <v>0</v>
      </c>
      <c r="G7" s="11">
        <f t="shared" si="0"/>
        <v>0</v>
      </c>
      <c r="H7" s="13" t="e">
        <f t="shared" si="1"/>
        <v>#DIV/0!</v>
      </c>
      <c r="I7" s="25"/>
    </row>
    <row r="8" ht="15" spans="2:9">
      <c r="B8" s="16">
        <f>销量!G6</f>
        <v>0</v>
      </c>
      <c r="C8" s="9">
        <f>销量!G5</f>
        <v>0</v>
      </c>
      <c r="D8" s="17">
        <f>销量!G7</f>
        <v>0</v>
      </c>
      <c r="E8" s="11">
        <f>材料成本!H6</f>
        <v>0</v>
      </c>
      <c r="F8" s="15">
        <f>销量!G8</f>
        <v>0</v>
      </c>
      <c r="G8" s="11">
        <f t="shared" si="0"/>
        <v>0</v>
      </c>
      <c r="H8" s="13" t="e">
        <f t="shared" si="1"/>
        <v>#DIV/0!</v>
      </c>
      <c r="I8" s="25"/>
    </row>
    <row r="9" ht="15" spans="2:9">
      <c r="B9" s="18">
        <f>销量!H6</f>
        <v>0</v>
      </c>
      <c r="C9" s="9">
        <f>销量!H5</f>
        <v>0</v>
      </c>
      <c r="D9" s="19">
        <f>销量!H7</f>
        <v>0</v>
      </c>
      <c r="E9" s="11">
        <f>材料成本!I6</f>
        <v>0</v>
      </c>
      <c r="F9" s="15">
        <f>销量!H8</f>
        <v>0</v>
      </c>
      <c r="G9" s="11">
        <f t="shared" si="0"/>
        <v>0</v>
      </c>
      <c r="H9" s="13" t="e">
        <f t="shared" si="1"/>
        <v>#DIV/0!</v>
      </c>
      <c r="I9" s="23"/>
    </row>
    <row r="10" ht="15.6" spans="2:9">
      <c r="B10" s="18">
        <f>销量!I6</f>
        <v>0</v>
      </c>
      <c r="C10" s="9">
        <f>销量!I5</f>
        <v>0</v>
      </c>
      <c r="D10" s="20"/>
      <c r="E10" s="11">
        <f>材料成本!J6</f>
        <v>0</v>
      </c>
      <c r="F10" s="15">
        <f>销量!I8</f>
        <v>0</v>
      </c>
      <c r="G10" s="11">
        <f t="shared" si="0"/>
        <v>0</v>
      </c>
      <c r="H10" s="13" t="e">
        <f t="shared" si="1"/>
        <v>#DIV/0!</v>
      </c>
      <c r="I10" s="26"/>
    </row>
    <row r="11" ht="26.25" customHeight="1" spans="2:9">
      <c r="B11" s="14" t="s">
        <v>159</v>
      </c>
      <c r="C11" s="21"/>
      <c r="D11" s="22"/>
      <c r="E11" s="11">
        <f>SUM(E4:E10)</f>
        <v>382.19309872165</v>
      </c>
      <c r="F11" s="11">
        <f t="shared" ref="F11:G11" si="2">SUM(F4:F10)</f>
        <v>588.766861915664</v>
      </c>
      <c r="G11" s="11">
        <f t="shared" si="2"/>
        <v>206.573763194014</v>
      </c>
      <c r="H11" s="13">
        <f t="shared" si="1"/>
        <v>0.350858338938927</v>
      </c>
      <c r="I11" s="27"/>
    </row>
  </sheetData>
  <mergeCells count="2">
    <mergeCell ref="B2:I2"/>
    <mergeCell ref="B11:D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7"/>
  <sheetViews>
    <sheetView workbookViewId="0">
      <pane xSplit="3" ySplit="7" topLeftCell="D56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5"/>
  <cols>
    <col min="1" max="1" width="5.12962962962963" style="263" customWidth="1"/>
    <col min="2" max="2" width="28.8796296296296" style="263" customWidth="1"/>
    <col min="3" max="9" width="12.25" style="264" customWidth="1"/>
    <col min="10" max="10" width="14.25" style="264" customWidth="1"/>
    <col min="11" max="36" width="9" style="263"/>
    <col min="37" max="37" width="4.37962962962963" style="263" customWidth="1"/>
    <col min="38" max="38" width="13.8796296296296" style="263" customWidth="1"/>
    <col min="39" max="16384" width="9" style="263"/>
  </cols>
  <sheetData>
    <row r="1" ht="35.25" customHeight="1" spans="1:10">
      <c r="A1" s="265" t="s">
        <v>19</v>
      </c>
      <c r="B1" s="265"/>
      <c r="C1" s="265"/>
      <c r="D1" s="265"/>
      <c r="E1" s="265"/>
      <c r="F1" s="265"/>
      <c r="G1" s="265"/>
      <c r="H1" s="265"/>
      <c r="I1" s="265"/>
      <c r="J1" s="265"/>
    </row>
    <row r="2" ht="20.25" customHeight="1" spans="2:10">
      <c r="B2" s="266"/>
      <c r="C2" s="266"/>
      <c r="D2" s="266"/>
      <c r="E2" s="266"/>
      <c r="F2" s="266"/>
      <c r="G2" s="266"/>
      <c r="H2" s="266"/>
      <c r="I2" s="295" t="s">
        <v>20</v>
      </c>
      <c r="J2" s="266"/>
    </row>
    <row r="3" ht="24" customHeight="1" spans="1:39">
      <c r="A3" s="267" t="s">
        <v>21</v>
      </c>
      <c r="B3" s="268" t="s">
        <v>22</v>
      </c>
      <c r="C3" s="269" t="s">
        <v>23</v>
      </c>
      <c r="D3" s="269" t="s">
        <v>24</v>
      </c>
      <c r="E3" s="269" t="s">
        <v>25</v>
      </c>
      <c r="F3" s="269" t="s">
        <v>26</v>
      </c>
      <c r="G3" s="269" t="s">
        <v>27</v>
      </c>
      <c r="H3" s="269" t="s">
        <v>28</v>
      </c>
      <c r="I3" s="269" t="s">
        <v>29</v>
      </c>
      <c r="J3" s="296" t="s">
        <v>30</v>
      </c>
      <c r="AM3" s="263" t="s">
        <v>31</v>
      </c>
    </row>
    <row r="4" s="190" customFormat="1" ht="15.75" customHeight="1" spans="1:39">
      <c r="A4" s="270"/>
      <c r="B4" s="200" t="s">
        <v>32</v>
      </c>
      <c r="C4" s="271">
        <f>'2026年'!I6</f>
        <v>60000</v>
      </c>
      <c r="D4" s="271">
        <f>'2027年'!I6</f>
        <v>60000</v>
      </c>
      <c r="E4" s="271">
        <f>'2028年'!I6</f>
        <v>60000</v>
      </c>
      <c r="F4" s="271">
        <f>'2029年'!I6</f>
        <v>60000</v>
      </c>
      <c r="G4" s="271">
        <f>'2030年 '!I6</f>
        <v>60000</v>
      </c>
      <c r="H4" s="271">
        <f>'2031年'!I6</f>
        <v>0</v>
      </c>
      <c r="I4" s="271">
        <f>'2032年'!I6</f>
        <v>0</v>
      </c>
      <c r="J4" s="271">
        <f t="shared" ref="J4:J12" si="0">SUM(C4:I4)</f>
        <v>300000</v>
      </c>
      <c r="AK4" s="199" t="s">
        <v>21</v>
      </c>
      <c r="AL4" s="200" t="s">
        <v>3</v>
      </c>
      <c r="AM4" s="190" t="s">
        <v>33</v>
      </c>
    </row>
    <row r="5" s="190" customFormat="1" ht="15.75" customHeight="1" spans="1:39">
      <c r="A5" s="192">
        <v>1</v>
      </c>
      <c r="B5" s="200" t="s">
        <v>34</v>
      </c>
      <c r="C5" s="271">
        <f>'2026年'!I7</f>
        <v>19529995.2129248</v>
      </c>
      <c r="D5" s="271">
        <f>'2027年'!I7</f>
        <v>19529995.2129248</v>
      </c>
      <c r="E5" s="271">
        <f>'2028年'!I7</f>
        <v>19529995.2129248</v>
      </c>
      <c r="F5" s="271">
        <f>'2029年'!I7</f>
        <v>19529995.2129248</v>
      </c>
      <c r="G5" s="271">
        <f>'2030年 '!I7</f>
        <v>19529995.2129248</v>
      </c>
      <c r="H5" s="271">
        <f>'2031年'!I7</f>
        <v>0</v>
      </c>
      <c r="I5" s="271">
        <f>'2032年'!I7</f>
        <v>0</v>
      </c>
      <c r="J5" s="271">
        <f t="shared" si="0"/>
        <v>97649976.0646238</v>
      </c>
      <c r="AK5" s="199" t="s">
        <v>35</v>
      </c>
      <c r="AL5" s="200" t="s">
        <v>36</v>
      </c>
      <c r="AM5" s="190" t="s">
        <v>33</v>
      </c>
    </row>
    <row r="6" s="190" customFormat="1" ht="15.75" customHeight="1" spans="1:39">
      <c r="A6" s="192">
        <v>2</v>
      </c>
      <c r="B6" s="200" t="s">
        <v>37</v>
      </c>
      <c r="C6" s="271">
        <f>'2026年'!I8</f>
        <v>0</v>
      </c>
      <c r="D6" s="271">
        <f>'2027年'!I8</f>
        <v>195299.952129248</v>
      </c>
      <c r="E6" s="271">
        <f>'2028年'!I8</f>
        <v>388646.904737201</v>
      </c>
      <c r="F6" s="271">
        <f>'2029年'!I8</f>
        <v>580060.387819078</v>
      </c>
      <c r="G6" s="271">
        <f>'2030年 '!I8</f>
        <v>580060.387819078</v>
      </c>
      <c r="H6" s="271">
        <f>'2031年'!I8</f>
        <v>0</v>
      </c>
      <c r="I6" s="271">
        <f>'2032年'!I8</f>
        <v>0</v>
      </c>
      <c r="J6" s="271">
        <f t="shared" si="0"/>
        <v>1744067.6325046</v>
      </c>
      <c r="AK6" s="199" t="s">
        <v>38</v>
      </c>
      <c r="AL6" s="192" t="s">
        <v>39</v>
      </c>
      <c r="AM6" s="190" t="s">
        <v>33</v>
      </c>
    </row>
    <row r="7" s="190" customFormat="1" ht="15.75" customHeight="1" spans="1:39">
      <c r="A7" s="192">
        <v>3</v>
      </c>
      <c r="B7" s="200" t="s">
        <v>40</v>
      </c>
      <c r="C7" s="272">
        <f>+C5-C6</f>
        <v>19529995.2129248</v>
      </c>
      <c r="D7" s="272">
        <f>'2027年'!I9</f>
        <v>19334695.2607955</v>
      </c>
      <c r="E7" s="272">
        <f>'2028年'!I9</f>
        <v>19141348.3081876</v>
      </c>
      <c r="F7" s="272">
        <f>'2029年'!I9</f>
        <v>18949934.8251057</v>
      </c>
      <c r="G7" s="271">
        <f>'2030年 '!I9</f>
        <v>18949934.8251057</v>
      </c>
      <c r="H7" s="272">
        <f>'2031年'!I9</f>
        <v>0</v>
      </c>
      <c r="I7" s="271">
        <f>'2032年'!I9</f>
        <v>0</v>
      </c>
      <c r="J7" s="271">
        <f t="shared" si="0"/>
        <v>95905908.4321192</v>
      </c>
      <c r="AK7" s="199" t="s">
        <v>41</v>
      </c>
      <c r="AL7" s="200" t="s">
        <v>40</v>
      </c>
      <c r="AM7" s="190" t="s">
        <v>42</v>
      </c>
    </row>
    <row r="8" s="190" customFormat="1" ht="15.75" customHeight="1" spans="1:39">
      <c r="A8" s="192">
        <v>4</v>
      </c>
      <c r="B8" s="199" t="s">
        <v>43</v>
      </c>
      <c r="C8" s="271">
        <f>'2026年'!I10</f>
        <v>9734428.77463918</v>
      </c>
      <c r="D8" s="271">
        <f>'2027年'!I10</f>
        <v>9637084.48689279</v>
      </c>
      <c r="E8" s="271">
        <f>'2028年'!I10</f>
        <v>9540713.64202386</v>
      </c>
      <c r="F8" s="271">
        <f>'2029年'!I10</f>
        <v>9445306.50560362</v>
      </c>
      <c r="G8" s="271">
        <f>'2030年 '!I10</f>
        <v>9445306.50560362</v>
      </c>
      <c r="H8" s="271">
        <f>'2031年'!I10</f>
        <v>0</v>
      </c>
      <c r="I8" s="271">
        <f>'2032年'!I10</f>
        <v>0</v>
      </c>
      <c r="J8" s="271">
        <f t="shared" si="0"/>
        <v>47802839.9147631</v>
      </c>
      <c r="AK8" s="199" t="s">
        <v>44</v>
      </c>
      <c r="AL8" s="199" t="s">
        <v>43</v>
      </c>
      <c r="AM8" s="190" t="s">
        <v>45</v>
      </c>
    </row>
    <row r="9" s="190" customFormat="1" ht="15.75" customHeight="1" spans="1:38">
      <c r="A9" s="192">
        <v>5</v>
      </c>
      <c r="B9" s="199" t="s">
        <v>46</v>
      </c>
      <c r="C9" s="271">
        <f>'2026年'!I11</f>
        <v>1219925.82607657</v>
      </c>
      <c r="D9" s="271">
        <f>'2027年'!I11</f>
        <v>1219925.82607657</v>
      </c>
      <c r="E9" s="271">
        <f>'2028年'!I11</f>
        <v>1219925.82607657</v>
      </c>
      <c r="F9" s="271">
        <f>'2029年'!I11</f>
        <v>1219925.82607657</v>
      </c>
      <c r="G9" s="271">
        <f>'2030年 '!I11</f>
        <v>1219925.82607657</v>
      </c>
      <c r="H9" s="271">
        <f>'2031年'!I11</f>
        <v>0</v>
      </c>
      <c r="I9" s="271">
        <f>'2032年'!I11</f>
        <v>0</v>
      </c>
      <c r="J9" s="271">
        <f t="shared" si="0"/>
        <v>6099629.13038283</v>
      </c>
      <c r="AK9" s="199" t="s">
        <v>47</v>
      </c>
      <c r="AL9" s="199" t="s">
        <v>46</v>
      </c>
    </row>
    <row r="10" s="190" customFormat="1" ht="15.75" customHeight="1" spans="1:38">
      <c r="A10" s="192">
        <v>6</v>
      </c>
      <c r="B10" s="199" t="s">
        <v>48</v>
      </c>
      <c r="C10" s="271">
        <f>'2026年'!I12</f>
        <v>1994168.02741444</v>
      </c>
      <c r="D10" s="271">
        <f>'2027年'!I12</f>
        <v>1994168.02741444</v>
      </c>
      <c r="E10" s="271">
        <f>'2028年'!I12</f>
        <v>1994168.02741444</v>
      </c>
      <c r="F10" s="271">
        <f>'2029年'!I12</f>
        <v>1994168.02741444</v>
      </c>
      <c r="G10" s="271">
        <f>'2030年 '!I12</f>
        <v>1994168.02741444</v>
      </c>
      <c r="H10" s="271">
        <f>'2031年'!I12</f>
        <v>0</v>
      </c>
      <c r="I10" s="271">
        <f>'2032年'!I12</f>
        <v>0</v>
      </c>
      <c r="J10" s="271">
        <f t="shared" si="0"/>
        <v>9970840.13707219</v>
      </c>
      <c r="AK10" s="199" t="s">
        <v>49</v>
      </c>
      <c r="AL10" s="199" t="s">
        <v>48</v>
      </c>
    </row>
    <row r="11" s="190" customFormat="1" ht="15.75" customHeight="1" spans="1:39">
      <c r="A11" s="192">
        <v>7</v>
      </c>
      <c r="B11" s="273" t="s">
        <v>50</v>
      </c>
      <c r="C11" s="271">
        <f>'2026年'!I13</f>
        <v>4318950</v>
      </c>
      <c r="D11" s="271">
        <f>'2027年'!I13</f>
        <v>4318950</v>
      </c>
      <c r="E11" s="271">
        <f>'2028年'!I13</f>
        <v>4318950</v>
      </c>
      <c r="F11" s="271">
        <f>'2029年'!I13</f>
        <v>4318950</v>
      </c>
      <c r="G11" s="271">
        <f>'2030年 '!I13</f>
        <v>4318950</v>
      </c>
      <c r="H11" s="271">
        <f>'2031年'!I13</f>
        <v>0</v>
      </c>
      <c r="I11" s="271">
        <f>'2032年'!I13</f>
        <v>0</v>
      </c>
      <c r="J11" s="271">
        <f t="shared" si="0"/>
        <v>21594750</v>
      </c>
      <c r="AK11" s="199" t="s">
        <v>51</v>
      </c>
      <c r="AL11" s="199" t="s">
        <v>50</v>
      </c>
      <c r="AM11" s="190" t="s">
        <v>33</v>
      </c>
    </row>
    <row r="12" s="190" customFormat="1" ht="15.75" customHeight="1" spans="1:38">
      <c r="A12" s="192">
        <v>8</v>
      </c>
      <c r="B12" s="274" t="s">
        <v>52</v>
      </c>
      <c r="C12" s="275">
        <f>'2026年'!I14</f>
        <v>7533043.853491</v>
      </c>
      <c r="D12" s="275">
        <f>'2027年'!I14</f>
        <v>7533043.853491</v>
      </c>
      <c r="E12" s="275">
        <f>'2028年'!I14</f>
        <v>7533043.853491</v>
      </c>
      <c r="F12" s="275">
        <f>'2029年'!I14</f>
        <v>7533043.853491</v>
      </c>
      <c r="G12" s="276">
        <f>'2030年 '!I14</f>
        <v>7533043.853491</v>
      </c>
      <c r="H12" s="277">
        <f>'2031年'!I14</f>
        <v>0</v>
      </c>
      <c r="I12" s="276">
        <f>'2032年'!I14</f>
        <v>0</v>
      </c>
      <c r="J12" s="275">
        <f t="shared" si="0"/>
        <v>37665219.267455</v>
      </c>
      <c r="AK12" s="199" t="s">
        <v>53</v>
      </c>
      <c r="AL12" s="203" t="s">
        <v>52</v>
      </c>
    </row>
    <row r="13" s="190" customFormat="1" ht="15.75" customHeight="1" spans="1:38">
      <c r="A13" s="192">
        <v>9</v>
      </c>
      <c r="B13" s="278" t="s">
        <v>54</v>
      </c>
      <c r="C13" s="271">
        <f>'2026年'!I15</f>
        <v>2262522.58479459</v>
      </c>
      <c r="D13" s="271">
        <f>'2027年'!I15</f>
        <v>2164566.92041173</v>
      </c>
      <c r="E13" s="271">
        <f>'2028年'!I15</f>
        <v>2067590.81267271</v>
      </c>
      <c r="F13" s="271">
        <f>'2029年'!I15</f>
        <v>1971584.46601107</v>
      </c>
      <c r="G13" s="271">
        <f>'2030年 '!I15</f>
        <v>1971584.46601107</v>
      </c>
      <c r="H13" s="271">
        <f>'2031年'!I15</f>
        <v>0</v>
      </c>
      <c r="I13" s="271">
        <f>'2032年'!I15</f>
        <v>0</v>
      </c>
      <c r="J13" s="271">
        <f>J7-J8-J12</f>
        <v>10437849.2499011</v>
      </c>
      <c r="L13" s="263"/>
      <c r="M13" s="263"/>
      <c r="N13" s="263"/>
      <c r="O13" s="263"/>
      <c r="P13" s="263"/>
      <c r="Q13" s="263"/>
      <c r="AK13" s="199" t="s">
        <v>55</v>
      </c>
      <c r="AL13" s="203" t="s">
        <v>54</v>
      </c>
    </row>
    <row r="14" ht="15.75" customHeight="1" spans="1:38">
      <c r="A14" s="192">
        <v>10</v>
      </c>
      <c r="B14" s="279" t="s">
        <v>56</v>
      </c>
      <c r="C14" s="280">
        <f>+C13/C7</f>
        <v>0.115848599046111</v>
      </c>
      <c r="D14" s="280">
        <f t="shared" ref="D14:J14" si="1">+D13/D7</f>
        <v>0.111952471513775</v>
      </c>
      <c r="E14" s="280">
        <f t="shared" si="1"/>
        <v>0.10801698915788</v>
      </c>
      <c r="F14" s="280">
        <f t="shared" si="1"/>
        <v>0.104041754454956</v>
      </c>
      <c r="G14" s="280">
        <f t="shared" si="1"/>
        <v>0.104041754454956</v>
      </c>
      <c r="H14" s="280" t="e">
        <f t="shared" si="1"/>
        <v>#DIV/0!</v>
      </c>
      <c r="I14" s="280" t="e">
        <f t="shared" si="1"/>
        <v>#DIV/0!</v>
      </c>
      <c r="J14" s="280">
        <f t="shared" si="1"/>
        <v>0.108834267049239</v>
      </c>
      <c r="AK14" s="279" t="s">
        <v>57</v>
      </c>
      <c r="AL14" s="279" t="s">
        <v>56</v>
      </c>
    </row>
    <row r="15" ht="15.75" customHeight="1" spans="1:38">
      <c r="A15" s="192">
        <v>11</v>
      </c>
      <c r="B15" s="279" t="s">
        <v>58</v>
      </c>
      <c r="C15" s="271">
        <f>'2026年'!I17</f>
        <v>775763.305859163</v>
      </c>
      <c r="D15" s="271">
        <f>'2027年'!I17</f>
        <v>775763.305859163</v>
      </c>
      <c r="E15" s="271">
        <f>'2028年'!I17</f>
        <v>775763.305859163</v>
      </c>
      <c r="F15" s="271">
        <f>'2029年'!I17</f>
        <v>775763.305859163</v>
      </c>
      <c r="G15" s="271">
        <f>'2030年 '!I17</f>
        <v>775763.305859163</v>
      </c>
      <c r="H15" s="271"/>
      <c r="I15" s="271"/>
      <c r="J15" s="271">
        <f>SUM(C15:I15)</f>
        <v>3878816.52929582</v>
      </c>
      <c r="AK15" s="279" t="s">
        <v>59</v>
      </c>
      <c r="AL15" s="279" t="s">
        <v>58</v>
      </c>
    </row>
    <row r="16" ht="15.75" hidden="1" customHeight="1" spans="1:38">
      <c r="A16" s="192"/>
      <c r="B16" s="279"/>
      <c r="C16" s="271"/>
      <c r="D16" s="271"/>
      <c r="E16" s="271"/>
      <c r="F16" s="271"/>
      <c r="G16" s="271">
        <f>'2030年 '!I18</f>
        <v>0</v>
      </c>
      <c r="H16" s="271"/>
      <c r="I16" s="271">
        <f>'2032年'!I18</f>
        <v>0</v>
      </c>
      <c r="J16" s="271"/>
      <c r="AK16" s="279"/>
      <c r="AL16" s="279"/>
    </row>
    <row r="17" ht="15.75" customHeight="1" spans="1:39">
      <c r="A17" s="192">
        <v>12</v>
      </c>
      <c r="B17" s="279" t="s">
        <v>60</v>
      </c>
      <c r="C17" s="281">
        <f>'2026年'!I19</f>
        <v>316389.740428835</v>
      </c>
      <c r="D17" s="281">
        <f>'2027年'!I19</f>
        <v>316389.740428835</v>
      </c>
      <c r="E17" s="281">
        <f>'2028年'!I19</f>
        <v>316389.740428835</v>
      </c>
      <c r="F17" s="281">
        <f>'2029年'!I19</f>
        <v>316389.740428835</v>
      </c>
      <c r="G17" s="271">
        <f>'2030年 '!I19</f>
        <v>316389.740428835</v>
      </c>
      <c r="H17" s="281">
        <f>'2031年'!I19</f>
        <v>0</v>
      </c>
      <c r="I17" s="271">
        <f>'2032年'!I19</f>
        <v>0</v>
      </c>
      <c r="J17" s="271">
        <f>SUM(C17:I17)</f>
        <v>1581948.70214418</v>
      </c>
      <c r="R17" s="219"/>
      <c r="AK17" s="279" t="s">
        <v>61</v>
      </c>
      <c r="AL17" s="279" t="s">
        <v>60</v>
      </c>
      <c r="AM17" s="263" t="s">
        <v>33</v>
      </c>
    </row>
    <row r="18" ht="15.75" customHeight="1" spans="1:38">
      <c r="A18" s="192">
        <v>13</v>
      </c>
      <c r="B18" s="279" t="s">
        <v>62</v>
      </c>
      <c r="C18" s="281">
        <f>'2026年'!I20</f>
        <v>354417.353461147</v>
      </c>
      <c r="D18" s="281">
        <f>'2027年'!I20</f>
        <v>354417.353461147</v>
      </c>
      <c r="E18" s="281">
        <f>'2028年'!I20</f>
        <v>354417.353461147</v>
      </c>
      <c r="F18" s="281">
        <f>'2029年'!I20</f>
        <v>354417.353461147</v>
      </c>
      <c r="G18" s="271">
        <f>'2030年 '!I20</f>
        <v>354417.353461147</v>
      </c>
      <c r="H18" s="281">
        <f>'2031年'!I20</f>
        <v>0</v>
      </c>
      <c r="I18" s="271">
        <f>'2032年'!I20</f>
        <v>0</v>
      </c>
      <c r="J18" s="271">
        <f>SUM(C18:I18)</f>
        <v>1772086.76730574</v>
      </c>
      <c r="AK18" s="279" t="s">
        <v>63</v>
      </c>
      <c r="AL18" s="279" t="s">
        <v>62</v>
      </c>
    </row>
    <row r="19" s="189" customFormat="1" ht="15.75" customHeight="1" spans="1:38">
      <c r="A19" s="192">
        <v>14</v>
      </c>
      <c r="B19" s="208" t="s">
        <v>64</v>
      </c>
      <c r="C19" s="282">
        <f>'2026年'!I21</f>
        <v>0</v>
      </c>
      <c r="D19" s="282">
        <f>'2027年'!I21</f>
        <v>0</v>
      </c>
      <c r="E19" s="282">
        <f>'2028年'!I21</f>
        <v>0</v>
      </c>
      <c r="F19" s="282">
        <f>'2029年'!I21</f>
        <v>0</v>
      </c>
      <c r="G19" s="271">
        <f>'2030年 '!I21</f>
        <v>0</v>
      </c>
      <c r="H19" s="282">
        <f>'2031年'!I21</f>
        <v>0</v>
      </c>
      <c r="I19" s="271">
        <f>'2032年'!I21</f>
        <v>0</v>
      </c>
      <c r="J19" s="271">
        <f>SUM(C19:I19)</f>
        <v>0</v>
      </c>
      <c r="AK19" s="208"/>
      <c r="AL19" s="208"/>
    </row>
    <row r="20" s="190" customFormat="1" ht="15.75" customHeight="1" spans="1:38">
      <c r="A20" s="192">
        <v>15</v>
      </c>
      <c r="B20" s="199" t="s">
        <v>65</v>
      </c>
      <c r="C20" s="281">
        <f>'2026年'!I22</f>
        <v>539992.105058829</v>
      </c>
      <c r="D20" s="281">
        <f>'2027年'!I22</f>
        <v>539992.105058829</v>
      </c>
      <c r="E20" s="281">
        <f>'2028年'!I22</f>
        <v>539992.105058829</v>
      </c>
      <c r="F20" s="281">
        <f>'2029年'!I22</f>
        <v>539992.105058829</v>
      </c>
      <c r="G20" s="271">
        <f>'2030年 '!I22</f>
        <v>539992.105058829</v>
      </c>
      <c r="H20" s="281">
        <f>'2031年'!I22</f>
        <v>0</v>
      </c>
      <c r="I20" s="271">
        <f>'2032年'!I22</f>
        <v>0</v>
      </c>
      <c r="J20" s="271">
        <f>SUM(C20:I20)</f>
        <v>2699960.52529415</v>
      </c>
      <c r="AK20" s="199" t="s">
        <v>66</v>
      </c>
      <c r="AL20" s="199" t="s">
        <v>65</v>
      </c>
    </row>
    <row r="21" s="261" customFormat="1" ht="15.75" customHeight="1" spans="1:38">
      <c r="A21" s="192">
        <v>16</v>
      </c>
      <c r="B21" s="283" t="s">
        <v>67</v>
      </c>
      <c r="C21" s="275">
        <f t="shared" ref="C21" si="2">+C20+C19+C18+C17+C15</f>
        <v>1986562.50480797</v>
      </c>
      <c r="D21" s="275">
        <f>'2027年'!I23</f>
        <v>1986562.50480797</v>
      </c>
      <c r="E21" s="275">
        <f>'2028年'!I23</f>
        <v>1986562.50480797</v>
      </c>
      <c r="F21" s="275">
        <f>'2029年'!I23</f>
        <v>1986562.50480797</v>
      </c>
      <c r="G21" s="276">
        <f>'2030年 '!I23</f>
        <v>1986562.50480797</v>
      </c>
      <c r="H21" s="275"/>
      <c r="I21" s="276"/>
      <c r="J21" s="275">
        <f>SUM(C21:I21)</f>
        <v>9932812.52403987</v>
      </c>
      <c r="AK21" s="297" t="s">
        <v>68</v>
      </c>
      <c r="AL21" s="298" t="s">
        <v>67</v>
      </c>
    </row>
    <row r="22" ht="15.75" customHeight="1" spans="1:38">
      <c r="A22" s="192">
        <v>17</v>
      </c>
      <c r="B22" s="279" t="s">
        <v>69</v>
      </c>
      <c r="C22" s="284">
        <f>+C13-C21</f>
        <v>275960.079986611</v>
      </c>
      <c r="D22" s="284">
        <f>'2027年'!I24</f>
        <v>178004.415603755</v>
      </c>
      <c r="E22" s="284">
        <f>'2028年'!I24</f>
        <v>81028.3078647307</v>
      </c>
      <c r="F22" s="284">
        <f>'2029年'!I24</f>
        <v>-14978.0387969089</v>
      </c>
      <c r="G22" s="271">
        <f>'2030年 '!I24</f>
        <v>-14978.0387969089</v>
      </c>
      <c r="H22" s="284" t="e">
        <f>'2031年'!I24</f>
        <v>#DIV/0!</v>
      </c>
      <c r="I22" s="271" t="e">
        <f>'2032年'!I24</f>
        <v>#DIV/0!</v>
      </c>
      <c r="J22" s="284">
        <f>+J13-J21</f>
        <v>505036.725861272</v>
      </c>
      <c r="AK22" s="279" t="s">
        <v>70</v>
      </c>
      <c r="AL22" s="279" t="s">
        <v>69</v>
      </c>
    </row>
    <row r="23" ht="15.75" customHeight="1" spans="1:38">
      <c r="A23" s="192">
        <v>18</v>
      </c>
      <c r="B23" s="279" t="s">
        <v>71</v>
      </c>
      <c r="C23" s="284">
        <f>IF(C22&lt;0,0,C22*0.15)</f>
        <v>41394.0119979917</v>
      </c>
      <c r="D23" s="284">
        <f t="shared" ref="D23:J23" si="3">IF(D22&lt;0,0,D22*0.15)</f>
        <v>26700.6623405632</v>
      </c>
      <c r="E23" s="284">
        <f t="shared" si="3"/>
        <v>12154.2461797096</v>
      </c>
      <c r="F23" s="284">
        <f t="shared" si="3"/>
        <v>0</v>
      </c>
      <c r="G23" s="284">
        <f t="shared" si="3"/>
        <v>0</v>
      </c>
      <c r="H23" s="284" t="e">
        <f t="shared" si="3"/>
        <v>#DIV/0!</v>
      </c>
      <c r="I23" s="284" t="e">
        <f t="shared" si="3"/>
        <v>#DIV/0!</v>
      </c>
      <c r="J23" s="284">
        <f t="shared" si="3"/>
        <v>75755.5088791908</v>
      </c>
      <c r="AK23" s="279" t="s">
        <v>72</v>
      </c>
      <c r="AL23" s="279" t="s">
        <v>73</v>
      </c>
    </row>
    <row r="24" s="190" customFormat="1" ht="15.75" customHeight="1" spans="1:38">
      <c r="A24" s="192">
        <v>19</v>
      </c>
      <c r="B24" s="199" t="s">
        <v>74</v>
      </c>
      <c r="C24" s="271">
        <f>C22-C23</f>
        <v>234566.06798862</v>
      </c>
      <c r="D24" s="271">
        <f>'2027年'!I26</f>
        <v>151303.753263191</v>
      </c>
      <c r="E24" s="271">
        <f>'2028年'!I26</f>
        <v>68874.0616850211</v>
      </c>
      <c r="F24" s="271">
        <f>'2029年'!I26</f>
        <v>-14978.0387969089</v>
      </c>
      <c r="G24" s="271">
        <f>'2030年 '!I26</f>
        <v>-14978.0387969089</v>
      </c>
      <c r="H24" s="271" t="e">
        <f>'2031年'!I26</f>
        <v>#DIV/0!</v>
      </c>
      <c r="I24" s="271" t="e">
        <f>'2032年'!I26</f>
        <v>#DIV/0!</v>
      </c>
      <c r="J24" s="271">
        <f>J22-J23</f>
        <v>429281.216982081</v>
      </c>
      <c r="AK24" s="199" t="s">
        <v>75</v>
      </c>
      <c r="AL24" s="199" t="s">
        <v>74</v>
      </c>
    </row>
    <row r="25" s="190" customFormat="1" ht="15.75" customHeight="1" spans="1:38">
      <c r="A25" s="192">
        <v>20</v>
      </c>
      <c r="B25" s="199" t="s">
        <v>76</v>
      </c>
      <c r="C25" s="285">
        <f>(C24/C5)*100%</f>
        <v>0.0120105543002584</v>
      </c>
      <c r="D25" s="285">
        <f t="shared" ref="D25:J25" si="4">(D24/D5)*100%</f>
        <v>0.00774724988990576</v>
      </c>
      <c r="E25" s="285">
        <f t="shared" si="4"/>
        <v>0.00352657852365683</v>
      </c>
      <c r="F25" s="285">
        <f t="shared" si="4"/>
        <v>-0.000766924857564563</v>
      </c>
      <c r="G25" s="285">
        <f t="shared" si="4"/>
        <v>-0.000766924857564563</v>
      </c>
      <c r="H25" s="285" t="e">
        <f t="shared" si="4"/>
        <v>#DIV/0!</v>
      </c>
      <c r="I25" s="285" t="e">
        <f t="shared" si="4"/>
        <v>#DIV/0!</v>
      </c>
      <c r="J25" s="285">
        <f t="shared" si="4"/>
        <v>0.00439612209119219</v>
      </c>
      <c r="AK25" s="299" t="s">
        <v>77</v>
      </c>
      <c r="AL25" s="299" t="s">
        <v>78</v>
      </c>
    </row>
    <row r="26" s="262" customFormat="1" ht="15.75" customHeight="1" spans="3:10">
      <c r="C26" s="286"/>
      <c r="D26" s="286"/>
      <c r="E26" s="286"/>
      <c r="F26" s="286"/>
      <c r="G26" s="286"/>
      <c r="H26" s="287"/>
      <c r="I26" s="287"/>
      <c r="J26" s="287"/>
    </row>
    <row r="27" s="262" customFormat="1" ht="15.75" customHeight="1" spans="1:37">
      <c r="A27" s="262" t="s">
        <v>79</v>
      </c>
      <c r="C27" s="288"/>
      <c r="D27" s="288"/>
      <c r="E27" s="288"/>
      <c r="F27" s="288"/>
      <c r="G27" s="288"/>
      <c r="H27" s="288"/>
      <c r="I27" s="288"/>
      <c r="J27" s="288"/>
      <c r="AK27" s="262" t="s">
        <v>79</v>
      </c>
    </row>
    <row r="28" s="190" customFormat="1" ht="24.75" customHeight="1" spans="1:39">
      <c r="A28" s="200" t="s">
        <v>21</v>
      </c>
      <c r="B28" s="200" t="s">
        <v>22</v>
      </c>
      <c r="C28" s="269" t="str">
        <f>C3</f>
        <v>2026年</v>
      </c>
      <c r="D28" s="269" t="str">
        <f t="shared" ref="D28:I28" si="5">D3</f>
        <v>2027年</v>
      </c>
      <c r="E28" s="269" t="str">
        <f t="shared" si="5"/>
        <v>2028年</v>
      </c>
      <c r="F28" s="269" t="str">
        <f t="shared" si="5"/>
        <v>2029年</v>
      </c>
      <c r="G28" s="269" t="str">
        <f t="shared" si="5"/>
        <v>2030年</v>
      </c>
      <c r="H28" s="269" t="str">
        <f t="shared" si="5"/>
        <v>2031年</v>
      </c>
      <c r="I28" s="269" t="str">
        <f t="shared" si="5"/>
        <v>2032年</v>
      </c>
      <c r="J28" s="296" t="s">
        <v>30</v>
      </c>
      <c r="AM28" s="190" t="s">
        <v>31</v>
      </c>
    </row>
    <row r="29" s="190" customFormat="1" ht="15.75" customHeight="1" spans="1:38">
      <c r="A29" s="199" t="s">
        <v>80</v>
      </c>
      <c r="B29" s="203" t="s">
        <v>81</v>
      </c>
      <c r="C29" s="207"/>
      <c r="D29" s="207"/>
      <c r="E29" s="207"/>
      <c r="F29" s="207"/>
      <c r="G29" s="207"/>
      <c r="H29" s="207"/>
      <c r="I29" s="207"/>
      <c r="J29" s="207"/>
      <c r="AK29" s="199" t="s">
        <v>82</v>
      </c>
      <c r="AL29" s="203" t="s">
        <v>81</v>
      </c>
    </row>
    <row r="30" s="190" customFormat="1" ht="15.75" customHeight="1" spans="1:38">
      <c r="A30" s="199" t="s">
        <v>35</v>
      </c>
      <c r="B30" s="199" t="s">
        <v>83</v>
      </c>
      <c r="C30" s="202">
        <f>+C7/C4</f>
        <v>325.499920215413</v>
      </c>
      <c r="D30" s="202">
        <f t="shared" ref="D30:H30" si="6">+D7/D4</f>
        <v>322.244921013259</v>
      </c>
      <c r="E30" s="202">
        <f t="shared" si="6"/>
        <v>319.022471803126</v>
      </c>
      <c r="F30" s="202">
        <f t="shared" si="6"/>
        <v>315.832247085095</v>
      </c>
      <c r="G30" s="202">
        <f t="shared" si="6"/>
        <v>315.832247085095</v>
      </c>
      <c r="H30" s="202" t="e">
        <f t="shared" si="6"/>
        <v>#DIV/0!</v>
      </c>
      <c r="I30" s="202" t="e">
        <f t="shared" ref="I30:J30" si="7">+I7/I4</f>
        <v>#DIV/0!</v>
      </c>
      <c r="J30" s="202">
        <f t="shared" si="7"/>
        <v>319.686361440397</v>
      </c>
      <c r="AK30" s="199" t="s">
        <v>35</v>
      </c>
      <c r="AL30" s="199" t="s">
        <v>83</v>
      </c>
    </row>
    <row r="31" s="190" customFormat="1" ht="15.75" customHeight="1" spans="1:38">
      <c r="A31" s="199" t="s">
        <v>38</v>
      </c>
      <c r="B31" s="199" t="s">
        <v>84</v>
      </c>
      <c r="C31" s="202">
        <f>+C8/C4</f>
        <v>162.24047957732</v>
      </c>
      <c r="D31" s="202">
        <f t="shared" ref="D31:J31" si="8">+D8/D4</f>
        <v>160.618074781546</v>
      </c>
      <c r="E31" s="202">
        <f t="shared" si="8"/>
        <v>159.011894033731</v>
      </c>
      <c r="F31" s="202">
        <f t="shared" si="8"/>
        <v>157.421775093394</v>
      </c>
      <c r="G31" s="202">
        <f t="shared" si="8"/>
        <v>157.421775093394</v>
      </c>
      <c r="H31" s="202" t="e">
        <f t="shared" si="8"/>
        <v>#DIV/0!</v>
      </c>
      <c r="I31" s="202" t="e">
        <f t="shared" ref="I31" si="9">+I8/I4</f>
        <v>#DIV/0!</v>
      </c>
      <c r="J31" s="202">
        <f t="shared" si="8"/>
        <v>159.342799715877</v>
      </c>
      <c r="AK31" s="199" t="s">
        <v>38</v>
      </c>
      <c r="AL31" s="199" t="s">
        <v>84</v>
      </c>
    </row>
    <row r="32" s="190" customFormat="1" ht="15.75" customHeight="1" spans="1:38">
      <c r="A32" s="199" t="s">
        <v>85</v>
      </c>
      <c r="B32" s="199" t="s">
        <v>86</v>
      </c>
      <c r="C32" s="207">
        <f t="shared" ref="C32:J32" si="10">C30-C31</f>
        <v>163.259440638093</v>
      </c>
      <c r="D32" s="207">
        <f t="shared" si="10"/>
        <v>161.626846231712</v>
      </c>
      <c r="E32" s="207">
        <f t="shared" si="10"/>
        <v>160.010577769395</v>
      </c>
      <c r="F32" s="207">
        <f t="shared" si="10"/>
        <v>158.410471991701</v>
      </c>
      <c r="G32" s="207">
        <f t="shared" si="10"/>
        <v>158.410471991701</v>
      </c>
      <c r="H32" s="207" t="e">
        <f t="shared" si="10"/>
        <v>#DIV/0!</v>
      </c>
      <c r="I32" s="207" t="e">
        <f t="shared" ref="I32" si="11">I30-I31</f>
        <v>#DIV/0!</v>
      </c>
      <c r="J32" s="207">
        <f t="shared" si="10"/>
        <v>160.343561724521</v>
      </c>
      <c r="AK32" s="199" t="s">
        <v>85</v>
      </c>
      <c r="AL32" s="199" t="s">
        <v>86</v>
      </c>
    </row>
    <row r="33" s="190" customFormat="1" ht="15.75" customHeight="1" spans="1:38">
      <c r="A33" s="199">
        <v>3.1</v>
      </c>
      <c r="B33" s="199" t="s">
        <v>87</v>
      </c>
      <c r="C33" s="289">
        <f t="shared" ref="C33:H33" si="12">C32/C30</f>
        <v>0.501565224747366</v>
      </c>
      <c r="D33" s="289">
        <f t="shared" si="12"/>
        <v>0.501565224747366</v>
      </c>
      <c r="E33" s="289">
        <f t="shared" si="12"/>
        <v>0.501565224747366</v>
      </c>
      <c r="F33" s="289">
        <f t="shared" si="12"/>
        <v>0.501565224747366</v>
      </c>
      <c r="G33" s="289">
        <f t="shared" si="12"/>
        <v>0.501565224747366</v>
      </c>
      <c r="H33" s="289" t="e">
        <f t="shared" si="12"/>
        <v>#DIV/0!</v>
      </c>
      <c r="I33" s="289" t="e">
        <f t="shared" ref="I33" si="13">I32/I30</f>
        <v>#DIV/0!</v>
      </c>
      <c r="J33" s="289">
        <f t="shared" ref="J33" si="14">J32/J30</f>
        <v>0.501565224747366</v>
      </c>
      <c r="AK33" s="199"/>
      <c r="AL33" s="199"/>
    </row>
    <row r="34" s="190" customFormat="1" ht="15.75" customHeight="1" spans="1:38">
      <c r="A34" s="199" t="s">
        <v>82</v>
      </c>
      <c r="B34" s="203" t="s">
        <v>10</v>
      </c>
      <c r="C34" s="207"/>
      <c r="D34" s="207"/>
      <c r="E34" s="207"/>
      <c r="F34" s="207"/>
      <c r="G34" s="207"/>
      <c r="H34" s="207"/>
      <c r="I34" s="207"/>
      <c r="J34" s="207"/>
      <c r="AK34" s="199" t="s">
        <v>88</v>
      </c>
      <c r="AL34" s="203" t="s">
        <v>10</v>
      </c>
    </row>
    <row r="35" s="190" customFormat="1" ht="15.75" customHeight="1" spans="1:38">
      <c r="A35" s="199" t="s">
        <v>35</v>
      </c>
      <c r="B35" s="208" t="s">
        <v>89</v>
      </c>
      <c r="C35" s="202">
        <f>+C9/C4</f>
        <v>20.3320971012761</v>
      </c>
      <c r="D35" s="202">
        <f t="shared" ref="D35:F35" si="15">+D9/D4</f>
        <v>20.3320971012761</v>
      </c>
      <c r="E35" s="202">
        <f t="shared" si="15"/>
        <v>20.3320971012761</v>
      </c>
      <c r="F35" s="202">
        <f t="shared" si="15"/>
        <v>20.3320971012761</v>
      </c>
      <c r="G35" s="202">
        <f t="shared" ref="G35:H35" si="16">+G9/G4</f>
        <v>20.3320971012761</v>
      </c>
      <c r="H35" s="202" t="e">
        <f t="shared" si="16"/>
        <v>#DIV/0!</v>
      </c>
      <c r="I35" s="202" t="e">
        <f t="shared" ref="I35:J35" si="17">+I9/I4</f>
        <v>#DIV/0!</v>
      </c>
      <c r="J35" s="202">
        <f t="shared" si="17"/>
        <v>20.3320971012761</v>
      </c>
      <c r="AK35" s="199" t="s">
        <v>85</v>
      </c>
      <c r="AL35" s="199" t="s">
        <v>89</v>
      </c>
    </row>
    <row r="36" s="190" customFormat="1" ht="15.75" customHeight="1" spans="1:38">
      <c r="A36" s="199" t="s">
        <v>38</v>
      </c>
      <c r="B36" s="208" t="s">
        <v>90</v>
      </c>
      <c r="C36" s="202">
        <f>+C10/C4</f>
        <v>33.2361337902406</v>
      </c>
      <c r="D36" s="202">
        <f t="shared" ref="D36:F36" si="18">+D10/D4</f>
        <v>33.2361337902406</v>
      </c>
      <c r="E36" s="202">
        <f t="shared" si="18"/>
        <v>33.2361337902406</v>
      </c>
      <c r="F36" s="202">
        <f t="shared" si="18"/>
        <v>33.2361337902406</v>
      </c>
      <c r="G36" s="202">
        <f t="shared" ref="G36:H36" si="19">+G10/G4</f>
        <v>33.2361337902406</v>
      </c>
      <c r="H36" s="202" t="e">
        <f t="shared" si="19"/>
        <v>#DIV/0!</v>
      </c>
      <c r="I36" s="202" t="e">
        <f t="shared" ref="I36:J36" si="20">+I10/I4</f>
        <v>#DIV/0!</v>
      </c>
      <c r="J36" s="202">
        <f t="shared" si="20"/>
        <v>33.2361337902406</v>
      </c>
      <c r="AK36" s="199" t="s">
        <v>41</v>
      </c>
      <c r="AL36" s="199" t="s">
        <v>90</v>
      </c>
    </row>
    <row r="37" s="190" customFormat="1" ht="15.75" customHeight="1" spans="1:38">
      <c r="A37" s="199" t="s">
        <v>85</v>
      </c>
      <c r="B37" s="208" t="s">
        <v>91</v>
      </c>
      <c r="C37" s="202">
        <f>+C11/C4</f>
        <v>71.9825</v>
      </c>
      <c r="D37" s="202">
        <f t="shared" ref="D37:F37" si="21">+D11/D4</f>
        <v>71.9825</v>
      </c>
      <c r="E37" s="202">
        <f t="shared" si="21"/>
        <v>71.9825</v>
      </c>
      <c r="F37" s="202">
        <f t="shared" si="21"/>
        <v>71.9825</v>
      </c>
      <c r="G37" s="202">
        <f t="shared" ref="G37:H37" si="22">+G11/G4</f>
        <v>71.9825</v>
      </c>
      <c r="H37" s="202" t="e">
        <f t="shared" si="22"/>
        <v>#DIV/0!</v>
      </c>
      <c r="I37" s="202" t="e">
        <f t="shared" ref="I37:J37" si="23">+I11/I4</f>
        <v>#DIV/0!</v>
      </c>
      <c r="J37" s="202">
        <f t="shared" si="23"/>
        <v>71.9825</v>
      </c>
      <c r="AK37" s="199" t="s">
        <v>47</v>
      </c>
      <c r="AL37" s="199" t="s">
        <v>91</v>
      </c>
    </row>
    <row r="38" s="190" customFormat="1" ht="15.75" customHeight="1" spans="1:38">
      <c r="A38" s="199" t="s">
        <v>92</v>
      </c>
      <c r="B38" s="278" t="s">
        <v>93</v>
      </c>
      <c r="C38" s="202"/>
      <c r="D38" s="202"/>
      <c r="E38" s="202"/>
      <c r="F38" s="202"/>
      <c r="G38" s="202"/>
      <c r="H38" s="202"/>
      <c r="I38" s="202"/>
      <c r="J38" s="202"/>
      <c r="AK38" s="199" t="s">
        <v>92</v>
      </c>
      <c r="AL38" s="203" t="s">
        <v>93</v>
      </c>
    </row>
    <row r="39" s="190" customFormat="1" ht="15.75" customHeight="1" spans="1:38">
      <c r="A39" s="199" t="s">
        <v>35</v>
      </c>
      <c r="B39" s="208" t="s">
        <v>94</v>
      </c>
      <c r="C39" s="202">
        <f>+C13/C4</f>
        <v>37.7087097465764</v>
      </c>
      <c r="D39" s="202">
        <f t="shared" ref="D39:H39" si="24">+D13/D4</f>
        <v>36.0761153401955</v>
      </c>
      <c r="E39" s="202">
        <f t="shared" si="24"/>
        <v>34.4598468778784</v>
      </c>
      <c r="F39" s="202">
        <f t="shared" si="24"/>
        <v>32.8597411001844</v>
      </c>
      <c r="G39" s="202">
        <f t="shared" ref="G39" si="25">+G13/G4</f>
        <v>32.8597411001844</v>
      </c>
      <c r="H39" s="202" t="e">
        <f t="shared" si="24"/>
        <v>#DIV/0!</v>
      </c>
      <c r="I39" s="202" t="e">
        <f t="shared" ref="I39:J39" si="26">+I13/I4</f>
        <v>#DIV/0!</v>
      </c>
      <c r="J39" s="202">
        <f t="shared" si="26"/>
        <v>34.7928308330038</v>
      </c>
      <c r="AK39" s="199" t="s">
        <v>35</v>
      </c>
      <c r="AL39" s="199" t="s">
        <v>95</v>
      </c>
    </row>
    <row r="40" s="190" customFormat="1" ht="15.75" customHeight="1" spans="1:38">
      <c r="A40" s="199" t="s">
        <v>38</v>
      </c>
      <c r="B40" s="208" t="s">
        <v>96</v>
      </c>
      <c r="C40" s="271">
        <f t="shared" ref="C40:H40" si="27">+C21/C39</f>
        <v>52681.7946877202</v>
      </c>
      <c r="D40" s="271">
        <f t="shared" si="27"/>
        <v>55065.8652151102</v>
      </c>
      <c r="E40" s="271">
        <f t="shared" si="27"/>
        <v>57648.6167175413</v>
      </c>
      <c r="F40" s="271">
        <f t="shared" si="27"/>
        <v>60455.8173100404</v>
      </c>
      <c r="G40" s="271">
        <f t="shared" ref="G40" si="28">+G21/G39</f>
        <v>60455.8173100404</v>
      </c>
      <c r="H40" s="271" t="e">
        <f t="shared" si="27"/>
        <v>#DIV/0!</v>
      </c>
      <c r="I40" s="271" t="e">
        <f t="shared" ref="I40" si="29">+I21/I39</f>
        <v>#DIV/0!</v>
      </c>
      <c r="J40" s="271">
        <f t="shared" ref="J40" si="30">+J21/J39</f>
        <v>285484.460051977</v>
      </c>
      <c r="AK40" s="199" t="s">
        <v>38</v>
      </c>
      <c r="AL40" s="199" t="s">
        <v>96</v>
      </c>
    </row>
    <row r="41" s="190" customFormat="1" ht="15.75" customHeight="1" spans="1:38">
      <c r="A41" s="199" t="s">
        <v>97</v>
      </c>
      <c r="B41" s="203" t="s">
        <v>98</v>
      </c>
      <c r="C41" s="207"/>
      <c r="D41" s="207"/>
      <c r="E41" s="207"/>
      <c r="F41" s="207"/>
      <c r="G41" s="207"/>
      <c r="H41" s="207"/>
      <c r="I41" s="207"/>
      <c r="J41" s="207"/>
      <c r="AK41" s="199" t="s">
        <v>97</v>
      </c>
      <c r="AL41" s="203" t="s">
        <v>98</v>
      </c>
    </row>
    <row r="42" s="190" customFormat="1" ht="15.75" customHeight="1" spans="1:38">
      <c r="A42" s="199" t="s">
        <v>35</v>
      </c>
      <c r="B42" s="199" t="s">
        <v>99</v>
      </c>
      <c r="C42" s="207">
        <f>+C15/C4</f>
        <v>12.9293884309861</v>
      </c>
      <c r="D42" s="207">
        <f t="shared" ref="D42:H42" si="31">+D15/D4</f>
        <v>12.9293884309861</v>
      </c>
      <c r="E42" s="207">
        <f t="shared" si="31"/>
        <v>12.9293884309861</v>
      </c>
      <c r="F42" s="207">
        <f t="shared" si="31"/>
        <v>12.9293884309861</v>
      </c>
      <c r="G42" s="207">
        <f t="shared" ref="G42" si="32">+G15/G4</f>
        <v>12.9293884309861</v>
      </c>
      <c r="H42" s="207" t="e">
        <f t="shared" si="31"/>
        <v>#DIV/0!</v>
      </c>
      <c r="I42" s="207" t="e">
        <f t="shared" ref="I42:J42" si="33">+I15/I4</f>
        <v>#DIV/0!</v>
      </c>
      <c r="J42" s="207">
        <f t="shared" si="33"/>
        <v>12.929388430986</v>
      </c>
      <c r="AK42" s="199" t="s">
        <v>35</v>
      </c>
      <c r="AL42" s="199" t="s">
        <v>99</v>
      </c>
    </row>
    <row r="43" s="190" customFormat="1" ht="15.75" customHeight="1" spans="1:38">
      <c r="A43" s="199" t="s">
        <v>38</v>
      </c>
      <c r="B43" s="199" t="s">
        <v>100</v>
      </c>
      <c r="C43" s="207">
        <f>+C17/C4</f>
        <v>5.27316234048059</v>
      </c>
      <c r="D43" s="207">
        <f t="shared" ref="D43:H43" si="34">+D17/D4</f>
        <v>5.27316234048059</v>
      </c>
      <c r="E43" s="207">
        <f t="shared" si="34"/>
        <v>5.27316234048059</v>
      </c>
      <c r="F43" s="207">
        <f t="shared" si="34"/>
        <v>5.27316234048059</v>
      </c>
      <c r="G43" s="207">
        <f t="shared" ref="G43" si="35">+G17/G4</f>
        <v>5.27316234048059</v>
      </c>
      <c r="H43" s="207" t="e">
        <f t="shared" si="34"/>
        <v>#DIV/0!</v>
      </c>
      <c r="I43" s="207" t="e">
        <f t="shared" ref="I43:J43" si="36">+I17/I4</f>
        <v>#DIV/0!</v>
      </c>
      <c r="J43" s="207">
        <f t="shared" si="36"/>
        <v>5.27316234048059</v>
      </c>
      <c r="AK43" s="199" t="s">
        <v>38</v>
      </c>
      <c r="AL43" s="199" t="s">
        <v>100</v>
      </c>
    </row>
    <row r="44" s="190" customFormat="1" ht="15.75" customHeight="1" spans="1:38">
      <c r="A44" s="199" t="s">
        <v>85</v>
      </c>
      <c r="B44" s="199" t="s">
        <v>101</v>
      </c>
      <c r="C44" s="207">
        <f>+C18/C4</f>
        <v>5.90695589101912</v>
      </c>
      <c r="D44" s="207">
        <f t="shared" ref="D44:H44" si="37">+D18/D4</f>
        <v>5.90695589101912</v>
      </c>
      <c r="E44" s="207">
        <f t="shared" si="37"/>
        <v>5.90695589101912</v>
      </c>
      <c r="F44" s="207">
        <f t="shared" si="37"/>
        <v>5.90695589101912</v>
      </c>
      <c r="G44" s="207">
        <f t="shared" ref="G44" si="38">+G18/G4</f>
        <v>5.90695589101912</v>
      </c>
      <c r="H44" s="207" t="e">
        <f t="shared" si="37"/>
        <v>#DIV/0!</v>
      </c>
      <c r="I44" s="207" t="e">
        <f t="shared" ref="I44:J44" si="39">+I18/I4</f>
        <v>#DIV/0!</v>
      </c>
      <c r="J44" s="207">
        <f t="shared" si="39"/>
        <v>5.90695589101912</v>
      </c>
      <c r="AK44" s="199" t="s">
        <v>85</v>
      </c>
      <c r="AL44" s="199" t="s">
        <v>101</v>
      </c>
    </row>
    <row r="45" s="190" customFormat="1" ht="15.75" customHeight="1" spans="1:38">
      <c r="A45" s="199" t="s">
        <v>41</v>
      </c>
      <c r="B45" s="199" t="s">
        <v>102</v>
      </c>
      <c r="C45" s="207"/>
      <c r="D45" s="207"/>
      <c r="E45" s="207"/>
      <c r="F45" s="207"/>
      <c r="G45" s="207"/>
      <c r="H45" s="207"/>
      <c r="I45" s="207"/>
      <c r="J45" s="207"/>
      <c r="AK45" s="199" t="s">
        <v>41</v>
      </c>
      <c r="AL45" s="199" t="s">
        <v>103</v>
      </c>
    </row>
    <row r="46" s="190" customFormat="1" ht="15.75" customHeight="1" spans="1:38">
      <c r="A46" s="199" t="s">
        <v>44</v>
      </c>
      <c r="B46" s="199" t="s">
        <v>104</v>
      </c>
      <c r="C46" s="207"/>
      <c r="D46" s="207"/>
      <c r="E46" s="207"/>
      <c r="F46" s="207"/>
      <c r="G46" s="207"/>
      <c r="H46" s="207"/>
      <c r="I46" s="207"/>
      <c r="J46" s="207"/>
      <c r="AK46" s="199" t="s">
        <v>44</v>
      </c>
      <c r="AL46" s="199" t="s">
        <v>104</v>
      </c>
    </row>
    <row r="47" s="190" customFormat="1" ht="15.75" customHeight="1" spans="1:38">
      <c r="A47" s="199" t="s">
        <v>105</v>
      </c>
      <c r="B47" s="203" t="s">
        <v>106</v>
      </c>
      <c r="C47" s="207"/>
      <c r="D47" s="207"/>
      <c r="E47" s="207"/>
      <c r="F47" s="207"/>
      <c r="G47" s="207"/>
      <c r="H47" s="207"/>
      <c r="I47" s="207"/>
      <c r="J47" s="207"/>
      <c r="AK47" s="199" t="s">
        <v>105</v>
      </c>
      <c r="AL47" s="203" t="s">
        <v>106</v>
      </c>
    </row>
    <row r="48" s="190" customFormat="1" ht="15.75" customHeight="1" spans="1:38">
      <c r="A48" s="199" t="s">
        <v>35</v>
      </c>
      <c r="B48" s="199" t="s">
        <v>107</v>
      </c>
      <c r="C48" s="285">
        <f>+(C11+C17)/C7</f>
        <v>0.237344642939862</v>
      </c>
      <c r="D48" s="285">
        <f t="shared" ref="D48:H48" si="40">+(D11+D17)/D7</f>
        <v>0.239742063575618</v>
      </c>
      <c r="E48" s="285">
        <f t="shared" si="40"/>
        <v>0.242163700581432</v>
      </c>
      <c r="F48" s="285">
        <f t="shared" si="40"/>
        <v>0.244609798567103</v>
      </c>
      <c r="G48" s="285">
        <f t="shared" ref="G48" si="41">+(G11+G17)/G7</f>
        <v>0.244609798567103</v>
      </c>
      <c r="H48" s="285" t="e">
        <f t="shared" si="40"/>
        <v>#DIV/0!</v>
      </c>
      <c r="I48" s="285" t="e">
        <f t="shared" ref="I48:J48" si="42">+(I11+I17)/I7</f>
        <v>#DIV/0!</v>
      </c>
      <c r="J48" s="285">
        <f t="shared" si="42"/>
        <v>0.241660801519317</v>
      </c>
      <c r="AK48" s="199" t="s">
        <v>35</v>
      </c>
      <c r="AL48" s="199" t="s">
        <v>107</v>
      </c>
    </row>
    <row r="49" s="190" customFormat="1" ht="15.75" customHeight="1" spans="1:38">
      <c r="A49" s="199" t="s">
        <v>38</v>
      </c>
      <c r="B49" s="199" t="s">
        <v>108</v>
      </c>
      <c r="C49" s="285">
        <f>+(C9+C10+C15)/C7</f>
        <v>0.204293811434716</v>
      </c>
      <c r="D49" s="285">
        <f t="shared" ref="D49:H49" si="43">+(D9+D10+D15)/D7</f>
        <v>0.206357385287592</v>
      </c>
      <c r="E49" s="285">
        <f t="shared" si="43"/>
        <v>0.2084418033208</v>
      </c>
      <c r="F49" s="285">
        <f t="shared" si="43"/>
        <v>0.210547276081616</v>
      </c>
      <c r="G49" s="285">
        <f t="shared" ref="G49" si="44">+(G9+G10+G15)/G7</f>
        <v>0.210547276081616</v>
      </c>
      <c r="H49" s="285" t="e">
        <f t="shared" si="43"/>
        <v>#DIV/0!</v>
      </c>
      <c r="I49" s="285" t="e">
        <f t="shared" ref="I49:J49" si="45">+(I9+I10+I15)/I7</f>
        <v>#DIV/0!</v>
      </c>
      <c r="J49" s="285">
        <f t="shared" si="45"/>
        <v>0.208008934203158</v>
      </c>
      <c r="AK49" s="199" t="s">
        <v>38</v>
      </c>
      <c r="AL49" s="199" t="s">
        <v>108</v>
      </c>
    </row>
    <row r="50" s="190" customFormat="1" ht="15.75" customHeight="1" spans="1:38">
      <c r="A50" s="199" t="s">
        <v>85</v>
      </c>
      <c r="B50" s="199" t="s">
        <v>109</v>
      </c>
      <c r="C50" s="285">
        <f>+C18/C7</f>
        <v>0.0181473343744906</v>
      </c>
      <c r="D50" s="285">
        <f t="shared" ref="D50:H50" si="46">+D18/D7</f>
        <v>0.0183306407823138</v>
      </c>
      <c r="E50" s="285">
        <f t="shared" si="46"/>
        <v>0.0185157987700139</v>
      </c>
      <c r="F50" s="285">
        <f t="shared" si="46"/>
        <v>0.0187028270404181</v>
      </c>
      <c r="G50" s="285">
        <f t="shared" ref="G50" si="47">+G18/G7</f>
        <v>0.0187028270404181</v>
      </c>
      <c r="H50" s="285" t="e">
        <f t="shared" si="46"/>
        <v>#DIV/0!</v>
      </c>
      <c r="I50" s="285" t="e">
        <f t="shared" ref="I50:J50" si="48">+I18/I7</f>
        <v>#DIV/0!</v>
      </c>
      <c r="J50" s="285">
        <f t="shared" si="48"/>
        <v>0.0184773471861746</v>
      </c>
      <c r="AK50" s="199" t="s">
        <v>85</v>
      </c>
      <c r="AL50" s="199" t="s">
        <v>109</v>
      </c>
    </row>
    <row r="51" s="190" customFormat="1" ht="15.75" customHeight="1" spans="1:38">
      <c r="A51" s="199" t="s">
        <v>41</v>
      </c>
      <c r="B51" s="199" t="s">
        <v>110</v>
      </c>
      <c r="C51" s="285">
        <f>+C19/C7</f>
        <v>0</v>
      </c>
      <c r="D51" s="285">
        <f t="shared" ref="D51:H51" si="49">+D19/D7</f>
        <v>0</v>
      </c>
      <c r="E51" s="285">
        <f t="shared" si="49"/>
        <v>0</v>
      </c>
      <c r="F51" s="285">
        <f t="shared" si="49"/>
        <v>0</v>
      </c>
      <c r="G51" s="285">
        <f t="shared" ref="G51" si="50">+G19/G7</f>
        <v>0</v>
      </c>
      <c r="H51" s="285" t="e">
        <f t="shared" si="49"/>
        <v>#DIV/0!</v>
      </c>
      <c r="I51" s="285" t="e">
        <f t="shared" ref="I51:J51" si="51">+I19/I7</f>
        <v>#DIV/0!</v>
      </c>
      <c r="J51" s="285">
        <f t="shared" si="51"/>
        <v>0</v>
      </c>
      <c r="AK51" s="199" t="s">
        <v>41</v>
      </c>
      <c r="AL51" s="199" t="s">
        <v>110</v>
      </c>
    </row>
    <row r="52" s="190" customFormat="1" ht="15.75" customHeight="1" spans="1:38">
      <c r="A52" s="199" t="s">
        <v>44</v>
      </c>
      <c r="B52" s="199" t="s">
        <v>111</v>
      </c>
      <c r="C52" s="285">
        <f>+C20/C7</f>
        <v>0.0276493721156402</v>
      </c>
      <c r="D52" s="285">
        <f t="shared" ref="D52:H52" si="52">+D20/D7</f>
        <v>0.0279286587026669</v>
      </c>
      <c r="E52" s="285">
        <f t="shared" si="52"/>
        <v>0.0282107663663302</v>
      </c>
      <c r="F52" s="285">
        <f t="shared" si="52"/>
        <v>0.0284957236023537</v>
      </c>
      <c r="G52" s="285">
        <f t="shared" ref="G52" si="53">+G20/G7</f>
        <v>0.0284957236023537</v>
      </c>
      <c r="H52" s="285" t="e">
        <f t="shared" si="52"/>
        <v>#DIV/0!</v>
      </c>
      <c r="I52" s="285" t="e">
        <f t="shared" ref="I52:J52" si="54">+I20/I7</f>
        <v>#DIV/0!</v>
      </c>
      <c r="J52" s="285">
        <f t="shared" si="54"/>
        <v>0.0281521813351587</v>
      </c>
      <c r="AK52" s="199" t="s">
        <v>44</v>
      </c>
      <c r="AL52" s="199" t="s">
        <v>111</v>
      </c>
    </row>
    <row r="53" s="190" customFormat="1" ht="15.75" customHeight="1" spans="1:38">
      <c r="A53" s="199" t="s">
        <v>47</v>
      </c>
      <c r="B53" s="199" t="s">
        <v>112</v>
      </c>
      <c r="C53" s="285">
        <f>+C24/C7</f>
        <v>0.0120105543002584</v>
      </c>
      <c r="D53" s="285">
        <f t="shared" ref="D53:H53" si="55">+D24/D7</f>
        <v>0.00782550493929875</v>
      </c>
      <c r="E53" s="285">
        <f t="shared" si="55"/>
        <v>0.003598182352471</v>
      </c>
      <c r="F53" s="285">
        <f t="shared" si="55"/>
        <v>-0.000790400544125638</v>
      </c>
      <c r="G53" s="285">
        <f t="shared" ref="G53" si="56">+G24/G7</f>
        <v>-0.000790400544125638</v>
      </c>
      <c r="H53" s="285" t="e">
        <f t="shared" si="55"/>
        <v>#DIV/0!</v>
      </c>
      <c r="I53" s="285" t="e">
        <f t="shared" ref="I53:J53" si="57">+I24/I7</f>
        <v>#DIV/0!</v>
      </c>
      <c r="J53" s="285">
        <f t="shared" si="57"/>
        <v>0.00447606642802325</v>
      </c>
      <c r="AK53" s="199" t="s">
        <v>47</v>
      </c>
      <c r="AL53" s="199" t="s">
        <v>113</v>
      </c>
    </row>
    <row r="54" s="190" customFormat="1" ht="15.75" customHeight="1" spans="1:38">
      <c r="A54" s="199" t="s">
        <v>114</v>
      </c>
      <c r="B54" s="203" t="s">
        <v>115</v>
      </c>
      <c r="C54" s="207">
        <f>+C22/C4</f>
        <v>4.59933466644352</v>
      </c>
      <c r="D54" s="207">
        <f t="shared" ref="D54:H54" si="58">+D22/D4</f>
        <v>2.96674026006258</v>
      </c>
      <c r="E54" s="207">
        <f t="shared" si="58"/>
        <v>1.35047179774551</v>
      </c>
      <c r="F54" s="207">
        <f t="shared" si="58"/>
        <v>-0.249633979948482</v>
      </c>
      <c r="G54" s="207">
        <f t="shared" ref="G54" si="59">+G22/G4</f>
        <v>-0.249633979948482</v>
      </c>
      <c r="H54" s="207" t="e">
        <f t="shared" si="58"/>
        <v>#DIV/0!</v>
      </c>
      <c r="I54" s="207" t="e">
        <f t="shared" ref="I54:J54" si="60">+I22/I4</f>
        <v>#DIV/0!</v>
      </c>
      <c r="J54" s="207">
        <f t="shared" si="60"/>
        <v>1.68345575287091</v>
      </c>
      <c r="AK54" s="199" t="s">
        <v>114</v>
      </c>
      <c r="AL54" s="203" t="s">
        <v>115</v>
      </c>
    </row>
    <row r="55" s="190" customFormat="1" ht="15.75" customHeight="1" spans="1:38">
      <c r="A55" s="199" t="s">
        <v>116</v>
      </c>
      <c r="B55" s="290" t="s">
        <v>117</v>
      </c>
      <c r="C55" s="207"/>
      <c r="D55" s="207"/>
      <c r="E55" s="207"/>
      <c r="F55" s="207"/>
      <c r="G55" s="207"/>
      <c r="H55" s="207"/>
      <c r="I55" s="207"/>
      <c r="J55" s="207"/>
      <c r="AK55" s="199"/>
      <c r="AL55" s="203"/>
    </row>
    <row r="56" s="190" customFormat="1" ht="15.75" customHeight="1" spans="1:10">
      <c r="A56" s="199" t="s">
        <v>35</v>
      </c>
      <c r="B56" s="199" t="s">
        <v>118</v>
      </c>
      <c r="C56" s="207">
        <f>C57+C58</f>
        <v>0</v>
      </c>
      <c r="D56" s="207"/>
      <c r="E56" s="207"/>
      <c r="F56" s="207"/>
      <c r="G56" s="207"/>
      <c r="H56" s="207"/>
      <c r="I56" s="207"/>
      <c r="J56" s="207"/>
    </row>
    <row r="57" s="190" customFormat="1" ht="15.75" customHeight="1" spans="1:10">
      <c r="A57" s="199">
        <v>1.1</v>
      </c>
      <c r="B57" s="291" t="s">
        <v>119</v>
      </c>
      <c r="C57" s="207">
        <f>项目投资!B27</f>
        <v>0</v>
      </c>
      <c r="D57" s="207"/>
      <c r="E57" s="207"/>
      <c r="F57" s="207"/>
      <c r="G57" s="207"/>
      <c r="H57" s="207"/>
      <c r="I57" s="207"/>
      <c r="J57" s="207"/>
    </row>
    <row r="58" s="190" customFormat="1" ht="15.75" customHeight="1" spans="1:10">
      <c r="A58" s="199">
        <v>1.2</v>
      </c>
      <c r="B58" s="199" t="s">
        <v>120</v>
      </c>
      <c r="C58" s="207">
        <f>项目投资!B26</f>
        <v>0</v>
      </c>
      <c r="D58" s="207"/>
      <c r="E58" s="207"/>
      <c r="F58" s="207"/>
      <c r="G58" s="207"/>
      <c r="H58" s="207"/>
      <c r="I58" s="207"/>
      <c r="J58" s="207"/>
    </row>
    <row r="59" ht="15.75" customHeight="1" spans="1:10">
      <c r="A59" s="279" t="s">
        <v>38</v>
      </c>
      <c r="B59" s="279" t="s">
        <v>121</v>
      </c>
      <c r="C59" s="292">
        <f t="shared" ref="C59:I59" si="61">C60+C61</f>
        <v>234566.06798862</v>
      </c>
      <c r="D59" s="292">
        <f t="shared" si="61"/>
        <v>151303.753263191</v>
      </c>
      <c r="E59" s="292">
        <f t="shared" si="61"/>
        <v>68874.0616850211</v>
      </c>
      <c r="F59" s="292">
        <f t="shared" si="61"/>
        <v>-14978.0387969089</v>
      </c>
      <c r="G59" s="292">
        <f t="shared" si="61"/>
        <v>-14978.0387969089</v>
      </c>
      <c r="H59" s="292" t="e">
        <f t="shared" si="61"/>
        <v>#DIV/0!</v>
      </c>
      <c r="I59" s="292" t="e">
        <f t="shared" si="61"/>
        <v>#DIV/0!</v>
      </c>
      <c r="J59" s="292">
        <f t="shared" ref="J59" si="62">J60+J61</f>
        <v>429281.216982081</v>
      </c>
    </row>
    <row r="60" ht="15.75" customHeight="1" spans="1:10">
      <c r="A60" s="279" t="s">
        <v>85</v>
      </c>
      <c r="B60" s="279" t="s">
        <v>122</v>
      </c>
      <c r="C60" s="292">
        <f t="shared" ref="C60:I60" si="63">C24</f>
        <v>234566.06798862</v>
      </c>
      <c r="D60" s="292">
        <f t="shared" si="63"/>
        <v>151303.753263191</v>
      </c>
      <c r="E60" s="292">
        <f t="shared" si="63"/>
        <v>68874.0616850211</v>
      </c>
      <c r="F60" s="292">
        <f t="shared" si="63"/>
        <v>-14978.0387969089</v>
      </c>
      <c r="G60" s="292">
        <f t="shared" si="63"/>
        <v>-14978.0387969089</v>
      </c>
      <c r="H60" s="292" t="e">
        <f t="shared" si="63"/>
        <v>#DIV/0!</v>
      </c>
      <c r="I60" s="292" t="e">
        <f t="shared" si="63"/>
        <v>#DIV/0!</v>
      </c>
      <c r="J60" s="292">
        <f t="shared" ref="J60" si="64">J24</f>
        <v>429281.216982081</v>
      </c>
    </row>
    <row r="61" ht="15.75" customHeight="1" spans="1:10">
      <c r="A61" s="279" t="s">
        <v>41</v>
      </c>
      <c r="B61" s="279" t="s">
        <v>123</v>
      </c>
      <c r="C61" s="292">
        <f>'2026年'!I18</f>
        <v>0</v>
      </c>
      <c r="D61" s="292">
        <f>'2027年'!I18</f>
        <v>0</v>
      </c>
      <c r="E61" s="292">
        <f>'2028年'!I18</f>
        <v>0</v>
      </c>
      <c r="F61" s="292">
        <f>'2029年'!I18</f>
        <v>0</v>
      </c>
      <c r="G61" s="292">
        <f>'2030年 '!I18</f>
        <v>0</v>
      </c>
      <c r="H61" s="292"/>
      <c r="I61" s="292"/>
      <c r="J61" s="292">
        <f>项目投资!K26</f>
        <v>0</v>
      </c>
    </row>
    <row r="62" ht="15.75" customHeight="1" spans="1:10">
      <c r="A62" s="279" t="s">
        <v>44</v>
      </c>
      <c r="B62" s="279" t="s">
        <v>124</v>
      </c>
      <c r="C62" s="293"/>
      <c r="D62" s="293"/>
      <c r="E62" s="293"/>
      <c r="F62" s="293"/>
      <c r="G62" s="293"/>
      <c r="H62" s="293"/>
      <c r="I62" s="293"/>
      <c r="J62" s="292"/>
    </row>
    <row r="64" ht="16.5" customHeight="1" spans="3:10">
      <c r="C64" s="294"/>
      <c r="D64" s="294"/>
      <c r="E64" s="294"/>
      <c r="F64" s="294"/>
      <c r="G64" s="294"/>
      <c r="H64" s="294"/>
      <c r="I64" s="294"/>
      <c r="J64" s="294"/>
    </row>
    <row r="65" spans="3:10">
      <c r="C65" s="294"/>
      <c r="D65" s="294"/>
      <c r="E65" s="294"/>
      <c r="F65" s="294"/>
      <c r="G65" s="294"/>
      <c r="H65" s="294"/>
      <c r="I65" s="294"/>
      <c r="J65" s="294"/>
    </row>
    <row r="66" spans="3:10">
      <c r="C66" s="294"/>
      <c r="D66" s="294"/>
      <c r="E66" s="294"/>
      <c r="F66" s="294"/>
      <c r="G66" s="294"/>
      <c r="H66" s="294"/>
      <c r="I66" s="294"/>
      <c r="J66" s="294"/>
    </row>
    <row r="67" spans="3:10">
      <c r="C67" s="294"/>
      <c r="D67" s="294"/>
      <c r="E67" s="294"/>
      <c r="F67" s="294"/>
      <c r="G67" s="294"/>
      <c r="H67" s="294"/>
      <c r="I67" s="294"/>
      <c r="J67" s="294"/>
    </row>
  </sheetData>
  <mergeCells count="2">
    <mergeCell ref="A1:J1"/>
    <mergeCell ref="A3:A4"/>
  </mergeCells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962962962963" defaultRowHeight="19.9" customHeight="1"/>
  <cols>
    <col min="1" max="1" width="8" style="226" customWidth="1"/>
    <col min="2" max="2" width="28.5" style="226" customWidth="1"/>
    <col min="3" max="4" width="9.12962962962963" style="226"/>
    <col min="5" max="5" width="13.8796296296296" style="226" customWidth="1"/>
    <col min="6" max="12" width="16.1296296296296" style="226" customWidth="1"/>
    <col min="13" max="13" width="10.6296296296296" style="226" customWidth="1"/>
    <col min="14" max="254" width="9.12962962962963" style="226"/>
    <col min="255" max="255" width="8" style="226" customWidth="1"/>
    <col min="256" max="256" width="28.5" style="226" customWidth="1"/>
    <col min="257" max="268" width="9.12962962962963" style="226"/>
    <col min="269" max="269" width="10.6296296296296" style="226" customWidth="1"/>
    <col min="270" max="510" width="9.12962962962963" style="226"/>
    <col min="511" max="511" width="8" style="226" customWidth="1"/>
    <col min="512" max="512" width="28.5" style="226" customWidth="1"/>
    <col min="513" max="524" width="9.12962962962963" style="226"/>
    <col min="525" max="525" width="10.6296296296296" style="226" customWidth="1"/>
    <col min="526" max="766" width="9.12962962962963" style="226"/>
    <col min="767" max="767" width="8" style="226" customWidth="1"/>
    <col min="768" max="768" width="28.5" style="226" customWidth="1"/>
    <col min="769" max="780" width="9.12962962962963" style="226"/>
    <col min="781" max="781" width="10.6296296296296" style="226" customWidth="1"/>
    <col min="782" max="1022" width="9.12962962962963" style="226"/>
    <col min="1023" max="1023" width="8" style="226" customWidth="1"/>
    <col min="1024" max="1024" width="28.5" style="226" customWidth="1"/>
    <col min="1025" max="1036" width="9.12962962962963" style="226"/>
    <col min="1037" max="1037" width="10.6296296296296" style="226" customWidth="1"/>
    <col min="1038" max="1278" width="9.12962962962963" style="226"/>
    <col min="1279" max="1279" width="8" style="226" customWidth="1"/>
    <col min="1280" max="1280" width="28.5" style="226" customWidth="1"/>
    <col min="1281" max="1292" width="9.12962962962963" style="226"/>
    <col min="1293" max="1293" width="10.6296296296296" style="226" customWidth="1"/>
    <col min="1294" max="1534" width="9.12962962962963" style="226"/>
    <col min="1535" max="1535" width="8" style="226" customWidth="1"/>
    <col min="1536" max="1536" width="28.5" style="226" customWidth="1"/>
    <col min="1537" max="1548" width="9.12962962962963" style="226"/>
    <col min="1549" max="1549" width="10.6296296296296" style="226" customWidth="1"/>
    <col min="1550" max="1790" width="9.12962962962963" style="226"/>
    <col min="1791" max="1791" width="8" style="226" customWidth="1"/>
    <col min="1792" max="1792" width="28.5" style="226" customWidth="1"/>
    <col min="1793" max="1804" width="9.12962962962963" style="226"/>
    <col min="1805" max="1805" width="10.6296296296296" style="226" customWidth="1"/>
    <col min="1806" max="2046" width="9.12962962962963" style="226"/>
    <col min="2047" max="2047" width="8" style="226" customWidth="1"/>
    <col min="2048" max="2048" width="28.5" style="226" customWidth="1"/>
    <col min="2049" max="2060" width="9.12962962962963" style="226"/>
    <col min="2061" max="2061" width="10.6296296296296" style="226" customWidth="1"/>
    <col min="2062" max="2302" width="9.12962962962963" style="226"/>
    <col min="2303" max="2303" width="8" style="226" customWidth="1"/>
    <col min="2304" max="2304" width="28.5" style="226" customWidth="1"/>
    <col min="2305" max="2316" width="9.12962962962963" style="226"/>
    <col min="2317" max="2317" width="10.6296296296296" style="226" customWidth="1"/>
    <col min="2318" max="2558" width="9.12962962962963" style="226"/>
    <col min="2559" max="2559" width="8" style="226" customWidth="1"/>
    <col min="2560" max="2560" width="28.5" style="226" customWidth="1"/>
    <col min="2561" max="2572" width="9.12962962962963" style="226"/>
    <col min="2573" max="2573" width="10.6296296296296" style="226" customWidth="1"/>
    <col min="2574" max="2814" width="9.12962962962963" style="226"/>
    <col min="2815" max="2815" width="8" style="226" customWidth="1"/>
    <col min="2816" max="2816" width="28.5" style="226" customWidth="1"/>
    <col min="2817" max="2828" width="9.12962962962963" style="226"/>
    <col min="2829" max="2829" width="10.6296296296296" style="226" customWidth="1"/>
    <col min="2830" max="3070" width="9.12962962962963" style="226"/>
    <col min="3071" max="3071" width="8" style="226" customWidth="1"/>
    <col min="3072" max="3072" width="28.5" style="226" customWidth="1"/>
    <col min="3073" max="3084" width="9.12962962962963" style="226"/>
    <col min="3085" max="3085" width="10.6296296296296" style="226" customWidth="1"/>
    <col min="3086" max="3326" width="9.12962962962963" style="226"/>
    <col min="3327" max="3327" width="8" style="226" customWidth="1"/>
    <col min="3328" max="3328" width="28.5" style="226" customWidth="1"/>
    <col min="3329" max="3340" width="9.12962962962963" style="226"/>
    <col min="3341" max="3341" width="10.6296296296296" style="226" customWidth="1"/>
    <col min="3342" max="3582" width="9.12962962962963" style="226"/>
    <col min="3583" max="3583" width="8" style="226" customWidth="1"/>
    <col min="3584" max="3584" width="28.5" style="226" customWidth="1"/>
    <col min="3585" max="3596" width="9.12962962962963" style="226"/>
    <col min="3597" max="3597" width="10.6296296296296" style="226" customWidth="1"/>
    <col min="3598" max="3838" width="9.12962962962963" style="226"/>
    <col min="3839" max="3839" width="8" style="226" customWidth="1"/>
    <col min="3840" max="3840" width="28.5" style="226" customWidth="1"/>
    <col min="3841" max="3852" width="9.12962962962963" style="226"/>
    <col min="3853" max="3853" width="10.6296296296296" style="226" customWidth="1"/>
    <col min="3854" max="4094" width="9.12962962962963" style="226"/>
    <col min="4095" max="4095" width="8" style="226" customWidth="1"/>
    <col min="4096" max="4096" width="28.5" style="226" customWidth="1"/>
    <col min="4097" max="4108" width="9.12962962962963" style="226"/>
    <col min="4109" max="4109" width="10.6296296296296" style="226" customWidth="1"/>
    <col min="4110" max="4350" width="9.12962962962963" style="226"/>
    <col min="4351" max="4351" width="8" style="226" customWidth="1"/>
    <col min="4352" max="4352" width="28.5" style="226" customWidth="1"/>
    <col min="4353" max="4364" width="9.12962962962963" style="226"/>
    <col min="4365" max="4365" width="10.6296296296296" style="226" customWidth="1"/>
    <col min="4366" max="4606" width="9.12962962962963" style="226"/>
    <col min="4607" max="4607" width="8" style="226" customWidth="1"/>
    <col min="4608" max="4608" width="28.5" style="226" customWidth="1"/>
    <col min="4609" max="4620" width="9.12962962962963" style="226"/>
    <col min="4621" max="4621" width="10.6296296296296" style="226" customWidth="1"/>
    <col min="4622" max="4862" width="9.12962962962963" style="226"/>
    <col min="4863" max="4863" width="8" style="226" customWidth="1"/>
    <col min="4864" max="4864" width="28.5" style="226" customWidth="1"/>
    <col min="4865" max="4876" width="9.12962962962963" style="226"/>
    <col min="4877" max="4877" width="10.6296296296296" style="226" customWidth="1"/>
    <col min="4878" max="5118" width="9.12962962962963" style="226"/>
    <col min="5119" max="5119" width="8" style="226" customWidth="1"/>
    <col min="5120" max="5120" width="28.5" style="226" customWidth="1"/>
    <col min="5121" max="5132" width="9.12962962962963" style="226"/>
    <col min="5133" max="5133" width="10.6296296296296" style="226" customWidth="1"/>
    <col min="5134" max="5374" width="9.12962962962963" style="226"/>
    <col min="5375" max="5375" width="8" style="226" customWidth="1"/>
    <col min="5376" max="5376" width="28.5" style="226" customWidth="1"/>
    <col min="5377" max="5388" width="9.12962962962963" style="226"/>
    <col min="5389" max="5389" width="10.6296296296296" style="226" customWidth="1"/>
    <col min="5390" max="5630" width="9.12962962962963" style="226"/>
    <col min="5631" max="5631" width="8" style="226" customWidth="1"/>
    <col min="5632" max="5632" width="28.5" style="226" customWidth="1"/>
    <col min="5633" max="5644" width="9.12962962962963" style="226"/>
    <col min="5645" max="5645" width="10.6296296296296" style="226" customWidth="1"/>
    <col min="5646" max="5886" width="9.12962962962963" style="226"/>
    <col min="5887" max="5887" width="8" style="226" customWidth="1"/>
    <col min="5888" max="5888" width="28.5" style="226" customWidth="1"/>
    <col min="5889" max="5900" width="9.12962962962963" style="226"/>
    <col min="5901" max="5901" width="10.6296296296296" style="226" customWidth="1"/>
    <col min="5902" max="6142" width="9.12962962962963" style="226"/>
    <col min="6143" max="6143" width="8" style="226" customWidth="1"/>
    <col min="6144" max="6144" width="28.5" style="226" customWidth="1"/>
    <col min="6145" max="6156" width="9.12962962962963" style="226"/>
    <col min="6157" max="6157" width="10.6296296296296" style="226" customWidth="1"/>
    <col min="6158" max="6398" width="9.12962962962963" style="226"/>
    <col min="6399" max="6399" width="8" style="226" customWidth="1"/>
    <col min="6400" max="6400" width="28.5" style="226" customWidth="1"/>
    <col min="6401" max="6412" width="9.12962962962963" style="226"/>
    <col min="6413" max="6413" width="10.6296296296296" style="226" customWidth="1"/>
    <col min="6414" max="6654" width="9.12962962962963" style="226"/>
    <col min="6655" max="6655" width="8" style="226" customWidth="1"/>
    <col min="6656" max="6656" width="28.5" style="226" customWidth="1"/>
    <col min="6657" max="6668" width="9.12962962962963" style="226"/>
    <col min="6669" max="6669" width="10.6296296296296" style="226" customWidth="1"/>
    <col min="6670" max="6910" width="9.12962962962963" style="226"/>
    <col min="6911" max="6911" width="8" style="226" customWidth="1"/>
    <col min="6912" max="6912" width="28.5" style="226" customWidth="1"/>
    <col min="6913" max="6924" width="9.12962962962963" style="226"/>
    <col min="6925" max="6925" width="10.6296296296296" style="226" customWidth="1"/>
    <col min="6926" max="7166" width="9.12962962962963" style="226"/>
    <col min="7167" max="7167" width="8" style="226" customWidth="1"/>
    <col min="7168" max="7168" width="28.5" style="226" customWidth="1"/>
    <col min="7169" max="7180" width="9.12962962962963" style="226"/>
    <col min="7181" max="7181" width="10.6296296296296" style="226" customWidth="1"/>
    <col min="7182" max="7422" width="9.12962962962963" style="226"/>
    <col min="7423" max="7423" width="8" style="226" customWidth="1"/>
    <col min="7424" max="7424" width="28.5" style="226" customWidth="1"/>
    <col min="7425" max="7436" width="9.12962962962963" style="226"/>
    <col min="7437" max="7437" width="10.6296296296296" style="226" customWidth="1"/>
    <col min="7438" max="7678" width="9.12962962962963" style="226"/>
    <col min="7679" max="7679" width="8" style="226" customWidth="1"/>
    <col min="7680" max="7680" width="28.5" style="226" customWidth="1"/>
    <col min="7681" max="7692" width="9.12962962962963" style="226"/>
    <col min="7693" max="7693" width="10.6296296296296" style="226" customWidth="1"/>
    <col min="7694" max="7934" width="9.12962962962963" style="226"/>
    <col min="7935" max="7935" width="8" style="226" customWidth="1"/>
    <col min="7936" max="7936" width="28.5" style="226" customWidth="1"/>
    <col min="7937" max="7948" width="9.12962962962963" style="226"/>
    <col min="7949" max="7949" width="10.6296296296296" style="226" customWidth="1"/>
    <col min="7950" max="8190" width="9.12962962962963" style="226"/>
    <col min="8191" max="8191" width="8" style="226" customWidth="1"/>
    <col min="8192" max="8192" width="28.5" style="226" customWidth="1"/>
    <col min="8193" max="8204" width="9.12962962962963" style="226"/>
    <col min="8205" max="8205" width="10.6296296296296" style="226" customWidth="1"/>
    <col min="8206" max="8446" width="9.12962962962963" style="226"/>
    <col min="8447" max="8447" width="8" style="226" customWidth="1"/>
    <col min="8448" max="8448" width="28.5" style="226" customWidth="1"/>
    <col min="8449" max="8460" width="9.12962962962963" style="226"/>
    <col min="8461" max="8461" width="10.6296296296296" style="226" customWidth="1"/>
    <col min="8462" max="8702" width="9.12962962962963" style="226"/>
    <col min="8703" max="8703" width="8" style="226" customWidth="1"/>
    <col min="8704" max="8704" width="28.5" style="226" customWidth="1"/>
    <col min="8705" max="8716" width="9.12962962962963" style="226"/>
    <col min="8717" max="8717" width="10.6296296296296" style="226" customWidth="1"/>
    <col min="8718" max="8958" width="9.12962962962963" style="226"/>
    <col min="8959" max="8959" width="8" style="226" customWidth="1"/>
    <col min="8960" max="8960" width="28.5" style="226" customWidth="1"/>
    <col min="8961" max="8972" width="9.12962962962963" style="226"/>
    <col min="8973" max="8973" width="10.6296296296296" style="226" customWidth="1"/>
    <col min="8974" max="9214" width="9.12962962962963" style="226"/>
    <col min="9215" max="9215" width="8" style="226" customWidth="1"/>
    <col min="9216" max="9216" width="28.5" style="226" customWidth="1"/>
    <col min="9217" max="9228" width="9.12962962962963" style="226"/>
    <col min="9229" max="9229" width="10.6296296296296" style="226" customWidth="1"/>
    <col min="9230" max="9470" width="9.12962962962963" style="226"/>
    <col min="9471" max="9471" width="8" style="226" customWidth="1"/>
    <col min="9472" max="9472" width="28.5" style="226" customWidth="1"/>
    <col min="9473" max="9484" width="9.12962962962963" style="226"/>
    <col min="9485" max="9485" width="10.6296296296296" style="226" customWidth="1"/>
    <col min="9486" max="9726" width="9.12962962962963" style="226"/>
    <col min="9727" max="9727" width="8" style="226" customWidth="1"/>
    <col min="9728" max="9728" width="28.5" style="226" customWidth="1"/>
    <col min="9729" max="9740" width="9.12962962962963" style="226"/>
    <col min="9741" max="9741" width="10.6296296296296" style="226" customWidth="1"/>
    <col min="9742" max="9982" width="9.12962962962963" style="226"/>
    <col min="9983" max="9983" width="8" style="226" customWidth="1"/>
    <col min="9984" max="9984" width="28.5" style="226" customWidth="1"/>
    <col min="9985" max="9996" width="9.12962962962963" style="226"/>
    <col min="9997" max="9997" width="10.6296296296296" style="226" customWidth="1"/>
    <col min="9998" max="10238" width="9.12962962962963" style="226"/>
    <col min="10239" max="10239" width="8" style="226" customWidth="1"/>
    <col min="10240" max="10240" width="28.5" style="226" customWidth="1"/>
    <col min="10241" max="10252" width="9.12962962962963" style="226"/>
    <col min="10253" max="10253" width="10.6296296296296" style="226" customWidth="1"/>
    <col min="10254" max="10494" width="9.12962962962963" style="226"/>
    <col min="10495" max="10495" width="8" style="226" customWidth="1"/>
    <col min="10496" max="10496" width="28.5" style="226" customWidth="1"/>
    <col min="10497" max="10508" width="9.12962962962963" style="226"/>
    <col min="10509" max="10509" width="10.6296296296296" style="226" customWidth="1"/>
    <col min="10510" max="10750" width="9.12962962962963" style="226"/>
    <col min="10751" max="10751" width="8" style="226" customWidth="1"/>
    <col min="10752" max="10752" width="28.5" style="226" customWidth="1"/>
    <col min="10753" max="10764" width="9.12962962962963" style="226"/>
    <col min="10765" max="10765" width="10.6296296296296" style="226" customWidth="1"/>
    <col min="10766" max="11006" width="9.12962962962963" style="226"/>
    <col min="11007" max="11007" width="8" style="226" customWidth="1"/>
    <col min="11008" max="11008" width="28.5" style="226" customWidth="1"/>
    <col min="11009" max="11020" width="9.12962962962963" style="226"/>
    <col min="11021" max="11021" width="10.6296296296296" style="226" customWidth="1"/>
    <col min="11022" max="11262" width="9.12962962962963" style="226"/>
    <col min="11263" max="11263" width="8" style="226" customWidth="1"/>
    <col min="11264" max="11264" width="28.5" style="226" customWidth="1"/>
    <col min="11265" max="11276" width="9.12962962962963" style="226"/>
    <col min="11277" max="11277" width="10.6296296296296" style="226" customWidth="1"/>
    <col min="11278" max="11518" width="9.12962962962963" style="226"/>
    <col min="11519" max="11519" width="8" style="226" customWidth="1"/>
    <col min="11520" max="11520" width="28.5" style="226" customWidth="1"/>
    <col min="11521" max="11532" width="9.12962962962963" style="226"/>
    <col min="11533" max="11533" width="10.6296296296296" style="226" customWidth="1"/>
    <col min="11534" max="11774" width="9.12962962962963" style="226"/>
    <col min="11775" max="11775" width="8" style="226" customWidth="1"/>
    <col min="11776" max="11776" width="28.5" style="226" customWidth="1"/>
    <col min="11777" max="11788" width="9.12962962962963" style="226"/>
    <col min="11789" max="11789" width="10.6296296296296" style="226" customWidth="1"/>
    <col min="11790" max="12030" width="9.12962962962963" style="226"/>
    <col min="12031" max="12031" width="8" style="226" customWidth="1"/>
    <col min="12032" max="12032" width="28.5" style="226" customWidth="1"/>
    <col min="12033" max="12044" width="9.12962962962963" style="226"/>
    <col min="12045" max="12045" width="10.6296296296296" style="226" customWidth="1"/>
    <col min="12046" max="12286" width="9.12962962962963" style="226"/>
    <col min="12287" max="12287" width="8" style="226" customWidth="1"/>
    <col min="12288" max="12288" width="28.5" style="226" customWidth="1"/>
    <col min="12289" max="12300" width="9.12962962962963" style="226"/>
    <col min="12301" max="12301" width="10.6296296296296" style="226" customWidth="1"/>
    <col min="12302" max="12542" width="9.12962962962963" style="226"/>
    <col min="12543" max="12543" width="8" style="226" customWidth="1"/>
    <col min="12544" max="12544" width="28.5" style="226" customWidth="1"/>
    <col min="12545" max="12556" width="9.12962962962963" style="226"/>
    <col min="12557" max="12557" width="10.6296296296296" style="226" customWidth="1"/>
    <col min="12558" max="12798" width="9.12962962962963" style="226"/>
    <col min="12799" max="12799" width="8" style="226" customWidth="1"/>
    <col min="12800" max="12800" width="28.5" style="226" customWidth="1"/>
    <col min="12801" max="12812" width="9.12962962962963" style="226"/>
    <col min="12813" max="12813" width="10.6296296296296" style="226" customWidth="1"/>
    <col min="12814" max="13054" width="9.12962962962963" style="226"/>
    <col min="13055" max="13055" width="8" style="226" customWidth="1"/>
    <col min="13056" max="13056" width="28.5" style="226" customWidth="1"/>
    <col min="13057" max="13068" width="9.12962962962963" style="226"/>
    <col min="13069" max="13069" width="10.6296296296296" style="226" customWidth="1"/>
    <col min="13070" max="13310" width="9.12962962962963" style="226"/>
    <col min="13311" max="13311" width="8" style="226" customWidth="1"/>
    <col min="13312" max="13312" width="28.5" style="226" customWidth="1"/>
    <col min="13313" max="13324" width="9.12962962962963" style="226"/>
    <col min="13325" max="13325" width="10.6296296296296" style="226" customWidth="1"/>
    <col min="13326" max="13566" width="9.12962962962963" style="226"/>
    <col min="13567" max="13567" width="8" style="226" customWidth="1"/>
    <col min="13568" max="13568" width="28.5" style="226" customWidth="1"/>
    <col min="13569" max="13580" width="9.12962962962963" style="226"/>
    <col min="13581" max="13581" width="10.6296296296296" style="226" customWidth="1"/>
    <col min="13582" max="13822" width="9.12962962962963" style="226"/>
    <col min="13823" max="13823" width="8" style="226" customWidth="1"/>
    <col min="13824" max="13824" width="28.5" style="226" customWidth="1"/>
    <col min="13825" max="13836" width="9.12962962962963" style="226"/>
    <col min="13837" max="13837" width="10.6296296296296" style="226" customWidth="1"/>
    <col min="13838" max="14078" width="9.12962962962963" style="226"/>
    <col min="14079" max="14079" width="8" style="226" customWidth="1"/>
    <col min="14080" max="14080" width="28.5" style="226" customWidth="1"/>
    <col min="14081" max="14092" width="9.12962962962963" style="226"/>
    <col min="14093" max="14093" width="10.6296296296296" style="226" customWidth="1"/>
    <col min="14094" max="14334" width="9.12962962962963" style="226"/>
    <col min="14335" max="14335" width="8" style="226" customWidth="1"/>
    <col min="14336" max="14336" width="28.5" style="226" customWidth="1"/>
    <col min="14337" max="14348" width="9.12962962962963" style="226"/>
    <col min="14349" max="14349" width="10.6296296296296" style="226" customWidth="1"/>
    <col min="14350" max="14590" width="9.12962962962963" style="226"/>
    <col min="14591" max="14591" width="8" style="226" customWidth="1"/>
    <col min="14592" max="14592" width="28.5" style="226" customWidth="1"/>
    <col min="14593" max="14604" width="9.12962962962963" style="226"/>
    <col min="14605" max="14605" width="10.6296296296296" style="226" customWidth="1"/>
    <col min="14606" max="14846" width="9.12962962962963" style="226"/>
    <col min="14847" max="14847" width="8" style="226" customWidth="1"/>
    <col min="14848" max="14848" width="28.5" style="226" customWidth="1"/>
    <col min="14849" max="14860" width="9.12962962962963" style="226"/>
    <col min="14861" max="14861" width="10.6296296296296" style="226" customWidth="1"/>
    <col min="14862" max="15102" width="9.12962962962963" style="226"/>
    <col min="15103" max="15103" width="8" style="226" customWidth="1"/>
    <col min="15104" max="15104" width="28.5" style="226" customWidth="1"/>
    <col min="15105" max="15116" width="9.12962962962963" style="226"/>
    <col min="15117" max="15117" width="10.6296296296296" style="226" customWidth="1"/>
    <col min="15118" max="15358" width="9.12962962962963" style="226"/>
    <col min="15359" max="15359" width="8" style="226" customWidth="1"/>
    <col min="15360" max="15360" width="28.5" style="226" customWidth="1"/>
    <col min="15361" max="15372" width="9.12962962962963" style="226"/>
    <col min="15373" max="15373" width="10.6296296296296" style="226" customWidth="1"/>
    <col min="15374" max="15614" width="9.12962962962963" style="226"/>
    <col min="15615" max="15615" width="8" style="226" customWidth="1"/>
    <col min="15616" max="15616" width="28.5" style="226" customWidth="1"/>
    <col min="15617" max="15628" width="9.12962962962963" style="226"/>
    <col min="15629" max="15629" width="10.6296296296296" style="226" customWidth="1"/>
    <col min="15630" max="15870" width="9.12962962962963" style="226"/>
    <col min="15871" max="15871" width="8" style="226" customWidth="1"/>
    <col min="15872" max="15872" width="28.5" style="226" customWidth="1"/>
    <col min="15873" max="15884" width="9.12962962962963" style="226"/>
    <col min="15885" max="15885" width="10.6296296296296" style="226" customWidth="1"/>
    <col min="15886" max="16126" width="9.12962962962963" style="226"/>
    <col min="16127" max="16127" width="8" style="226" customWidth="1"/>
    <col min="16128" max="16128" width="28.5" style="226" customWidth="1"/>
    <col min="16129" max="16140" width="9.12962962962963" style="226"/>
    <col min="16141" max="16141" width="10.6296296296296" style="226" customWidth="1"/>
    <col min="16142" max="16384" width="9.12962962962963" style="226"/>
  </cols>
  <sheetData>
    <row r="1" ht="17.4" spans="1:13">
      <c r="A1" s="227" t="s">
        <v>125</v>
      </c>
      <c r="B1" s="228"/>
      <c r="C1" s="229"/>
      <c r="D1" s="229"/>
      <c r="E1" s="228"/>
      <c r="F1" s="229"/>
      <c r="G1" s="229"/>
      <c r="H1" s="228"/>
      <c r="I1" s="229"/>
      <c r="J1" s="229"/>
      <c r="K1" s="229"/>
      <c r="L1" s="229"/>
      <c r="M1" s="229"/>
    </row>
    <row r="2" ht="14.4" spans="1:2">
      <c r="A2" s="226" t="s">
        <v>126</v>
      </c>
      <c r="B2" s="230"/>
    </row>
    <row r="3" ht="16.9" customHeight="1" spans="1:13">
      <c r="A3" s="231" t="s">
        <v>21</v>
      </c>
      <c r="B3" s="231" t="s">
        <v>127</v>
      </c>
      <c r="C3" s="232" t="s">
        <v>128</v>
      </c>
      <c r="D3" s="232"/>
      <c r="E3" s="232"/>
      <c r="F3" s="233"/>
      <c r="G3" s="234"/>
      <c r="H3" s="235"/>
      <c r="I3" s="235"/>
      <c r="J3" s="235" t="s">
        <v>129</v>
      </c>
      <c r="K3" s="235"/>
      <c r="L3" s="235"/>
      <c r="M3" s="256"/>
    </row>
    <row r="4" ht="16.15" customHeight="1" spans="1:13">
      <c r="A4" s="236"/>
      <c r="B4" s="236" t="s">
        <v>130</v>
      </c>
      <c r="C4" s="232">
        <v>2017</v>
      </c>
      <c r="D4" s="232">
        <f t="shared" ref="D4:L4" si="0">C4+1</f>
        <v>2018</v>
      </c>
      <c r="E4" s="232">
        <f t="shared" si="0"/>
        <v>2019</v>
      </c>
      <c r="F4" s="232">
        <f t="shared" si="0"/>
        <v>2020</v>
      </c>
      <c r="G4" s="232">
        <f t="shared" si="0"/>
        <v>2021</v>
      </c>
      <c r="H4" s="237">
        <f t="shared" si="0"/>
        <v>2022</v>
      </c>
      <c r="I4" s="237">
        <f t="shared" si="0"/>
        <v>2023</v>
      </c>
      <c r="J4" s="237">
        <f t="shared" si="0"/>
        <v>2024</v>
      </c>
      <c r="K4" s="237">
        <f t="shared" si="0"/>
        <v>2025</v>
      </c>
      <c r="L4" s="237">
        <f t="shared" si="0"/>
        <v>2026</v>
      </c>
      <c r="M4" s="257" t="s">
        <v>30</v>
      </c>
    </row>
    <row r="5" ht="15.6" customHeight="1" spans="1:13">
      <c r="A5" s="238">
        <v>1</v>
      </c>
      <c r="B5" s="239" t="s">
        <v>131</v>
      </c>
      <c r="C5" s="240">
        <f>SUM(C6:C9)</f>
        <v>0</v>
      </c>
      <c r="D5" s="240">
        <f t="shared" ref="D5:L5" si="1">SUM(D6:D9)</f>
        <v>0</v>
      </c>
      <c r="E5" s="240" t="e">
        <f t="shared" si="1"/>
        <v>#REF!</v>
      </c>
      <c r="F5" s="240">
        <f t="shared" si="1"/>
        <v>19529995.2129248</v>
      </c>
      <c r="G5" s="240">
        <f t="shared" si="1"/>
        <v>19529995.2129248</v>
      </c>
      <c r="H5" s="240">
        <f t="shared" si="1"/>
        <v>19529995.2129248</v>
      </c>
      <c r="I5" s="240" t="e">
        <f t="shared" si="1"/>
        <v>#REF!</v>
      </c>
      <c r="J5" s="240" t="e">
        <f t="shared" si="1"/>
        <v>#REF!</v>
      </c>
      <c r="K5" s="240" t="e">
        <f t="shared" si="1"/>
        <v>#REF!</v>
      </c>
      <c r="L5" s="240">
        <f t="shared" si="1"/>
        <v>97649976.0646238</v>
      </c>
      <c r="M5" s="244" t="e">
        <f t="shared" ref="M5:M17" si="2">SUM(C5:L5)</f>
        <v>#REF!</v>
      </c>
    </row>
    <row r="6" ht="15.6" customHeight="1" spans="1:13">
      <c r="A6" s="238">
        <v>1.1</v>
      </c>
      <c r="B6" s="241" t="s">
        <v>132</v>
      </c>
      <c r="C6" s="242"/>
      <c r="D6" s="242"/>
      <c r="E6" s="242" t="e">
        <f>损益表!#REF!</f>
        <v>#REF!</v>
      </c>
      <c r="F6" s="242">
        <f>损益表!C5</f>
        <v>19529995.2129248</v>
      </c>
      <c r="G6" s="242">
        <f>损益表!D5</f>
        <v>19529995.2129248</v>
      </c>
      <c r="H6" s="242">
        <f>损益表!E5</f>
        <v>19529995.2129248</v>
      </c>
      <c r="I6" s="242" t="e">
        <f>损益表!#REF!</f>
        <v>#REF!</v>
      </c>
      <c r="J6" s="242" t="e">
        <f>损益表!#REF!</f>
        <v>#REF!</v>
      </c>
      <c r="K6" s="242" t="e">
        <f>损益表!#REF!</f>
        <v>#REF!</v>
      </c>
      <c r="L6" s="242">
        <f>损益表!J5</f>
        <v>97649976.0646238</v>
      </c>
      <c r="M6" s="244" t="e">
        <f t="shared" si="2"/>
        <v>#REF!</v>
      </c>
    </row>
    <row r="7" ht="15.6" customHeight="1" spans="1:13">
      <c r="A7" s="238">
        <v>1.2</v>
      </c>
      <c r="B7" s="241" t="s">
        <v>133</v>
      </c>
      <c r="C7" s="242"/>
      <c r="D7" s="242"/>
      <c r="E7" s="242">
        <f>[1]折、摊!G18</f>
        <v>0</v>
      </c>
      <c r="F7" s="242">
        <f>[1]折、摊!H18</f>
        <v>0</v>
      </c>
      <c r="G7" s="242">
        <f>[1]折、摊!I18</f>
        <v>0</v>
      </c>
      <c r="H7" s="242">
        <f>[1]折、摊!J18</f>
        <v>0</v>
      </c>
      <c r="I7" s="242">
        <f>[1]折、摊!K18</f>
        <v>0</v>
      </c>
      <c r="J7" s="242">
        <f>[1]折、摊!L18</f>
        <v>0</v>
      </c>
      <c r="K7" s="242">
        <f>[1]折、摊!M18</f>
        <v>0</v>
      </c>
      <c r="L7" s="242">
        <f>[1]折、摊!N18</f>
        <v>0</v>
      </c>
      <c r="M7" s="244">
        <f t="shared" si="2"/>
        <v>0</v>
      </c>
    </row>
    <row r="8" ht="15.6" customHeight="1" spans="1:13">
      <c r="A8" s="238">
        <v>1.3</v>
      </c>
      <c r="B8" s="241" t="s">
        <v>134</v>
      </c>
      <c r="C8" s="242" t="s">
        <v>135</v>
      </c>
      <c r="D8" s="242" t="s">
        <v>135</v>
      </c>
      <c r="E8" s="242" t="s">
        <v>135</v>
      </c>
      <c r="F8" s="242" t="s">
        <v>135</v>
      </c>
      <c r="G8" s="242" t="s">
        <v>135</v>
      </c>
      <c r="H8" s="242" t="s">
        <v>135</v>
      </c>
      <c r="I8" s="242" t="s">
        <v>135</v>
      </c>
      <c r="J8" s="242" t="s">
        <v>135</v>
      </c>
      <c r="K8" s="242" t="s">
        <v>135</v>
      </c>
      <c r="L8" s="242"/>
      <c r="M8" s="244">
        <f t="shared" si="2"/>
        <v>0</v>
      </c>
    </row>
    <row r="9" s="225" customFormat="1" ht="15.6" customHeight="1" spans="1:13">
      <c r="A9" s="243">
        <v>1.4</v>
      </c>
      <c r="B9" s="244" t="s">
        <v>136</v>
      </c>
      <c r="C9" s="242" t="s">
        <v>135</v>
      </c>
      <c r="D9" s="242" t="s">
        <v>135</v>
      </c>
      <c r="E9" s="242" t="s">
        <v>135</v>
      </c>
      <c r="F9" s="242" t="s">
        <v>135</v>
      </c>
      <c r="G9" s="242" t="s">
        <v>135</v>
      </c>
      <c r="H9" s="242" t="s">
        <v>135</v>
      </c>
      <c r="I9" s="242" t="s">
        <v>135</v>
      </c>
      <c r="J9" s="242" t="s">
        <v>135</v>
      </c>
      <c r="K9" s="242" t="s">
        <v>135</v>
      </c>
      <c r="L9" s="242" t="s">
        <v>135</v>
      </c>
      <c r="M9" s="244">
        <f t="shared" si="2"/>
        <v>0</v>
      </c>
    </row>
    <row r="10" ht="15.6" customHeight="1" spans="1:13">
      <c r="A10" s="243">
        <v>2</v>
      </c>
      <c r="B10" s="239" t="s">
        <v>137</v>
      </c>
      <c r="C10" s="240">
        <f t="shared" ref="C10:L10" si="3">SUM(C11:C16)</f>
        <v>0</v>
      </c>
      <c r="D10" s="240">
        <f t="shared" si="3"/>
        <v>0</v>
      </c>
      <c r="E10" s="240">
        <f t="shared" si="3"/>
        <v>0</v>
      </c>
      <c r="F10" s="240">
        <f t="shared" si="3"/>
        <v>0</v>
      </c>
      <c r="G10" s="240">
        <f t="shared" si="3"/>
        <v>0</v>
      </c>
      <c r="H10" s="240">
        <f t="shared" si="3"/>
        <v>0</v>
      </c>
      <c r="I10" s="240">
        <f t="shared" si="3"/>
        <v>0</v>
      </c>
      <c r="J10" s="240">
        <f t="shared" si="3"/>
        <v>0</v>
      </c>
      <c r="K10" s="240">
        <f t="shared" si="3"/>
        <v>0</v>
      </c>
      <c r="L10" s="240">
        <f t="shared" si="3"/>
        <v>0</v>
      </c>
      <c r="M10" s="244">
        <f t="shared" si="2"/>
        <v>0</v>
      </c>
    </row>
    <row r="11" ht="15" customHeight="1" spans="1:13">
      <c r="A11" s="238">
        <v>2.1</v>
      </c>
      <c r="B11" s="238" t="s">
        <v>138</v>
      </c>
      <c r="C11" s="242">
        <f>([1]计划!C6-[1]计划!C7)</f>
        <v>0</v>
      </c>
      <c r="D11" s="242">
        <f>([1]计划!D6-[1]计划!D7)</f>
        <v>0</v>
      </c>
      <c r="E11" s="242">
        <f>([1]计划!E6-[1]计划!E7)</f>
        <v>0</v>
      </c>
      <c r="F11" s="242">
        <f>([1]计划!F6-[1]计划!F7)</f>
        <v>0</v>
      </c>
      <c r="G11" s="242">
        <f>([1]计划!G6-[1]计划!G7)</f>
        <v>0</v>
      </c>
      <c r="H11" s="242">
        <f>([1]计划!H6-[1]计划!H7)</f>
        <v>0</v>
      </c>
      <c r="I11" s="242">
        <f>([1]计划!I6-[1]计划!I7)</f>
        <v>0</v>
      </c>
      <c r="J11" s="242">
        <f>([1]计划!J6-[1]计划!J7)</f>
        <v>0</v>
      </c>
      <c r="K11" s="242">
        <f>([1]计划!K6-[1]计划!K7)</f>
        <v>0</v>
      </c>
      <c r="L11" s="242">
        <f>([1]计划!L6-[1]计划!L7)</f>
        <v>0</v>
      </c>
      <c r="M11" s="244">
        <f t="shared" si="2"/>
        <v>0</v>
      </c>
    </row>
    <row r="12" s="225" customFormat="1" ht="15" customHeight="1" spans="1:13">
      <c r="A12" s="238">
        <v>2.2</v>
      </c>
      <c r="B12" s="244" t="s">
        <v>139</v>
      </c>
      <c r="C12" s="242">
        <f>[1]计划!C8</f>
        <v>0</v>
      </c>
      <c r="D12" s="242">
        <f>[1]计划!D8</f>
        <v>0</v>
      </c>
      <c r="E12" s="242">
        <f>[1]计划!E8</f>
        <v>0</v>
      </c>
      <c r="F12" s="242">
        <f>[1]计划!F8</f>
        <v>0</v>
      </c>
      <c r="G12" s="242">
        <f>[1]计划!G8</f>
        <v>0</v>
      </c>
      <c r="H12" s="242">
        <f>[1]计划!H8</f>
        <v>0</v>
      </c>
      <c r="I12" s="242">
        <f>[1]计划!I8</f>
        <v>0</v>
      </c>
      <c r="J12" s="242">
        <f>[1]计划!J8</f>
        <v>0</v>
      </c>
      <c r="K12" s="242">
        <f>[1]计划!K8</f>
        <v>0</v>
      </c>
      <c r="L12" s="242">
        <f>[1]计划!L8</f>
        <v>0</v>
      </c>
      <c r="M12" s="244">
        <f t="shared" si="2"/>
        <v>0</v>
      </c>
    </row>
    <row r="13" ht="15" customHeight="1" spans="1:13">
      <c r="A13" s="238">
        <v>2.3</v>
      </c>
      <c r="B13" s="241" t="s">
        <v>140</v>
      </c>
      <c r="C13" s="242">
        <f>[1]总成本!C22</f>
        <v>0</v>
      </c>
      <c r="D13" s="242">
        <f>[1]总成本!D22</f>
        <v>0</v>
      </c>
      <c r="E13" s="242">
        <f>[1]总成本!E22</f>
        <v>0</v>
      </c>
      <c r="F13" s="242">
        <f>[1]总成本!F22</f>
        <v>0</v>
      </c>
      <c r="G13" s="242">
        <f>[1]总成本!G22</f>
        <v>0</v>
      </c>
      <c r="H13" s="242">
        <f>[1]总成本!H22</f>
        <v>0</v>
      </c>
      <c r="I13" s="242">
        <f>[1]总成本!I22</f>
        <v>0</v>
      </c>
      <c r="J13" s="242">
        <f>[1]总成本!J22</f>
        <v>0</v>
      </c>
      <c r="K13" s="242">
        <f>[1]总成本!K22</f>
        <v>0</v>
      </c>
      <c r="L13" s="242">
        <f>[1]总成本!L22</f>
        <v>0</v>
      </c>
      <c r="M13" s="244">
        <f t="shared" si="2"/>
        <v>0</v>
      </c>
    </row>
    <row r="14" ht="15" customHeight="1" spans="1:13">
      <c r="A14" s="238">
        <v>2.4</v>
      </c>
      <c r="B14" s="241" t="s">
        <v>141</v>
      </c>
      <c r="C14" s="242">
        <f>[1]价格!D15</f>
        <v>0</v>
      </c>
      <c r="D14" s="242">
        <f>[1]价格!E15</f>
        <v>0</v>
      </c>
      <c r="E14" s="242">
        <f>[1]价格!F15</f>
        <v>0</v>
      </c>
      <c r="F14" s="242">
        <f>[1]价格!G15</f>
        <v>0</v>
      </c>
      <c r="G14" s="242">
        <f>[1]价格!H15</f>
        <v>0</v>
      </c>
      <c r="H14" s="242">
        <f>[1]价格!I15</f>
        <v>0</v>
      </c>
      <c r="I14" s="242">
        <f>[1]价格!J15</f>
        <v>0</v>
      </c>
      <c r="J14" s="242">
        <f>[1]价格!K15</f>
        <v>0</v>
      </c>
      <c r="K14" s="242">
        <f>[1]价格!L15</f>
        <v>0</v>
      </c>
      <c r="L14" s="242">
        <f>[1]价格!M15</f>
        <v>0</v>
      </c>
      <c r="M14" s="244">
        <f t="shared" si="2"/>
        <v>0</v>
      </c>
    </row>
    <row r="15" ht="15" customHeight="1" spans="1:13">
      <c r="A15" s="238">
        <v>2.5</v>
      </c>
      <c r="B15" s="241" t="s">
        <v>73</v>
      </c>
      <c r="C15" s="242">
        <f>[1]利润!C13</f>
        <v>0</v>
      </c>
      <c r="D15" s="242">
        <f>[1]利润!D13</f>
        <v>0</v>
      </c>
      <c r="E15" s="242">
        <f>[1]利润!E13</f>
        <v>0</v>
      </c>
      <c r="F15" s="242">
        <f>[1]利润!F13</f>
        <v>0</v>
      </c>
      <c r="G15" s="242">
        <f>[1]利润!G13</f>
        <v>0</v>
      </c>
      <c r="H15" s="242">
        <f>[1]利润!H13</f>
        <v>0</v>
      </c>
      <c r="I15" s="242">
        <f>[1]利润!I13</f>
        <v>0</v>
      </c>
      <c r="J15" s="242">
        <f>[1]利润!J13</f>
        <v>0</v>
      </c>
      <c r="K15" s="242">
        <f>[1]利润!K13</f>
        <v>0</v>
      </c>
      <c r="L15" s="242">
        <f>[1]利润!L13</f>
        <v>0</v>
      </c>
      <c r="M15" s="244">
        <f t="shared" si="2"/>
        <v>0</v>
      </c>
    </row>
    <row r="16" ht="15" customHeight="1" spans="1:13">
      <c r="A16" s="238">
        <v>2.6</v>
      </c>
      <c r="B16" s="241" t="s">
        <v>142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4">
        <f t="shared" si="2"/>
        <v>0</v>
      </c>
    </row>
    <row r="17" ht="14.4" spans="1:13">
      <c r="A17" s="238">
        <v>3</v>
      </c>
      <c r="B17" s="239" t="s">
        <v>143</v>
      </c>
      <c r="C17" s="240">
        <f t="shared" ref="C17:L17" si="4">C5-C10</f>
        <v>0</v>
      </c>
      <c r="D17" s="240">
        <f t="shared" si="4"/>
        <v>0</v>
      </c>
      <c r="E17" s="240" t="e">
        <f t="shared" si="4"/>
        <v>#REF!</v>
      </c>
      <c r="F17" s="240">
        <f t="shared" si="4"/>
        <v>19529995.2129248</v>
      </c>
      <c r="G17" s="240">
        <f t="shared" si="4"/>
        <v>19529995.2129248</v>
      </c>
      <c r="H17" s="240">
        <f t="shared" si="4"/>
        <v>19529995.2129248</v>
      </c>
      <c r="I17" s="240" t="e">
        <f t="shared" si="4"/>
        <v>#REF!</v>
      </c>
      <c r="J17" s="240" t="e">
        <f t="shared" si="4"/>
        <v>#REF!</v>
      </c>
      <c r="K17" s="240" t="e">
        <f t="shared" si="4"/>
        <v>#REF!</v>
      </c>
      <c r="L17" s="240">
        <f t="shared" si="4"/>
        <v>97649976.0646238</v>
      </c>
      <c r="M17" s="244" t="e">
        <f t="shared" si="2"/>
        <v>#REF!</v>
      </c>
    </row>
    <row r="18" ht="14.4" spans="1:13">
      <c r="A18" s="245">
        <v>4</v>
      </c>
      <c r="B18" s="241" t="s">
        <v>144</v>
      </c>
      <c r="C18" s="242">
        <f>C17</f>
        <v>0</v>
      </c>
      <c r="D18" s="242">
        <f t="shared" ref="D18:L18" si="5">C18+D17</f>
        <v>0</v>
      </c>
      <c r="E18" s="242" t="e">
        <f t="shared" si="5"/>
        <v>#REF!</v>
      </c>
      <c r="F18" s="242" t="e">
        <f t="shared" si="5"/>
        <v>#REF!</v>
      </c>
      <c r="G18" s="242" t="e">
        <f t="shared" si="5"/>
        <v>#REF!</v>
      </c>
      <c r="H18" s="242" t="e">
        <f t="shared" si="5"/>
        <v>#REF!</v>
      </c>
      <c r="I18" s="242" t="e">
        <f t="shared" si="5"/>
        <v>#REF!</v>
      </c>
      <c r="J18" s="242" t="e">
        <f t="shared" si="5"/>
        <v>#REF!</v>
      </c>
      <c r="K18" s="242" t="e">
        <f t="shared" si="5"/>
        <v>#REF!</v>
      </c>
      <c r="L18" s="242" t="e">
        <f t="shared" si="5"/>
        <v>#REF!</v>
      </c>
      <c r="M18" s="241" t="s">
        <v>135</v>
      </c>
    </row>
    <row r="19" s="225" customFormat="1" ht="12" spans="1:13">
      <c r="A19" s="245">
        <v>5</v>
      </c>
      <c r="B19" s="241" t="s">
        <v>145</v>
      </c>
      <c r="C19" s="242">
        <f t="shared" ref="C19:L19" si="6">C17+C15</f>
        <v>0</v>
      </c>
      <c r="D19" s="242">
        <f t="shared" si="6"/>
        <v>0</v>
      </c>
      <c r="E19" s="242" t="e">
        <f t="shared" si="6"/>
        <v>#REF!</v>
      </c>
      <c r="F19" s="242">
        <f t="shared" si="6"/>
        <v>19529995.2129248</v>
      </c>
      <c r="G19" s="242">
        <f t="shared" si="6"/>
        <v>19529995.2129248</v>
      </c>
      <c r="H19" s="242">
        <f t="shared" si="6"/>
        <v>19529995.2129248</v>
      </c>
      <c r="I19" s="242" t="e">
        <f t="shared" si="6"/>
        <v>#REF!</v>
      </c>
      <c r="J19" s="242" t="e">
        <f t="shared" si="6"/>
        <v>#REF!</v>
      </c>
      <c r="K19" s="242" t="e">
        <f t="shared" si="6"/>
        <v>#REF!</v>
      </c>
      <c r="L19" s="242">
        <f t="shared" si="6"/>
        <v>97649976.0646238</v>
      </c>
      <c r="M19" s="244" t="e">
        <f>SUM(C19:L19)</f>
        <v>#REF!</v>
      </c>
    </row>
    <row r="20" s="225" customFormat="1" ht="12" spans="1:13">
      <c r="A20" s="238">
        <v>6</v>
      </c>
      <c r="B20" s="241" t="s">
        <v>146</v>
      </c>
      <c r="C20" s="242">
        <f>C19</f>
        <v>0</v>
      </c>
      <c r="D20" s="242">
        <f t="shared" ref="D20:L20" si="7">C20+D19</f>
        <v>0</v>
      </c>
      <c r="E20" s="242" t="e">
        <f t="shared" si="7"/>
        <v>#REF!</v>
      </c>
      <c r="F20" s="242" t="e">
        <f t="shared" si="7"/>
        <v>#REF!</v>
      </c>
      <c r="G20" s="242" t="e">
        <f t="shared" si="7"/>
        <v>#REF!</v>
      </c>
      <c r="H20" s="242" t="e">
        <f t="shared" si="7"/>
        <v>#REF!</v>
      </c>
      <c r="I20" s="242" t="e">
        <f t="shared" si="7"/>
        <v>#REF!</v>
      </c>
      <c r="J20" s="242" t="e">
        <f t="shared" si="7"/>
        <v>#REF!</v>
      </c>
      <c r="K20" s="242" t="e">
        <f t="shared" si="7"/>
        <v>#REF!</v>
      </c>
      <c r="L20" s="242" t="e">
        <f t="shared" si="7"/>
        <v>#REF!</v>
      </c>
      <c r="M20" s="241" t="s">
        <v>135</v>
      </c>
    </row>
    <row r="21" ht="14.4" spans="1:13">
      <c r="A21" s="246"/>
      <c r="B21" s="247" t="s">
        <v>147</v>
      </c>
      <c r="C21" s="247"/>
      <c r="D21" s="247"/>
      <c r="E21" s="247" t="s">
        <v>148</v>
      </c>
      <c r="F21" s="247"/>
      <c r="G21" s="247"/>
      <c r="H21" s="247"/>
      <c r="I21" s="247" t="s">
        <v>149</v>
      </c>
      <c r="J21" s="247"/>
      <c r="K21" s="247"/>
      <c r="L21" s="247"/>
      <c r="M21" s="258"/>
    </row>
    <row r="22" ht="14.4" spans="1:13">
      <c r="A22" s="248"/>
      <c r="B22" s="249" t="s">
        <v>150</v>
      </c>
      <c r="C22" s="249"/>
      <c r="D22" s="250" t="s">
        <v>151</v>
      </c>
      <c r="E22" s="251" t="e">
        <f>IRR(C17:L17,0.15)</f>
        <v>#VALUE!</v>
      </c>
      <c r="F22" s="249"/>
      <c r="G22" s="249"/>
      <c r="H22" s="249"/>
      <c r="I22" s="251" t="e">
        <f>IRR(C19:L19,0.15)</f>
        <v>#VALUE!</v>
      </c>
      <c r="J22" s="249"/>
      <c r="K22" s="249"/>
      <c r="L22" s="249"/>
      <c r="M22" s="259"/>
    </row>
    <row r="23" ht="14.4" spans="1:18">
      <c r="A23" s="248"/>
      <c r="B23" s="249" t="s">
        <v>152</v>
      </c>
      <c r="C23" s="249"/>
      <c r="D23" s="249"/>
      <c r="E23" s="252" t="e">
        <f>NPV(0.12,C17:L17)</f>
        <v>#REF!</v>
      </c>
      <c r="F23" s="249"/>
      <c r="G23" s="249"/>
      <c r="H23" s="249"/>
      <c r="I23" s="252" t="e">
        <f>NPV(0.12,C19:L19)</f>
        <v>#REF!</v>
      </c>
      <c r="J23" s="249"/>
      <c r="K23" s="249"/>
      <c r="L23" s="249"/>
      <c r="M23" s="259"/>
      <c r="R23" s="226">
        <f>30.9-29.82</f>
        <v>1.08</v>
      </c>
    </row>
    <row r="24" ht="14.4" spans="1:13">
      <c r="A24" s="253"/>
      <c r="B24" s="254" t="s">
        <v>153</v>
      </c>
      <c r="C24" s="254"/>
      <c r="D24" s="254"/>
      <c r="E24" s="255" t="e">
        <f>6-H18/I17</f>
        <v>#REF!</v>
      </c>
      <c r="F24" s="254"/>
      <c r="G24" s="254"/>
      <c r="H24" s="254"/>
      <c r="I24" s="255" t="e">
        <f>6-H20/I19</f>
        <v>#REF!</v>
      </c>
      <c r="J24" s="254"/>
      <c r="K24" s="254"/>
      <c r="L24" s="254"/>
      <c r="M24" s="26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5"/>
  <cols>
    <col min="1" max="1" width="5.12962962962963" style="190" customWidth="1"/>
    <col min="2" max="2" width="17.5" style="190" customWidth="1"/>
    <col min="3" max="3" width="18.1111111111111" style="191" customWidth="1"/>
    <col min="4" max="8" width="13.25" style="191" customWidth="1"/>
    <col min="9" max="9" width="15.3796296296296" style="191" customWidth="1"/>
    <col min="10" max="10" width="12.3796296296296" style="190" customWidth="1"/>
    <col min="11" max="11" width="12.8796296296296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155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195" t="s">
        <v>157</v>
      </c>
      <c r="D2" s="195"/>
      <c r="E2" s="195"/>
      <c r="F2" s="195"/>
      <c r="G2" s="195"/>
      <c r="H2" s="195"/>
      <c r="I2" s="195"/>
    </row>
    <row r="3" spans="1:9">
      <c r="A3" s="192" t="s">
        <v>158</v>
      </c>
      <c r="B3" s="192"/>
      <c r="C3" s="87" t="str">
        <f>销量!C5</f>
        <v>主镜</v>
      </c>
      <c r="D3" s="196" t="str">
        <f>销量!D5</f>
        <v>补盲镜</v>
      </c>
      <c r="E3" s="196" t="str">
        <f>销量!E5</f>
        <v>前下镜</v>
      </c>
      <c r="F3" s="196">
        <f>销量!F5</f>
        <v>0</v>
      </c>
      <c r="G3" s="196">
        <f>销量!G5</f>
        <v>0</v>
      </c>
      <c r="H3" s="196">
        <f>销量!H5</f>
        <v>0</v>
      </c>
      <c r="I3" s="217" t="s">
        <v>159</v>
      </c>
    </row>
    <row r="4" spans="1:9">
      <c r="A4" s="192" t="s">
        <v>160</v>
      </c>
      <c r="B4" s="192"/>
      <c r="C4" s="87">
        <f>销量!C6</f>
        <v>22286155</v>
      </c>
      <c r="D4" s="87">
        <f>销量!D6</f>
        <v>84099794</v>
      </c>
      <c r="E4" s="87">
        <f>销量!E6</f>
        <v>21151129</v>
      </c>
      <c r="F4" s="87">
        <f>销量!F6</f>
        <v>0</v>
      </c>
      <c r="G4" s="87">
        <f>销量!G6</f>
        <v>0</v>
      </c>
      <c r="H4" s="87">
        <f>销量!H6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销量!C9</f>
        <v>30000</v>
      </c>
      <c r="D6" s="201">
        <f>销量!D9</f>
        <v>15000</v>
      </c>
      <c r="E6" s="201">
        <f>销量!E9</f>
        <v>15000</v>
      </c>
      <c r="F6" s="201">
        <f>销量!F9</f>
        <v>0</v>
      </c>
      <c r="G6" s="201">
        <f>销量!G9</f>
        <v>0</v>
      </c>
      <c r="H6" s="201">
        <f>销量!H9</f>
        <v>0</v>
      </c>
      <c r="I6" s="202">
        <f t="shared" ref="I6:I17" si="0">SUM(C6:H6)</f>
        <v>60000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16442184.5683796</v>
      </c>
      <c r="D7" s="202">
        <f>D6*销量!D8</f>
        <v>1370700</v>
      </c>
      <c r="E7" s="202">
        <f>E6*销量!E8</f>
        <v>1717110.64454515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19529995.2129248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/>
      <c r="D8" s="202"/>
      <c r="E8" s="202"/>
      <c r="F8" s="202"/>
      <c r="G8" s="202"/>
      <c r="H8" s="202"/>
      <c r="I8" s="202">
        <f t="shared" si="0"/>
        <v>0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16442184.5683796</v>
      </c>
      <c r="D9" s="202">
        <f t="shared" ref="D9:H9" si="1">+D7-D8</f>
        <v>1370700</v>
      </c>
      <c r="E9" s="202">
        <f t="shared" si="1"/>
        <v>1717110.64454515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19529995.2129248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8003064.58762887</v>
      </c>
      <c r="D10" s="202">
        <f t="shared" ref="D10:H10" si="2">D6*D33</f>
        <v>909523.5</v>
      </c>
      <c r="E10" s="202">
        <f t="shared" si="2"/>
        <v>821840.687010309</v>
      </c>
      <c r="F10" s="202">
        <f t="shared" si="2"/>
        <v>0</v>
      </c>
      <c r="G10" s="202">
        <f t="shared" si="2"/>
        <v>0</v>
      </c>
      <c r="H10" s="202">
        <f t="shared" si="2"/>
        <v>0</v>
      </c>
      <c r="I10" s="202">
        <f t="shared" si="0"/>
        <v>9734428.77463918</v>
      </c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1023278.58238405</v>
      </c>
      <c r="D11" s="202">
        <f t="shared" ref="D11:H11" si="3">+D6*D36</f>
        <v>90766.35</v>
      </c>
      <c r="E11" s="202">
        <f t="shared" si="3"/>
        <v>105880.893692521</v>
      </c>
      <c r="F11" s="202">
        <f t="shared" si="3"/>
        <v>0</v>
      </c>
      <c r="G11" s="202">
        <f t="shared" si="3"/>
        <v>0</v>
      </c>
      <c r="H11" s="202">
        <f t="shared" si="3"/>
        <v>0</v>
      </c>
      <c r="I11" s="202">
        <f t="shared" si="0"/>
        <v>1219925.82607657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1672715.98691457</v>
      </c>
      <c r="D12" s="202">
        <f t="shared" ref="D12:H12" si="4">+D6*D37</f>
        <v>148372.425</v>
      </c>
      <c r="E12" s="202">
        <f t="shared" si="4"/>
        <v>173079.615499869</v>
      </c>
      <c r="F12" s="202">
        <f t="shared" si="4"/>
        <v>0</v>
      </c>
      <c r="G12" s="202">
        <f t="shared" si="4"/>
        <v>0</v>
      </c>
      <c r="H12" s="202">
        <f t="shared" si="4"/>
        <v>0</v>
      </c>
      <c r="I12" s="202">
        <f t="shared" si="0"/>
        <v>1994168.02741444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3683100</v>
      </c>
      <c r="D13" s="202">
        <f t="shared" ref="D13:H13" si="5">+D6*D38</f>
        <v>238950</v>
      </c>
      <c r="E13" s="202">
        <f t="shared" si="5"/>
        <v>396900</v>
      </c>
      <c r="F13" s="202">
        <f t="shared" si="5"/>
        <v>0</v>
      </c>
      <c r="G13" s="202">
        <f t="shared" si="5"/>
        <v>0</v>
      </c>
      <c r="H13" s="202">
        <f t="shared" si="5"/>
        <v>0</v>
      </c>
      <c r="I13" s="202">
        <f t="shared" si="0"/>
        <v>4318950</v>
      </c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6379094.56929861</v>
      </c>
      <c r="D14" s="202">
        <f t="shared" ref="D14:H14" si="6">SUM(D11:D13)</f>
        <v>478088.775</v>
      </c>
      <c r="E14" s="202">
        <f t="shared" si="6"/>
        <v>675860.509192389</v>
      </c>
      <c r="F14" s="202">
        <f t="shared" si="6"/>
        <v>0</v>
      </c>
      <c r="G14" s="202">
        <f t="shared" si="6"/>
        <v>0</v>
      </c>
      <c r="H14" s="202">
        <f t="shared" si="6"/>
        <v>0</v>
      </c>
      <c r="I14" s="202">
        <f t="shared" si="0"/>
        <v>7533043.853491</v>
      </c>
      <c r="K14" s="219"/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2060025.41145214</v>
      </c>
      <c r="D15" s="202">
        <f t="shared" ref="D15:H15" si="7">+D9-D10-D14</f>
        <v>-16912.2749999999</v>
      </c>
      <c r="E15" s="202">
        <f t="shared" si="7"/>
        <v>219409.448342447</v>
      </c>
      <c r="F15" s="202">
        <f t="shared" si="7"/>
        <v>0</v>
      </c>
      <c r="G15" s="202">
        <f t="shared" si="7"/>
        <v>0</v>
      </c>
      <c r="H15" s="202">
        <f t="shared" si="7"/>
        <v>0</v>
      </c>
      <c r="I15" s="202">
        <f t="shared" si="0"/>
        <v>2262522.58479459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>
        <f>+C15/C9</f>
        <v>0.125289033393642</v>
      </c>
      <c r="D16" s="204">
        <f t="shared" ref="D16:H16" si="8">+D15/D9</f>
        <v>-0.0123384219741737</v>
      </c>
      <c r="E16" s="204">
        <f t="shared" si="8"/>
        <v>0.127778282103986</v>
      </c>
      <c r="F16" s="204" t="e">
        <f t="shared" si="8"/>
        <v>#DIV/0!</v>
      </c>
      <c r="G16" s="204" t="e">
        <f t="shared" si="8"/>
        <v>#DIV/0!</v>
      </c>
      <c r="H16" s="204" t="e">
        <f t="shared" si="8"/>
        <v>#DIV/0!</v>
      </c>
      <c r="I16" s="204">
        <f t="shared" ref="I16" si="9">+I15/I9</f>
        <v>0.115848599046111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>
        <f>C6*C43+C18</f>
        <v>650713.312987361</v>
      </c>
      <c r="D17" s="202">
        <f t="shared" ref="D17:H17" si="10">D6*D43+D18</f>
        <v>57719.25</v>
      </c>
      <c r="E17" s="202">
        <f t="shared" si="10"/>
        <v>67330.7428718024</v>
      </c>
      <c r="F17" s="202">
        <f t="shared" si="10"/>
        <v>0</v>
      </c>
      <c r="G17" s="202">
        <f t="shared" si="10"/>
        <v>0</v>
      </c>
      <c r="H17" s="202">
        <f t="shared" si="10"/>
        <v>0</v>
      </c>
      <c r="I17" s="202">
        <f t="shared" si="0"/>
        <v>775763.305859163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12">
        <f>$I$18/$I$9*C9</f>
        <v>0</v>
      </c>
      <c r="D18" s="212">
        <f t="shared" ref="D18:H18" si="11">$I$18/$I$9*D9</f>
        <v>0</v>
      </c>
      <c r="E18" s="212">
        <f t="shared" si="11"/>
        <v>0</v>
      </c>
      <c r="F18" s="212">
        <f t="shared" si="11"/>
        <v>0</v>
      </c>
      <c r="G18" s="212">
        <f t="shared" si="11"/>
        <v>0</v>
      </c>
      <c r="H18" s="212">
        <f t="shared" si="11"/>
        <v>0</v>
      </c>
      <c r="I18" s="212">
        <f>项目投资!D26</f>
        <v>0</v>
      </c>
      <c r="J18" s="224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265388.959022296</v>
      </c>
      <c r="D19" s="202">
        <f t="shared" ref="D19:H19" si="12">D6*D44</f>
        <v>23540.4</v>
      </c>
      <c r="E19" s="202">
        <f t="shared" si="12"/>
        <v>27460.381406539</v>
      </c>
      <c r="F19" s="202">
        <f t="shared" si="12"/>
        <v>0</v>
      </c>
      <c r="G19" s="202">
        <f t="shared" si="12"/>
        <v>0</v>
      </c>
      <c r="H19" s="202">
        <f t="shared" si="12"/>
        <v>0</v>
      </c>
      <c r="I19" s="202">
        <f>SUM(C19:H19)</f>
        <v>316389.740428835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297286.670443245</v>
      </c>
      <c r="D20" s="202">
        <f t="shared" ref="D20:H20" si="13">D6*D45</f>
        <v>26369.775</v>
      </c>
      <c r="E20" s="202">
        <f t="shared" si="13"/>
        <v>30760.9080179019</v>
      </c>
      <c r="F20" s="202">
        <f t="shared" si="13"/>
        <v>0</v>
      </c>
      <c r="G20" s="202">
        <f t="shared" si="13"/>
        <v>0</v>
      </c>
      <c r="H20" s="202">
        <f t="shared" si="13"/>
        <v>0</v>
      </c>
      <c r="I20" s="202">
        <f>SUM(C20:H20)</f>
        <v>354417.353461147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>
        <f>$I$21/$I$6*C6</f>
        <v>0</v>
      </c>
      <c r="D21" s="207">
        <f t="shared" ref="D21:H21" si="14">$I$21/$I$6*D6</f>
        <v>0</v>
      </c>
      <c r="E21" s="207">
        <f t="shared" si="14"/>
        <v>0</v>
      </c>
      <c r="F21" s="207">
        <f t="shared" si="14"/>
        <v>0</v>
      </c>
      <c r="G21" s="207">
        <f t="shared" si="14"/>
        <v>0</v>
      </c>
      <c r="H21" s="207">
        <f t="shared" si="14"/>
        <v>0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452947.502177476</v>
      </c>
      <c r="D22" s="202">
        <f t="shared" ref="D22:H22" si="15">D6*D47</f>
        <v>40177.125</v>
      </c>
      <c r="E22" s="202">
        <f t="shared" si="15"/>
        <v>46867.4778813527</v>
      </c>
      <c r="F22" s="202">
        <f t="shared" si="15"/>
        <v>0</v>
      </c>
      <c r="G22" s="202">
        <f t="shared" si="15"/>
        <v>0</v>
      </c>
      <c r="H22" s="202">
        <f t="shared" si="15"/>
        <v>0</v>
      </c>
      <c r="I22" s="202">
        <f>SUM(C22:H22)</f>
        <v>539992.105058829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>
        <f>+C22+C21+C20+C19+C17</f>
        <v>1666336.44463038</v>
      </c>
      <c r="D23" s="207">
        <f t="shared" ref="D23:I23" si="16">+D22+D21+D20+D19+D17</f>
        <v>147806.55</v>
      </c>
      <c r="E23" s="207">
        <f t="shared" si="16"/>
        <v>172419.510177596</v>
      </c>
      <c r="F23" s="207">
        <f t="shared" si="16"/>
        <v>0</v>
      </c>
      <c r="G23" s="207">
        <f t="shared" si="16"/>
        <v>0</v>
      </c>
      <c r="H23" s="207">
        <f t="shared" si="16"/>
        <v>0</v>
      </c>
      <c r="I23" s="207">
        <f t="shared" si="16"/>
        <v>1986562.50480797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>
        <f>+C15-C23</f>
        <v>393688.96682176</v>
      </c>
      <c r="D24" s="207">
        <f t="shared" ref="D24:H24" si="17">+D15-D23</f>
        <v>-164718.825</v>
      </c>
      <c r="E24" s="207">
        <f t="shared" si="17"/>
        <v>46989.9381648511</v>
      </c>
      <c r="F24" s="207">
        <f t="shared" si="17"/>
        <v>0</v>
      </c>
      <c r="G24" s="207">
        <f t="shared" si="17"/>
        <v>0</v>
      </c>
      <c r="H24" s="207">
        <f t="shared" si="17"/>
        <v>0</v>
      </c>
      <c r="I24" s="207">
        <f t="shared" ref="I24" si="18">+I15-I23</f>
        <v>275960.079986611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>
        <f>IF(C24&lt;0,0,C24*0.15)</f>
        <v>59053.3450232641</v>
      </c>
      <c r="D25" s="207">
        <f t="shared" ref="D25:I25" si="19">IF(D24&lt;0,0,D24*0.15)</f>
        <v>0</v>
      </c>
      <c r="E25" s="207">
        <f t="shared" si="19"/>
        <v>7048.49072472766</v>
      </c>
      <c r="F25" s="207">
        <f t="shared" si="19"/>
        <v>0</v>
      </c>
      <c r="G25" s="207">
        <f t="shared" si="19"/>
        <v>0</v>
      </c>
      <c r="H25" s="207">
        <f t="shared" si="19"/>
        <v>0</v>
      </c>
      <c r="I25" s="207">
        <f t="shared" si="19"/>
        <v>41394.0119979917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>
        <f t="shared" ref="C26" si="20">C24-C25</f>
        <v>334635.621798496</v>
      </c>
      <c r="D26" s="207">
        <f t="shared" ref="D26:H26" si="21">D24-D25</f>
        <v>-164718.825</v>
      </c>
      <c r="E26" s="207">
        <f t="shared" si="21"/>
        <v>39941.4474401234</v>
      </c>
      <c r="F26" s="207">
        <f t="shared" si="21"/>
        <v>0</v>
      </c>
      <c r="G26" s="207">
        <f t="shared" si="21"/>
        <v>0</v>
      </c>
      <c r="H26" s="207">
        <f t="shared" si="21"/>
        <v>0</v>
      </c>
      <c r="I26" s="202">
        <f>SUM(C26:H26)</f>
        <v>209858.24423862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>
        <f t="shared" ref="C27:I27" si="22">C26/C7</f>
        <v>0.0203522603950112</v>
      </c>
      <c r="D27" s="209">
        <f t="shared" ref="D27:H27" si="23">D26/D7</f>
        <v>-0.120171317574962</v>
      </c>
      <c r="E27" s="209">
        <f t="shared" si="23"/>
        <v>0.0232608466827737</v>
      </c>
      <c r="F27" s="209" t="e">
        <f t="shared" si="23"/>
        <v>#DIV/0!</v>
      </c>
      <c r="G27" s="209" t="e">
        <f t="shared" si="23"/>
        <v>#DIV/0!</v>
      </c>
      <c r="H27" s="209" t="e">
        <f t="shared" si="23"/>
        <v>#DIV/0!</v>
      </c>
      <c r="I27" s="209">
        <f t="shared" si="22"/>
        <v>0.0107454324463806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>
        <f>C31*1</f>
        <v>548.072818945987</v>
      </c>
      <c r="D32" s="202">
        <f t="shared" ref="D32:H32" si="24">D31*1</f>
        <v>91.38</v>
      </c>
      <c r="E32" s="202">
        <f t="shared" si="24"/>
        <v>114.474042969676</v>
      </c>
      <c r="F32" s="202">
        <f t="shared" si="24"/>
        <v>0</v>
      </c>
      <c r="G32" s="202">
        <f t="shared" si="24"/>
        <v>0</v>
      </c>
      <c r="H32" s="202">
        <f t="shared" si="24"/>
        <v>0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材料成本!E19</f>
        <v>266.768819587629</v>
      </c>
      <c r="D33" s="202">
        <f>材料成本!E20</f>
        <v>60.6349</v>
      </c>
      <c r="E33" s="202">
        <f>材料成本!E21</f>
        <v>54.7893791340206</v>
      </c>
      <c r="F33" s="202">
        <f>材料成本!E22</f>
        <v>0</v>
      </c>
      <c r="G33" s="202">
        <f>材料成本!E23</f>
        <v>0</v>
      </c>
      <c r="H33" s="202">
        <f>材料成本!E24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>
        <f>C32-C33</f>
        <v>281.303999358358</v>
      </c>
      <c r="D34" s="211">
        <f t="shared" ref="D34:H34" si="25">D32-D33</f>
        <v>30.7451</v>
      </c>
      <c r="E34" s="211">
        <f t="shared" si="25"/>
        <v>59.6846638356558</v>
      </c>
      <c r="F34" s="211">
        <f t="shared" si="25"/>
        <v>0</v>
      </c>
      <c r="G34" s="211">
        <f t="shared" si="25"/>
        <v>0</v>
      </c>
      <c r="H34" s="211">
        <f t="shared" si="25"/>
        <v>0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标准成本!E4</f>
        <v>34.1092860794682</v>
      </c>
      <c r="D36" s="212">
        <f>标准成本!E18</f>
        <v>6.05109</v>
      </c>
      <c r="E36" s="212">
        <f>标准成本!E32</f>
        <v>7.05872624616804</v>
      </c>
      <c r="F36" s="212">
        <f>标准成本!E45</f>
        <v>0</v>
      </c>
      <c r="G36" s="212">
        <f>标准成本!E58</f>
        <v>0</v>
      </c>
      <c r="H36" s="212">
        <f>标准成本!E71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标准成本!E6</f>
        <v>55.7571995638189</v>
      </c>
      <c r="D37" s="212">
        <f>标准成本!E20</f>
        <v>9.891495</v>
      </c>
      <c r="E37" s="212">
        <f>标准成本!E34</f>
        <v>11.5386410333246</v>
      </c>
      <c r="F37" s="212">
        <f>标准成本!E47</f>
        <v>0</v>
      </c>
      <c r="G37" s="212">
        <f>标准成本!E60</f>
        <v>0</v>
      </c>
      <c r="H37" s="212">
        <f>标准成本!E73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标准成本!E10</f>
        <v>122.77</v>
      </c>
      <c r="D38" s="212">
        <f>标准成本!E24</f>
        <v>15.93</v>
      </c>
      <c r="E38" s="212">
        <f>标准成本!E38</f>
        <v>26.46</v>
      </c>
      <c r="F38" s="212">
        <f>标准成本!E51</f>
        <v>0</v>
      </c>
      <c r="G38" s="212">
        <f>标准成本!E64</f>
        <v>0</v>
      </c>
      <c r="H38" s="212">
        <f>标准成本!E77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>
        <f>C34-C36-C37-C38</f>
        <v>68.6675137150713</v>
      </c>
      <c r="D40" s="207">
        <f t="shared" ref="D40:H40" si="26">D34-D36-D37-D38</f>
        <v>-1.127485</v>
      </c>
      <c r="E40" s="207">
        <f t="shared" si="26"/>
        <v>14.6272965561631</v>
      </c>
      <c r="F40" s="207">
        <f t="shared" si="26"/>
        <v>0</v>
      </c>
      <c r="G40" s="207">
        <f t="shared" si="26"/>
        <v>0</v>
      </c>
      <c r="H40" s="207">
        <f t="shared" si="26"/>
        <v>0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标准成本!E5</f>
        <v>21.6904437662454</v>
      </c>
      <c r="D43" s="212">
        <f>标准成本!E19</f>
        <v>3.84795</v>
      </c>
      <c r="E43" s="212">
        <f>标准成本!E33</f>
        <v>4.48871619145349</v>
      </c>
      <c r="F43" s="212">
        <f>标准成本!E46</f>
        <v>0</v>
      </c>
      <c r="G43" s="212">
        <f>标准成本!E59</f>
        <v>0</v>
      </c>
      <c r="H43" s="212">
        <f>标准成本!E72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标准成本!E9</f>
        <v>8.84629863407654</v>
      </c>
      <c r="D44" s="212">
        <f>标准成本!E23</f>
        <v>1.56936</v>
      </c>
      <c r="E44" s="212">
        <f>标准成本!E37</f>
        <v>1.83069209376927</v>
      </c>
      <c r="F44" s="212">
        <f>标准成本!E50</f>
        <v>0</v>
      </c>
      <c r="G44" s="212">
        <f>标准成本!E63</f>
        <v>0</v>
      </c>
      <c r="H44" s="212">
        <f>标准成本!E76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标准成本!E8</f>
        <v>9.90955568144151</v>
      </c>
      <c r="D45" s="212">
        <f>标准成本!E22</f>
        <v>1.757985</v>
      </c>
      <c r="E45" s="212">
        <f>标准成本!E36</f>
        <v>2.05072720119346</v>
      </c>
      <c r="F45" s="212">
        <f>标准成本!E49</f>
        <v>0</v>
      </c>
      <c r="G45" s="212">
        <f>标准成本!E62</f>
        <v>0</v>
      </c>
      <c r="H45" s="212">
        <f>标准成本!E75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>
        <f>C21/C6</f>
        <v>0</v>
      </c>
      <c r="D46" s="213">
        <f t="shared" ref="D46:H46" si="27">D21/D6</f>
        <v>0</v>
      </c>
      <c r="E46" s="213">
        <f t="shared" si="27"/>
        <v>0</v>
      </c>
      <c r="F46" s="213" t="e">
        <f t="shared" si="27"/>
        <v>#DIV/0!</v>
      </c>
      <c r="G46" s="213" t="e">
        <f t="shared" si="27"/>
        <v>#DIV/0!</v>
      </c>
      <c r="H46" s="213" t="e">
        <f t="shared" si="27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标准成本!E11</f>
        <v>15.0982500725825</v>
      </c>
      <c r="D47" s="213">
        <f>标准成本!E25</f>
        <v>2.678475</v>
      </c>
      <c r="E47" s="213">
        <f>标准成本!E39</f>
        <v>3.12449852542351</v>
      </c>
      <c r="F47" s="213">
        <f>标准成本!E52</f>
        <v>0</v>
      </c>
      <c r="G47" s="213">
        <f>标准成本!E65</f>
        <v>0</v>
      </c>
      <c r="H47" s="213">
        <f>标准成本!E78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>
        <f>C40-C43-C44-C45-C47-C46</f>
        <v>13.1229655607254</v>
      </c>
      <c r="D48" s="207">
        <f t="shared" ref="D48:H48" si="28">D40-D43-D44-D45-D47-D46</f>
        <v>-10.981255</v>
      </c>
      <c r="E48" s="207">
        <f t="shared" si="28"/>
        <v>3.13266254432341</v>
      </c>
      <c r="F48" s="207" t="e">
        <f t="shared" si="28"/>
        <v>#DIV/0!</v>
      </c>
      <c r="G48" s="207" t="e">
        <f t="shared" si="28"/>
        <v>#DIV/0!</v>
      </c>
      <c r="H48" s="207" t="e">
        <f t="shared" si="28"/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I25" sqref="I25"/>
    </sheetView>
  </sheetViews>
  <sheetFormatPr defaultColWidth="9" defaultRowHeight="15"/>
  <cols>
    <col min="1" max="1" width="5.12962962962963" style="190" customWidth="1"/>
    <col min="2" max="2" width="17.5" style="190" customWidth="1"/>
    <col min="3" max="8" width="13.25" style="191" customWidth="1"/>
    <col min="9" max="9" width="18.75" style="191" customWidth="1"/>
    <col min="10" max="10" width="12.3796296296296" style="190" customWidth="1"/>
    <col min="11" max="11" width="10.1296296296296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169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195" t="str">
        <f>'2026年'!C2:I2</f>
        <v>沃尔沃集团</v>
      </c>
      <c r="D2" s="195"/>
      <c r="E2" s="195"/>
      <c r="F2" s="195"/>
      <c r="G2" s="195"/>
      <c r="H2" s="195"/>
      <c r="I2" s="195"/>
    </row>
    <row r="3" spans="1:9">
      <c r="A3" s="192" t="s">
        <v>158</v>
      </c>
      <c r="B3" s="192"/>
      <c r="C3" s="87" t="str">
        <f>'2026年'!C3</f>
        <v>主镜</v>
      </c>
      <c r="D3" s="196" t="str">
        <f>'2026年'!D3</f>
        <v>补盲镜</v>
      </c>
      <c r="E3" s="196" t="str">
        <f>'2026年'!E3</f>
        <v>前下镜</v>
      </c>
      <c r="F3" s="196">
        <f>'2026年'!F3</f>
        <v>0</v>
      </c>
      <c r="G3" s="196">
        <f>'2026年'!G3</f>
        <v>0</v>
      </c>
      <c r="H3" s="196">
        <f>'2026年'!H3</f>
        <v>0</v>
      </c>
      <c r="I3" s="217" t="s">
        <v>159</v>
      </c>
    </row>
    <row r="4" spans="1:9">
      <c r="A4" s="192" t="s">
        <v>160</v>
      </c>
      <c r="B4" s="192"/>
      <c r="C4" s="87">
        <f>'2026年'!C4</f>
        <v>22286155</v>
      </c>
      <c r="D4" s="87">
        <f>'2026年'!D4</f>
        <v>84099794</v>
      </c>
      <c r="E4" s="87">
        <f>'2026年'!E4</f>
        <v>21151129</v>
      </c>
      <c r="F4" s="87">
        <f>'2026年'!F4</f>
        <v>0</v>
      </c>
      <c r="G4" s="87">
        <f>'2026年'!G4</f>
        <v>0</v>
      </c>
      <c r="H4" s="87">
        <f>'2026年'!H4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销量!C10</f>
        <v>30000</v>
      </c>
      <c r="D6" s="201">
        <f>销量!D10</f>
        <v>15000</v>
      </c>
      <c r="E6" s="201">
        <f>销量!E10</f>
        <v>15000</v>
      </c>
      <c r="F6" s="201">
        <f>销量!F10</f>
        <v>0</v>
      </c>
      <c r="G6" s="201">
        <f>销量!G10</f>
        <v>0</v>
      </c>
      <c r="H6" s="201">
        <f>销量!H10</f>
        <v>0</v>
      </c>
      <c r="I6" s="202">
        <f t="shared" ref="I6:I15" si="0">SUM(C6:H6)</f>
        <v>60000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16442184.5683796</v>
      </c>
      <c r="D7" s="202">
        <f>D6*销量!D8</f>
        <v>1370700</v>
      </c>
      <c r="E7" s="202">
        <f>E6*销量!E8</f>
        <v>1717110.64454515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19529995.2129248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>
        <f>C7*(1-销量!$M$7)</f>
        <v>164421.845683796</v>
      </c>
      <c r="D8" s="202">
        <f>D7*(1-销量!$M$7)</f>
        <v>13707</v>
      </c>
      <c r="E8" s="202">
        <f>E7*(1-销量!$M$7)</f>
        <v>17171.1064454515</v>
      </c>
      <c r="F8" s="202">
        <f>F7*(1-销量!$M$7)</f>
        <v>0</v>
      </c>
      <c r="G8" s="202">
        <f>G7*(1-销量!$M$7)</f>
        <v>0</v>
      </c>
      <c r="H8" s="202">
        <f>H7*(1-销量!$M$7)</f>
        <v>0</v>
      </c>
      <c r="I8" s="202">
        <f t="shared" si="0"/>
        <v>195299.952129248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16277762.7226958</v>
      </c>
      <c r="D9" s="202">
        <f t="shared" ref="D9:H9" si="1">+D7-D8</f>
        <v>1356993</v>
      </c>
      <c r="E9" s="202">
        <f t="shared" si="1"/>
        <v>1699939.53809969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19334695.2607955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7923033.94175258</v>
      </c>
      <c r="D10" s="202">
        <f t="shared" ref="D10:H10" si="2">D6*D33</f>
        <v>900428.265</v>
      </c>
      <c r="E10" s="202">
        <f t="shared" si="2"/>
        <v>813622.280140206</v>
      </c>
      <c r="F10" s="202">
        <f t="shared" si="2"/>
        <v>0</v>
      </c>
      <c r="G10" s="202">
        <f t="shared" si="2"/>
        <v>0</v>
      </c>
      <c r="H10" s="202">
        <f t="shared" si="2"/>
        <v>0</v>
      </c>
      <c r="I10" s="202">
        <f t="shared" si="0"/>
        <v>9637084.48689279</v>
      </c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1023278.58238405</v>
      </c>
      <c r="D11" s="202">
        <f t="shared" ref="D11:H11" si="3">+D6*D36</f>
        <v>90766.35</v>
      </c>
      <c r="E11" s="202">
        <f t="shared" si="3"/>
        <v>105880.893692521</v>
      </c>
      <c r="F11" s="202">
        <f t="shared" si="3"/>
        <v>0</v>
      </c>
      <c r="G11" s="202">
        <f t="shared" si="3"/>
        <v>0</v>
      </c>
      <c r="H11" s="202">
        <f t="shared" si="3"/>
        <v>0</v>
      </c>
      <c r="I11" s="202">
        <f t="shared" si="0"/>
        <v>1219925.82607657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1672715.98691457</v>
      </c>
      <c r="D12" s="202">
        <f t="shared" ref="D12:H12" si="4">+D6*D37</f>
        <v>148372.425</v>
      </c>
      <c r="E12" s="202">
        <f t="shared" si="4"/>
        <v>173079.615499869</v>
      </c>
      <c r="F12" s="202">
        <f t="shared" si="4"/>
        <v>0</v>
      </c>
      <c r="G12" s="202">
        <f t="shared" si="4"/>
        <v>0</v>
      </c>
      <c r="H12" s="202">
        <f t="shared" si="4"/>
        <v>0</v>
      </c>
      <c r="I12" s="202">
        <f t="shared" si="0"/>
        <v>1994168.02741444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3683100</v>
      </c>
      <c r="D13" s="202">
        <f t="shared" ref="D13:H13" si="5">+D6*D38</f>
        <v>238950</v>
      </c>
      <c r="E13" s="202">
        <f t="shared" si="5"/>
        <v>396900</v>
      </c>
      <c r="F13" s="202">
        <f t="shared" si="5"/>
        <v>0</v>
      </c>
      <c r="G13" s="202">
        <f t="shared" si="5"/>
        <v>0</v>
      </c>
      <c r="H13" s="202">
        <f t="shared" si="5"/>
        <v>0</v>
      </c>
      <c r="I13" s="202">
        <f t="shared" si="0"/>
        <v>4318950</v>
      </c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6379094.56929861</v>
      </c>
      <c r="D14" s="202">
        <f t="shared" ref="D14:H14" si="6">SUM(D11:D13)</f>
        <v>478088.775</v>
      </c>
      <c r="E14" s="202">
        <f t="shared" si="6"/>
        <v>675860.509192389</v>
      </c>
      <c r="F14" s="202">
        <f t="shared" si="6"/>
        <v>0</v>
      </c>
      <c r="G14" s="202">
        <f t="shared" si="6"/>
        <v>0</v>
      </c>
      <c r="H14" s="202">
        <f t="shared" si="6"/>
        <v>0</v>
      </c>
      <c r="I14" s="202">
        <f t="shared" si="0"/>
        <v>7533043.853491</v>
      </c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1975634.21164463</v>
      </c>
      <c r="D15" s="202">
        <f t="shared" ref="D15:H15" si="7">+D9-D10-D14</f>
        <v>-21524.0399999999</v>
      </c>
      <c r="E15" s="202">
        <f t="shared" si="7"/>
        <v>210456.748767099</v>
      </c>
      <c r="F15" s="202">
        <f t="shared" si="7"/>
        <v>0</v>
      </c>
      <c r="G15" s="202">
        <f t="shared" si="7"/>
        <v>0</v>
      </c>
      <c r="H15" s="202">
        <f t="shared" si="7"/>
        <v>0</v>
      </c>
      <c r="I15" s="202">
        <f t="shared" si="0"/>
        <v>2164566.92041173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>
        <f>+C15/C9</f>
        <v>0.121370132081483</v>
      </c>
      <c r="D16" s="204">
        <f t="shared" ref="D16:H16" si="8">+D15/D9</f>
        <v>-0.0158615703986682</v>
      </c>
      <c r="E16" s="204">
        <f t="shared" si="8"/>
        <v>0.123802490647615</v>
      </c>
      <c r="F16" s="204" t="e">
        <f t="shared" si="8"/>
        <v>#DIV/0!</v>
      </c>
      <c r="G16" s="204" t="e">
        <f t="shared" si="8"/>
        <v>#DIV/0!</v>
      </c>
      <c r="H16" s="204" t="e">
        <f t="shared" si="8"/>
        <v>#DIV/0!</v>
      </c>
      <c r="I16" s="204">
        <f t="shared" ref="I16" si="9">+I15/I9</f>
        <v>0.111952471513775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>
        <f>C6*C43+C18</f>
        <v>650713.312987361</v>
      </c>
      <c r="D17" s="202">
        <f t="shared" ref="D17:H17" si="10">D6*D43+D18</f>
        <v>57719.25</v>
      </c>
      <c r="E17" s="202">
        <f t="shared" si="10"/>
        <v>67330.7428718024</v>
      </c>
      <c r="F17" s="202">
        <f t="shared" si="10"/>
        <v>0</v>
      </c>
      <c r="G17" s="202">
        <f t="shared" si="10"/>
        <v>0</v>
      </c>
      <c r="H17" s="202">
        <f t="shared" si="10"/>
        <v>0</v>
      </c>
      <c r="I17" s="202">
        <f>SUM(C17:H17)</f>
        <v>775763.305859163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12">
        <f>$I$18/$I$9*C9</f>
        <v>0</v>
      </c>
      <c r="D18" s="212">
        <f t="shared" ref="D18:H18" si="11">$I$18/$I$9*D9</f>
        <v>0</v>
      </c>
      <c r="E18" s="212">
        <f t="shared" si="11"/>
        <v>0</v>
      </c>
      <c r="F18" s="212">
        <f t="shared" si="11"/>
        <v>0</v>
      </c>
      <c r="G18" s="212">
        <f t="shared" si="11"/>
        <v>0</v>
      </c>
      <c r="H18" s="212">
        <f t="shared" si="11"/>
        <v>0</v>
      </c>
      <c r="I18" s="212">
        <f>项目投资!E26</f>
        <v>0</v>
      </c>
      <c r="J18" s="66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265388.959022296</v>
      </c>
      <c r="D19" s="202">
        <f t="shared" ref="D19:H19" si="12">D6*D44</f>
        <v>23540.4</v>
      </c>
      <c r="E19" s="202">
        <f t="shared" si="12"/>
        <v>27460.381406539</v>
      </c>
      <c r="F19" s="202">
        <f t="shared" si="12"/>
        <v>0</v>
      </c>
      <c r="G19" s="202">
        <f t="shared" si="12"/>
        <v>0</v>
      </c>
      <c r="H19" s="202">
        <f t="shared" si="12"/>
        <v>0</v>
      </c>
      <c r="I19" s="202">
        <f>SUM(C19:H19)</f>
        <v>316389.740428835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297286.670443245</v>
      </c>
      <c r="D20" s="202">
        <f t="shared" ref="D20:H20" si="13">D6*D45</f>
        <v>26369.775</v>
      </c>
      <c r="E20" s="202">
        <f t="shared" si="13"/>
        <v>30760.9080179019</v>
      </c>
      <c r="F20" s="202">
        <f t="shared" si="13"/>
        <v>0</v>
      </c>
      <c r="G20" s="202">
        <f t="shared" si="13"/>
        <v>0</v>
      </c>
      <c r="H20" s="202">
        <f t="shared" si="13"/>
        <v>0</v>
      </c>
      <c r="I20" s="202">
        <f>SUM(C20:H20)</f>
        <v>354417.353461147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>
        <f t="shared" ref="C21:H21" si="14">$I$21/$I$6*C6</f>
        <v>0</v>
      </c>
      <c r="D21" s="207">
        <f t="shared" si="14"/>
        <v>0</v>
      </c>
      <c r="E21" s="207">
        <f t="shared" si="14"/>
        <v>0</v>
      </c>
      <c r="F21" s="207">
        <f t="shared" si="14"/>
        <v>0</v>
      </c>
      <c r="G21" s="207">
        <f t="shared" si="14"/>
        <v>0</v>
      </c>
      <c r="H21" s="207">
        <f t="shared" si="14"/>
        <v>0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452947.502177476</v>
      </c>
      <c r="D22" s="202">
        <f t="shared" ref="D22:H22" si="15">D6*D47</f>
        <v>40177.125</v>
      </c>
      <c r="E22" s="202">
        <f t="shared" si="15"/>
        <v>46867.4778813527</v>
      </c>
      <c r="F22" s="202">
        <f t="shared" si="15"/>
        <v>0</v>
      </c>
      <c r="G22" s="202">
        <f t="shared" si="15"/>
        <v>0</v>
      </c>
      <c r="H22" s="202">
        <f t="shared" si="15"/>
        <v>0</v>
      </c>
      <c r="I22" s="202">
        <f>SUM(C22:H22)</f>
        <v>539992.105058829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>
        <f>+C22+C21+C20+C19+C17</f>
        <v>1666336.44463038</v>
      </c>
      <c r="D23" s="207">
        <f t="shared" ref="D23:H23" si="16">+D22+D21+D20+D19+D17</f>
        <v>147806.55</v>
      </c>
      <c r="E23" s="207">
        <f t="shared" si="16"/>
        <v>172419.510177596</v>
      </c>
      <c r="F23" s="207">
        <f t="shared" si="16"/>
        <v>0</v>
      </c>
      <c r="G23" s="207">
        <f t="shared" si="16"/>
        <v>0</v>
      </c>
      <c r="H23" s="207">
        <f t="shared" si="16"/>
        <v>0</v>
      </c>
      <c r="I23" s="207">
        <f t="shared" ref="I23" si="17">+I22+I21+I20+I19+I17</f>
        <v>1986562.50480797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>
        <f>+C15-C23</f>
        <v>309297.767014252</v>
      </c>
      <c r="D24" s="207">
        <f t="shared" ref="D24:H24" si="18">+D15-D23</f>
        <v>-169330.59</v>
      </c>
      <c r="E24" s="207">
        <f t="shared" si="18"/>
        <v>38037.2385895027</v>
      </c>
      <c r="F24" s="207">
        <f t="shared" si="18"/>
        <v>0</v>
      </c>
      <c r="G24" s="207">
        <f t="shared" si="18"/>
        <v>0</v>
      </c>
      <c r="H24" s="207">
        <f t="shared" si="18"/>
        <v>0</v>
      </c>
      <c r="I24" s="207">
        <f t="shared" ref="I24" si="19">+I15-I23</f>
        <v>178004.415603755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>
        <f>IF(C24&lt;0,0,C24*0.15)</f>
        <v>46394.6650521379</v>
      </c>
      <c r="D25" s="207">
        <f t="shared" ref="D25:I25" si="20">IF(D24&lt;0,0,D24*0.15)</f>
        <v>0</v>
      </c>
      <c r="E25" s="207">
        <f t="shared" si="20"/>
        <v>5705.5857884254</v>
      </c>
      <c r="F25" s="207">
        <f t="shared" si="20"/>
        <v>0</v>
      </c>
      <c r="G25" s="207">
        <f t="shared" si="20"/>
        <v>0</v>
      </c>
      <c r="H25" s="207">
        <f t="shared" si="20"/>
        <v>0</v>
      </c>
      <c r="I25" s="207">
        <f t="shared" si="20"/>
        <v>26700.6623405632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>
        <f t="shared" ref="C26:I26" si="21">C24-C25</f>
        <v>262903.101962115</v>
      </c>
      <c r="D26" s="207">
        <f t="shared" si="21"/>
        <v>-169330.59</v>
      </c>
      <c r="E26" s="207">
        <f t="shared" si="21"/>
        <v>32331.6528010773</v>
      </c>
      <c r="F26" s="207">
        <f t="shared" si="21"/>
        <v>0</v>
      </c>
      <c r="G26" s="207">
        <f t="shared" si="21"/>
        <v>0</v>
      </c>
      <c r="H26" s="207">
        <f t="shared" si="21"/>
        <v>0</v>
      </c>
      <c r="I26" s="202">
        <f t="shared" si="21"/>
        <v>151303.753263191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>
        <f t="shared" ref="C27:I27" si="22">C26/C7</f>
        <v>0.0159895481569834</v>
      </c>
      <c r="D27" s="209">
        <f t="shared" ref="D27:H27" si="23">D26/D7</f>
        <v>-0.123535850295469</v>
      </c>
      <c r="E27" s="209">
        <f t="shared" si="23"/>
        <v>0.0188291027743537</v>
      </c>
      <c r="F27" s="209" t="e">
        <f t="shared" si="23"/>
        <v>#DIV/0!</v>
      </c>
      <c r="G27" s="209" t="e">
        <f t="shared" si="23"/>
        <v>#DIV/0!</v>
      </c>
      <c r="H27" s="209" t="e">
        <f t="shared" si="23"/>
        <v>#DIV/0!</v>
      </c>
      <c r="I27" s="209">
        <f t="shared" si="22"/>
        <v>0.00774724988990576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>
        <f>C9/C6</f>
        <v>542.592090756527</v>
      </c>
      <c r="D32" s="202">
        <f t="shared" ref="D32:H32" si="24">D9/D6</f>
        <v>90.4662</v>
      </c>
      <c r="E32" s="202">
        <f t="shared" si="24"/>
        <v>113.32930253998</v>
      </c>
      <c r="F32" s="202" t="e">
        <f t="shared" si="24"/>
        <v>#DIV/0!</v>
      </c>
      <c r="G32" s="202" t="e">
        <f t="shared" si="24"/>
        <v>#DIV/0!</v>
      </c>
      <c r="H32" s="202" t="e">
        <f t="shared" si="24"/>
        <v>#DIV/0!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材料成本!F19</f>
        <v>264.101131391753</v>
      </c>
      <c r="D33" s="202">
        <f>材料成本!F20</f>
        <v>60.028551</v>
      </c>
      <c r="E33" s="202">
        <f>材料成本!F21</f>
        <v>54.2414853426804</v>
      </c>
      <c r="F33" s="202">
        <f>材料成本!F22</f>
        <v>0</v>
      </c>
      <c r="G33" s="202">
        <f>材料成本!F23</f>
        <v>0</v>
      </c>
      <c r="H33" s="202">
        <f>材料成本!F24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>
        <f>C32-C33</f>
        <v>278.490959364775</v>
      </c>
      <c r="D34" s="211">
        <f t="shared" ref="D34:H34" si="25">D32-D33</f>
        <v>30.437649</v>
      </c>
      <c r="E34" s="211">
        <f t="shared" si="25"/>
        <v>59.0878171972992</v>
      </c>
      <c r="F34" s="211" t="e">
        <f t="shared" si="25"/>
        <v>#DIV/0!</v>
      </c>
      <c r="G34" s="211" t="e">
        <f t="shared" si="25"/>
        <v>#DIV/0!</v>
      </c>
      <c r="H34" s="211" t="e">
        <f t="shared" si="25"/>
        <v>#DIV/0!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'2026年'!C36</f>
        <v>34.1092860794682</v>
      </c>
      <c r="D36" s="212">
        <f>'2026年'!D36</f>
        <v>6.05109</v>
      </c>
      <c r="E36" s="212">
        <f>'2026年'!E36</f>
        <v>7.05872624616804</v>
      </c>
      <c r="F36" s="212">
        <f>'2026年'!F36</f>
        <v>0</v>
      </c>
      <c r="G36" s="212">
        <f>'2026年'!G36</f>
        <v>0</v>
      </c>
      <c r="H36" s="212">
        <f>'2026年'!H36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'2026年'!C37</f>
        <v>55.7571995638189</v>
      </c>
      <c r="D37" s="212">
        <f>'2026年'!D37</f>
        <v>9.891495</v>
      </c>
      <c r="E37" s="212">
        <f>'2026年'!E37</f>
        <v>11.5386410333246</v>
      </c>
      <c r="F37" s="212">
        <f>'2026年'!F37</f>
        <v>0</v>
      </c>
      <c r="G37" s="212">
        <f>'2026年'!G37</f>
        <v>0</v>
      </c>
      <c r="H37" s="212">
        <f>'2026年'!H37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'2026年'!C38</f>
        <v>122.77</v>
      </c>
      <c r="D38" s="212">
        <f>'2026年'!D38</f>
        <v>15.93</v>
      </c>
      <c r="E38" s="212">
        <f>'2026年'!E38</f>
        <v>26.46</v>
      </c>
      <c r="F38" s="212">
        <f>'2026年'!F38</f>
        <v>0</v>
      </c>
      <c r="G38" s="212">
        <f>'2026年'!G38</f>
        <v>0</v>
      </c>
      <c r="H38" s="212">
        <f>'2026年'!H38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>
        <f>C34-C36-C37-C38</f>
        <v>65.8544737214877</v>
      </c>
      <c r="D40" s="207">
        <f t="shared" ref="D40:H40" si="26">D34-D36-D37-D38</f>
        <v>-1.434936</v>
      </c>
      <c r="E40" s="207">
        <f t="shared" si="26"/>
        <v>14.0304499178066</v>
      </c>
      <c r="F40" s="207" t="e">
        <f t="shared" si="26"/>
        <v>#DIV/0!</v>
      </c>
      <c r="G40" s="207" t="e">
        <f t="shared" si="26"/>
        <v>#DIV/0!</v>
      </c>
      <c r="H40" s="207" t="e">
        <f t="shared" si="26"/>
        <v>#DIV/0!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'2026年'!C43</f>
        <v>21.6904437662454</v>
      </c>
      <c r="D43" s="212">
        <f>'2026年'!D43</f>
        <v>3.84795</v>
      </c>
      <c r="E43" s="212">
        <f>'2026年'!E43</f>
        <v>4.48871619145349</v>
      </c>
      <c r="F43" s="212">
        <f>'2026年'!F43</f>
        <v>0</v>
      </c>
      <c r="G43" s="212">
        <f>'2026年'!G43</f>
        <v>0</v>
      </c>
      <c r="H43" s="212">
        <f>'2026年'!H43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'2026年'!C44</f>
        <v>8.84629863407654</v>
      </c>
      <c r="D44" s="212">
        <f>'2026年'!D44</f>
        <v>1.56936</v>
      </c>
      <c r="E44" s="212">
        <f>'2026年'!E44</f>
        <v>1.83069209376927</v>
      </c>
      <c r="F44" s="212">
        <f>'2026年'!F44</f>
        <v>0</v>
      </c>
      <c r="G44" s="212">
        <f>'2026年'!G44</f>
        <v>0</v>
      </c>
      <c r="H44" s="212">
        <f>'2026年'!H44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'2026年'!C45</f>
        <v>9.90955568144151</v>
      </c>
      <c r="D45" s="212">
        <f>'2026年'!D45</f>
        <v>1.757985</v>
      </c>
      <c r="E45" s="212">
        <f>'2026年'!E45</f>
        <v>2.05072720119346</v>
      </c>
      <c r="F45" s="212">
        <f>'2026年'!F45</f>
        <v>0</v>
      </c>
      <c r="G45" s="212">
        <f>'2026年'!G45</f>
        <v>0</v>
      </c>
      <c r="H45" s="212">
        <f>'2026年'!H45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>
        <f>C21/C6</f>
        <v>0</v>
      </c>
      <c r="D46" s="213">
        <f t="shared" ref="D46:H46" si="27">D21/D6</f>
        <v>0</v>
      </c>
      <c r="E46" s="213">
        <f t="shared" si="27"/>
        <v>0</v>
      </c>
      <c r="F46" s="213" t="e">
        <f t="shared" si="27"/>
        <v>#DIV/0!</v>
      </c>
      <c r="G46" s="213" t="e">
        <f t="shared" si="27"/>
        <v>#DIV/0!</v>
      </c>
      <c r="H46" s="213" t="e">
        <f t="shared" si="27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'2026年'!C47</f>
        <v>15.0982500725825</v>
      </c>
      <c r="D47" s="213">
        <f>'2026年'!D47</f>
        <v>2.678475</v>
      </c>
      <c r="E47" s="213">
        <f>'2026年'!E47</f>
        <v>3.12449852542351</v>
      </c>
      <c r="F47" s="213">
        <f>'2026年'!F47</f>
        <v>0</v>
      </c>
      <c r="G47" s="213">
        <f>'2026年'!G47</f>
        <v>0</v>
      </c>
      <c r="H47" s="213">
        <f>'2026年'!H47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>
        <f>C40-C43-C44-C45-C47-C46</f>
        <v>10.3099255671418</v>
      </c>
      <c r="D48" s="207">
        <f t="shared" ref="D48:H48" si="28">D40-D43-D44-D45-D47-D46</f>
        <v>-11.288706</v>
      </c>
      <c r="E48" s="207">
        <f t="shared" si="28"/>
        <v>2.53581590596685</v>
      </c>
      <c r="F48" s="207" t="e">
        <f t="shared" si="28"/>
        <v>#DIV/0!</v>
      </c>
      <c r="G48" s="207" t="e">
        <f t="shared" si="28"/>
        <v>#DIV/0!</v>
      </c>
      <c r="H48" s="207" t="e">
        <f t="shared" si="28"/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D26" sqref="D26"/>
    </sheetView>
  </sheetViews>
  <sheetFormatPr defaultColWidth="9" defaultRowHeight="15"/>
  <cols>
    <col min="1" max="1" width="5.12962962962963" style="190" customWidth="1"/>
    <col min="2" max="2" width="17.5" style="190" customWidth="1"/>
    <col min="3" max="8" width="13.25" style="191" customWidth="1"/>
    <col min="9" max="9" width="18.75" style="191" customWidth="1"/>
    <col min="10" max="10" width="12.3796296296296" style="190" customWidth="1"/>
    <col min="11" max="11" width="10.1296296296296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170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195" t="str">
        <f>'2026年'!C2:I2</f>
        <v>沃尔沃集团</v>
      </c>
      <c r="D2" s="195"/>
      <c r="E2" s="195"/>
      <c r="F2" s="195"/>
      <c r="G2" s="195"/>
      <c r="H2" s="195"/>
      <c r="I2" s="195"/>
    </row>
    <row r="3" spans="1:9">
      <c r="A3" s="192" t="s">
        <v>158</v>
      </c>
      <c r="B3" s="192"/>
      <c r="C3" s="87" t="str">
        <f>'2026年'!C3</f>
        <v>主镜</v>
      </c>
      <c r="D3" s="196" t="str">
        <f>'2026年'!D3</f>
        <v>补盲镜</v>
      </c>
      <c r="E3" s="196" t="str">
        <f>'2026年'!E3</f>
        <v>前下镜</v>
      </c>
      <c r="F3" s="196">
        <f>'2026年'!F3</f>
        <v>0</v>
      </c>
      <c r="G3" s="196">
        <f>'2026年'!G3</f>
        <v>0</v>
      </c>
      <c r="H3" s="196">
        <f>'2026年'!H3</f>
        <v>0</v>
      </c>
      <c r="I3" s="217" t="s">
        <v>159</v>
      </c>
    </row>
    <row r="4" spans="1:9">
      <c r="A4" s="192" t="s">
        <v>160</v>
      </c>
      <c r="B4" s="192"/>
      <c r="C4" s="87">
        <f>'2026年'!C4</f>
        <v>22286155</v>
      </c>
      <c r="D4" s="87">
        <f>'2026年'!D4</f>
        <v>84099794</v>
      </c>
      <c r="E4" s="87">
        <f>'2026年'!E4</f>
        <v>21151129</v>
      </c>
      <c r="F4" s="87">
        <f>'2026年'!F4</f>
        <v>0</v>
      </c>
      <c r="G4" s="87">
        <f>'2026年'!G4</f>
        <v>0</v>
      </c>
      <c r="H4" s="87">
        <f>'2026年'!H4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销量!C11</f>
        <v>30000</v>
      </c>
      <c r="D6" s="201">
        <f>销量!D11</f>
        <v>15000</v>
      </c>
      <c r="E6" s="201">
        <f>销量!E11</f>
        <v>15000</v>
      </c>
      <c r="F6" s="201">
        <f>销量!F11</f>
        <v>0</v>
      </c>
      <c r="G6" s="201">
        <f>销量!G11</f>
        <v>0</v>
      </c>
      <c r="H6" s="201">
        <f>销量!H11</f>
        <v>0</v>
      </c>
      <c r="I6" s="202">
        <f t="shared" ref="I6:I15" si="0">SUM(C6:H6)</f>
        <v>60000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16442184.5683796</v>
      </c>
      <c r="D7" s="202">
        <f>D6*销量!D8</f>
        <v>1370700</v>
      </c>
      <c r="E7" s="202">
        <f>E6*销量!E8</f>
        <v>1717110.64454515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19529995.2129248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>
        <f>C7*(1-销量!$M$8)</f>
        <v>327199.472910753</v>
      </c>
      <c r="D8" s="202">
        <f>D7*(1-销量!$M$8)</f>
        <v>27276.9299999999</v>
      </c>
      <c r="E8" s="202">
        <f>E7*(1-销量!$M$8)</f>
        <v>34170.5018264482</v>
      </c>
      <c r="F8" s="202">
        <f>F7*(1-销量!$M$8)</f>
        <v>0</v>
      </c>
      <c r="G8" s="202">
        <f>G7*(1-销量!$M$8)</f>
        <v>0</v>
      </c>
      <c r="H8" s="202">
        <f>H7*(1-销量!$M$8)</f>
        <v>0</v>
      </c>
      <c r="I8" s="202">
        <f t="shared" si="0"/>
        <v>388646.904737201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16114985.0954689</v>
      </c>
      <c r="D9" s="202">
        <f t="shared" ref="D9:H9" si="1">+D7-D8</f>
        <v>1343423.07</v>
      </c>
      <c r="E9" s="202">
        <f t="shared" si="1"/>
        <v>1682940.1427187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19141348.3081876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7843803.60233505</v>
      </c>
      <c r="D10" s="202">
        <f t="shared" ref="D10:H10" si="2">D6*D33</f>
        <v>891423.98235</v>
      </c>
      <c r="E10" s="202">
        <f t="shared" si="2"/>
        <v>805486.057338804</v>
      </c>
      <c r="F10" s="202">
        <f t="shared" si="2"/>
        <v>0</v>
      </c>
      <c r="G10" s="202">
        <f t="shared" si="2"/>
        <v>0</v>
      </c>
      <c r="H10" s="202">
        <f t="shared" si="2"/>
        <v>0</v>
      </c>
      <c r="I10" s="202">
        <f t="shared" si="0"/>
        <v>9540713.64202386</v>
      </c>
      <c r="J10" s="219"/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1023278.58238405</v>
      </c>
      <c r="D11" s="202">
        <f t="shared" ref="D11:H11" si="3">+D6*D36</f>
        <v>90766.35</v>
      </c>
      <c r="E11" s="202">
        <f t="shared" si="3"/>
        <v>105880.893692521</v>
      </c>
      <c r="F11" s="202">
        <f t="shared" si="3"/>
        <v>0</v>
      </c>
      <c r="G11" s="202">
        <f t="shared" si="3"/>
        <v>0</v>
      </c>
      <c r="H11" s="202">
        <f t="shared" si="3"/>
        <v>0</v>
      </c>
      <c r="I11" s="202">
        <f t="shared" si="0"/>
        <v>1219925.82607657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1672715.98691457</v>
      </c>
      <c r="D12" s="202">
        <f t="shared" ref="D12:H12" si="4">+D6*D37</f>
        <v>148372.425</v>
      </c>
      <c r="E12" s="202">
        <f t="shared" si="4"/>
        <v>173079.615499869</v>
      </c>
      <c r="F12" s="202">
        <f t="shared" si="4"/>
        <v>0</v>
      </c>
      <c r="G12" s="202">
        <f t="shared" si="4"/>
        <v>0</v>
      </c>
      <c r="H12" s="202">
        <f t="shared" si="4"/>
        <v>0</v>
      </c>
      <c r="I12" s="202">
        <f t="shared" si="0"/>
        <v>1994168.02741444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3683100</v>
      </c>
      <c r="D13" s="202">
        <f t="shared" ref="D13:H13" si="5">+D6*D38</f>
        <v>238950</v>
      </c>
      <c r="E13" s="202">
        <f t="shared" si="5"/>
        <v>396900</v>
      </c>
      <c r="F13" s="202">
        <f t="shared" si="5"/>
        <v>0</v>
      </c>
      <c r="G13" s="202">
        <f t="shared" si="5"/>
        <v>0</v>
      </c>
      <c r="H13" s="202">
        <f t="shared" si="5"/>
        <v>0</v>
      </c>
      <c r="I13" s="202">
        <f t="shared" si="0"/>
        <v>4318950</v>
      </c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6379094.56929861</v>
      </c>
      <c r="D14" s="202">
        <f t="shared" ref="D14:H14" si="6">SUM(D11:D13)</f>
        <v>478088.775</v>
      </c>
      <c r="E14" s="202">
        <f t="shared" si="6"/>
        <v>675860.509192389</v>
      </c>
      <c r="F14" s="202">
        <f t="shared" si="6"/>
        <v>0</v>
      </c>
      <c r="G14" s="202">
        <f t="shared" si="6"/>
        <v>0</v>
      </c>
      <c r="H14" s="202">
        <f t="shared" si="6"/>
        <v>0</v>
      </c>
      <c r="I14" s="202">
        <f t="shared" si="0"/>
        <v>7533043.853491</v>
      </c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1892086.9238352</v>
      </c>
      <c r="D15" s="202">
        <f t="shared" ref="D15:H15" si="7">+D9-D10-D14</f>
        <v>-26089.6873499999</v>
      </c>
      <c r="E15" s="202">
        <f t="shared" si="7"/>
        <v>201593.576187504</v>
      </c>
      <c r="F15" s="202">
        <f t="shared" si="7"/>
        <v>0</v>
      </c>
      <c r="G15" s="202">
        <f t="shared" si="7"/>
        <v>0</v>
      </c>
      <c r="H15" s="202">
        <f t="shared" si="7"/>
        <v>0</v>
      </c>
      <c r="I15" s="202">
        <f t="shared" si="0"/>
        <v>2067590.81267271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>
        <f>+C15/C9</f>
        <v>0.117411645907585</v>
      </c>
      <c r="D16" s="204">
        <f t="shared" ref="D16:H16" si="8">+D15/D9</f>
        <v>-0.0194203061809858</v>
      </c>
      <c r="E16" s="204">
        <f t="shared" si="8"/>
        <v>0.119786539681584</v>
      </c>
      <c r="F16" s="204" t="e">
        <f t="shared" si="8"/>
        <v>#DIV/0!</v>
      </c>
      <c r="G16" s="204" t="e">
        <f t="shared" si="8"/>
        <v>#DIV/0!</v>
      </c>
      <c r="H16" s="204" t="e">
        <f t="shared" si="8"/>
        <v>#DIV/0!</v>
      </c>
      <c r="I16" s="204">
        <f t="shared" ref="I16" si="9">+I15/I9</f>
        <v>0.10801698915788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>
        <f>C6*C43+C18</f>
        <v>650713.312987361</v>
      </c>
      <c r="D17" s="202">
        <f t="shared" ref="D17:H17" si="10">D6*D43+D18</f>
        <v>57719.25</v>
      </c>
      <c r="E17" s="202">
        <f t="shared" si="10"/>
        <v>67330.7428718024</v>
      </c>
      <c r="F17" s="202">
        <f t="shared" si="10"/>
        <v>0</v>
      </c>
      <c r="G17" s="202">
        <f t="shared" si="10"/>
        <v>0</v>
      </c>
      <c r="H17" s="202">
        <f t="shared" si="10"/>
        <v>0</v>
      </c>
      <c r="I17" s="202">
        <f>SUM(C17:H17)</f>
        <v>775763.305859163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12">
        <f>$I$18/$I$9*C9</f>
        <v>0</v>
      </c>
      <c r="D18" s="212">
        <f t="shared" ref="D18:H18" si="11">$I$18/$I$9*D9</f>
        <v>0</v>
      </c>
      <c r="E18" s="212">
        <f t="shared" si="11"/>
        <v>0</v>
      </c>
      <c r="F18" s="212">
        <f t="shared" si="11"/>
        <v>0</v>
      </c>
      <c r="G18" s="212">
        <f t="shared" si="11"/>
        <v>0</v>
      </c>
      <c r="H18" s="212">
        <f t="shared" si="11"/>
        <v>0</v>
      </c>
      <c r="I18" s="212">
        <f>项目投资!F26</f>
        <v>0</v>
      </c>
      <c r="J18" s="66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265388.959022296</v>
      </c>
      <c r="D19" s="202">
        <f t="shared" ref="D19:H19" si="12">D6*D44</f>
        <v>23540.4</v>
      </c>
      <c r="E19" s="202">
        <f t="shared" si="12"/>
        <v>27460.381406539</v>
      </c>
      <c r="F19" s="202">
        <f t="shared" si="12"/>
        <v>0</v>
      </c>
      <c r="G19" s="202">
        <f t="shared" si="12"/>
        <v>0</v>
      </c>
      <c r="H19" s="202">
        <f t="shared" si="12"/>
        <v>0</v>
      </c>
      <c r="I19" s="202">
        <f>SUM(C19:H19)</f>
        <v>316389.740428835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297286.670443245</v>
      </c>
      <c r="D20" s="202">
        <f t="shared" ref="D20:H20" si="13">D6*D45</f>
        <v>26369.775</v>
      </c>
      <c r="E20" s="202">
        <f t="shared" si="13"/>
        <v>30760.9080179019</v>
      </c>
      <c r="F20" s="202">
        <f t="shared" si="13"/>
        <v>0</v>
      </c>
      <c r="G20" s="202">
        <f t="shared" si="13"/>
        <v>0</v>
      </c>
      <c r="H20" s="202">
        <f t="shared" si="13"/>
        <v>0</v>
      </c>
      <c r="I20" s="202">
        <f>SUM(C20:H20)</f>
        <v>354417.353461147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>
        <f t="shared" ref="C21:H21" si="14">$I$21/$I$6*C6</f>
        <v>0</v>
      </c>
      <c r="D21" s="207">
        <f t="shared" si="14"/>
        <v>0</v>
      </c>
      <c r="E21" s="207">
        <f t="shared" si="14"/>
        <v>0</v>
      </c>
      <c r="F21" s="207">
        <f t="shared" si="14"/>
        <v>0</v>
      </c>
      <c r="G21" s="207">
        <f t="shared" si="14"/>
        <v>0</v>
      </c>
      <c r="H21" s="207">
        <f t="shared" si="14"/>
        <v>0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452947.502177476</v>
      </c>
      <c r="D22" s="202">
        <f t="shared" ref="D22:H22" si="15">D6*D47</f>
        <v>40177.125</v>
      </c>
      <c r="E22" s="202">
        <f t="shared" si="15"/>
        <v>46867.4778813527</v>
      </c>
      <c r="F22" s="202">
        <f t="shared" si="15"/>
        <v>0</v>
      </c>
      <c r="G22" s="202">
        <f t="shared" si="15"/>
        <v>0</v>
      </c>
      <c r="H22" s="202">
        <f t="shared" si="15"/>
        <v>0</v>
      </c>
      <c r="I22" s="202">
        <f>SUM(C22:H22)</f>
        <v>539992.105058829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>
        <f>+C22+C21+C20+C19+C17</f>
        <v>1666336.44463038</v>
      </c>
      <c r="D23" s="207">
        <f t="shared" ref="D23:H23" si="16">+D22+D21+D20+D19+D17</f>
        <v>147806.55</v>
      </c>
      <c r="E23" s="207">
        <f t="shared" si="16"/>
        <v>172419.510177596</v>
      </c>
      <c r="F23" s="207">
        <f t="shared" si="16"/>
        <v>0</v>
      </c>
      <c r="G23" s="207">
        <f t="shared" si="16"/>
        <v>0</v>
      </c>
      <c r="H23" s="207">
        <f t="shared" si="16"/>
        <v>0</v>
      </c>
      <c r="I23" s="207">
        <f t="shared" ref="I23" si="17">+I22+I21+I20+I19+I17</f>
        <v>1986562.50480797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>
        <f>+C15-C23</f>
        <v>225750.479204823</v>
      </c>
      <c r="D24" s="207">
        <f t="shared" ref="D24:H24" si="18">+D15-D23</f>
        <v>-173896.23735</v>
      </c>
      <c r="E24" s="207">
        <f t="shared" si="18"/>
        <v>29174.0660099079</v>
      </c>
      <c r="F24" s="207">
        <f t="shared" si="18"/>
        <v>0</v>
      </c>
      <c r="G24" s="207">
        <f t="shared" si="18"/>
        <v>0</v>
      </c>
      <c r="H24" s="207">
        <f t="shared" si="18"/>
        <v>0</v>
      </c>
      <c r="I24" s="207">
        <f t="shared" ref="I24" si="19">+I15-I23</f>
        <v>81028.3078647307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>
        <f>IF(C24&lt;0,0,C24*0.15)</f>
        <v>33862.5718807234</v>
      </c>
      <c r="D25" s="207">
        <f t="shared" ref="D25:I25" si="20">IF(D24&lt;0,0,D24*0.15)</f>
        <v>0</v>
      </c>
      <c r="E25" s="207">
        <f t="shared" si="20"/>
        <v>4376.10990148618</v>
      </c>
      <c r="F25" s="207">
        <f t="shared" si="20"/>
        <v>0</v>
      </c>
      <c r="G25" s="207">
        <f t="shared" si="20"/>
        <v>0</v>
      </c>
      <c r="H25" s="207">
        <f t="shared" si="20"/>
        <v>0</v>
      </c>
      <c r="I25" s="207">
        <f t="shared" si="20"/>
        <v>12154.2461797096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>
        <f t="shared" ref="C26:I26" si="21">C24-C25</f>
        <v>191887.907324099</v>
      </c>
      <c r="D26" s="207">
        <f t="shared" si="21"/>
        <v>-173896.23735</v>
      </c>
      <c r="E26" s="207">
        <f t="shared" si="21"/>
        <v>24797.9561084217</v>
      </c>
      <c r="F26" s="207">
        <f t="shared" si="21"/>
        <v>0</v>
      </c>
      <c r="G26" s="207">
        <f t="shared" si="21"/>
        <v>0</v>
      </c>
      <c r="H26" s="207">
        <f t="shared" si="21"/>
        <v>0</v>
      </c>
      <c r="I26" s="202">
        <f t="shared" si="21"/>
        <v>68874.0616850211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>
        <f t="shared" ref="C27:I27" si="22">C26/C7</f>
        <v>0.011670463041336</v>
      </c>
      <c r="D27" s="209">
        <f t="shared" ref="D27:H27" si="23">D26/D7</f>
        <v>-0.126866737688772</v>
      </c>
      <c r="E27" s="209">
        <f t="shared" si="23"/>
        <v>0.0144416763050179</v>
      </c>
      <c r="F27" s="209" t="e">
        <f t="shared" si="23"/>
        <v>#DIV/0!</v>
      </c>
      <c r="G27" s="209" t="e">
        <f t="shared" si="23"/>
        <v>#DIV/0!</v>
      </c>
      <c r="H27" s="209" t="e">
        <f t="shared" si="23"/>
        <v>#DIV/0!</v>
      </c>
      <c r="I27" s="209">
        <f t="shared" si="22"/>
        <v>0.00352657852365683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>
        <f>C9/C6</f>
        <v>537.166169848962</v>
      </c>
      <c r="D32" s="202">
        <f t="shared" ref="D32:H32" si="24">D9/D6</f>
        <v>89.561538</v>
      </c>
      <c r="E32" s="202">
        <f t="shared" si="24"/>
        <v>112.19600951458</v>
      </c>
      <c r="F32" s="202" t="e">
        <f t="shared" si="24"/>
        <v>#DIV/0!</v>
      </c>
      <c r="G32" s="202" t="e">
        <f t="shared" si="24"/>
        <v>#DIV/0!</v>
      </c>
      <c r="H32" s="202" t="e">
        <f t="shared" si="24"/>
        <v>#DIV/0!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材料成本!G19</f>
        <v>261.460120077835</v>
      </c>
      <c r="D33" s="202">
        <f>材料成本!G20</f>
        <v>59.42826549</v>
      </c>
      <c r="E33" s="202">
        <f>材料成本!G21</f>
        <v>53.6990704892536</v>
      </c>
      <c r="F33" s="202">
        <f>材料成本!G22</f>
        <v>0</v>
      </c>
      <c r="G33" s="202">
        <f>材料成本!G23</f>
        <v>0</v>
      </c>
      <c r="H33" s="202">
        <f>材料成本!G24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>
        <f>C32-C33</f>
        <v>275.706049771127</v>
      </c>
      <c r="D34" s="211">
        <f t="shared" ref="D34:H34" si="25">D32-D33</f>
        <v>30.13327251</v>
      </c>
      <c r="E34" s="211">
        <f t="shared" si="25"/>
        <v>58.4969390253262</v>
      </c>
      <c r="F34" s="211" t="e">
        <f t="shared" si="25"/>
        <v>#DIV/0!</v>
      </c>
      <c r="G34" s="211" t="e">
        <f t="shared" si="25"/>
        <v>#DIV/0!</v>
      </c>
      <c r="H34" s="211" t="e">
        <f t="shared" si="25"/>
        <v>#DIV/0!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'2026年'!C36</f>
        <v>34.1092860794682</v>
      </c>
      <c r="D36" s="212">
        <f>'2026年'!D36</f>
        <v>6.05109</v>
      </c>
      <c r="E36" s="212">
        <f>'2026年'!E36</f>
        <v>7.05872624616804</v>
      </c>
      <c r="F36" s="212">
        <f>'2026年'!F36</f>
        <v>0</v>
      </c>
      <c r="G36" s="212">
        <f>'2026年'!G36</f>
        <v>0</v>
      </c>
      <c r="H36" s="212">
        <f>'2026年'!H36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'2026年'!C37</f>
        <v>55.7571995638189</v>
      </c>
      <c r="D37" s="212">
        <f>'2026年'!D37</f>
        <v>9.891495</v>
      </c>
      <c r="E37" s="212">
        <f>'2026年'!E37</f>
        <v>11.5386410333246</v>
      </c>
      <c r="F37" s="212">
        <f>'2026年'!F37</f>
        <v>0</v>
      </c>
      <c r="G37" s="212">
        <f>'2026年'!G37</f>
        <v>0</v>
      </c>
      <c r="H37" s="212">
        <f>'2026年'!H37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'2026年'!C38</f>
        <v>122.77</v>
      </c>
      <c r="D38" s="212">
        <f>'2026年'!D38</f>
        <v>15.93</v>
      </c>
      <c r="E38" s="212">
        <f>'2026年'!E38</f>
        <v>26.46</v>
      </c>
      <c r="F38" s="212">
        <f>'2026年'!F38</f>
        <v>0</v>
      </c>
      <c r="G38" s="212">
        <f>'2026年'!G38</f>
        <v>0</v>
      </c>
      <c r="H38" s="212">
        <f>'2026年'!H38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>
        <f>C34-C36-C37-C38</f>
        <v>63.06956412784</v>
      </c>
      <c r="D40" s="207">
        <f t="shared" ref="D40:H40" si="26">D34-D36-D37-D38</f>
        <v>-1.73931249</v>
      </c>
      <c r="E40" s="207">
        <f t="shared" si="26"/>
        <v>13.4395717458336</v>
      </c>
      <c r="F40" s="207" t="e">
        <f t="shared" si="26"/>
        <v>#DIV/0!</v>
      </c>
      <c r="G40" s="207" t="e">
        <f t="shared" si="26"/>
        <v>#DIV/0!</v>
      </c>
      <c r="H40" s="207" t="e">
        <f t="shared" si="26"/>
        <v>#DIV/0!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'2026年'!C43</f>
        <v>21.6904437662454</v>
      </c>
      <c r="D43" s="212">
        <f>'2026年'!D43</f>
        <v>3.84795</v>
      </c>
      <c r="E43" s="212">
        <f>'2026年'!E43</f>
        <v>4.48871619145349</v>
      </c>
      <c r="F43" s="212">
        <f>'2026年'!F43</f>
        <v>0</v>
      </c>
      <c r="G43" s="212">
        <f>'2026年'!G43</f>
        <v>0</v>
      </c>
      <c r="H43" s="212">
        <f>'2026年'!H43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'2026年'!C44</f>
        <v>8.84629863407654</v>
      </c>
      <c r="D44" s="212">
        <f>'2026年'!D44</f>
        <v>1.56936</v>
      </c>
      <c r="E44" s="212">
        <f>'2026年'!E44</f>
        <v>1.83069209376927</v>
      </c>
      <c r="F44" s="212">
        <f>'2026年'!F44</f>
        <v>0</v>
      </c>
      <c r="G44" s="212">
        <f>'2026年'!G44</f>
        <v>0</v>
      </c>
      <c r="H44" s="212">
        <f>'2026年'!H44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'2026年'!C45</f>
        <v>9.90955568144151</v>
      </c>
      <c r="D45" s="212">
        <f>'2026年'!D45</f>
        <v>1.757985</v>
      </c>
      <c r="E45" s="212">
        <f>'2026年'!E45</f>
        <v>2.05072720119346</v>
      </c>
      <c r="F45" s="212">
        <f>'2026年'!F45</f>
        <v>0</v>
      </c>
      <c r="G45" s="212">
        <f>'2026年'!G45</f>
        <v>0</v>
      </c>
      <c r="H45" s="212">
        <f>'2026年'!H45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>
        <f>C21/C6</f>
        <v>0</v>
      </c>
      <c r="D46" s="213">
        <f t="shared" ref="D46:H46" si="27">D21/D6</f>
        <v>0</v>
      </c>
      <c r="E46" s="213">
        <f t="shared" si="27"/>
        <v>0</v>
      </c>
      <c r="F46" s="213" t="e">
        <f t="shared" si="27"/>
        <v>#DIV/0!</v>
      </c>
      <c r="G46" s="213" t="e">
        <f t="shared" si="27"/>
        <v>#DIV/0!</v>
      </c>
      <c r="H46" s="213" t="e">
        <f t="shared" si="27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'2026年'!C47</f>
        <v>15.0982500725825</v>
      </c>
      <c r="D47" s="213">
        <f>'2026年'!D47</f>
        <v>2.678475</v>
      </c>
      <c r="E47" s="213">
        <f>'2026年'!E47</f>
        <v>3.12449852542351</v>
      </c>
      <c r="F47" s="213">
        <f>'2026年'!F47</f>
        <v>0</v>
      </c>
      <c r="G47" s="213">
        <f>'2026年'!G47</f>
        <v>0</v>
      </c>
      <c r="H47" s="213">
        <f>'2026年'!H47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>
        <f>C40-C43-C44-C45-C47-C46</f>
        <v>7.52501597349408</v>
      </c>
      <c r="D48" s="207">
        <f t="shared" ref="D48:H48" si="28">D40-D43-D44-D45-D47-D46</f>
        <v>-11.59308249</v>
      </c>
      <c r="E48" s="207">
        <f t="shared" si="28"/>
        <v>1.94493773399386</v>
      </c>
      <c r="F48" s="207" t="e">
        <f t="shared" si="28"/>
        <v>#DIV/0!</v>
      </c>
      <c r="G48" s="207" t="e">
        <f t="shared" si="28"/>
        <v>#DIV/0!</v>
      </c>
      <c r="H48" s="207" t="e">
        <f t="shared" si="28"/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I25" sqref="I25"/>
    </sheetView>
  </sheetViews>
  <sheetFormatPr defaultColWidth="9" defaultRowHeight="15"/>
  <cols>
    <col min="1" max="1" width="5.12962962962963" style="190" customWidth="1"/>
    <col min="2" max="2" width="17.5" style="190" customWidth="1"/>
    <col min="3" max="8" width="13.25" style="191" customWidth="1"/>
    <col min="9" max="9" width="18.75" style="191" customWidth="1"/>
    <col min="10" max="10" width="12.3796296296296" style="190" customWidth="1"/>
    <col min="11" max="11" width="10.1296296296296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171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221" t="str">
        <f>'2026年'!C2:I2</f>
        <v>沃尔沃集团</v>
      </c>
      <c r="D2" s="222"/>
      <c r="E2" s="222"/>
      <c r="F2" s="222"/>
      <c r="G2" s="222"/>
      <c r="H2" s="222"/>
      <c r="I2" s="223"/>
    </row>
    <row r="3" spans="1:9">
      <c r="A3" s="192" t="s">
        <v>158</v>
      </c>
      <c r="B3" s="192"/>
      <c r="C3" s="87" t="str">
        <f>'2026年'!C3</f>
        <v>主镜</v>
      </c>
      <c r="D3" s="196" t="str">
        <f>'2026年'!D3</f>
        <v>补盲镜</v>
      </c>
      <c r="E3" s="196" t="str">
        <f>'2026年'!E3</f>
        <v>前下镜</v>
      </c>
      <c r="F3" s="196">
        <f>'2026年'!F3</f>
        <v>0</v>
      </c>
      <c r="G3" s="196">
        <f>'2026年'!G3</f>
        <v>0</v>
      </c>
      <c r="H3" s="196">
        <f>'2026年'!H3</f>
        <v>0</v>
      </c>
      <c r="I3" s="217" t="s">
        <v>159</v>
      </c>
    </row>
    <row r="4" spans="1:9">
      <c r="A4" s="192" t="s">
        <v>160</v>
      </c>
      <c r="B4" s="192"/>
      <c r="C4" s="87">
        <f>'2026年'!C4</f>
        <v>22286155</v>
      </c>
      <c r="D4" s="87">
        <f>'2026年'!D4</f>
        <v>84099794</v>
      </c>
      <c r="E4" s="87">
        <f>'2026年'!E4</f>
        <v>21151129</v>
      </c>
      <c r="F4" s="87">
        <f>'2026年'!F4</f>
        <v>0</v>
      </c>
      <c r="G4" s="87">
        <f>'2026年'!G4</f>
        <v>0</v>
      </c>
      <c r="H4" s="87">
        <f>'2026年'!H4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销量!C12</f>
        <v>30000</v>
      </c>
      <c r="D6" s="201">
        <f>销量!D12</f>
        <v>15000</v>
      </c>
      <c r="E6" s="201">
        <f>销量!E12</f>
        <v>15000</v>
      </c>
      <c r="F6" s="201">
        <f>销量!F12</f>
        <v>0</v>
      </c>
      <c r="G6" s="201">
        <f>销量!G12</f>
        <v>0</v>
      </c>
      <c r="H6" s="201">
        <f>销量!H12</f>
        <v>0</v>
      </c>
      <c r="I6" s="202">
        <f t="shared" ref="I6:I15" si="0">SUM(C6:H6)</f>
        <v>60000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16442184.5683796</v>
      </c>
      <c r="D7" s="202">
        <f>D6*销量!D8</f>
        <v>1370700</v>
      </c>
      <c r="E7" s="202">
        <f>E6*销量!E8</f>
        <v>1717110.64454515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19529995.2129248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>
        <f>C7*(1-销量!$M$9)</f>
        <v>488349.323865443</v>
      </c>
      <c r="D8" s="202">
        <f>D7*(1-销量!$M$9)</f>
        <v>40711.1607</v>
      </c>
      <c r="E8" s="202">
        <f>E7*(1-销量!$M$9)</f>
        <v>50999.9032536353</v>
      </c>
      <c r="F8" s="202">
        <f>F7*(1-销量!$M$9)</f>
        <v>0</v>
      </c>
      <c r="G8" s="202">
        <f>G7*(1-销量!$M$9)</f>
        <v>0</v>
      </c>
      <c r="H8" s="202">
        <f>H7*(1-销量!$M$9)</f>
        <v>0</v>
      </c>
      <c r="I8" s="202">
        <f t="shared" si="0"/>
        <v>580060.387819078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15953835.2445142</v>
      </c>
      <c r="D9" s="202">
        <f t="shared" ref="D9:H9" si="1">+D7-D8</f>
        <v>1329988.8393</v>
      </c>
      <c r="E9" s="202">
        <f t="shared" si="1"/>
        <v>1666110.74129151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18949934.8251057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7765365.5663117</v>
      </c>
      <c r="D10" s="202">
        <f t="shared" ref="D10:E10" si="2">D6*D33</f>
        <v>882509.7425265</v>
      </c>
      <c r="E10" s="202">
        <f t="shared" si="2"/>
        <v>797431.196765416</v>
      </c>
      <c r="F10" s="202">
        <f t="shared" ref="F10:H10" si="3">F6*F33</f>
        <v>0</v>
      </c>
      <c r="G10" s="202">
        <f t="shared" si="3"/>
        <v>0</v>
      </c>
      <c r="H10" s="202">
        <f t="shared" si="3"/>
        <v>0</v>
      </c>
      <c r="I10" s="202">
        <f t="shared" si="0"/>
        <v>9445306.50560362</v>
      </c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1023278.58238405</v>
      </c>
      <c r="D11" s="202">
        <f t="shared" ref="D11:H11" si="4">+D6*D36</f>
        <v>90766.35</v>
      </c>
      <c r="E11" s="202">
        <f t="shared" si="4"/>
        <v>105880.893692521</v>
      </c>
      <c r="F11" s="202">
        <f t="shared" si="4"/>
        <v>0</v>
      </c>
      <c r="G11" s="202">
        <f t="shared" si="4"/>
        <v>0</v>
      </c>
      <c r="H11" s="202">
        <f t="shared" si="4"/>
        <v>0</v>
      </c>
      <c r="I11" s="202">
        <f t="shared" si="0"/>
        <v>1219925.82607657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1672715.98691457</v>
      </c>
      <c r="D12" s="202">
        <f t="shared" ref="D12:H12" si="5">+D6*D37</f>
        <v>148372.425</v>
      </c>
      <c r="E12" s="202">
        <f t="shared" si="5"/>
        <v>173079.615499869</v>
      </c>
      <c r="F12" s="202">
        <f t="shared" si="5"/>
        <v>0</v>
      </c>
      <c r="G12" s="202">
        <f t="shared" si="5"/>
        <v>0</v>
      </c>
      <c r="H12" s="202">
        <f t="shared" si="5"/>
        <v>0</v>
      </c>
      <c r="I12" s="202">
        <f t="shared" si="0"/>
        <v>1994168.02741444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3683100</v>
      </c>
      <c r="D13" s="202">
        <f t="shared" ref="D13:H13" si="6">+D6*D38</f>
        <v>238950</v>
      </c>
      <c r="E13" s="202">
        <f t="shared" si="6"/>
        <v>396900</v>
      </c>
      <c r="F13" s="202">
        <f t="shared" si="6"/>
        <v>0</v>
      </c>
      <c r="G13" s="202">
        <f t="shared" si="6"/>
        <v>0</v>
      </c>
      <c r="H13" s="202">
        <f t="shared" si="6"/>
        <v>0</v>
      </c>
      <c r="I13" s="202">
        <f t="shared" si="0"/>
        <v>4318950</v>
      </c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6379094.56929861</v>
      </c>
      <c r="D14" s="202">
        <f t="shared" ref="D14:H14" si="7">SUM(D11:D13)</f>
        <v>478088.775</v>
      </c>
      <c r="E14" s="202">
        <f t="shared" si="7"/>
        <v>675860.509192389</v>
      </c>
      <c r="F14" s="202">
        <f t="shared" si="7"/>
        <v>0</v>
      </c>
      <c r="G14" s="202">
        <f t="shared" si="7"/>
        <v>0</v>
      </c>
      <c r="H14" s="202">
        <f t="shared" si="7"/>
        <v>0</v>
      </c>
      <c r="I14" s="202">
        <f t="shared" si="0"/>
        <v>7533043.853491</v>
      </c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1809375.10890386</v>
      </c>
      <c r="D15" s="202">
        <f t="shared" ref="D15:H15" si="8">+D9-D10-D14</f>
        <v>-30609.6782264998</v>
      </c>
      <c r="E15" s="202">
        <f t="shared" si="8"/>
        <v>192819.035333705</v>
      </c>
      <c r="F15" s="202">
        <f t="shared" si="8"/>
        <v>0</v>
      </c>
      <c r="G15" s="202">
        <f t="shared" si="8"/>
        <v>0</v>
      </c>
      <c r="H15" s="202">
        <f t="shared" si="8"/>
        <v>0</v>
      </c>
      <c r="I15" s="202">
        <f t="shared" si="0"/>
        <v>1971584.46601107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>
        <f>+C15/C9</f>
        <v>0.11341317502486</v>
      </c>
      <c r="D16" s="204">
        <f t="shared" ref="D16:H16" si="9">+D15/D9</f>
        <v>-0.0230149887893874</v>
      </c>
      <c r="E16" s="204">
        <f t="shared" si="9"/>
        <v>0.11573002355428</v>
      </c>
      <c r="F16" s="204" t="e">
        <f t="shared" si="9"/>
        <v>#DIV/0!</v>
      </c>
      <c r="G16" s="204" t="e">
        <f t="shared" si="9"/>
        <v>#DIV/0!</v>
      </c>
      <c r="H16" s="204" t="e">
        <f t="shared" si="9"/>
        <v>#DIV/0!</v>
      </c>
      <c r="I16" s="204">
        <f t="shared" ref="I16" si="10">+I15/I9</f>
        <v>0.104041754454956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>
        <f>C6*C43+C18</f>
        <v>650713.312987361</v>
      </c>
      <c r="D17" s="202">
        <f t="shared" ref="D17:H17" si="11">D6*D43+D18</f>
        <v>57719.25</v>
      </c>
      <c r="E17" s="202">
        <f t="shared" si="11"/>
        <v>67330.7428718024</v>
      </c>
      <c r="F17" s="202">
        <f t="shared" si="11"/>
        <v>0</v>
      </c>
      <c r="G17" s="202">
        <f t="shared" si="11"/>
        <v>0</v>
      </c>
      <c r="H17" s="202">
        <f t="shared" si="11"/>
        <v>0</v>
      </c>
      <c r="I17" s="202">
        <f>SUM(C17:H17)</f>
        <v>775763.305859163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12">
        <f>$I$18/$I$9*C9</f>
        <v>0</v>
      </c>
      <c r="D18" s="212">
        <f t="shared" ref="D18:H18" si="12">$I$18/$I$9*D9</f>
        <v>0</v>
      </c>
      <c r="E18" s="212">
        <f t="shared" si="12"/>
        <v>0</v>
      </c>
      <c r="F18" s="212">
        <f t="shared" si="12"/>
        <v>0</v>
      </c>
      <c r="G18" s="212">
        <f t="shared" si="12"/>
        <v>0</v>
      </c>
      <c r="H18" s="212">
        <f t="shared" si="12"/>
        <v>0</v>
      </c>
      <c r="I18" s="212">
        <f>项目投资!G26</f>
        <v>0</v>
      </c>
      <c r="J18" s="66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265388.959022296</v>
      </c>
      <c r="D19" s="202">
        <f t="shared" ref="D19:H19" si="13">D6*D44</f>
        <v>23540.4</v>
      </c>
      <c r="E19" s="202">
        <f t="shared" si="13"/>
        <v>27460.381406539</v>
      </c>
      <c r="F19" s="202">
        <f t="shared" si="13"/>
        <v>0</v>
      </c>
      <c r="G19" s="202">
        <f t="shared" si="13"/>
        <v>0</v>
      </c>
      <c r="H19" s="202">
        <f t="shared" si="13"/>
        <v>0</v>
      </c>
      <c r="I19" s="202">
        <f>SUM(C19:H19)</f>
        <v>316389.740428835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297286.670443245</v>
      </c>
      <c r="D20" s="202">
        <f t="shared" ref="D20:H20" si="14">D6*D45</f>
        <v>26369.775</v>
      </c>
      <c r="E20" s="202">
        <f t="shared" si="14"/>
        <v>30760.9080179019</v>
      </c>
      <c r="F20" s="202">
        <f t="shared" si="14"/>
        <v>0</v>
      </c>
      <c r="G20" s="202">
        <f t="shared" si="14"/>
        <v>0</v>
      </c>
      <c r="H20" s="202">
        <f t="shared" si="14"/>
        <v>0</v>
      </c>
      <c r="I20" s="202">
        <f>SUM(C20:H20)</f>
        <v>354417.353461147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>
        <f t="shared" ref="C21:H21" si="15">$I$21/$I$6*C6</f>
        <v>0</v>
      </c>
      <c r="D21" s="207">
        <f t="shared" si="15"/>
        <v>0</v>
      </c>
      <c r="E21" s="207">
        <f t="shared" si="15"/>
        <v>0</v>
      </c>
      <c r="F21" s="207">
        <f t="shared" si="15"/>
        <v>0</v>
      </c>
      <c r="G21" s="207">
        <f t="shared" si="15"/>
        <v>0</v>
      </c>
      <c r="H21" s="207">
        <f t="shared" si="15"/>
        <v>0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452947.502177476</v>
      </c>
      <c r="D22" s="202">
        <f t="shared" ref="D22:H22" si="16">D6*D47</f>
        <v>40177.125</v>
      </c>
      <c r="E22" s="202">
        <f t="shared" si="16"/>
        <v>46867.4778813527</v>
      </c>
      <c r="F22" s="202">
        <f t="shared" si="16"/>
        <v>0</v>
      </c>
      <c r="G22" s="202">
        <f t="shared" si="16"/>
        <v>0</v>
      </c>
      <c r="H22" s="202">
        <f t="shared" si="16"/>
        <v>0</v>
      </c>
      <c r="I22" s="202">
        <f>SUM(C22:H22)</f>
        <v>539992.105058829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>
        <f>+C22+C21+C20+C19+C17</f>
        <v>1666336.44463038</v>
      </c>
      <c r="D23" s="207">
        <f t="shared" ref="D23:H23" si="17">+D22+D21+D20+D19+D17</f>
        <v>147806.55</v>
      </c>
      <c r="E23" s="207">
        <f t="shared" si="17"/>
        <v>172419.510177596</v>
      </c>
      <c r="F23" s="207">
        <f t="shared" si="17"/>
        <v>0</v>
      </c>
      <c r="G23" s="207">
        <f t="shared" si="17"/>
        <v>0</v>
      </c>
      <c r="H23" s="207">
        <f t="shared" si="17"/>
        <v>0</v>
      </c>
      <c r="I23" s="207">
        <f t="shared" ref="I23" si="18">+I22+I21+I20+I19+I17</f>
        <v>1986562.50480797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>
        <f>+C15-C23</f>
        <v>143038.664273482</v>
      </c>
      <c r="D24" s="207">
        <f t="shared" ref="D24:H24" si="19">+D15-D23</f>
        <v>-178416.2282265</v>
      </c>
      <c r="E24" s="207">
        <f t="shared" si="19"/>
        <v>20399.5251561089</v>
      </c>
      <c r="F24" s="207">
        <f t="shared" si="19"/>
        <v>0</v>
      </c>
      <c r="G24" s="207">
        <f t="shared" si="19"/>
        <v>0</v>
      </c>
      <c r="H24" s="207">
        <f t="shared" si="19"/>
        <v>0</v>
      </c>
      <c r="I24" s="207">
        <f t="shared" ref="I24" si="20">+I15-I23</f>
        <v>-14978.0387969089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>
        <f>IF(C24&lt;0,0,C24*0.15)</f>
        <v>21455.7996410223</v>
      </c>
      <c r="D25" s="207">
        <f t="shared" ref="D25:I25" si="21">IF(D24&lt;0,0,D24*0.15)</f>
        <v>0</v>
      </c>
      <c r="E25" s="207">
        <f t="shared" si="21"/>
        <v>3059.92877341634</v>
      </c>
      <c r="F25" s="207">
        <f t="shared" si="21"/>
        <v>0</v>
      </c>
      <c r="G25" s="207">
        <f t="shared" si="21"/>
        <v>0</v>
      </c>
      <c r="H25" s="207">
        <f t="shared" si="21"/>
        <v>0</v>
      </c>
      <c r="I25" s="207">
        <f t="shared" si="21"/>
        <v>0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>
        <f t="shared" ref="C26:I26" si="22">C24-C25</f>
        <v>121582.86463246</v>
      </c>
      <c r="D26" s="207">
        <f t="shared" si="22"/>
        <v>-178416.2282265</v>
      </c>
      <c r="E26" s="207">
        <f t="shared" si="22"/>
        <v>17339.5963826926</v>
      </c>
      <c r="F26" s="207">
        <f t="shared" si="22"/>
        <v>0</v>
      </c>
      <c r="G26" s="207">
        <f t="shared" si="22"/>
        <v>0</v>
      </c>
      <c r="H26" s="207">
        <f t="shared" si="22"/>
        <v>0</v>
      </c>
      <c r="I26" s="202">
        <f t="shared" si="22"/>
        <v>-14978.0387969089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>
        <f t="shared" ref="C27:I27" si="23">C26/C7</f>
        <v>0.00739456877684484</v>
      </c>
      <c r="D27" s="209">
        <f t="shared" ref="D27:H27" si="24">D26/D7</f>
        <v>-0.130164316208142</v>
      </c>
      <c r="E27" s="209">
        <f t="shared" si="24"/>
        <v>0.0100981241003755</v>
      </c>
      <c r="F27" s="209" t="e">
        <f t="shared" si="24"/>
        <v>#DIV/0!</v>
      </c>
      <c r="G27" s="209" t="e">
        <f t="shared" si="24"/>
        <v>#DIV/0!</v>
      </c>
      <c r="H27" s="209" t="e">
        <f t="shared" si="24"/>
        <v>#DIV/0!</v>
      </c>
      <c r="I27" s="209">
        <f t="shared" si="23"/>
        <v>-0.000766924857564563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>
        <f>C9/C6</f>
        <v>531.794508150473</v>
      </c>
      <c r="D32" s="202">
        <f t="shared" ref="D32:H32" si="25">D9/D6</f>
        <v>88.66592262</v>
      </c>
      <c r="E32" s="202">
        <f t="shared" si="25"/>
        <v>111.074049419434</v>
      </c>
      <c r="F32" s="202" t="e">
        <f t="shared" si="25"/>
        <v>#DIV/0!</v>
      </c>
      <c r="G32" s="202" t="e">
        <f t="shared" si="25"/>
        <v>#DIV/0!</v>
      </c>
      <c r="H32" s="202" t="e">
        <f t="shared" si="25"/>
        <v>#DIV/0!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材料成本!H19</f>
        <v>258.845518877057</v>
      </c>
      <c r="D33" s="202">
        <f>材料成本!H20</f>
        <v>58.8339828351</v>
      </c>
      <c r="E33" s="202">
        <f>材料成本!H21</f>
        <v>53.1620797843611</v>
      </c>
      <c r="F33" s="202">
        <f>材料成本!H22</f>
        <v>0</v>
      </c>
      <c r="G33" s="202">
        <f>材料成本!H23</f>
        <v>0</v>
      </c>
      <c r="H33" s="202">
        <f>材料成本!H24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>
        <f>C32-C33</f>
        <v>272.948989273416</v>
      </c>
      <c r="D34" s="211">
        <f t="shared" ref="D34:H34" si="26">D32-D33</f>
        <v>29.8319397849</v>
      </c>
      <c r="E34" s="211">
        <f t="shared" si="26"/>
        <v>57.9119696350729</v>
      </c>
      <c r="F34" s="211" t="e">
        <f t="shared" si="26"/>
        <v>#DIV/0!</v>
      </c>
      <c r="G34" s="211" t="e">
        <f t="shared" si="26"/>
        <v>#DIV/0!</v>
      </c>
      <c r="H34" s="211" t="e">
        <f t="shared" si="26"/>
        <v>#DIV/0!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'2026年'!C36</f>
        <v>34.1092860794682</v>
      </c>
      <c r="D36" s="212">
        <f>'2026年'!D36</f>
        <v>6.05109</v>
      </c>
      <c r="E36" s="212">
        <f>'2026年'!E36</f>
        <v>7.05872624616804</v>
      </c>
      <c r="F36" s="212">
        <f>'2026年'!F36</f>
        <v>0</v>
      </c>
      <c r="G36" s="212">
        <f>'2026年'!G36</f>
        <v>0</v>
      </c>
      <c r="H36" s="212">
        <f>'2026年'!H36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'2026年'!C37</f>
        <v>55.7571995638189</v>
      </c>
      <c r="D37" s="212">
        <f>'2026年'!D37</f>
        <v>9.891495</v>
      </c>
      <c r="E37" s="212">
        <f>'2026年'!E37</f>
        <v>11.5386410333246</v>
      </c>
      <c r="F37" s="212">
        <f>'2026年'!F37</f>
        <v>0</v>
      </c>
      <c r="G37" s="212">
        <f>'2026年'!G37</f>
        <v>0</v>
      </c>
      <c r="H37" s="212">
        <f>'2026年'!H37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'2026年'!C38</f>
        <v>122.77</v>
      </c>
      <c r="D38" s="212">
        <f>'2026年'!D38</f>
        <v>15.93</v>
      </c>
      <c r="E38" s="212">
        <f>'2026年'!E38</f>
        <v>26.46</v>
      </c>
      <c r="F38" s="212">
        <f>'2026年'!F38</f>
        <v>0</v>
      </c>
      <c r="G38" s="212">
        <f>'2026年'!G38</f>
        <v>0</v>
      </c>
      <c r="H38" s="212">
        <f>'2026年'!H38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>
        <f>C34-C36-C37-C38</f>
        <v>60.3125036301287</v>
      </c>
      <c r="D40" s="207">
        <f t="shared" ref="D40:H40" si="27">D34-D36-D37-D38</f>
        <v>-2.04064521509999</v>
      </c>
      <c r="E40" s="207">
        <f t="shared" si="27"/>
        <v>12.8546023555803</v>
      </c>
      <c r="F40" s="207" t="e">
        <f t="shared" si="27"/>
        <v>#DIV/0!</v>
      </c>
      <c r="G40" s="207" t="e">
        <f t="shared" si="27"/>
        <v>#DIV/0!</v>
      </c>
      <c r="H40" s="207" t="e">
        <f t="shared" si="27"/>
        <v>#DIV/0!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'2026年'!C43</f>
        <v>21.6904437662454</v>
      </c>
      <c r="D43" s="212">
        <f>'2026年'!D43</f>
        <v>3.84795</v>
      </c>
      <c r="E43" s="212">
        <f>'2026年'!E43</f>
        <v>4.48871619145349</v>
      </c>
      <c r="F43" s="212">
        <f>'2026年'!F43</f>
        <v>0</v>
      </c>
      <c r="G43" s="212">
        <f>'2026年'!G43</f>
        <v>0</v>
      </c>
      <c r="H43" s="212">
        <f>'2026年'!H43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'2026年'!C44</f>
        <v>8.84629863407654</v>
      </c>
      <c r="D44" s="212">
        <f>'2026年'!D44</f>
        <v>1.56936</v>
      </c>
      <c r="E44" s="212">
        <f>'2026年'!E44</f>
        <v>1.83069209376927</v>
      </c>
      <c r="F44" s="212">
        <f>'2026年'!F44</f>
        <v>0</v>
      </c>
      <c r="G44" s="212">
        <f>'2026年'!G44</f>
        <v>0</v>
      </c>
      <c r="H44" s="212">
        <f>'2026年'!H44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'2026年'!C45</f>
        <v>9.90955568144151</v>
      </c>
      <c r="D45" s="212">
        <f>'2026年'!D45</f>
        <v>1.757985</v>
      </c>
      <c r="E45" s="212">
        <f>'2026年'!E45</f>
        <v>2.05072720119346</v>
      </c>
      <c r="F45" s="212">
        <f>'2026年'!F45</f>
        <v>0</v>
      </c>
      <c r="G45" s="212">
        <f>'2026年'!G45</f>
        <v>0</v>
      </c>
      <c r="H45" s="212">
        <f>'2026年'!H45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>
        <f>C21/C6</f>
        <v>0</v>
      </c>
      <c r="D46" s="213">
        <f t="shared" ref="D46:H46" si="28">D21/D6</f>
        <v>0</v>
      </c>
      <c r="E46" s="213">
        <f t="shared" si="28"/>
        <v>0</v>
      </c>
      <c r="F46" s="213" t="e">
        <f t="shared" si="28"/>
        <v>#DIV/0!</v>
      </c>
      <c r="G46" s="213" t="e">
        <f t="shared" si="28"/>
        <v>#DIV/0!</v>
      </c>
      <c r="H46" s="213" t="e">
        <f t="shared" si="28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'2026年'!C47</f>
        <v>15.0982500725825</v>
      </c>
      <c r="D47" s="213">
        <f>'2026年'!D47</f>
        <v>2.678475</v>
      </c>
      <c r="E47" s="213">
        <f>'2026年'!E47</f>
        <v>3.12449852542351</v>
      </c>
      <c r="F47" s="213">
        <f>'2026年'!F47</f>
        <v>0</v>
      </c>
      <c r="G47" s="213">
        <f>'2026年'!G47</f>
        <v>0</v>
      </c>
      <c r="H47" s="213">
        <f>'2026年'!H47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>
        <f>C40-C43-C44-C45-C47-C46</f>
        <v>4.76795547578274</v>
      </c>
      <c r="D48" s="207">
        <f t="shared" ref="D48:H48" si="29">D40-D43-D44-D45-D47-D46</f>
        <v>-11.8944152151</v>
      </c>
      <c r="E48" s="207">
        <f t="shared" si="29"/>
        <v>1.35996834374059</v>
      </c>
      <c r="F48" s="207" t="e">
        <f t="shared" si="29"/>
        <v>#DIV/0!</v>
      </c>
      <c r="G48" s="207" t="e">
        <f t="shared" si="29"/>
        <v>#DIV/0!</v>
      </c>
      <c r="H48" s="207" t="e">
        <f t="shared" si="29"/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I25" sqref="I25"/>
    </sheetView>
  </sheetViews>
  <sheetFormatPr defaultColWidth="9" defaultRowHeight="15"/>
  <cols>
    <col min="1" max="1" width="5.12962962962963" style="190" customWidth="1"/>
    <col min="2" max="2" width="17.5" style="190" customWidth="1"/>
    <col min="3" max="8" width="13.25" style="191" customWidth="1"/>
    <col min="9" max="9" width="18.75" style="191" customWidth="1"/>
    <col min="10" max="10" width="12.3796296296296" style="190" customWidth="1"/>
    <col min="11" max="11" width="14.5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172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195" t="str">
        <f>'2026年'!C2:I2</f>
        <v>沃尔沃集团</v>
      </c>
      <c r="D2" s="195"/>
      <c r="E2" s="195"/>
      <c r="F2" s="195"/>
      <c r="G2" s="195"/>
      <c r="H2" s="195"/>
      <c r="I2" s="195"/>
    </row>
    <row r="3" spans="1:9">
      <c r="A3" s="192" t="s">
        <v>158</v>
      </c>
      <c r="B3" s="192"/>
      <c r="C3" s="87" t="str">
        <f>'2026年'!C3</f>
        <v>主镜</v>
      </c>
      <c r="D3" s="196" t="str">
        <f>'2026年'!D3</f>
        <v>补盲镜</v>
      </c>
      <c r="E3" s="196" t="str">
        <f>'2026年'!E3</f>
        <v>前下镜</v>
      </c>
      <c r="F3" s="196">
        <f>'2026年'!F3</f>
        <v>0</v>
      </c>
      <c r="G3" s="196">
        <f>'2026年'!G3</f>
        <v>0</v>
      </c>
      <c r="H3" s="196">
        <f>'2026年'!H3</f>
        <v>0</v>
      </c>
      <c r="I3" s="217" t="s">
        <v>159</v>
      </c>
    </row>
    <row r="4" spans="1:9">
      <c r="A4" s="192" t="s">
        <v>160</v>
      </c>
      <c r="B4" s="192"/>
      <c r="C4" s="87">
        <f>'2026年'!C4</f>
        <v>22286155</v>
      </c>
      <c r="D4" s="87">
        <f>'2026年'!D4</f>
        <v>84099794</v>
      </c>
      <c r="E4" s="87">
        <f>'2026年'!E4</f>
        <v>21151129</v>
      </c>
      <c r="F4" s="87">
        <f>'2026年'!F4</f>
        <v>0</v>
      </c>
      <c r="G4" s="87">
        <f>'2026年'!G4</f>
        <v>0</v>
      </c>
      <c r="H4" s="87">
        <f>'2026年'!H4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销量!C13</f>
        <v>30000</v>
      </c>
      <c r="D6" s="201">
        <f>销量!D13</f>
        <v>15000</v>
      </c>
      <c r="E6" s="201">
        <f>销量!E13</f>
        <v>15000</v>
      </c>
      <c r="F6" s="201">
        <f>销量!F13</f>
        <v>0</v>
      </c>
      <c r="G6" s="201">
        <f>销量!G13</f>
        <v>0</v>
      </c>
      <c r="H6" s="201">
        <f>销量!H13</f>
        <v>0</v>
      </c>
      <c r="I6" s="202">
        <f t="shared" ref="I6:I15" si="0">SUM(C6:H6)</f>
        <v>60000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16442184.5683796</v>
      </c>
      <c r="D7" s="202">
        <f>D6*销量!D8</f>
        <v>1370700</v>
      </c>
      <c r="E7" s="202">
        <f>E6*销量!E8</f>
        <v>1717110.64454515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19529995.2129248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>
        <f>C7*(1-销量!$M$10)</f>
        <v>488349.323865443</v>
      </c>
      <c r="D8" s="202">
        <f>D7*(1-销量!$M$10)</f>
        <v>40711.1607</v>
      </c>
      <c r="E8" s="202">
        <f>E7*(1-销量!$M$10)</f>
        <v>50999.9032536353</v>
      </c>
      <c r="F8" s="202">
        <f>F7*(1-销量!$M$10)</f>
        <v>0</v>
      </c>
      <c r="G8" s="202">
        <f>G7*(1-销量!$M$10)</f>
        <v>0</v>
      </c>
      <c r="H8" s="202">
        <f>H7*(1-销量!$M$10)</f>
        <v>0</v>
      </c>
      <c r="I8" s="202">
        <f t="shared" si="0"/>
        <v>580060.387819078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15953835.2445142</v>
      </c>
      <c r="D9" s="202">
        <f t="shared" ref="D9:H9" si="1">+D7-D8</f>
        <v>1329988.8393</v>
      </c>
      <c r="E9" s="202">
        <f t="shared" si="1"/>
        <v>1666110.74129151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18949934.8251057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7765365.5663117</v>
      </c>
      <c r="D10" s="202">
        <f t="shared" ref="D10:H10" si="2">D6*D33</f>
        <v>882509.7425265</v>
      </c>
      <c r="E10" s="202">
        <f t="shared" si="2"/>
        <v>797431.196765416</v>
      </c>
      <c r="F10" s="202">
        <f t="shared" si="2"/>
        <v>0</v>
      </c>
      <c r="G10" s="202">
        <f t="shared" si="2"/>
        <v>0</v>
      </c>
      <c r="H10" s="202">
        <f t="shared" si="2"/>
        <v>0</v>
      </c>
      <c r="I10" s="202">
        <f t="shared" si="0"/>
        <v>9445306.50560362</v>
      </c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1023278.58238405</v>
      </c>
      <c r="D11" s="202">
        <f t="shared" ref="D11:H11" si="3">+D6*D36</f>
        <v>90766.35</v>
      </c>
      <c r="E11" s="202">
        <f t="shared" si="3"/>
        <v>105880.893692521</v>
      </c>
      <c r="F11" s="202">
        <f t="shared" si="3"/>
        <v>0</v>
      </c>
      <c r="G11" s="202">
        <f t="shared" si="3"/>
        <v>0</v>
      </c>
      <c r="H11" s="202">
        <f t="shared" si="3"/>
        <v>0</v>
      </c>
      <c r="I11" s="202">
        <f t="shared" si="0"/>
        <v>1219925.82607657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1672715.98691457</v>
      </c>
      <c r="D12" s="202">
        <f t="shared" ref="D12:H12" si="4">+D6*D37</f>
        <v>148372.425</v>
      </c>
      <c r="E12" s="202">
        <f t="shared" si="4"/>
        <v>173079.615499869</v>
      </c>
      <c r="F12" s="202">
        <f t="shared" si="4"/>
        <v>0</v>
      </c>
      <c r="G12" s="202">
        <f t="shared" si="4"/>
        <v>0</v>
      </c>
      <c r="H12" s="202">
        <f t="shared" si="4"/>
        <v>0</v>
      </c>
      <c r="I12" s="202">
        <f t="shared" si="0"/>
        <v>1994168.02741444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3683100</v>
      </c>
      <c r="D13" s="202">
        <f t="shared" ref="D13:H13" si="5">+D6*D38</f>
        <v>238950</v>
      </c>
      <c r="E13" s="202">
        <f t="shared" si="5"/>
        <v>396900</v>
      </c>
      <c r="F13" s="202">
        <f t="shared" si="5"/>
        <v>0</v>
      </c>
      <c r="G13" s="202">
        <f t="shared" si="5"/>
        <v>0</v>
      </c>
      <c r="H13" s="202">
        <f t="shared" si="5"/>
        <v>0</v>
      </c>
      <c r="I13" s="202">
        <f t="shared" si="0"/>
        <v>4318950</v>
      </c>
      <c r="K13" s="219"/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6379094.56929861</v>
      </c>
      <c r="D14" s="202">
        <f t="shared" ref="D14:H14" si="6">SUM(D11:D13)</f>
        <v>478088.775</v>
      </c>
      <c r="E14" s="202">
        <f t="shared" si="6"/>
        <v>675860.509192389</v>
      </c>
      <c r="F14" s="202">
        <f t="shared" si="6"/>
        <v>0</v>
      </c>
      <c r="G14" s="202">
        <f t="shared" si="6"/>
        <v>0</v>
      </c>
      <c r="H14" s="202">
        <f t="shared" si="6"/>
        <v>0</v>
      </c>
      <c r="I14" s="202">
        <f t="shared" si="0"/>
        <v>7533043.853491</v>
      </c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1809375.10890386</v>
      </c>
      <c r="D15" s="202">
        <f t="shared" ref="D15:H15" si="7">+D9-D10-D14</f>
        <v>-30609.6782264998</v>
      </c>
      <c r="E15" s="202">
        <f t="shared" si="7"/>
        <v>192819.035333705</v>
      </c>
      <c r="F15" s="202">
        <f t="shared" si="7"/>
        <v>0</v>
      </c>
      <c r="G15" s="202">
        <f t="shared" si="7"/>
        <v>0</v>
      </c>
      <c r="H15" s="202">
        <f t="shared" si="7"/>
        <v>0</v>
      </c>
      <c r="I15" s="202">
        <f t="shared" si="0"/>
        <v>1971584.46601107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>
        <f>+C15/C9</f>
        <v>0.11341317502486</v>
      </c>
      <c r="D16" s="204">
        <f t="shared" ref="D16:H16" si="8">+D15/D9</f>
        <v>-0.0230149887893874</v>
      </c>
      <c r="E16" s="204">
        <f t="shared" si="8"/>
        <v>0.11573002355428</v>
      </c>
      <c r="F16" s="204" t="e">
        <f t="shared" si="8"/>
        <v>#DIV/0!</v>
      </c>
      <c r="G16" s="204" t="e">
        <f t="shared" si="8"/>
        <v>#DIV/0!</v>
      </c>
      <c r="H16" s="204" t="e">
        <f t="shared" si="8"/>
        <v>#DIV/0!</v>
      </c>
      <c r="I16" s="204">
        <f t="shared" ref="I16" si="9">+I15/I9</f>
        <v>0.104041754454956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>
        <f>C6*C43+C18</f>
        <v>650713.312987361</v>
      </c>
      <c r="D17" s="202">
        <f t="shared" ref="D17:H17" si="10">D6*D43+D18</f>
        <v>57719.25</v>
      </c>
      <c r="E17" s="202">
        <f t="shared" si="10"/>
        <v>67330.7428718024</v>
      </c>
      <c r="F17" s="202">
        <f t="shared" si="10"/>
        <v>0</v>
      </c>
      <c r="G17" s="202">
        <f t="shared" si="10"/>
        <v>0</v>
      </c>
      <c r="H17" s="202">
        <f t="shared" si="10"/>
        <v>0</v>
      </c>
      <c r="I17" s="202">
        <f>SUM(C17:H17)</f>
        <v>775763.305859163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12">
        <f>$I$18/$I$9*C9</f>
        <v>0</v>
      </c>
      <c r="D18" s="212">
        <f t="shared" ref="D18:H18" si="11">$I$18/$I$9*D9</f>
        <v>0</v>
      </c>
      <c r="E18" s="212">
        <f t="shared" si="11"/>
        <v>0</v>
      </c>
      <c r="F18" s="212">
        <f t="shared" si="11"/>
        <v>0</v>
      </c>
      <c r="G18" s="212">
        <f t="shared" si="11"/>
        <v>0</v>
      </c>
      <c r="H18" s="212">
        <f t="shared" si="11"/>
        <v>0</v>
      </c>
      <c r="I18" s="212">
        <f>项目投资!H26</f>
        <v>0</v>
      </c>
      <c r="J18" s="66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265388.959022296</v>
      </c>
      <c r="D19" s="202">
        <f t="shared" ref="D19:H19" si="12">D6*D44</f>
        <v>23540.4</v>
      </c>
      <c r="E19" s="202">
        <f t="shared" si="12"/>
        <v>27460.381406539</v>
      </c>
      <c r="F19" s="202">
        <f t="shared" si="12"/>
        <v>0</v>
      </c>
      <c r="G19" s="202">
        <f t="shared" si="12"/>
        <v>0</v>
      </c>
      <c r="H19" s="202">
        <f t="shared" si="12"/>
        <v>0</v>
      </c>
      <c r="I19" s="202">
        <f>SUM(C19:H19)</f>
        <v>316389.740428835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297286.670443245</v>
      </c>
      <c r="D20" s="202">
        <f t="shared" ref="D20:H20" si="13">D6*D45</f>
        <v>26369.775</v>
      </c>
      <c r="E20" s="202">
        <f t="shared" si="13"/>
        <v>30760.9080179019</v>
      </c>
      <c r="F20" s="202">
        <f t="shared" si="13"/>
        <v>0</v>
      </c>
      <c r="G20" s="202">
        <f t="shared" si="13"/>
        <v>0</v>
      </c>
      <c r="H20" s="202">
        <f t="shared" si="13"/>
        <v>0</v>
      </c>
      <c r="I20" s="202">
        <f>SUM(C20:H20)</f>
        <v>354417.353461147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>
        <f t="shared" ref="C21:H21" si="14">$I$21/$I$6*C6</f>
        <v>0</v>
      </c>
      <c r="D21" s="207">
        <f t="shared" si="14"/>
        <v>0</v>
      </c>
      <c r="E21" s="207">
        <f t="shared" si="14"/>
        <v>0</v>
      </c>
      <c r="F21" s="207">
        <f t="shared" si="14"/>
        <v>0</v>
      </c>
      <c r="G21" s="207">
        <f t="shared" si="14"/>
        <v>0</v>
      </c>
      <c r="H21" s="207">
        <f t="shared" si="14"/>
        <v>0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452947.502177476</v>
      </c>
      <c r="D22" s="202">
        <f t="shared" ref="D22:H22" si="15">D6*D47</f>
        <v>40177.125</v>
      </c>
      <c r="E22" s="202">
        <f t="shared" si="15"/>
        <v>46867.4778813527</v>
      </c>
      <c r="F22" s="202">
        <f t="shared" si="15"/>
        <v>0</v>
      </c>
      <c r="G22" s="202">
        <f t="shared" si="15"/>
        <v>0</v>
      </c>
      <c r="H22" s="202">
        <f t="shared" si="15"/>
        <v>0</v>
      </c>
      <c r="I22" s="202">
        <f>SUM(C22:H22)</f>
        <v>539992.105058829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>
        <f>+C22+C21+C20+C19+C17</f>
        <v>1666336.44463038</v>
      </c>
      <c r="D23" s="207">
        <f t="shared" ref="D23:H23" si="16">+D22+D21+D20+D19+D17</f>
        <v>147806.55</v>
      </c>
      <c r="E23" s="207">
        <f t="shared" si="16"/>
        <v>172419.510177596</v>
      </c>
      <c r="F23" s="207">
        <f t="shared" si="16"/>
        <v>0</v>
      </c>
      <c r="G23" s="207">
        <f t="shared" si="16"/>
        <v>0</v>
      </c>
      <c r="H23" s="207">
        <f t="shared" si="16"/>
        <v>0</v>
      </c>
      <c r="I23" s="207">
        <f t="shared" ref="I23" si="17">+I22+I21+I20+I19+I17</f>
        <v>1986562.50480797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>
        <f>+C15-C23</f>
        <v>143038.664273482</v>
      </c>
      <c r="D24" s="207">
        <f t="shared" ref="D24:H24" si="18">+D15-D23</f>
        <v>-178416.2282265</v>
      </c>
      <c r="E24" s="207">
        <f t="shared" si="18"/>
        <v>20399.5251561089</v>
      </c>
      <c r="F24" s="207">
        <f t="shared" si="18"/>
        <v>0</v>
      </c>
      <c r="G24" s="207">
        <f t="shared" si="18"/>
        <v>0</v>
      </c>
      <c r="H24" s="207">
        <f t="shared" si="18"/>
        <v>0</v>
      </c>
      <c r="I24" s="207">
        <f t="shared" ref="I24" si="19">+I15-I23</f>
        <v>-14978.0387969089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>
        <f>IF(C24&lt;0,0,C24*0.15)</f>
        <v>21455.7996410223</v>
      </c>
      <c r="D25" s="207">
        <f t="shared" ref="D25:I25" si="20">IF(D24&lt;0,0,D24*0.15)</f>
        <v>0</v>
      </c>
      <c r="E25" s="207">
        <f t="shared" si="20"/>
        <v>3059.92877341634</v>
      </c>
      <c r="F25" s="207">
        <f t="shared" si="20"/>
        <v>0</v>
      </c>
      <c r="G25" s="207">
        <f t="shared" si="20"/>
        <v>0</v>
      </c>
      <c r="H25" s="207">
        <f t="shared" si="20"/>
        <v>0</v>
      </c>
      <c r="I25" s="207">
        <f t="shared" si="20"/>
        <v>0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>
        <f t="shared" ref="C26:I26" si="21">C24-C25</f>
        <v>121582.86463246</v>
      </c>
      <c r="D26" s="207">
        <f t="shared" si="21"/>
        <v>-178416.2282265</v>
      </c>
      <c r="E26" s="207">
        <f t="shared" si="21"/>
        <v>17339.5963826926</v>
      </c>
      <c r="F26" s="207">
        <f t="shared" si="21"/>
        <v>0</v>
      </c>
      <c r="G26" s="207">
        <f t="shared" si="21"/>
        <v>0</v>
      </c>
      <c r="H26" s="207">
        <f t="shared" si="21"/>
        <v>0</v>
      </c>
      <c r="I26" s="202">
        <f t="shared" si="21"/>
        <v>-14978.0387969089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>
        <f t="shared" ref="C27:I27" si="22">C26/C7</f>
        <v>0.00739456877684484</v>
      </c>
      <c r="D27" s="209">
        <f t="shared" ref="D27:H27" si="23">D26/D7</f>
        <v>-0.130164316208142</v>
      </c>
      <c r="E27" s="209">
        <f t="shared" si="23"/>
        <v>0.0100981241003755</v>
      </c>
      <c r="F27" s="209" t="e">
        <f t="shared" si="23"/>
        <v>#DIV/0!</v>
      </c>
      <c r="G27" s="209" t="e">
        <f t="shared" si="23"/>
        <v>#DIV/0!</v>
      </c>
      <c r="H27" s="209" t="e">
        <f t="shared" si="23"/>
        <v>#DIV/0!</v>
      </c>
      <c r="I27" s="209">
        <f t="shared" si="22"/>
        <v>-0.000766924857564563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>
        <f>C9/C6</f>
        <v>531.794508150473</v>
      </c>
      <c r="D32" s="202">
        <f t="shared" ref="D32:H32" si="24">D9/D6</f>
        <v>88.66592262</v>
      </c>
      <c r="E32" s="202">
        <f t="shared" si="24"/>
        <v>111.074049419434</v>
      </c>
      <c r="F32" s="202" t="e">
        <f t="shared" si="24"/>
        <v>#DIV/0!</v>
      </c>
      <c r="G32" s="202" t="e">
        <f t="shared" si="24"/>
        <v>#DIV/0!</v>
      </c>
      <c r="H32" s="202" t="e">
        <f t="shared" si="24"/>
        <v>#DIV/0!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材料成本!I19</f>
        <v>258.845518877057</v>
      </c>
      <c r="D33" s="202">
        <f>材料成本!I20</f>
        <v>58.8339828351</v>
      </c>
      <c r="E33" s="202">
        <f>材料成本!I21</f>
        <v>53.1620797843611</v>
      </c>
      <c r="F33" s="202">
        <f>材料成本!I22</f>
        <v>0</v>
      </c>
      <c r="G33" s="202">
        <f>材料成本!I23</f>
        <v>0</v>
      </c>
      <c r="H33" s="202">
        <f>材料成本!I24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>
        <f>C32-C33</f>
        <v>272.948989273416</v>
      </c>
      <c r="D34" s="211">
        <f t="shared" ref="D34:H34" si="25">D32-D33</f>
        <v>29.8319397849</v>
      </c>
      <c r="E34" s="211">
        <f t="shared" si="25"/>
        <v>57.9119696350729</v>
      </c>
      <c r="F34" s="211" t="e">
        <f t="shared" si="25"/>
        <v>#DIV/0!</v>
      </c>
      <c r="G34" s="211" t="e">
        <f t="shared" si="25"/>
        <v>#DIV/0!</v>
      </c>
      <c r="H34" s="211" t="e">
        <f t="shared" si="25"/>
        <v>#DIV/0!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'2026年'!C36</f>
        <v>34.1092860794682</v>
      </c>
      <c r="D36" s="212">
        <f>'2026年'!D36</f>
        <v>6.05109</v>
      </c>
      <c r="E36" s="212">
        <f>'2026年'!E36</f>
        <v>7.05872624616804</v>
      </c>
      <c r="F36" s="212">
        <f>'2026年'!F36</f>
        <v>0</v>
      </c>
      <c r="G36" s="212">
        <f>'2026年'!G36</f>
        <v>0</v>
      </c>
      <c r="H36" s="212">
        <f>'2026年'!H36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'2026年'!C37</f>
        <v>55.7571995638189</v>
      </c>
      <c r="D37" s="212">
        <f>'2026年'!D37</f>
        <v>9.891495</v>
      </c>
      <c r="E37" s="212">
        <f>'2026年'!E37</f>
        <v>11.5386410333246</v>
      </c>
      <c r="F37" s="212">
        <f>'2026年'!F37</f>
        <v>0</v>
      </c>
      <c r="G37" s="212">
        <f>'2026年'!G37</f>
        <v>0</v>
      </c>
      <c r="H37" s="212">
        <f>'2026年'!H37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'2026年'!C38</f>
        <v>122.77</v>
      </c>
      <c r="D38" s="212">
        <f>'2026年'!D38</f>
        <v>15.93</v>
      </c>
      <c r="E38" s="212">
        <f>'2026年'!E38</f>
        <v>26.46</v>
      </c>
      <c r="F38" s="212">
        <f>'2026年'!F38</f>
        <v>0</v>
      </c>
      <c r="G38" s="212">
        <f>'2026年'!G38</f>
        <v>0</v>
      </c>
      <c r="H38" s="212">
        <f>'2026年'!H38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>
        <f>C34-C36-C37-C38</f>
        <v>60.3125036301287</v>
      </c>
      <c r="D40" s="207">
        <f t="shared" ref="D40:H40" si="26">D34-D36-D37-D38</f>
        <v>-2.04064521509999</v>
      </c>
      <c r="E40" s="207">
        <f t="shared" si="26"/>
        <v>12.8546023555803</v>
      </c>
      <c r="F40" s="207" t="e">
        <f t="shared" si="26"/>
        <v>#DIV/0!</v>
      </c>
      <c r="G40" s="207" t="e">
        <f t="shared" si="26"/>
        <v>#DIV/0!</v>
      </c>
      <c r="H40" s="207" t="e">
        <f t="shared" si="26"/>
        <v>#DIV/0!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'2026年'!C43</f>
        <v>21.6904437662454</v>
      </c>
      <c r="D43" s="212">
        <f>'2026年'!D43</f>
        <v>3.84795</v>
      </c>
      <c r="E43" s="212">
        <f>'2026年'!E43</f>
        <v>4.48871619145349</v>
      </c>
      <c r="F43" s="212">
        <f>'2026年'!F43</f>
        <v>0</v>
      </c>
      <c r="G43" s="212">
        <f>'2026年'!G43</f>
        <v>0</v>
      </c>
      <c r="H43" s="212">
        <f>'2026年'!H43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'2026年'!C44</f>
        <v>8.84629863407654</v>
      </c>
      <c r="D44" s="212">
        <f>'2026年'!D44</f>
        <v>1.56936</v>
      </c>
      <c r="E44" s="212">
        <f>'2026年'!E44</f>
        <v>1.83069209376927</v>
      </c>
      <c r="F44" s="212">
        <f>'2026年'!F44</f>
        <v>0</v>
      </c>
      <c r="G44" s="212">
        <f>'2026年'!G44</f>
        <v>0</v>
      </c>
      <c r="H44" s="212">
        <f>'2026年'!H44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'2026年'!C45</f>
        <v>9.90955568144151</v>
      </c>
      <c r="D45" s="212">
        <f>'2026年'!D45</f>
        <v>1.757985</v>
      </c>
      <c r="E45" s="212">
        <f>'2026年'!E45</f>
        <v>2.05072720119346</v>
      </c>
      <c r="F45" s="212">
        <f>'2026年'!F45</f>
        <v>0</v>
      </c>
      <c r="G45" s="212">
        <f>'2026年'!G45</f>
        <v>0</v>
      </c>
      <c r="H45" s="212">
        <f>'2026年'!H45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>
        <f>C21/C6</f>
        <v>0</v>
      </c>
      <c r="D46" s="213">
        <f t="shared" ref="D46:H46" si="27">D21/D6</f>
        <v>0</v>
      </c>
      <c r="E46" s="213">
        <f t="shared" si="27"/>
        <v>0</v>
      </c>
      <c r="F46" s="213" t="e">
        <f t="shared" si="27"/>
        <v>#DIV/0!</v>
      </c>
      <c r="G46" s="213" t="e">
        <f t="shared" si="27"/>
        <v>#DIV/0!</v>
      </c>
      <c r="H46" s="213" t="e">
        <f t="shared" si="27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'2026年'!C47</f>
        <v>15.0982500725825</v>
      </c>
      <c r="D47" s="213">
        <f>'2026年'!D47</f>
        <v>2.678475</v>
      </c>
      <c r="E47" s="213">
        <f>'2026年'!E47</f>
        <v>3.12449852542351</v>
      </c>
      <c r="F47" s="213">
        <f>'2026年'!F47</f>
        <v>0</v>
      </c>
      <c r="G47" s="213">
        <f>'2026年'!G47</f>
        <v>0</v>
      </c>
      <c r="H47" s="213">
        <f>'2026年'!H47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>
        <f>C40-C43-C44-C45-C47-C46</f>
        <v>4.76795547578274</v>
      </c>
      <c r="D48" s="207">
        <f t="shared" ref="D48:H48" si="28">D40-D43-D44-D45-D47-D46</f>
        <v>-11.8944152151</v>
      </c>
      <c r="E48" s="207">
        <f t="shared" si="28"/>
        <v>1.35996834374059</v>
      </c>
      <c r="F48" s="207" t="e">
        <f t="shared" si="28"/>
        <v>#DIV/0!</v>
      </c>
      <c r="G48" s="207" t="e">
        <f t="shared" si="28"/>
        <v>#DIV/0!</v>
      </c>
      <c r="H48" s="207" t="e">
        <f t="shared" si="28"/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G44" sqref="G44"/>
    </sheetView>
  </sheetViews>
  <sheetFormatPr defaultColWidth="9" defaultRowHeight="15"/>
  <cols>
    <col min="1" max="1" width="5.12962962962963" style="190" customWidth="1"/>
    <col min="2" max="2" width="17.5" style="190" customWidth="1"/>
    <col min="3" max="8" width="13.25" style="191" customWidth="1"/>
    <col min="9" max="9" width="18.75" style="191" customWidth="1"/>
    <col min="10" max="10" width="12.3796296296296" style="190" customWidth="1"/>
    <col min="11" max="11" width="10.1296296296296" style="190" customWidth="1"/>
    <col min="12" max="18" width="9" style="190" customWidth="1"/>
    <col min="19" max="35" width="9" style="190"/>
    <col min="36" max="36" width="4.37962962962963" style="190" customWidth="1"/>
    <col min="37" max="37" width="13.8796296296296" style="190" customWidth="1"/>
    <col min="38" max="16384" width="9" style="190"/>
  </cols>
  <sheetData>
    <row r="1" spans="1:9">
      <c r="A1" s="192" t="s">
        <v>154</v>
      </c>
      <c r="B1" s="192"/>
      <c r="C1" s="193" t="s">
        <v>173</v>
      </c>
      <c r="D1" s="194"/>
      <c r="E1" s="194"/>
      <c r="F1" s="194"/>
      <c r="G1" s="194"/>
      <c r="H1" s="194"/>
      <c r="I1" s="216"/>
    </row>
    <row r="2" spans="1:9">
      <c r="A2" s="192" t="s">
        <v>156</v>
      </c>
      <c r="B2" s="192"/>
      <c r="C2" s="195" t="str">
        <f>'2026年'!C2:I2</f>
        <v>沃尔沃集团</v>
      </c>
      <c r="D2" s="195"/>
      <c r="E2" s="195"/>
      <c r="F2" s="195"/>
      <c r="G2" s="195"/>
      <c r="H2" s="195"/>
      <c r="I2" s="195"/>
    </row>
    <row r="3" spans="1:9">
      <c r="A3" s="192" t="s">
        <v>158</v>
      </c>
      <c r="B3" s="192"/>
      <c r="C3" s="87" t="str">
        <f>'2026年'!C3</f>
        <v>主镜</v>
      </c>
      <c r="D3" s="196" t="str">
        <f>'2026年'!D3</f>
        <v>补盲镜</v>
      </c>
      <c r="E3" s="196" t="str">
        <f>'2026年'!E3</f>
        <v>前下镜</v>
      </c>
      <c r="F3" s="196">
        <f>'2026年'!F3</f>
        <v>0</v>
      </c>
      <c r="G3" s="196">
        <f>'2026年'!G3</f>
        <v>0</v>
      </c>
      <c r="H3" s="196">
        <f>'2026年'!H3</f>
        <v>0</v>
      </c>
      <c r="I3" s="217" t="s">
        <v>159</v>
      </c>
    </row>
    <row r="4" spans="1:9">
      <c r="A4" s="192" t="s">
        <v>160</v>
      </c>
      <c r="B4" s="192"/>
      <c r="C4" s="87">
        <f>'2026年'!C4</f>
        <v>22286155</v>
      </c>
      <c r="D4" s="87">
        <f>'2026年'!D4</f>
        <v>84099794</v>
      </c>
      <c r="E4" s="87">
        <f>'2026年'!E4</f>
        <v>21151129</v>
      </c>
      <c r="F4" s="87">
        <f>'2026年'!F4</f>
        <v>0</v>
      </c>
      <c r="G4" s="87">
        <f>'2026年'!G4</f>
        <v>0</v>
      </c>
      <c r="H4" s="87">
        <f>'2026年'!H4</f>
        <v>0</v>
      </c>
      <c r="I4" s="218"/>
    </row>
    <row r="5" spans="1:38">
      <c r="A5" s="192" t="s">
        <v>161</v>
      </c>
      <c r="B5" s="192"/>
      <c r="C5" s="197"/>
      <c r="D5" s="198"/>
      <c r="E5" s="198"/>
      <c r="F5" s="198"/>
      <c r="G5" s="198"/>
      <c r="H5" s="198"/>
      <c r="I5" s="198"/>
      <c r="AL5" s="190" t="s">
        <v>31</v>
      </c>
    </row>
    <row r="6" ht="17.4" spans="1:38">
      <c r="A6" s="199" t="s">
        <v>21</v>
      </c>
      <c r="B6" s="200" t="s">
        <v>162</v>
      </c>
      <c r="C6" s="201">
        <f>销量!C14</f>
        <v>0</v>
      </c>
      <c r="D6" s="201">
        <f>销量!D14</f>
        <v>0</v>
      </c>
      <c r="E6" s="201">
        <f>销量!E14</f>
        <v>0</v>
      </c>
      <c r="F6" s="201">
        <f>销量!F14</f>
        <v>0</v>
      </c>
      <c r="G6" s="201">
        <f>销量!G14</f>
        <v>0</v>
      </c>
      <c r="H6" s="201">
        <f>销量!H14</f>
        <v>0</v>
      </c>
      <c r="I6" s="202">
        <f t="shared" ref="I6:I15" si="0">SUM(C6:H6)</f>
        <v>0</v>
      </c>
      <c r="T6" s="200" t="s">
        <v>3</v>
      </c>
      <c r="AJ6" s="199" t="s">
        <v>21</v>
      </c>
      <c r="AK6" s="200" t="s">
        <v>3</v>
      </c>
      <c r="AL6" s="190" t="s">
        <v>33</v>
      </c>
    </row>
    <row r="7" ht="15.6" spans="1:38">
      <c r="A7" s="192">
        <v>1</v>
      </c>
      <c r="B7" s="200" t="s">
        <v>36</v>
      </c>
      <c r="C7" s="202">
        <f>C6*销量!C8</f>
        <v>0</v>
      </c>
      <c r="D7" s="202">
        <f>D6*销量!D8</f>
        <v>0</v>
      </c>
      <c r="E7" s="202">
        <f>E6*销量!E8</f>
        <v>0</v>
      </c>
      <c r="F7" s="202">
        <f>F6*销量!F8</f>
        <v>0</v>
      </c>
      <c r="G7" s="202">
        <f>G6*销量!G8</f>
        <v>0</v>
      </c>
      <c r="H7" s="202">
        <f>H6*销量!H8</f>
        <v>0</v>
      </c>
      <c r="I7" s="202">
        <f t="shared" si="0"/>
        <v>0</v>
      </c>
      <c r="J7" s="191"/>
      <c r="T7" s="200" t="s">
        <v>36</v>
      </c>
      <c r="AJ7" s="199" t="s">
        <v>35</v>
      </c>
      <c r="AK7" s="200" t="s">
        <v>36</v>
      </c>
      <c r="AL7" s="190" t="s">
        <v>33</v>
      </c>
    </row>
    <row r="8" spans="1:38">
      <c r="A8" s="192">
        <v>2</v>
      </c>
      <c r="B8" s="192" t="s">
        <v>163</v>
      </c>
      <c r="C8" s="202">
        <f>C7*(1-销量!$M$10)</f>
        <v>0</v>
      </c>
      <c r="D8" s="202">
        <f>D7*(1-销量!$M$10)</f>
        <v>0</v>
      </c>
      <c r="E8" s="202">
        <f>E7*(1-销量!$M$10)</f>
        <v>0</v>
      </c>
      <c r="F8" s="202">
        <f>F7*(1-销量!$M$10)</f>
        <v>0</v>
      </c>
      <c r="G8" s="202">
        <f>G7*(1-销量!$M$10)</f>
        <v>0</v>
      </c>
      <c r="H8" s="202">
        <f>H7*(1-销量!$M$10)</f>
        <v>0</v>
      </c>
      <c r="I8" s="202">
        <f t="shared" si="0"/>
        <v>0</v>
      </c>
      <c r="J8" s="219"/>
      <c r="T8" s="192" t="s">
        <v>39</v>
      </c>
      <c r="AJ8" s="199" t="s">
        <v>38</v>
      </c>
      <c r="AK8" s="192" t="s">
        <v>39</v>
      </c>
      <c r="AL8" s="190" t="s">
        <v>33</v>
      </c>
    </row>
    <row r="9" ht="15.6" spans="1:38">
      <c r="A9" s="192">
        <v>3</v>
      </c>
      <c r="B9" s="200" t="s">
        <v>40</v>
      </c>
      <c r="C9" s="202">
        <f>+C7-C8</f>
        <v>0</v>
      </c>
      <c r="D9" s="202">
        <f t="shared" ref="D9:H9" si="1">+D7-D8</f>
        <v>0</v>
      </c>
      <c r="E9" s="202">
        <f t="shared" si="1"/>
        <v>0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0"/>
        <v>0</v>
      </c>
      <c r="T9" s="200" t="s">
        <v>40</v>
      </c>
      <c r="AJ9" s="199" t="s">
        <v>41</v>
      </c>
      <c r="AK9" s="200" t="s">
        <v>40</v>
      </c>
      <c r="AL9" s="190" t="s">
        <v>42</v>
      </c>
    </row>
    <row r="10" spans="1:38">
      <c r="A10" s="192">
        <v>4</v>
      </c>
      <c r="B10" s="199" t="s">
        <v>43</v>
      </c>
      <c r="C10" s="202">
        <f>C6*C33</f>
        <v>0</v>
      </c>
      <c r="D10" s="202">
        <f t="shared" ref="D10:H10" si="2">D6*D33</f>
        <v>0</v>
      </c>
      <c r="E10" s="202">
        <f t="shared" si="2"/>
        <v>0</v>
      </c>
      <c r="F10" s="202">
        <f t="shared" si="2"/>
        <v>0</v>
      </c>
      <c r="G10" s="202">
        <f t="shared" si="2"/>
        <v>0</v>
      </c>
      <c r="H10" s="202">
        <f t="shared" si="2"/>
        <v>0</v>
      </c>
      <c r="I10" s="202">
        <f t="shared" si="0"/>
        <v>0</v>
      </c>
      <c r="T10" s="199" t="s">
        <v>43</v>
      </c>
      <c r="AJ10" s="199" t="s">
        <v>44</v>
      </c>
      <c r="AK10" s="199" t="s">
        <v>43</v>
      </c>
      <c r="AL10" s="190" t="s">
        <v>45</v>
      </c>
    </row>
    <row r="11" spans="1:37">
      <c r="A11" s="192">
        <v>5</v>
      </c>
      <c r="B11" s="199" t="s">
        <v>46</v>
      </c>
      <c r="C11" s="202">
        <f>+C6*C36</f>
        <v>0</v>
      </c>
      <c r="D11" s="202">
        <f t="shared" ref="D11:H11" si="3">+D6*D36</f>
        <v>0</v>
      </c>
      <c r="E11" s="202">
        <f t="shared" si="3"/>
        <v>0</v>
      </c>
      <c r="F11" s="202">
        <f t="shared" si="3"/>
        <v>0</v>
      </c>
      <c r="G11" s="202">
        <f t="shared" si="3"/>
        <v>0</v>
      </c>
      <c r="H11" s="202">
        <f t="shared" si="3"/>
        <v>0</v>
      </c>
      <c r="I11" s="202">
        <f t="shared" si="0"/>
        <v>0</v>
      </c>
      <c r="T11" s="199" t="s">
        <v>46</v>
      </c>
      <c r="AJ11" s="199" t="s">
        <v>47</v>
      </c>
      <c r="AK11" s="199" t="s">
        <v>46</v>
      </c>
    </row>
    <row r="12" spans="1:37">
      <c r="A12" s="192">
        <v>6</v>
      </c>
      <c r="B12" s="199" t="s">
        <v>48</v>
      </c>
      <c r="C12" s="202">
        <f>+C6*C37</f>
        <v>0</v>
      </c>
      <c r="D12" s="202">
        <f t="shared" ref="D12:H12" si="4">+D6*D37</f>
        <v>0</v>
      </c>
      <c r="E12" s="202">
        <f t="shared" si="4"/>
        <v>0</v>
      </c>
      <c r="F12" s="202">
        <f t="shared" si="4"/>
        <v>0</v>
      </c>
      <c r="G12" s="202">
        <f t="shared" si="4"/>
        <v>0</v>
      </c>
      <c r="H12" s="202">
        <f t="shared" si="4"/>
        <v>0</v>
      </c>
      <c r="I12" s="202">
        <f t="shared" si="0"/>
        <v>0</v>
      </c>
      <c r="T12" s="199" t="s">
        <v>48</v>
      </c>
      <c r="AJ12" s="199" t="s">
        <v>49</v>
      </c>
      <c r="AK12" s="199" t="s">
        <v>48</v>
      </c>
    </row>
    <row r="13" spans="1:38">
      <c r="A13" s="192">
        <v>7</v>
      </c>
      <c r="B13" s="199" t="s">
        <v>50</v>
      </c>
      <c r="C13" s="202">
        <f>+C6*C38</f>
        <v>0</v>
      </c>
      <c r="D13" s="202">
        <f t="shared" ref="D13:H13" si="5">+D6*D38</f>
        <v>0</v>
      </c>
      <c r="E13" s="202">
        <f t="shared" si="5"/>
        <v>0</v>
      </c>
      <c r="F13" s="202">
        <f t="shared" si="5"/>
        <v>0</v>
      </c>
      <c r="G13" s="202">
        <f t="shared" si="5"/>
        <v>0</v>
      </c>
      <c r="H13" s="202">
        <f t="shared" si="5"/>
        <v>0</v>
      </c>
      <c r="I13" s="202">
        <f t="shared" si="0"/>
        <v>0</v>
      </c>
      <c r="T13" s="199" t="s">
        <v>50</v>
      </c>
      <c r="AJ13" s="199" t="s">
        <v>51</v>
      </c>
      <c r="AK13" s="199" t="s">
        <v>50</v>
      </c>
      <c r="AL13" s="190" t="s">
        <v>33</v>
      </c>
    </row>
    <row r="14" ht="15.6" spans="1:37">
      <c r="A14" s="192">
        <v>8</v>
      </c>
      <c r="B14" s="203" t="s">
        <v>52</v>
      </c>
      <c r="C14" s="202">
        <f>SUM(C11:C13)</f>
        <v>0</v>
      </c>
      <c r="D14" s="202">
        <f t="shared" ref="D14:H14" si="6">SUM(D11:D13)</f>
        <v>0</v>
      </c>
      <c r="E14" s="202">
        <f t="shared" si="6"/>
        <v>0</v>
      </c>
      <c r="F14" s="202">
        <f t="shared" si="6"/>
        <v>0</v>
      </c>
      <c r="G14" s="202">
        <f t="shared" si="6"/>
        <v>0</v>
      </c>
      <c r="H14" s="202">
        <f t="shared" si="6"/>
        <v>0</v>
      </c>
      <c r="I14" s="202">
        <f t="shared" si="0"/>
        <v>0</v>
      </c>
      <c r="T14" s="203" t="s">
        <v>52</v>
      </c>
      <c r="AJ14" s="199" t="s">
        <v>53</v>
      </c>
      <c r="AK14" s="203" t="s">
        <v>52</v>
      </c>
    </row>
    <row r="15" ht="15.6" spans="1:37">
      <c r="A15" s="192">
        <v>9</v>
      </c>
      <c r="B15" s="203" t="s">
        <v>54</v>
      </c>
      <c r="C15" s="202">
        <f>+C9-C10-C14</f>
        <v>0</v>
      </c>
      <c r="D15" s="202">
        <f t="shared" ref="D15:H15" si="7">+D9-D10-D14</f>
        <v>0</v>
      </c>
      <c r="E15" s="202">
        <f t="shared" si="7"/>
        <v>0</v>
      </c>
      <c r="F15" s="202">
        <f t="shared" si="7"/>
        <v>0</v>
      </c>
      <c r="G15" s="202">
        <f t="shared" si="7"/>
        <v>0</v>
      </c>
      <c r="H15" s="202">
        <f t="shared" si="7"/>
        <v>0</v>
      </c>
      <c r="I15" s="202">
        <f t="shared" si="0"/>
        <v>0</v>
      </c>
      <c r="T15" s="203" t="s">
        <v>54</v>
      </c>
      <c r="AJ15" s="199" t="s">
        <v>55</v>
      </c>
      <c r="AK15" s="203" t="s">
        <v>54</v>
      </c>
    </row>
    <row r="16" spans="1:37">
      <c r="A16" s="192">
        <v>10</v>
      </c>
      <c r="B16" s="199" t="s">
        <v>56</v>
      </c>
      <c r="C16" s="204" t="e">
        <f>+C15/C9</f>
        <v>#DIV/0!</v>
      </c>
      <c r="D16" s="204" t="e">
        <f t="shared" ref="D16:I16" si="8">+D15/D9</f>
        <v>#DIV/0!</v>
      </c>
      <c r="E16" s="204" t="e">
        <f t="shared" si="8"/>
        <v>#DIV/0!</v>
      </c>
      <c r="F16" s="204" t="e">
        <f t="shared" si="8"/>
        <v>#DIV/0!</v>
      </c>
      <c r="G16" s="204" t="e">
        <f t="shared" si="8"/>
        <v>#DIV/0!</v>
      </c>
      <c r="H16" s="204" t="e">
        <f t="shared" si="8"/>
        <v>#DIV/0!</v>
      </c>
      <c r="I16" s="204" t="e">
        <f t="shared" si="8"/>
        <v>#DIV/0!</v>
      </c>
      <c r="T16" s="199" t="s">
        <v>56</v>
      </c>
      <c r="AJ16" s="199" t="s">
        <v>57</v>
      </c>
      <c r="AK16" s="199" t="s">
        <v>56</v>
      </c>
    </row>
    <row r="17" spans="1:37">
      <c r="A17" s="192">
        <v>11</v>
      </c>
      <c r="B17" s="199" t="s">
        <v>58</v>
      </c>
      <c r="C17" s="202" t="e">
        <f>C6*C43+C18</f>
        <v>#DIV/0!</v>
      </c>
      <c r="D17" s="202" t="e">
        <f t="shared" ref="D17:H17" si="9">D6*D43+D18</f>
        <v>#DIV/0!</v>
      </c>
      <c r="E17" s="202" t="e">
        <f t="shared" si="9"/>
        <v>#DIV/0!</v>
      </c>
      <c r="F17" s="202" t="e">
        <f t="shared" si="9"/>
        <v>#DIV/0!</v>
      </c>
      <c r="G17" s="202" t="e">
        <f t="shared" si="9"/>
        <v>#DIV/0!</v>
      </c>
      <c r="H17" s="202" t="e">
        <f t="shared" si="9"/>
        <v>#DIV/0!</v>
      </c>
      <c r="I17" s="202" t="e">
        <f>SUM(C17:H17)</f>
        <v>#DIV/0!</v>
      </c>
      <c r="J17" s="219"/>
      <c r="T17" s="199" t="s">
        <v>58</v>
      </c>
      <c r="AJ17" s="199" t="s">
        <v>59</v>
      </c>
      <c r="AK17" s="199" t="s">
        <v>58</v>
      </c>
    </row>
    <row r="18" s="188" customFormat="1" spans="1:12">
      <c r="A18" s="192">
        <v>12</v>
      </c>
      <c r="B18" s="205" t="s">
        <v>164</v>
      </c>
      <c r="C18" s="206" t="e">
        <f>$I$18/$I$9*C9</f>
        <v>#DIV/0!</v>
      </c>
      <c r="D18" s="206" t="e">
        <f t="shared" ref="D18:H18" si="10">$I$18/$I$9*D9</f>
        <v>#DIV/0!</v>
      </c>
      <c r="E18" s="206" t="e">
        <f t="shared" si="10"/>
        <v>#DIV/0!</v>
      </c>
      <c r="F18" s="206" t="e">
        <f t="shared" si="10"/>
        <v>#DIV/0!</v>
      </c>
      <c r="G18" s="206" t="e">
        <f t="shared" si="10"/>
        <v>#DIV/0!</v>
      </c>
      <c r="H18" s="206" t="e">
        <f t="shared" si="10"/>
        <v>#DIV/0!</v>
      </c>
      <c r="I18" s="212">
        <f>项目投资!I26</f>
        <v>0</v>
      </c>
      <c r="J18" s="66" t="s">
        <v>165</v>
      </c>
      <c r="K18" s="66"/>
      <c r="L18" s="66"/>
    </row>
    <row r="19" spans="1:38">
      <c r="A19" s="192">
        <v>13</v>
      </c>
      <c r="B19" s="199" t="s">
        <v>60</v>
      </c>
      <c r="C19" s="202">
        <f>C6*C44</f>
        <v>0</v>
      </c>
      <c r="D19" s="202">
        <f t="shared" ref="D19:H19" si="11">D6*D44</f>
        <v>0</v>
      </c>
      <c r="E19" s="202">
        <f t="shared" si="11"/>
        <v>0</v>
      </c>
      <c r="F19" s="202">
        <f t="shared" si="11"/>
        <v>0</v>
      </c>
      <c r="G19" s="202">
        <f t="shared" si="11"/>
        <v>0</v>
      </c>
      <c r="H19" s="202">
        <f t="shared" si="11"/>
        <v>0</v>
      </c>
      <c r="I19" s="202">
        <f>SUM(C19:H19)</f>
        <v>0</v>
      </c>
      <c r="J19" s="188"/>
      <c r="T19" s="199" t="s">
        <v>60</v>
      </c>
      <c r="AJ19" s="199" t="s">
        <v>61</v>
      </c>
      <c r="AK19" s="199" t="s">
        <v>60</v>
      </c>
      <c r="AL19" s="190" t="s">
        <v>33</v>
      </c>
    </row>
    <row r="20" spans="1:37">
      <c r="A20" s="192">
        <v>14</v>
      </c>
      <c r="B20" s="199" t="s">
        <v>62</v>
      </c>
      <c r="C20" s="202">
        <f>C6*C45</f>
        <v>0</v>
      </c>
      <c r="D20" s="202">
        <f t="shared" ref="D20:H20" si="12">D6*D45</f>
        <v>0</v>
      </c>
      <c r="E20" s="202">
        <f t="shared" si="12"/>
        <v>0</v>
      </c>
      <c r="F20" s="202">
        <f t="shared" si="12"/>
        <v>0</v>
      </c>
      <c r="G20" s="202">
        <f t="shared" si="12"/>
        <v>0</v>
      </c>
      <c r="H20" s="202">
        <f t="shared" si="12"/>
        <v>0</v>
      </c>
      <c r="I20" s="202">
        <f>SUM(C20:H20)</f>
        <v>0</v>
      </c>
      <c r="T20" s="199" t="s">
        <v>62</v>
      </c>
      <c r="AJ20" s="199" t="s">
        <v>63</v>
      </c>
      <c r="AK20" s="199" t="s">
        <v>62</v>
      </c>
    </row>
    <row r="21" spans="1:37">
      <c r="A21" s="192">
        <v>15</v>
      </c>
      <c r="B21" s="199" t="s">
        <v>64</v>
      </c>
      <c r="C21" s="207" t="e">
        <f t="shared" ref="C21:H21" si="13">$I$21/$I$6*C6</f>
        <v>#DIV/0!</v>
      </c>
      <c r="D21" s="207" t="e">
        <f t="shared" si="13"/>
        <v>#DIV/0!</v>
      </c>
      <c r="E21" s="207" t="e">
        <f t="shared" si="13"/>
        <v>#DIV/0!</v>
      </c>
      <c r="F21" s="207" t="e">
        <f t="shared" si="13"/>
        <v>#DIV/0!</v>
      </c>
      <c r="G21" s="207" t="e">
        <f t="shared" si="13"/>
        <v>#DIV/0!</v>
      </c>
      <c r="H21" s="207" t="e">
        <f t="shared" si="13"/>
        <v>#DIV/0!</v>
      </c>
      <c r="I21" s="202">
        <f>项目投资!D27</f>
        <v>0</v>
      </c>
      <c r="T21" s="199" t="s">
        <v>64</v>
      </c>
      <c r="AJ21" s="199"/>
      <c r="AK21" s="199"/>
    </row>
    <row r="22" spans="1:37">
      <c r="A22" s="192">
        <v>16</v>
      </c>
      <c r="B22" s="199" t="s">
        <v>65</v>
      </c>
      <c r="C22" s="202">
        <f>C6*C47</f>
        <v>0</v>
      </c>
      <c r="D22" s="202">
        <f t="shared" ref="D22:H22" si="14">D6*D47</f>
        <v>0</v>
      </c>
      <c r="E22" s="202">
        <f t="shared" si="14"/>
        <v>0</v>
      </c>
      <c r="F22" s="202">
        <f t="shared" si="14"/>
        <v>0</v>
      </c>
      <c r="G22" s="202">
        <f t="shared" si="14"/>
        <v>0</v>
      </c>
      <c r="H22" s="202">
        <f t="shared" si="14"/>
        <v>0</v>
      </c>
      <c r="I22" s="202">
        <f>SUM(C22:H22)</f>
        <v>0</v>
      </c>
      <c r="T22" s="199" t="s">
        <v>65</v>
      </c>
      <c r="AJ22" s="199" t="s">
        <v>66</v>
      </c>
      <c r="AK22" s="199" t="s">
        <v>65</v>
      </c>
    </row>
    <row r="23" ht="15.6" spans="1:37">
      <c r="A23" s="192">
        <v>17</v>
      </c>
      <c r="B23" s="203" t="s">
        <v>67</v>
      </c>
      <c r="C23" s="207" t="e">
        <f>+C22+C21+C20+C19+C17</f>
        <v>#DIV/0!</v>
      </c>
      <c r="D23" s="207" t="e">
        <f t="shared" ref="D23:H23" si="15">+D22+D21+D20+D19+D17</f>
        <v>#DIV/0!</v>
      </c>
      <c r="E23" s="207" t="e">
        <f t="shared" si="15"/>
        <v>#DIV/0!</v>
      </c>
      <c r="F23" s="207" t="e">
        <f t="shared" si="15"/>
        <v>#DIV/0!</v>
      </c>
      <c r="G23" s="207" t="e">
        <f t="shared" si="15"/>
        <v>#DIV/0!</v>
      </c>
      <c r="H23" s="207" t="e">
        <f t="shared" si="15"/>
        <v>#DIV/0!</v>
      </c>
      <c r="I23" s="207" t="e">
        <f t="shared" ref="I23" si="16">+I22+I21+I20+I19+I17</f>
        <v>#DIV/0!</v>
      </c>
      <c r="T23" s="203" t="s">
        <v>67</v>
      </c>
      <c r="AJ23" s="199" t="s">
        <v>68</v>
      </c>
      <c r="AK23" s="203" t="s">
        <v>67</v>
      </c>
    </row>
    <row r="24" spans="1:37">
      <c r="A24" s="192">
        <v>18</v>
      </c>
      <c r="B24" s="208" t="s">
        <v>69</v>
      </c>
      <c r="C24" s="207" t="e">
        <f>+C15-C23</f>
        <v>#DIV/0!</v>
      </c>
      <c r="D24" s="207" t="e">
        <f t="shared" ref="D24:H24" si="17">+D15-D23</f>
        <v>#DIV/0!</v>
      </c>
      <c r="E24" s="207" t="e">
        <f t="shared" si="17"/>
        <v>#DIV/0!</v>
      </c>
      <c r="F24" s="207" t="e">
        <f t="shared" si="17"/>
        <v>#DIV/0!</v>
      </c>
      <c r="G24" s="207" t="e">
        <f t="shared" si="17"/>
        <v>#DIV/0!</v>
      </c>
      <c r="H24" s="207" t="e">
        <f t="shared" si="17"/>
        <v>#DIV/0!</v>
      </c>
      <c r="I24" s="207" t="e">
        <f t="shared" ref="I24" si="18">+I15-I23</f>
        <v>#DIV/0!</v>
      </c>
      <c r="K24" s="220"/>
      <c r="T24" s="199" t="s">
        <v>69</v>
      </c>
      <c r="AJ24" s="199" t="s">
        <v>70</v>
      </c>
      <c r="AK24" s="199" t="s">
        <v>69</v>
      </c>
    </row>
    <row r="25" spans="1:37">
      <c r="A25" s="192">
        <v>19</v>
      </c>
      <c r="B25" s="199" t="s">
        <v>166</v>
      </c>
      <c r="C25" s="207" t="e">
        <f>IF(C24&lt;0,0,C24*0.15)</f>
        <v>#DIV/0!</v>
      </c>
      <c r="D25" s="207" t="e">
        <f t="shared" ref="D25:I25" si="19">IF(D24&lt;0,0,D24*0.15)</f>
        <v>#DIV/0!</v>
      </c>
      <c r="E25" s="207" t="e">
        <f t="shared" si="19"/>
        <v>#DIV/0!</v>
      </c>
      <c r="F25" s="207" t="e">
        <f t="shared" si="19"/>
        <v>#DIV/0!</v>
      </c>
      <c r="G25" s="207" t="e">
        <f t="shared" si="19"/>
        <v>#DIV/0!</v>
      </c>
      <c r="H25" s="207" t="e">
        <f t="shared" si="19"/>
        <v>#DIV/0!</v>
      </c>
      <c r="I25" s="207" t="e">
        <f t="shared" si="19"/>
        <v>#DIV/0!</v>
      </c>
      <c r="J25" s="29"/>
      <c r="K25" s="29"/>
      <c r="L25" s="29"/>
      <c r="T25" s="199" t="s">
        <v>73</v>
      </c>
      <c r="AJ25" s="199" t="s">
        <v>72</v>
      </c>
      <c r="AK25" s="199" t="s">
        <v>73</v>
      </c>
    </row>
    <row r="26" spans="1:37">
      <c r="A26" s="192">
        <v>20</v>
      </c>
      <c r="B26" s="199" t="s">
        <v>74</v>
      </c>
      <c r="C26" s="207" t="e">
        <f t="shared" ref="C26:I26" si="20">C24-C25</f>
        <v>#DIV/0!</v>
      </c>
      <c r="D26" s="207" t="e">
        <f t="shared" si="20"/>
        <v>#DIV/0!</v>
      </c>
      <c r="E26" s="207" t="e">
        <f t="shared" si="20"/>
        <v>#DIV/0!</v>
      </c>
      <c r="F26" s="207" t="e">
        <f t="shared" si="20"/>
        <v>#DIV/0!</v>
      </c>
      <c r="G26" s="207" t="e">
        <f t="shared" si="20"/>
        <v>#DIV/0!</v>
      </c>
      <c r="H26" s="207" t="e">
        <f t="shared" si="20"/>
        <v>#DIV/0!</v>
      </c>
      <c r="I26" s="202" t="e">
        <f t="shared" si="20"/>
        <v>#DIV/0!</v>
      </c>
      <c r="J26" s="29"/>
      <c r="K26" s="29"/>
      <c r="L26" s="29"/>
      <c r="T26" s="199" t="s">
        <v>74</v>
      </c>
      <c r="AJ26" s="199" t="s">
        <v>75</v>
      </c>
      <c r="AK26" s="199" t="s">
        <v>74</v>
      </c>
    </row>
    <row r="27" spans="1:37">
      <c r="A27" s="192">
        <v>21</v>
      </c>
      <c r="B27" s="199" t="s">
        <v>78</v>
      </c>
      <c r="C27" s="209" t="e">
        <f t="shared" ref="C27:I27" si="21">C26/C7</f>
        <v>#DIV/0!</v>
      </c>
      <c r="D27" s="209" t="e">
        <f t="shared" ref="D27:H27" si="22">D26/D7</f>
        <v>#DIV/0!</v>
      </c>
      <c r="E27" s="209" t="e">
        <f t="shared" si="22"/>
        <v>#DIV/0!</v>
      </c>
      <c r="F27" s="209" t="e">
        <f t="shared" si="22"/>
        <v>#DIV/0!</v>
      </c>
      <c r="G27" s="209" t="e">
        <f t="shared" si="22"/>
        <v>#DIV/0!</v>
      </c>
      <c r="H27" s="209" t="e">
        <f t="shared" si="22"/>
        <v>#DIV/0!</v>
      </c>
      <c r="I27" s="209" t="e">
        <f t="shared" si="21"/>
        <v>#DIV/0!</v>
      </c>
      <c r="J27" s="29"/>
      <c r="K27" s="29"/>
      <c r="L27" s="29"/>
      <c r="T27" s="199" t="s">
        <v>78</v>
      </c>
      <c r="AJ27" s="199" t="s">
        <v>77</v>
      </c>
      <c r="AK27" s="199" t="s">
        <v>78</v>
      </c>
    </row>
    <row r="28" spans="10:20">
      <c r="J28" s="29"/>
      <c r="K28" s="29"/>
      <c r="L28" s="29"/>
      <c r="T28" s="199"/>
    </row>
    <row r="29" spans="1:36">
      <c r="A29" s="190" t="s">
        <v>79</v>
      </c>
      <c r="I29" s="191" t="s">
        <v>167</v>
      </c>
      <c r="J29" s="29"/>
      <c r="K29" s="29"/>
      <c r="L29" s="29"/>
      <c r="T29" s="199"/>
      <c r="AJ29" s="190" t="s">
        <v>79</v>
      </c>
    </row>
    <row r="30" ht="15.6" spans="1:37">
      <c r="A30" s="199" t="s">
        <v>80</v>
      </c>
      <c r="B30" s="203" t="s">
        <v>81</v>
      </c>
      <c r="C30" s="207"/>
      <c r="D30" s="207"/>
      <c r="E30" s="207"/>
      <c r="F30" s="207"/>
      <c r="G30" s="207"/>
      <c r="H30" s="207"/>
      <c r="I30" s="207"/>
      <c r="J30" s="29"/>
      <c r="K30" s="29"/>
      <c r="L30" s="29"/>
      <c r="N30" s="29"/>
      <c r="T30" s="203" t="s">
        <v>81</v>
      </c>
      <c r="AJ30" s="199" t="s">
        <v>82</v>
      </c>
      <c r="AK30" s="203" t="s">
        <v>81</v>
      </c>
    </row>
    <row r="31" spans="1:37">
      <c r="A31" s="192">
        <v>1</v>
      </c>
      <c r="B31" s="205" t="s">
        <v>83</v>
      </c>
      <c r="C31" s="210">
        <f>销量!C8</f>
        <v>548.072818945987</v>
      </c>
      <c r="D31" s="210">
        <f>销量!D8</f>
        <v>91.38</v>
      </c>
      <c r="E31" s="210">
        <f>销量!E8</f>
        <v>114.474042969676</v>
      </c>
      <c r="F31" s="210">
        <f>销量!F8</f>
        <v>0</v>
      </c>
      <c r="G31" s="210">
        <f>销量!G8</f>
        <v>0</v>
      </c>
      <c r="H31" s="210">
        <f>销量!H8</f>
        <v>0</v>
      </c>
      <c r="I31" s="207"/>
      <c r="J31" s="29"/>
      <c r="K31" s="29"/>
      <c r="L31" s="29"/>
      <c r="N31" s="29"/>
      <c r="T31" s="199" t="s">
        <v>83</v>
      </c>
      <c r="AJ31" s="199" t="s">
        <v>35</v>
      </c>
      <c r="AK31" s="199" t="s">
        <v>83</v>
      </c>
    </row>
    <row r="32" spans="1:37">
      <c r="A32" s="192">
        <v>2</v>
      </c>
      <c r="B32" s="199" t="s">
        <v>168</v>
      </c>
      <c r="C32" s="202" t="e">
        <f>C9/C6</f>
        <v>#DIV/0!</v>
      </c>
      <c r="D32" s="202" t="e">
        <f t="shared" ref="D32:H32" si="23">D9/D6</f>
        <v>#DIV/0!</v>
      </c>
      <c r="E32" s="202" t="e">
        <f t="shared" si="23"/>
        <v>#DIV/0!</v>
      </c>
      <c r="F32" s="202" t="e">
        <f t="shared" si="23"/>
        <v>#DIV/0!</v>
      </c>
      <c r="G32" s="202" t="e">
        <f t="shared" si="23"/>
        <v>#DIV/0!</v>
      </c>
      <c r="H32" s="202" t="e">
        <f t="shared" si="23"/>
        <v>#DIV/0!</v>
      </c>
      <c r="I32" s="207"/>
      <c r="J32" s="29"/>
      <c r="K32" s="29"/>
      <c r="L32" s="29"/>
      <c r="M32" s="29"/>
      <c r="N32" s="29"/>
      <c r="O32" s="29"/>
      <c r="P32" s="29"/>
      <c r="AJ32" s="199"/>
      <c r="AK32" s="199"/>
    </row>
    <row r="33" spans="1:37">
      <c r="A33" s="192">
        <v>3</v>
      </c>
      <c r="B33" s="205" t="s">
        <v>84</v>
      </c>
      <c r="C33" s="202">
        <f>材料成本!J19</f>
        <v>0</v>
      </c>
      <c r="D33" s="202">
        <f>材料成本!J20</f>
        <v>0</v>
      </c>
      <c r="E33" s="202">
        <f>材料成本!J21</f>
        <v>0</v>
      </c>
      <c r="F33" s="202">
        <f>材料成本!J22</f>
        <v>0</v>
      </c>
      <c r="G33" s="202">
        <f>材料成本!J23</f>
        <v>0</v>
      </c>
      <c r="H33" s="202">
        <f>材料成本!J24</f>
        <v>0</v>
      </c>
      <c r="I33" s="207"/>
      <c r="K33" s="29"/>
      <c r="L33" s="29"/>
      <c r="M33" s="29"/>
      <c r="N33" s="29"/>
      <c r="O33" s="29"/>
      <c r="P33" s="29"/>
      <c r="T33" s="199" t="s">
        <v>84</v>
      </c>
      <c r="AJ33" s="199" t="s">
        <v>38</v>
      </c>
      <c r="AK33" s="199" t="s">
        <v>84</v>
      </c>
    </row>
    <row r="34" ht="17.25" customHeight="1" spans="1:37">
      <c r="A34" s="192">
        <v>4</v>
      </c>
      <c r="B34" s="199" t="s">
        <v>86</v>
      </c>
      <c r="C34" s="211" t="e">
        <f>C32-C33</f>
        <v>#DIV/0!</v>
      </c>
      <c r="D34" s="211" t="e">
        <f t="shared" ref="D34:H34" si="24">D32-D33</f>
        <v>#DIV/0!</v>
      </c>
      <c r="E34" s="211" t="e">
        <f t="shared" si="24"/>
        <v>#DIV/0!</v>
      </c>
      <c r="F34" s="211" t="e">
        <f t="shared" si="24"/>
        <v>#DIV/0!</v>
      </c>
      <c r="G34" s="211" t="e">
        <f t="shared" si="24"/>
        <v>#DIV/0!</v>
      </c>
      <c r="H34" s="211" t="e">
        <f t="shared" si="24"/>
        <v>#DIV/0!</v>
      </c>
      <c r="I34" s="207"/>
      <c r="K34" s="29"/>
      <c r="L34" s="29"/>
      <c r="M34" s="29"/>
      <c r="N34" s="29"/>
      <c r="O34" s="29"/>
      <c r="P34" s="29"/>
      <c r="T34" s="199" t="s">
        <v>86</v>
      </c>
      <c r="AJ34" s="199" t="s">
        <v>85</v>
      </c>
      <c r="AK34" s="199" t="s">
        <v>86</v>
      </c>
    </row>
    <row r="35" ht="15.6" spans="1:37">
      <c r="A35" s="199" t="s">
        <v>82</v>
      </c>
      <c r="B35" s="203" t="s">
        <v>10</v>
      </c>
      <c r="C35" s="207"/>
      <c r="D35" s="207"/>
      <c r="E35" s="207"/>
      <c r="F35" s="207"/>
      <c r="G35" s="207"/>
      <c r="H35" s="207"/>
      <c r="I35" s="20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03" t="s">
        <v>10</v>
      </c>
      <c r="AJ35" s="199" t="s">
        <v>88</v>
      </c>
      <c r="AK35" s="203" t="s">
        <v>10</v>
      </c>
    </row>
    <row r="36" spans="1:37">
      <c r="A36" s="192">
        <v>1</v>
      </c>
      <c r="B36" s="199" t="s">
        <v>89</v>
      </c>
      <c r="C36" s="212">
        <f>'2026年'!C36</f>
        <v>34.1092860794682</v>
      </c>
      <c r="D36" s="212">
        <f>'2026年'!D36</f>
        <v>6.05109</v>
      </c>
      <c r="E36" s="212">
        <f>'2026年'!E36</f>
        <v>7.05872624616804</v>
      </c>
      <c r="F36" s="212">
        <f>'2026年'!F36</f>
        <v>0</v>
      </c>
      <c r="G36" s="212">
        <f>'2026年'!G36</f>
        <v>0</v>
      </c>
      <c r="H36" s="212">
        <f>'2026年'!H36</f>
        <v>0</v>
      </c>
      <c r="I36" s="21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99" t="s">
        <v>89</v>
      </c>
      <c r="AJ36" s="199" t="s">
        <v>85</v>
      </c>
      <c r="AK36" s="199" t="s">
        <v>89</v>
      </c>
    </row>
    <row r="37" spans="1:37">
      <c r="A37" s="192">
        <v>2</v>
      </c>
      <c r="B37" s="199" t="s">
        <v>90</v>
      </c>
      <c r="C37" s="212">
        <f>'2026年'!C37</f>
        <v>55.7571995638189</v>
      </c>
      <c r="D37" s="212">
        <f>'2026年'!D37</f>
        <v>9.891495</v>
      </c>
      <c r="E37" s="212">
        <f>'2026年'!E37</f>
        <v>11.5386410333246</v>
      </c>
      <c r="F37" s="212">
        <f>'2026年'!F37</f>
        <v>0</v>
      </c>
      <c r="G37" s="212">
        <f>'2026年'!G37</f>
        <v>0</v>
      </c>
      <c r="H37" s="212">
        <f>'2026年'!H37</f>
        <v>0</v>
      </c>
      <c r="I37" s="21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99" t="s">
        <v>90</v>
      </c>
      <c r="AJ37" s="199" t="s">
        <v>41</v>
      </c>
      <c r="AK37" s="199" t="s">
        <v>90</v>
      </c>
    </row>
    <row r="38" spans="1:37">
      <c r="A38" s="192">
        <v>3</v>
      </c>
      <c r="B38" s="199" t="s">
        <v>91</v>
      </c>
      <c r="C38" s="212">
        <f>'2026年'!C38</f>
        <v>122.77</v>
      </c>
      <c r="D38" s="212">
        <f>'2026年'!D38</f>
        <v>15.93</v>
      </c>
      <c r="E38" s="212">
        <f>'2026年'!E38</f>
        <v>26.46</v>
      </c>
      <c r="F38" s="212">
        <f>'2026年'!F38</f>
        <v>0</v>
      </c>
      <c r="G38" s="212">
        <f>'2026年'!G38</f>
        <v>0</v>
      </c>
      <c r="H38" s="212">
        <f>'2026年'!H38</f>
        <v>0</v>
      </c>
      <c r="I38" s="21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99" t="s">
        <v>91</v>
      </c>
      <c r="AJ38" s="199" t="s">
        <v>47</v>
      </c>
      <c r="AK38" s="199" t="s">
        <v>91</v>
      </c>
    </row>
    <row r="39" ht="15.6" spans="1:37">
      <c r="A39" s="199" t="s">
        <v>88</v>
      </c>
      <c r="B39" s="203" t="s">
        <v>93</v>
      </c>
      <c r="C39" s="207"/>
      <c r="D39" s="207"/>
      <c r="E39" s="207"/>
      <c r="F39" s="207"/>
      <c r="G39" s="207"/>
      <c r="H39" s="207"/>
      <c r="I39" s="207"/>
      <c r="T39" s="203" t="s">
        <v>93</v>
      </c>
      <c r="AJ39" s="199" t="s">
        <v>92</v>
      </c>
      <c r="AK39" s="203" t="s">
        <v>93</v>
      </c>
    </row>
    <row r="40" spans="1:37">
      <c r="A40" s="192">
        <v>1</v>
      </c>
      <c r="B40" s="199" t="s">
        <v>95</v>
      </c>
      <c r="C40" s="207" t="e">
        <f>C34-C36-C37-C38</f>
        <v>#DIV/0!</v>
      </c>
      <c r="D40" s="207" t="e">
        <f t="shared" ref="D40:H40" si="25">D34-D36-D37-D38</f>
        <v>#DIV/0!</v>
      </c>
      <c r="E40" s="207" t="e">
        <f t="shared" si="25"/>
        <v>#DIV/0!</v>
      </c>
      <c r="F40" s="207" t="e">
        <f t="shared" si="25"/>
        <v>#DIV/0!</v>
      </c>
      <c r="G40" s="207" t="e">
        <f t="shared" si="25"/>
        <v>#DIV/0!</v>
      </c>
      <c r="H40" s="207" t="e">
        <f t="shared" si="25"/>
        <v>#DIV/0!</v>
      </c>
      <c r="I40" s="207"/>
      <c r="T40" s="199" t="s">
        <v>95</v>
      </c>
      <c r="AJ40" s="199" t="s">
        <v>35</v>
      </c>
      <c r="AK40" s="199" t="s">
        <v>95</v>
      </c>
    </row>
    <row r="41" spans="1:37">
      <c r="A41" s="192">
        <v>2</v>
      </c>
      <c r="B41" s="199" t="s">
        <v>96</v>
      </c>
      <c r="C41" s="207"/>
      <c r="D41" s="207"/>
      <c r="E41" s="207"/>
      <c r="F41" s="207"/>
      <c r="G41" s="207"/>
      <c r="H41" s="207"/>
      <c r="I41" s="207"/>
      <c r="T41" s="199" t="s">
        <v>96</v>
      </c>
      <c r="AJ41" s="199" t="s">
        <v>38</v>
      </c>
      <c r="AK41" s="199" t="s">
        <v>96</v>
      </c>
    </row>
    <row r="42" ht="15.6" spans="1:37">
      <c r="A42" s="199" t="s">
        <v>92</v>
      </c>
      <c r="B42" s="203" t="s">
        <v>98</v>
      </c>
      <c r="C42" s="207"/>
      <c r="D42" s="207"/>
      <c r="E42" s="207"/>
      <c r="F42" s="207"/>
      <c r="G42" s="207"/>
      <c r="H42" s="207"/>
      <c r="I42" s="207"/>
      <c r="T42" s="203" t="s">
        <v>98</v>
      </c>
      <c r="AJ42" s="199" t="s">
        <v>97</v>
      </c>
      <c r="AK42" s="203" t="s">
        <v>98</v>
      </c>
    </row>
    <row r="43" spans="1:37">
      <c r="A43" s="192">
        <v>1</v>
      </c>
      <c r="B43" s="208" t="s">
        <v>99</v>
      </c>
      <c r="C43" s="212">
        <f>'2026年'!C43</f>
        <v>21.6904437662454</v>
      </c>
      <c r="D43" s="212">
        <f>'2026年'!D43</f>
        <v>3.84795</v>
      </c>
      <c r="E43" s="212">
        <f>'2026年'!E43</f>
        <v>4.48871619145349</v>
      </c>
      <c r="F43" s="212">
        <f>'2026年'!F43</f>
        <v>0</v>
      </c>
      <c r="G43" s="212">
        <f>'2026年'!G43</f>
        <v>0</v>
      </c>
      <c r="H43" s="212">
        <f>'2026年'!H43</f>
        <v>0</v>
      </c>
      <c r="I43" s="207"/>
      <c r="T43" s="199" t="s">
        <v>99</v>
      </c>
      <c r="AJ43" s="199" t="s">
        <v>35</v>
      </c>
      <c r="AK43" s="199" t="s">
        <v>99</v>
      </c>
    </row>
    <row r="44" spans="1:37">
      <c r="A44" s="192">
        <v>2</v>
      </c>
      <c r="B44" s="208" t="s">
        <v>100</v>
      </c>
      <c r="C44" s="212">
        <f>'2026年'!C44</f>
        <v>8.84629863407654</v>
      </c>
      <c r="D44" s="212">
        <f>'2026年'!D44</f>
        <v>1.56936</v>
      </c>
      <c r="E44" s="212">
        <f>'2026年'!E44</f>
        <v>1.83069209376927</v>
      </c>
      <c r="F44" s="212">
        <f>'2026年'!F44</f>
        <v>0</v>
      </c>
      <c r="G44" s="212">
        <f>'2026年'!G44</f>
        <v>0</v>
      </c>
      <c r="H44" s="212">
        <f>'2026年'!H44</f>
        <v>0</v>
      </c>
      <c r="I44" s="207"/>
      <c r="T44" s="199" t="s">
        <v>100</v>
      </c>
      <c r="AJ44" s="199" t="s">
        <v>38</v>
      </c>
      <c r="AK44" s="199" t="s">
        <v>100</v>
      </c>
    </row>
    <row r="45" spans="1:37">
      <c r="A45" s="192">
        <v>3</v>
      </c>
      <c r="B45" s="208" t="s">
        <v>101</v>
      </c>
      <c r="C45" s="212">
        <f>'2026年'!C45</f>
        <v>9.90955568144151</v>
      </c>
      <c r="D45" s="212">
        <f>'2026年'!D45</f>
        <v>1.757985</v>
      </c>
      <c r="E45" s="212">
        <f>'2026年'!E45</f>
        <v>2.05072720119346</v>
      </c>
      <c r="F45" s="212">
        <f>'2026年'!F45</f>
        <v>0</v>
      </c>
      <c r="G45" s="212">
        <f>'2026年'!G45</f>
        <v>0</v>
      </c>
      <c r="H45" s="212">
        <f>'2026年'!H45</f>
        <v>0</v>
      </c>
      <c r="I45" s="207"/>
      <c r="T45" s="199" t="s">
        <v>101</v>
      </c>
      <c r="AJ45" s="199" t="s">
        <v>85</v>
      </c>
      <c r="AK45" s="199" t="s">
        <v>101</v>
      </c>
    </row>
    <row r="46" s="189" customFormat="1" spans="1:37">
      <c r="A46" s="192">
        <v>4</v>
      </c>
      <c r="B46" s="208" t="s">
        <v>102</v>
      </c>
      <c r="C46" s="213" t="e">
        <f>C21/C6</f>
        <v>#DIV/0!</v>
      </c>
      <c r="D46" s="213" t="e">
        <f t="shared" ref="D46:H46" si="26">D21/D6</f>
        <v>#DIV/0!</v>
      </c>
      <c r="E46" s="213" t="e">
        <f t="shared" si="26"/>
        <v>#DIV/0!</v>
      </c>
      <c r="F46" s="213" t="e">
        <f t="shared" si="26"/>
        <v>#DIV/0!</v>
      </c>
      <c r="G46" s="213" t="e">
        <f t="shared" si="26"/>
        <v>#DIV/0!</v>
      </c>
      <c r="H46" s="213" t="e">
        <f t="shared" si="26"/>
        <v>#DIV/0!</v>
      </c>
      <c r="I46" s="213"/>
      <c r="T46" s="208" t="s">
        <v>104</v>
      </c>
      <c r="AJ46" s="208" t="s">
        <v>44</v>
      </c>
      <c r="AK46" s="208" t="s">
        <v>104</v>
      </c>
    </row>
    <row r="47" s="189" customFormat="1" spans="1:37">
      <c r="A47" s="192">
        <v>5</v>
      </c>
      <c r="B47" s="208" t="s">
        <v>104</v>
      </c>
      <c r="C47" s="213">
        <f>'2026年'!C47</f>
        <v>15.0982500725825</v>
      </c>
      <c r="D47" s="213">
        <f>'2026年'!D47</f>
        <v>2.678475</v>
      </c>
      <c r="E47" s="213">
        <f>'2026年'!E47</f>
        <v>3.12449852542351</v>
      </c>
      <c r="F47" s="213">
        <f>'2026年'!F47</f>
        <v>0</v>
      </c>
      <c r="G47" s="213">
        <f>'2026年'!G47</f>
        <v>0</v>
      </c>
      <c r="H47" s="213">
        <f>'2026年'!H47</f>
        <v>0</v>
      </c>
      <c r="I47" s="213"/>
      <c r="T47" s="208" t="s">
        <v>104</v>
      </c>
      <c r="AJ47" s="208" t="s">
        <v>44</v>
      </c>
      <c r="AK47" s="208" t="s">
        <v>104</v>
      </c>
    </row>
    <row r="48" ht="15.6" spans="1:37">
      <c r="A48" s="199" t="s">
        <v>97</v>
      </c>
      <c r="B48" s="203" t="s">
        <v>115</v>
      </c>
      <c r="C48" s="207" t="e">
        <f>C40-C43-C44-C45-C47-C46</f>
        <v>#DIV/0!</v>
      </c>
      <c r="D48" s="207" t="e">
        <f t="shared" ref="D48:H48" si="27">D40-D43-D44-D45-D47-D46</f>
        <v>#DIV/0!</v>
      </c>
      <c r="E48" s="207" t="e">
        <f t="shared" si="27"/>
        <v>#DIV/0!</v>
      </c>
      <c r="F48" s="207" t="e">
        <f t="shared" si="27"/>
        <v>#DIV/0!</v>
      </c>
      <c r="G48" s="207" t="e">
        <f t="shared" si="27"/>
        <v>#DIV/0!</v>
      </c>
      <c r="H48" s="207" t="e">
        <f t="shared" si="27"/>
        <v>#DIV/0!</v>
      </c>
      <c r="I48" s="207"/>
      <c r="T48" s="203" t="s">
        <v>115</v>
      </c>
      <c r="AJ48" s="199" t="s">
        <v>114</v>
      </c>
      <c r="AK48" s="203" t="s">
        <v>115</v>
      </c>
    </row>
    <row r="51" spans="3:8">
      <c r="C51" s="214"/>
      <c r="D51" s="214"/>
      <c r="E51" s="214"/>
      <c r="F51" s="214"/>
      <c r="G51" s="214"/>
      <c r="H51" s="214"/>
    </row>
    <row r="54" spans="2:14">
      <c r="B54" s="29"/>
      <c r="C54" s="215"/>
      <c r="D54" s="215"/>
      <c r="E54" s="215"/>
      <c r="F54" s="215"/>
      <c r="G54" s="215"/>
      <c r="H54" s="215"/>
      <c r="I54" s="215"/>
      <c r="J54" s="29"/>
      <c r="K54" s="29"/>
      <c r="L54" s="29"/>
      <c r="M54" s="29"/>
      <c r="N54" s="29"/>
    </row>
    <row r="55" spans="2:14">
      <c r="B55" s="29"/>
      <c r="C55" s="215"/>
      <c r="D55" s="215"/>
      <c r="E55" s="215"/>
      <c r="F55" s="215"/>
      <c r="G55" s="215"/>
      <c r="H55" s="215"/>
      <c r="I55" s="215"/>
      <c r="J55" s="29"/>
      <c r="K55" s="29"/>
      <c r="L55" s="29"/>
      <c r="M55" s="29"/>
      <c r="N55" s="29"/>
    </row>
    <row r="56" spans="2:14">
      <c r="B56" s="29"/>
      <c r="C56" s="215"/>
      <c r="D56" s="215"/>
      <c r="E56" s="215"/>
      <c r="F56" s="215"/>
      <c r="G56" s="215"/>
      <c r="H56" s="215"/>
      <c r="I56" s="215"/>
      <c r="J56" s="29"/>
      <c r="K56" s="29"/>
      <c r="L56" s="29"/>
      <c r="M56" s="29"/>
      <c r="N56" s="29"/>
    </row>
    <row r="57" spans="2:14">
      <c r="B57" s="29"/>
      <c r="C57" s="215"/>
      <c r="D57" s="215"/>
      <c r="E57" s="215"/>
      <c r="F57" s="215"/>
      <c r="G57" s="215"/>
      <c r="H57" s="215"/>
      <c r="I57" s="215"/>
      <c r="J57" s="29"/>
      <c r="K57" s="29"/>
      <c r="L57" s="29"/>
      <c r="M57" s="29"/>
      <c r="N57" s="29"/>
    </row>
    <row r="58" spans="2:14">
      <c r="B58" s="29"/>
      <c r="C58" s="215"/>
      <c r="D58" s="215"/>
      <c r="E58" s="215"/>
      <c r="F58" s="215"/>
      <c r="G58" s="215"/>
      <c r="H58" s="215"/>
      <c r="I58" s="215"/>
      <c r="J58" s="29"/>
      <c r="K58" s="29"/>
      <c r="L58" s="29"/>
      <c r="M58" s="29"/>
      <c r="N58" s="29"/>
    </row>
    <row r="59" spans="2:14">
      <c r="B59" s="29"/>
      <c r="C59" s="215"/>
      <c r="D59" s="215"/>
      <c r="E59" s="215"/>
      <c r="F59" s="215"/>
      <c r="G59" s="215"/>
      <c r="H59" s="215"/>
      <c r="I59" s="215"/>
      <c r="J59" s="29"/>
      <c r="K59" s="29"/>
      <c r="L59" s="29"/>
      <c r="M59" s="29"/>
      <c r="N59" s="29"/>
    </row>
    <row r="60" spans="2:14">
      <c r="B60" s="29"/>
      <c r="C60" s="215"/>
      <c r="D60" s="215"/>
      <c r="E60" s="215"/>
      <c r="F60" s="215"/>
      <c r="G60" s="215"/>
      <c r="H60" s="215"/>
      <c r="I60" s="215"/>
      <c r="J60" s="29"/>
      <c r="K60" s="29"/>
      <c r="L60" s="29"/>
      <c r="M60" s="29"/>
      <c r="N60" s="29"/>
    </row>
    <row r="61" spans="2:14">
      <c r="B61" s="29"/>
      <c r="C61" s="215"/>
      <c r="D61" s="215"/>
      <c r="E61" s="215"/>
      <c r="F61" s="215"/>
      <c r="G61" s="215"/>
      <c r="H61" s="215"/>
      <c r="I61" s="215"/>
      <c r="J61" s="29"/>
      <c r="K61" s="29"/>
      <c r="L61" s="29"/>
      <c r="M61" s="29"/>
      <c r="N61" s="29"/>
    </row>
    <row r="62" spans="2:14">
      <c r="B62" s="29"/>
      <c r="C62" s="215"/>
      <c r="D62" s="215"/>
      <c r="E62" s="215"/>
      <c r="F62" s="215"/>
      <c r="G62" s="215"/>
      <c r="H62" s="215"/>
      <c r="I62" s="215"/>
      <c r="J62" s="29"/>
      <c r="K62" s="29"/>
      <c r="L62" s="29"/>
      <c r="M62" s="29"/>
      <c r="N62" s="29"/>
    </row>
    <row r="63" spans="2:14">
      <c r="B63" s="29"/>
      <c r="C63" s="215"/>
      <c r="D63" s="215"/>
      <c r="E63" s="215"/>
      <c r="F63" s="215"/>
      <c r="G63" s="215"/>
      <c r="H63" s="215"/>
      <c r="I63" s="215"/>
      <c r="J63" s="29"/>
      <c r="K63" s="29"/>
      <c r="L63" s="29"/>
      <c r="M63" s="29"/>
      <c r="N63" s="29"/>
    </row>
    <row r="64" spans="2:14">
      <c r="B64" s="29"/>
      <c r="C64" s="215"/>
      <c r="D64" s="215"/>
      <c r="E64" s="215"/>
      <c r="F64" s="215"/>
      <c r="G64" s="215"/>
      <c r="H64" s="215"/>
      <c r="I64" s="215"/>
      <c r="J64" s="29"/>
      <c r="K64" s="29"/>
      <c r="L64" s="29"/>
      <c r="M64" s="29"/>
      <c r="N64" s="29"/>
    </row>
    <row r="65" spans="2:14">
      <c r="B65" s="29"/>
      <c r="C65" s="215"/>
      <c r="D65" s="215"/>
      <c r="E65" s="215"/>
      <c r="F65" s="215"/>
      <c r="G65" s="215"/>
      <c r="H65" s="215"/>
      <c r="I65" s="215"/>
      <c r="J65" s="29"/>
      <c r="K65" s="29"/>
      <c r="L65" s="29"/>
      <c r="M65" s="29"/>
      <c r="N65" s="29"/>
    </row>
    <row r="66" spans="2:14">
      <c r="B66" s="29"/>
      <c r="C66" s="215"/>
      <c r="D66" s="215"/>
      <c r="E66" s="215"/>
      <c r="F66" s="215"/>
      <c r="G66" s="215"/>
      <c r="H66" s="215"/>
      <c r="I66" s="215"/>
      <c r="J66" s="29"/>
      <c r="K66" s="29"/>
      <c r="L66" s="29"/>
      <c r="M66" s="29"/>
      <c r="N66" s="29"/>
    </row>
    <row r="67" spans="2:10">
      <c r="B67" s="29"/>
      <c r="C67" s="215"/>
      <c r="D67" s="215"/>
      <c r="E67" s="215"/>
      <c r="F67" s="215"/>
      <c r="G67" s="215"/>
      <c r="H67" s="215"/>
      <c r="I67" s="215"/>
      <c r="J67" s="29"/>
    </row>
    <row r="68" spans="2:10">
      <c r="B68" s="29"/>
      <c r="C68" s="215"/>
      <c r="D68" s="215"/>
      <c r="E68" s="215"/>
      <c r="F68" s="215"/>
      <c r="G68" s="215"/>
      <c r="H68" s="215"/>
      <c r="I68" s="215"/>
      <c r="J68" s="29"/>
    </row>
    <row r="69" spans="2:10">
      <c r="B69" s="29"/>
      <c r="C69" s="215"/>
      <c r="D69" s="215"/>
      <c r="E69" s="215"/>
      <c r="F69" s="215"/>
      <c r="G69" s="215"/>
      <c r="H69" s="215"/>
      <c r="I69" s="215"/>
      <c r="J69" s="29"/>
    </row>
    <row r="70" spans="2:10">
      <c r="B70" s="29"/>
      <c r="C70" s="215"/>
      <c r="D70" s="215"/>
      <c r="E70" s="215"/>
      <c r="F70" s="215"/>
      <c r="G70" s="215"/>
      <c r="H70" s="215"/>
      <c r="I70" s="215"/>
      <c r="J70" s="29"/>
    </row>
    <row r="71" spans="2:10">
      <c r="B71" s="29"/>
      <c r="C71" s="215"/>
      <c r="D71" s="215"/>
      <c r="E71" s="215"/>
      <c r="F71" s="215"/>
      <c r="G71" s="215"/>
      <c r="H71" s="215"/>
      <c r="I71" s="215"/>
      <c r="J71" s="29"/>
    </row>
    <row r="72" spans="2:10">
      <c r="B72" s="29"/>
      <c r="C72" s="215"/>
      <c r="D72" s="215"/>
      <c r="E72" s="215"/>
      <c r="F72" s="215"/>
      <c r="G72" s="215"/>
      <c r="H72" s="215"/>
      <c r="I72" s="215"/>
      <c r="J72" s="29"/>
    </row>
    <row r="73" spans="2:10">
      <c r="B73" s="29"/>
      <c r="C73" s="215"/>
      <c r="D73" s="215"/>
      <c r="E73" s="215"/>
      <c r="F73" s="215"/>
      <c r="G73" s="215"/>
      <c r="H73" s="215"/>
      <c r="I73" s="215"/>
      <c r="J73" s="29"/>
    </row>
    <row r="74" spans="2:10">
      <c r="B74" s="29"/>
      <c r="C74" s="215"/>
      <c r="D74" s="215"/>
      <c r="E74" s="215"/>
      <c r="F74" s="215"/>
      <c r="G74" s="215"/>
      <c r="H74" s="215"/>
      <c r="I74" s="215"/>
      <c r="J74" s="29"/>
    </row>
  </sheetData>
  <mergeCells count="8">
    <mergeCell ref="A1:B1"/>
    <mergeCell ref="C1:I1"/>
    <mergeCell ref="A2:B2"/>
    <mergeCell ref="C2:I2"/>
    <mergeCell ref="A3:B3"/>
    <mergeCell ref="A4:B4"/>
    <mergeCell ref="A5:B5"/>
    <mergeCell ref="I3:I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2025-02-21T11:55:53Z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4779B598AE2C47088FFA0C9776D859B8_12</vt:lpwstr>
  </property>
</Properties>
</file>