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X5000M3000S增配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'2026年'!$A$1:$F$48</definedName>
    <definedName name="_xlnm.Print_Area" localSheetId="5">'2027年'!$A$1:$F$48</definedName>
    <definedName name="_xlnm.Print_Area" localSheetId="6">'2028年'!$A$1:$F$48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59" l="1"/>
  <c r="E31" i="59"/>
  <c r="D6" i="59"/>
  <c r="E6" i="59"/>
  <c r="E7" i="59" s="1"/>
  <c r="D7" i="59"/>
  <c r="D31" i="58"/>
  <c r="E31" i="58"/>
  <c r="D6" i="58"/>
  <c r="D7" i="58" s="1"/>
  <c r="E6" i="58"/>
  <c r="E7" i="58" s="1"/>
  <c r="D31" i="57"/>
  <c r="E31" i="57"/>
  <c r="D6" i="57"/>
  <c r="D7" i="57" s="1"/>
  <c r="E6" i="57"/>
  <c r="E7" i="57" s="1"/>
  <c r="D31" i="43"/>
  <c r="E31" i="43"/>
  <c r="D6" i="43"/>
  <c r="E6" i="43"/>
  <c r="E7" i="43" s="1"/>
  <c r="D7" i="43"/>
  <c r="I54" i="50"/>
  <c r="I41" i="50"/>
  <c r="I28" i="50"/>
  <c r="D31" i="61"/>
  <c r="E31" i="61"/>
  <c r="D7" i="61"/>
  <c r="D9" i="61" s="1"/>
  <c r="D32" i="61" s="1"/>
  <c r="E7" i="61"/>
  <c r="E9" i="61" s="1"/>
  <c r="E32" i="61" s="1"/>
  <c r="D3" i="61"/>
  <c r="D3" i="57" s="1"/>
  <c r="E3" i="61"/>
  <c r="E3" i="59" s="1"/>
  <c r="D4" i="61"/>
  <c r="D4" i="59" s="1"/>
  <c r="E4" i="61"/>
  <c r="E4" i="59" s="1"/>
  <c r="D5" i="61"/>
  <c r="D5" i="59" s="1"/>
  <c r="E5" i="61"/>
  <c r="E5" i="59" s="1"/>
  <c r="D6" i="61"/>
  <c r="E6" i="61"/>
  <c r="D5" i="43" l="1"/>
  <c r="E3" i="43"/>
  <c r="D5" i="57"/>
  <c r="E3" i="57"/>
  <c r="D5" i="58"/>
  <c r="E3" i="58"/>
  <c r="E4" i="43"/>
  <c r="E4" i="57"/>
  <c r="E4" i="58"/>
  <c r="D4" i="43"/>
  <c r="D4" i="57"/>
  <c r="D4" i="58"/>
  <c r="E5" i="57"/>
  <c r="E5" i="58"/>
  <c r="E5" i="43"/>
  <c r="D3" i="58"/>
  <c r="D3" i="43"/>
  <c r="D3" i="59"/>
  <c r="E8" i="59"/>
  <c r="E9" i="59" s="1"/>
  <c r="E32" i="59" s="1"/>
  <c r="D8" i="59"/>
  <c r="D9" i="59" s="1"/>
  <c r="D32" i="59" s="1"/>
  <c r="E8" i="58"/>
  <c r="E9" i="58" s="1"/>
  <c r="E32" i="58" s="1"/>
  <c r="D8" i="58"/>
  <c r="D9" i="58" s="1"/>
  <c r="D32" i="58" s="1"/>
  <c r="E8" i="57"/>
  <c r="E9" i="57" s="1"/>
  <c r="E32" i="57" s="1"/>
  <c r="D8" i="57"/>
  <c r="D9" i="57" s="1"/>
  <c r="D32" i="57" s="1"/>
  <c r="E8" i="43"/>
  <c r="E9" i="43" s="1"/>
  <c r="E32" i="43" s="1"/>
  <c r="D8" i="43"/>
  <c r="D9" i="43" s="1"/>
  <c r="D32" i="43" s="1"/>
  <c r="F4" i="53" l="1"/>
  <c r="F5" i="53"/>
  <c r="D28" i="56" l="1"/>
  <c r="E28" i="56"/>
  <c r="F28" i="56"/>
  <c r="G28" i="56"/>
  <c r="H28" i="56"/>
  <c r="I28" i="56"/>
  <c r="C28" i="56"/>
  <c r="D4" i="53"/>
  <c r="E4" i="53"/>
  <c r="D5" i="53"/>
  <c r="E5" i="53"/>
  <c r="C2" i="59"/>
  <c r="C2" i="58"/>
  <c r="C2" i="57"/>
  <c r="C2" i="43"/>
  <c r="C3" i="61"/>
  <c r="C4" i="61"/>
  <c r="C5" i="61"/>
  <c r="C3" i="58" l="1"/>
  <c r="C3" i="43"/>
  <c r="C3" i="59"/>
  <c r="C3" i="57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8" i="50"/>
  <c r="H59" i="50"/>
  <c r="H60" i="50"/>
  <c r="H61" i="50"/>
  <c r="H62" i="50"/>
  <c r="H42" i="50"/>
  <c r="H43" i="50"/>
  <c r="H44" i="50"/>
  <c r="H45" i="50"/>
  <c r="H46" i="50"/>
  <c r="H47" i="50"/>
  <c r="H48" i="50"/>
  <c r="H49" i="50"/>
  <c r="H29" i="50"/>
  <c r="H30" i="50"/>
  <c r="H31" i="50"/>
  <c r="H32" i="50"/>
  <c r="H33" i="50"/>
  <c r="H34" i="50"/>
  <c r="H35" i="50"/>
  <c r="H36" i="50"/>
  <c r="H16" i="50"/>
  <c r="H17" i="50"/>
  <c r="H18" i="50"/>
  <c r="H19" i="50"/>
  <c r="H20" i="50"/>
  <c r="H21" i="50"/>
  <c r="H22" i="50"/>
  <c r="H23" i="50"/>
  <c r="I61" i="50"/>
  <c r="E61" i="50"/>
  <c r="I58" i="50"/>
  <c r="E56" i="50"/>
  <c r="E62" i="50"/>
  <c r="I48" i="50"/>
  <c r="I45" i="50"/>
  <c r="E42" i="50"/>
  <c r="I35" i="50"/>
  <c r="I32" i="50"/>
  <c r="E46" i="50"/>
  <c r="I15" i="50"/>
  <c r="E20" i="50" s="1"/>
  <c r="D45" i="61" s="1"/>
  <c r="I13" i="50"/>
  <c r="H7" i="50"/>
  <c r="I3" i="50"/>
  <c r="E6" i="50" s="1"/>
  <c r="I1" i="50"/>
  <c r="H24" i="53"/>
  <c r="G24" i="53"/>
  <c r="F24" i="53"/>
  <c r="E33" i="61" s="1"/>
  <c r="E24" i="53"/>
  <c r="D33" i="61" s="1"/>
  <c r="D24" i="53"/>
  <c r="D25" i="53" s="1"/>
  <c r="G18" i="55"/>
  <c r="G19" i="55" s="1"/>
  <c r="G20" i="55" s="1"/>
  <c r="F18" i="55"/>
  <c r="F19" i="55" s="1"/>
  <c r="F20" i="55" s="1"/>
  <c r="G16" i="55"/>
  <c r="F16" i="55"/>
  <c r="E16" i="55"/>
  <c r="D16" i="55"/>
  <c r="C16" i="55"/>
  <c r="H15" i="55"/>
  <c r="H14" i="55"/>
  <c r="H13" i="55"/>
  <c r="K12" i="55"/>
  <c r="J12" i="55"/>
  <c r="H12" i="55"/>
  <c r="K11" i="55"/>
  <c r="J11" i="55"/>
  <c r="H11" i="55"/>
  <c r="K10" i="55"/>
  <c r="J10" i="55"/>
  <c r="H10" i="55"/>
  <c r="K9" i="55"/>
  <c r="J9" i="55"/>
  <c r="H9" i="55"/>
  <c r="K8" i="55"/>
  <c r="J8" i="55"/>
  <c r="H8" i="55"/>
  <c r="K7" i="55"/>
  <c r="J7" i="55"/>
  <c r="G22" i="51"/>
  <c r="B9" i="51"/>
  <c r="B27" i="51" s="1"/>
  <c r="D27" i="51" s="1"/>
  <c r="B8" i="51"/>
  <c r="B26" i="51" s="1"/>
  <c r="D26" i="51" s="1"/>
  <c r="B7" i="51"/>
  <c r="B5" i="51"/>
  <c r="C31" i="59"/>
  <c r="C6" i="59"/>
  <c r="C31" i="58"/>
  <c r="C6" i="58"/>
  <c r="F6" i="58" s="1"/>
  <c r="C31" i="57"/>
  <c r="C6" i="57"/>
  <c r="F6" i="57" s="1"/>
  <c r="C31" i="43"/>
  <c r="C6" i="43"/>
  <c r="C31" i="61"/>
  <c r="F8" i="61"/>
  <c r="C6" i="61"/>
  <c r="F6" i="61" s="1"/>
  <c r="C4" i="56" s="1"/>
  <c r="J61" i="56"/>
  <c r="D61" i="56"/>
  <c r="D56" i="56"/>
  <c r="J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G10" i="36" s="1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M11" i="36" l="1"/>
  <c r="F10" i="36"/>
  <c r="I10" i="36"/>
  <c r="L10" i="36"/>
  <c r="M13" i="36"/>
  <c r="D20" i="61"/>
  <c r="D45" i="59"/>
  <c r="D20" i="59" s="1"/>
  <c r="D45" i="58"/>
  <c r="D20" i="58" s="1"/>
  <c r="D45" i="57"/>
  <c r="D20" i="57" s="1"/>
  <c r="D45" i="43"/>
  <c r="D20" i="43" s="1"/>
  <c r="E25" i="53"/>
  <c r="D18" i="55"/>
  <c r="D19" i="55" s="1"/>
  <c r="D20" i="55" s="1"/>
  <c r="F25" i="53"/>
  <c r="D26" i="53"/>
  <c r="C33" i="43"/>
  <c r="C10" i="43" s="1"/>
  <c r="C18" i="55"/>
  <c r="C19" i="55" s="1"/>
  <c r="C20" i="55" s="1"/>
  <c r="F4" i="56"/>
  <c r="D10" i="36"/>
  <c r="D17" i="36" s="1"/>
  <c r="D19" i="36" s="1"/>
  <c r="J10" i="36"/>
  <c r="J17" i="36" s="1"/>
  <c r="J19" i="36" s="1"/>
  <c r="M12" i="36"/>
  <c r="M15" i="36"/>
  <c r="E10" i="36"/>
  <c r="H10" i="36"/>
  <c r="H17" i="36" s="1"/>
  <c r="H19" i="36" s="1"/>
  <c r="F6" i="43"/>
  <c r="H16" i="55"/>
  <c r="E22" i="50"/>
  <c r="D38" i="61" s="1"/>
  <c r="E19" i="50"/>
  <c r="C33" i="61"/>
  <c r="F17" i="36"/>
  <c r="F19" i="36" s="1"/>
  <c r="I17" i="36"/>
  <c r="I19" i="36" s="1"/>
  <c r="L17" i="36"/>
  <c r="L19" i="36" s="1"/>
  <c r="M14" i="36"/>
  <c r="G17" i="36"/>
  <c r="G19" i="36" s="1"/>
  <c r="M7" i="36"/>
  <c r="K10" i="36"/>
  <c r="K17" i="36" s="1"/>
  <c r="K19" i="36" s="1"/>
  <c r="E17" i="36"/>
  <c r="E19" i="36" s="1"/>
  <c r="M5" i="36"/>
  <c r="C10" i="36"/>
  <c r="E31" i="50"/>
  <c r="E37" i="61" s="1"/>
  <c r="E33" i="50"/>
  <c r="E45" i="61" s="1"/>
  <c r="E45" i="50"/>
  <c r="E47" i="50"/>
  <c r="E49" i="50"/>
  <c r="E18" i="55"/>
  <c r="E19" i="55" s="1"/>
  <c r="E20" i="55" s="1"/>
  <c r="E29" i="50"/>
  <c r="E36" i="61" s="1"/>
  <c r="E32" i="50"/>
  <c r="E34" i="50"/>
  <c r="E44" i="61" s="1"/>
  <c r="E36" i="50"/>
  <c r="E47" i="61" s="1"/>
  <c r="E43" i="50"/>
  <c r="E48" i="50"/>
  <c r="E57" i="50"/>
  <c r="E59" i="50"/>
  <c r="E30" i="50"/>
  <c r="E43" i="61" s="1"/>
  <c r="E35" i="50"/>
  <c r="E38" i="61" s="1"/>
  <c r="E44" i="50"/>
  <c r="E55" i="50"/>
  <c r="E58" i="50"/>
  <c r="E60" i="50"/>
  <c r="E4" i="50"/>
  <c r="E11" i="50"/>
  <c r="E8" i="50"/>
  <c r="F6" i="59"/>
  <c r="C37" i="61"/>
  <c r="E10" i="50"/>
  <c r="C38" i="61" s="1"/>
  <c r="E7" i="50"/>
  <c r="E16" i="50"/>
  <c r="D36" i="61" s="1"/>
  <c r="E21" i="50"/>
  <c r="D44" i="61" s="1"/>
  <c r="E17" i="50"/>
  <c r="D43" i="61" s="1"/>
  <c r="E18" i="50"/>
  <c r="D37" i="61" s="1"/>
  <c r="E5" i="50"/>
  <c r="E9" i="50"/>
  <c r="E23" i="50"/>
  <c r="D47" i="61" s="1"/>
  <c r="C45" i="61"/>
  <c r="C58" i="56"/>
  <c r="L26" i="51"/>
  <c r="C57" i="56"/>
  <c r="B10" i="51"/>
  <c r="C7" i="61"/>
  <c r="F7" i="61" s="1"/>
  <c r="C10" i="61"/>
  <c r="C7" i="59"/>
  <c r="C7" i="58"/>
  <c r="E4" i="56"/>
  <c r="C7" i="57"/>
  <c r="C7" i="43"/>
  <c r="E26" i="53" l="1"/>
  <c r="D33" i="57" s="1"/>
  <c r="D33" i="43"/>
  <c r="D34" i="43" s="1"/>
  <c r="F26" i="53"/>
  <c r="E33" i="57" s="1"/>
  <c r="E33" i="43"/>
  <c r="E34" i="43" s="1"/>
  <c r="D43" i="59"/>
  <c r="D43" i="58"/>
  <c r="D43" i="57"/>
  <c r="D43" i="43"/>
  <c r="E43" i="59"/>
  <c r="E43" i="58"/>
  <c r="E43" i="57"/>
  <c r="E43" i="43"/>
  <c r="E19" i="61"/>
  <c r="E44" i="59"/>
  <c r="E19" i="59" s="1"/>
  <c r="E44" i="58"/>
  <c r="E19" i="58" s="1"/>
  <c r="E44" i="57"/>
  <c r="E19" i="57" s="1"/>
  <c r="E44" i="43"/>
  <c r="E19" i="43" s="1"/>
  <c r="D13" i="61"/>
  <c r="D38" i="59"/>
  <c r="D13" i="59" s="1"/>
  <c r="D38" i="58"/>
  <c r="D13" i="58" s="1"/>
  <c r="D38" i="57"/>
  <c r="D13" i="57" s="1"/>
  <c r="D38" i="43"/>
  <c r="D13" i="43" s="1"/>
  <c r="C20" i="61"/>
  <c r="C45" i="59"/>
  <c r="C20" i="59" s="1"/>
  <c r="C45" i="58"/>
  <c r="C20" i="58" s="1"/>
  <c r="C45" i="57"/>
  <c r="C20" i="57" s="1"/>
  <c r="C45" i="43"/>
  <c r="C20" i="43" s="1"/>
  <c r="D44" i="59"/>
  <c r="D19" i="59" s="1"/>
  <c r="D44" i="58"/>
  <c r="D19" i="58" s="1"/>
  <c r="D44" i="57"/>
  <c r="D19" i="57" s="1"/>
  <c r="D44" i="43"/>
  <c r="D19" i="43" s="1"/>
  <c r="D19" i="61"/>
  <c r="C13" i="61"/>
  <c r="C38" i="59"/>
  <c r="C38" i="58"/>
  <c r="C38" i="57"/>
  <c r="C13" i="57" s="1"/>
  <c r="C38" i="43"/>
  <c r="C12" i="61"/>
  <c r="C37" i="43"/>
  <c r="C12" i="43" s="1"/>
  <c r="F12" i="43" s="1"/>
  <c r="D10" i="56" s="1"/>
  <c r="C37" i="59"/>
  <c r="C12" i="59" s="1"/>
  <c r="C37" i="58"/>
  <c r="C12" i="58" s="1"/>
  <c r="C37" i="57"/>
  <c r="C12" i="57" s="1"/>
  <c r="E45" i="59"/>
  <c r="E20" i="59" s="1"/>
  <c r="E45" i="58"/>
  <c r="E20" i="58" s="1"/>
  <c r="E45" i="57"/>
  <c r="E20" i="57" s="1"/>
  <c r="E45" i="43"/>
  <c r="E20" i="43" s="1"/>
  <c r="E20" i="61"/>
  <c r="F20" i="61" s="1"/>
  <c r="C18" i="56" s="1"/>
  <c r="D22" i="61"/>
  <c r="D47" i="43"/>
  <c r="D22" i="43" s="1"/>
  <c r="D37" i="59"/>
  <c r="D12" i="59" s="1"/>
  <c r="D37" i="58"/>
  <c r="D12" i="58" s="1"/>
  <c r="D37" i="57"/>
  <c r="D12" i="57" s="1"/>
  <c r="D37" i="43"/>
  <c r="D12" i="43" s="1"/>
  <c r="D12" i="61"/>
  <c r="D14" i="61" s="1"/>
  <c r="D36" i="59"/>
  <c r="D11" i="59" s="1"/>
  <c r="D36" i="58"/>
  <c r="D11" i="58" s="1"/>
  <c r="D36" i="57"/>
  <c r="D11" i="57" s="1"/>
  <c r="D36" i="43"/>
  <c r="D11" i="43" s="1"/>
  <c r="D11" i="61"/>
  <c r="E38" i="59"/>
  <c r="E13" i="59" s="1"/>
  <c r="E38" i="58"/>
  <c r="E13" i="58" s="1"/>
  <c r="E38" i="57"/>
  <c r="E13" i="57" s="1"/>
  <c r="E38" i="43"/>
  <c r="E13" i="43" s="1"/>
  <c r="E13" i="61"/>
  <c r="E22" i="61"/>
  <c r="E47" i="43"/>
  <c r="E22" i="43" s="1"/>
  <c r="E11" i="61"/>
  <c r="E36" i="59"/>
  <c r="E11" i="59" s="1"/>
  <c r="E36" i="58"/>
  <c r="E11" i="58" s="1"/>
  <c r="E36" i="57"/>
  <c r="E11" i="57" s="1"/>
  <c r="E36" i="43"/>
  <c r="E11" i="43" s="1"/>
  <c r="E37" i="59"/>
  <c r="E12" i="59" s="1"/>
  <c r="E37" i="58"/>
  <c r="E12" i="58" s="1"/>
  <c r="E37" i="57"/>
  <c r="E12" i="57" s="1"/>
  <c r="E37" i="43"/>
  <c r="E12" i="43" s="1"/>
  <c r="E12" i="61"/>
  <c r="D10" i="43"/>
  <c r="D34" i="61"/>
  <c r="D40" i="61" s="1"/>
  <c r="D10" i="61"/>
  <c r="D15" i="61" s="1"/>
  <c r="D16" i="61" s="1"/>
  <c r="F27" i="53"/>
  <c r="E34" i="61"/>
  <c r="E40" i="61" s="1"/>
  <c r="E10" i="61"/>
  <c r="H19" i="55"/>
  <c r="H20" i="55" s="1"/>
  <c r="H18" i="55"/>
  <c r="D27" i="53"/>
  <c r="C33" i="57"/>
  <c r="C34" i="57" s="1"/>
  <c r="G4" i="56"/>
  <c r="D4" i="56"/>
  <c r="J4" i="56" s="1"/>
  <c r="C10" i="57"/>
  <c r="C17" i="36"/>
  <c r="M10" i="36"/>
  <c r="C47" i="61"/>
  <c r="C44" i="61"/>
  <c r="C13" i="59"/>
  <c r="F13" i="59" s="1"/>
  <c r="G11" i="56" s="1"/>
  <c r="C13" i="58"/>
  <c r="C13" i="43"/>
  <c r="F13" i="43" s="1"/>
  <c r="D11" i="56" s="1"/>
  <c r="C43" i="61"/>
  <c r="C56" i="56"/>
  <c r="F18" i="61"/>
  <c r="E26" i="51"/>
  <c r="F18" i="43" s="1"/>
  <c r="D18" i="43" s="1"/>
  <c r="D17" i="43" s="1"/>
  <c r="E18" i="43"/>
  <c r="E17" i="43" s="1"/>
  <c r="D28" i="51"/>
  <c r="D21" i="43"/>
  <c r="F21" i="61"/>
  <c r="E27" i="51"/>
  <c r="F21" i="43" s="1"/>
  <c r="C5" i="56"/>
  <c r="C9" i="61"/>
  <c r="C32" i="61" s="1"/>
  <c r="C34" i="61" s="1"/>
  <c r="F12" i="61"/>
  <c r="C10" i="56" s="1"/>
  <c r="C36" i="56" s="1"/>
  <c r="C8" i="59"/>
  <c r="F7" i="59"/>
  <c r="G5" i="56" s="1"/>
  <c r="C8" i="58"/>
  <c r="F7" i="58"/>
  <c r="F5" i="56" s="1"/>
  <c r="F7" i="57"/>
  <c r="E5" i="56" s="1"/>
  <c r="C8" i="57"/>
  <c r="C9" i="57" s="1"/>
  <c r="C32" i="57" s="1"/>
  <c r="F20" i="57"/>
  <c r="E18" i="56" s="1"/>
  <c r="C8" i="43"/>
  <c r="F8" i="43" s="1"/>
  <c r="D6" i="56" s="1"/>
  <c r="F7" i="43"/>
  <c r="D5" i="56" s="1"/>
  <c r="E27" i="53" l="1"/>
  <c r="D33" i="58" s="1"/>
  <c r="E28" i="53"/>
  <c r="D33" i="59" s="1"/>
  <c r="D10" i="59" s="1"/>
  <c r="D15" i="59" s="1"/>
  <c r="D16" i="59" s="1"/>
  <c r="F28" i="53"/>
  <c r="E33" i="59" s="1"/>
  <c r="E34" i="59" s="1"/>
  <c r="E40" i="59" s="1"/>
  <c r="E33" i="58"/>
  <c r="E34" i="58" s="1"/>
  <c r="E40" i="58" s="1"/>
  <c r="E10" i="43"/>
  <c r="F12" i="58"/>
  <c r="F10" i="56" s="1"/>
  <c r="F36" i="56" s="1"/>
  <c r="D36" i="56"/>
  <c r="F20" i="58"/>
  <c r="F18" i="56" s="1"/>
  <c r="G37" i="56"/>
  <c r="F12" i="57"/>
  <c r="E10" i="56" s="1"/>
  <c r="E36" i="56" s="1"/>
  <c r="F20" i="59"/>
  <c r="G18" i="56" s="1"/>
  <c r="G44" i="56" s="1"/>
  <c r="F13" i="61"/>
  <c r="C11" i="56" s="1"/>
  <c r="C37" i="56" s="1"/>
  <c r="F20" i="43"/>
  <c r="D18" i="56" s="1"/>
  <c r="D44" i="56" s="1"/>
  <c r="F12" i="59"/>
  <c r="G10" i="56" s="1"/>
  <c r="G36" i="56" s="1"/>
  <c r="F13" i="58"/>
  <c r="F11" i="56" s="1"/>
  <c r="F37" i="56" s="1"/>
  <c r="D40" i="43"/>
  <c r="D14" i="57"/>
  <c r="E40" i="43"/>
  <c r="E14" i="43"/>
  <c r="E15" i="43" s="1"/>
  <c r="E16" i="43" s="1"/>
  <c r="E14" i="57"/>
  <c r="D14" i="58"/>
  <c r="E14" i="59"/>
  <c r="C19" i="61"/>
  <c r="F19" i="61" s="1"/>
  <c r="C17" i="56" s="1"/>
  <c r="C43" i="56" s="1"/>
  <c r="C44" i="43"/>
  <c r="C19" i="43" s="1"/>
  <c r="F19" i="43" s="1"/>
  <c r="D17" i="56" s="1"/>
  <c r="D43" i="56" s="1"/>
  <c r="C44" i="59"/>
  <c r="C19" i="59" s="1"/>
  <c r="F19" i="59" s="1"/>
  <c r="G17" i="56" s="1"/>
  <c r="G43" i="56" s="1"/>
  <c r="C44" i="58"/>
  <c r="C19" i="58" s="1"/>
  <c r="F19" i="58" s="1"/>
  <c r="F17" i="56" s="1"/>
  <c r="F43" i="56" s="1"/>
  <c r="C44" i="57"/>
  <c r="C19" i="57" s="1"/>
  <c r="C22" i="61"/>
  <c r="F22" i="61" s="1"/>
  <c r="C20" i="56" s="1"/>
  <c r="C47" i="59"/>
  <c r="C22" i="59" s="1"/>
  <c r="C47" i="58"/>
  <c r="C22" i="58" s="1"/>
  <c r="C47" i="57"/>
  <c r="C22" i="57" s="1"/>
  <c r="C47" i="43"/>
  <c r="C22" i="43" s="1"/>
  <c r="F22" i="43" s="1"/>
  <c r="D20" i="56" s="1"/>
  <c r="D46" i="56" s="1"/>
  <c r="D47" i="59"/>
  <c r="D22" i="59" s="1"/>
  <c r="D47" i="58"/>
  <c r="D22" i="58" s="1"/>
  <c r="D47" i="57"/>
  <c r="D22" i="57" s="1"/>
  <c r="E47" i="59"/>
  <c r="E22" i="59" s="1"/>
  <c r="E47" i="58"/>
  <c r="E22" i="58" s="1"/>
  <c r="E47" i="57"/>
  <c r="E22" i="57" s="1"/>
  <c r="C43" i="43"/>
  <c r="C43" i="59"/>
  <c r="C43" i="58"/>
  <c r="C43" i="57"/>
  <c r="E14" i="61"/>
  <c r="E15" i="61" s="1"/>
  <c r="E16" i="61" s="1"/>
  <c r="E14" i="58"/>
  <c r="D14" i="43"/>
  <c r="D15" i="43" s="1"/>
  <c r="D16" i="43" s="1"/>
  <c r="D14" i="59"/>
  <c r="D10" i="57"/>
  <c r="D15" i="57" s="1"/>
  <c r="D16" i="57" s="1"/>
  <c r="D34" i="57"/>
  <c r="D40" i="57" s="1"/>
  <c r="F10" i="61"/>
  <c r="C8" i="56" s="1"/>
  <c r="C31" i="56" s="1"/>
  <c r="D34" i="59"/>
  <c r="D40" i="59" s="1"/>
  <c r="E34" i="57"/>
  <c r="E40" i="57" s="1"/>
  <c r="E10" i="57"/>
  <c r="E15" i="57" s="1"/>
  <c r="E16" i="57" s="1"/>
  <c r="F10" i="43"/>
  <c r="D8" i="56" s="1"/>
  <c r="D31" i="56" s="1"/>
  <c r="E10" i="59"/>
  <c r="E15" i="59" s="1"/>
  <c r="E16" i="59" s="1"/>
  <c r="D28" i="53"/>
  <c r="C33" i="59" s="1"/>
  <c r="C33" i="58"/>
  <c r="E21" i="43"/>
  <c r="E46" i="43" s="1"/>
  <c r="E48" i="43" s="1"/>
  <c r="D23" i="43"/>
  <c r="D46" i="43"/>
  <c r="D18" i="61"/>
  <c r="D17" i="61" s="1"/>
  <c r="E18" i="61"/>
  <c r="E17" i="61" s="1"/>
  <c r="E21" i="61"/>
  <c r="D21" i="61"/>
  <c r="F13" i="57"/>
  <c r="E11" i="56" s="1"/>
  <c r="E37" i="56" s="1"/>
  <c r="E23" i="36"/>
  <c r="C18" i="36"/>
  <c r="D18" i="36" s="1"/>
  <c r="E18" i="36" s="1"/>
  <c r="F18" i="36" s="1"/>
  <c r="G18" i="36" s="1"/>
  <c r="H18" i="36" s="1"/>
  <c r="M17" i="36"/>
  <c r="E22" i="36"/>
  <c r="C19" i="36"/>
  <c r="F19" i="57"/>
  <c r="E17" i="56" s="1"/>
  <c r="E43" i="56" s="1"/>
  <c r="F8" i="58"/>
  <c r="F6" i="56" s="1"/>
  <c r="C18" i="61"/>
  <c r="C17" i="61" s="1"/>
  <c r="C18" i="43"/>
  <c r="F26" i="51"/>
  <c r="F18" i="57" s="1"/>
  <c r="F27" i="51"/>
  <c r="F21" i="57" s="1"/>
  <c r="E28" i="51"/>
  <c r="C21" i="43"/>
  <c r="D19" i="56"/>
  <c r="D45" i="56" s="1"/>
  <c r="C19" i="56"/>
  <c r="C21" i="61"/>
  <c r="C44" i="56"/>
  <c r="J10" i="56"/>
  <c r="J36" i="56" s="1"/>
  <c r="F9" i="61"/>
  <c r="C7" i="56" s="1"/>
  <c r="F8" i="59"/>
  <c r="G6" i="56" s="1"/>
  <c r="C9" i="59"/>
  <c r="C32" i="59" s="1"/>
  <c r="F44" i="56"/>
  <c r="C9" i="58"/>
  <c r="C32" i="58" s="1"/>
  <c r="E44" i="56"/>
  <c r="F9" i="57"/>
  <c r="E7" i="56" s="1"/>
  <c r="F8" i="57"/>
  <c r="E6" i="56" s="1"/>
  <c r="J5" i="56"/>
  <c r="D7" i="56"/>
  <c r="D37" i="56"/>
  <c r="J18" i="56"/>
  <c r="C9" i="43"/>
  <c r="C32" i="43" s="1"/>
  <c r="C34" i="43" s="1"/>
  <c r="D34" i="58" l="1"/>
  <c r="D40" i="58" s="1"/>
  <c r="D10" i="58"/>
  <c r="E10" i="58"/>
  <c r="E23" i="43"/>
  <c r="E24" i="43" s="1"/>
  <c r="E25" i="43" s="1"/>
  <c r="E26" i="43" s="1"/>
  <c r="E27" i="43" s="1"/>
  <c r="D15" i="58"/>
  <c r="D16" i="58" s="1"/>
  <c r="F22" i="59"/>
  <c r="G20" i="56" s="1"/>
  <c r="G46" i="56" s="1"/>
  <c r="F22" i="57"/>
  <c r="E20" i="56" s="1"/>
  <c r="E52" i="56" s="1"/>
  <c r="C17" i="43"/>
  <c r="D48" i="43"/>
  <c r="F22" i="58"/>
  <c r="F20" i="56" s="1"/>
  <c r="F46" i="56" s="1"/>
  <c r="D24" i="43"/>
  <c r="D25" i="43" s="1"/>
  <c r="D26" i="43" s="1"/>
  <c r="D27" i="43" s="1"/>
  <c r="E15" i="58"/>
  <c r="E16" i="58" s="1"/>
  <c r="F10" i="57"/>
  <c r="E8" i="56" s="1"/>
  <c r="E31" i="56" s="1"/>
  <c r="C10" i="58"/>
  <c r="C34" i="58"/>
  <c r="C34" i="59"/>
  <c r="C10" i="59"/>
  <c r="F10" i="59" s="1"/>
  <c r="G8" i="56" s="1"/>
  <c r="G31" i="56" s="1"/>
  <c r="D46" i="61"/>
  <c r="D48" i="61" s="1"/>
  <c r="D23" i="61"/>
  <c r="D24" i="61" s="1"/>
  <c r="D25" i="61" s="1"/>
  <c r="D26" i="61" s="1"/>
  <c r="D27" i="61" s="1"/>
  <c r="E21" i="57"/>
  <c r="D21" i="57"/>
  <c r="D18" i="57"/>
  <c r="D17" i="57" s="1"/>
  <c r="E18" i="57"/>
  <c r="E17" i="57" s="1"/>
  <c r="E46" i="61"/>
  <c r="E48" i="61" s="1"/>
  <c r="E23" i="61"/>
  <c r="E24" i="61" s="1"/>
  <c r="E25" i="61" s="1"/>
  <c r="E26" i="61" s="1"/>
  <c r="E27" i="61" s="1"/>
  <c r="J11" i="56"/>
  <c r="J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J6" i="56"/>
  <c r="J17" i="56"/>
  <c r="J43" i="56" s="1"/>
  <c r="F17" i="61"/>
  <c r="G26" i="51"/>
  <c r="C18" i="57"/>
  <c r="C17" i="57" s="1"/>
  <c r="F17" i="43"/>
  <c r="C46" i="61"/>
  <c r="C23" i="61"/>
  <c r="C46" i="43"/>
  <c r="C23" i="43"/>
  <c r="E19" i="56"/>
  <c r="E45" i="56" s="1"/>
  <c r="C21" i="57"/>
  <c r="C45" i="56"/>
  <c r="G27" i="51"/>
  <c r="F21" i="58" s="1"/>
  <c r="F28" i="51"/>
  <c r="C46" i="56"/>
  <c r="C52" i="56"/>
  <c r="C48" i="56"/>
  <c r="C30" i="56"/>
  <c r="C32" i="56" s="1"/>
  <c r="C33" i="56" s="1"/>
  <c r="C51" i="56"/>
  <c r="C50" i="56"/>
  <c r="F9" i="59"/>
  <c r="G7" i="56" s="1"/>
  <c r="F9" i="58"/>
  <c r="F7" i="56" s="1"/>
  <c r="E30" i="56"/>
  <c r="E48" i="56"/>
  <c r="E50" i="56"/>
  <c r="F9" i="43"/>
  <c r="D30" i="56"/>
  <c r="D32" i="56" s="1"/>
  <c r="D33" i="56" s="1"/>
  <c r="D51" i="56"/>
  <c r="D52" i="56"/>
  <c r="D50" i="56"/>
  <c r="D48" i="56"/>
  <c r="J44" i="56"/>
  <c r="E32" i="56" l="1"/>
  <c r="E33" i="56" s="1"/>
  <c r="F10" i="58"/>
  <c r="F8" i="56" s="1"/>
  <c r="F31" i="56" s="1"/>
  <c r="H26" i="51"/>
  <c r="F18" i="59" s="1"/>
  <c r="F18" i="58"/>
  <c r="D18" i="58" s="1"/>
  <c r="D17" i="58" s="1"/>
  <c r="E46" i="56"/>
  <c r="G52" i="56"/>
  <c r="J20" i="56"/>
  <c r="J46" i="56" s="1"/>
  <c r="D21" i="58"/>
  <c r="E21" i="58"/>
  <c r="E18" i="58"/>
  <c r="E17" i="58" s="1"/>
  <c r="D23" i="57"/>
  <c r="D24" i="57" s="1"/>
  <c r="D25" i="57" s="1"/>
  <c r="D26" i="57" s="1"/>
  <c r="D27" i="57" s="1"/>
  <c r="D46" i="57"/>
  <c r="D48" i="57" s="1"/>
  <c r="E18" i="59"/>
  <c r="E17" i="59" s="1"/>
  <c r="D18" i="59"/>
  <c r="D17" i="59" s="1"/>
  <c r="E46" i="57"/>
  <c r="E48" i="57" s="1"/>
  <c r="E23" i="57"/>
  <c r="E24" i="57" s="1"/>
  <c r="E25" i="57" s="1"/>
  <c r="E26" i="57" s="1"/>
  <c r="E27" i="57" s="1"/>
  <c r="I20" i="36"/>
  <c r="J20" i="36" s="1"/>
  <c r="K20" i="36" s="1"/>
  <c r="L20" i="36" s="1"/>
  <c r="I24" i="36"/>
  <c r="K26" i="51"/>
  <c r="E51" i="56"/>
  <c r="J7" i="56"/>
  <c r="J48" i="56" s="1"/>
  <c r="C15" i="56"/>
  <c r="F23" i="61"/>
  <c r="D15" i="56"/>
  <c r="F23" i="43"/>
  <c r="F17" i="57"/>
  <c r="C18" i="59"/>
  <c r="C17" i="59" s="1"/>
  <c r="C18" i="58"/>
  <c r="C17" i="58" s="1"/>
  <c r="F19" i="56"/>
  <c r="C21" i="58"/>
  <c r="C46" i="57"/>
  <c r="C23" i="57"/>
  <c r="G28" i="51"/>
  <c r="H27" i="51"/>
  <c r="F21" i="59" s="1"/>
  <c r="D21" i="59" s="1"/>
  <c r="G30" i="56"/>
  <c r="G32" i="56" s="1"/>
  <c r="G33" i="56" s="1"/>
  <c r="G50" i="56"/>
  <c r="G48" i="56"/>
  <c r="F30" i="56"/>
  <c r="F32" i="56" s="1"/>
  <c r="F33" i="56" s="1"/>
  <c r="F48" i="56"/>
  <c r="F52" i="56"/>
  <c r="F50" i="56"/>
  <c r="J8" i="56" l="1"/>
  <c r="J31" i="56" s="1"/>
  <c r="G19" i="56"/>
  <c r="G51" i="56" s="1"/>
  <c r="C21" i="59"/>
  <c r="C46" i="59" s="1"/>
  <c r="E21" i="59"/>
  <c r="E46" i="59" s="1"/>
  <c r="E48" i="59" s="1"/>
  <c r="E23" i="59"/>
  <c r="E24" i="59" s="1"/>
  <c r="E25" i="59" s="1"/>
  <c r="E26" i="59" s="1"/>
  <c r="E27" i="59" s="1"/>
  <c r="E23" i="58"/>
  <c r="E24" i="58" s="1"/>
  <c r="E25" i="58" s="1"/>
  <c r="E26" i="58" s="1"/>
  <c r="E27" i="58" s="1"/>
  <c r="E46" i="58"/>
  <c r="E48" i="58" s="1"/>
  <c r="D23" i="59"/>
  <c r="D24" i="59" s="1"/>
  <c r="D25" i="59" s="1"/>
  <c r="D26" i="59" s="1"/>
  <c r="D27" i="59" s="1"/>
  <c r="D46" i="59"/>
  <c r="D48" i="59" s="1"/>
  <c r="D23" i="58"/>
  <c r="D24" i="58" s="1"/>
  <c r="D25" i="58" s="1"/>
  <c r="D26" i="58" s="1"/>
  <c r="D27" i="58" s="1"/>
  <c r="D46" i="58"/>
  <c r="D48" i="58" s="1"/>
  <c r="J19" i="56"/>
  <c r="J51" i="56" s="1"/>
  <c r="F51" i="56"/>
  <c r="J30" i="56"/>
  <c r="J32" i="56" s="1"/>
  <c r="J33" i="56" s="1"/>
  <c r="J50" i="56"/>
  <c r="J52" i="56"/>
  <c r="C42" i="56"/>
  <c r="C21" i="56"/>
  <c r="F17" i="59"/>
  <c r="F17" i="58"/>
  <c r="E15" i="56"/>
  <c r="F23" i="57"/>
  <c r="D42" i="56"/>
  <c r="D21" i="56"/>
  <c r="H28" i="51"/>
  <c r="G45" i="56"/>
  <c r="F45" i="56"/>
  <c r="C46" i="58"/>
  <c r="C23" i="58"/>
  <c r="C23" i="59" l="1"/>
  <c r="J45" i="56"/>
  <c r="F15" i="56"/>
  <c r="F23" i="58"/>
  <c r="E42" i="56"/>
  <c r="E21" i="56"/>
  <c r="G15" i="56"/>
  <c r="F23" i="59"/>
  <c r="I28" i="51"/>
  <c r="F42" i="56" l="1"/>
  <c r="F21" i="56"/>
  <c r="J15" i="56"/>
  <c r="G42" i="56"/>
  <c r="G21" i="56"/>
  <c r="J28" i="51"/>
  <c r="K27" i="51"/>
  <c r="K28" i="51" s="1"/>
  <c r="J42" i="56" l="1"/>
  <c r="J21" i="56"/>
  <c r="C36" i="61"/>
  <c r="C40" i="61" l="1"/>
  <c r="C48" i="61" s="1"/>
  <c r="C36" i="43"/>
  <c r="C40" i="43" s="1"/>
  <c r="C48" i="43" s="1"/>
  <c r="C36" i="59"/>
  <c r="C11" i="59" s="1"/>
  <c r="C14" i="59" s="1"/>
  <c r="F14" i="59" s="1"/>
  <c r="C36" i="58"/>
  <c r="C11" i="58" s="1"/>
  <c r="C36" i="57"/>
  <c r="C40" i="57" s="1"/>
  <c r="C48" i="57" s="1"/>
  <c r="C11" i="43"/>
  <c r="F11" i="43" s="1"/>
  <c r="D9" i="56" s="1"/>
  <c r="D49" i="56" s="1"/>
  <c r="C11" i="61"/>
  <c r="C14" i="61" s="1"/>
  <c r="C11" i="57"/>
  <c r="C40" i="58"/>
  <c r="C48" i="58" s="1"/>
  <c r="C15" i="59" l="1"/>
  <c r="C16" i="59" s="1"/>
  <c r="C40" i="59"/>
  <c r="C48" i="59" s="1"/>
  <c r="F11" i="59"/>
  <c r="G9" i="56" s="1"/>
  <c r="G12" i="56" s="1"/>
  <c r="D12" i="56"/>
  <c r="D35" i="56"/>
  <c r="C14" i="43"/>
  <c r="F11" i="61"/>
  <c r="C9" i="56" s="1"/>
  <c r="C49" i="56" s="1"/>
  <c r="F11" i="58"/>
  <c r="F9" i="56" s="1"/>
  <c r="C14" i="58"/>
  <c r="F14" i="61"/>
  <c r="C15" i="61"/>
  <c r="C14" i="57"/>
  <c r="F11" i="57"/>
  <c r="E9" i="56" s="1"/>
  <c r="C24" i="59" l="1"/>
  <c r="C25" i="59" s="1"/>
  <c r="F15" i="59"/>
  <c r="F16" i="59" s="1"/>
  <c r="G49" i="56"/>
  <c r="G35" i="56"/>
  <c r="C15" i="43"/>
  <c r="F14" i="43"/>
  <c r="C12" i="56"/>
  <c r="C35" i="56"/>
  <c r="J9" i="56"/>
  <c r="J35" i="56" s="1"/>
  <c r="F14" i="57"/>
  <c r="C15" i="57"/>
  <c r="F14" i="58"/>
  <c r="C15" i="58"/>
  <c r="C16" i="61"/>
  <c r="F15" i="61"/>
  <c r="C24" i="61"/>
  <c r="C25" i="61" s="1"/>
  <c r="F35" i="56"/>
  <c r="F49" i="56"/>
  <c r="F12" i="56"/>
  <c r="G13" i="56"/>
  <c r="E35" i="56"/>
  <c r="E49" i="56"/>
  <c r="E12" i="56"/>
  <c r="C26" i="59" l="1"/>
  <c r="F26" i="59" s="1"/>
  <c r="F24" i="59"/>
  <c r="F25" i="59" s="1"/>
  <c r="C16" i="43"/>
  <c r="C24" i="43"/>
  <c r="F15" i="43"/>
  <c r="J49" i="56"/>
  <c r="J12" i="56"/>
  <c r="G23" i="56"/>
  <c r="F15" i="57"/>
  <c r="C24" i="57"/>
  <c r="C25" i="57" s="1"/>
  <c r="C16" i="57"/>
  <c r="F16" i="61"/>
  <c r="C13" i="56"/>
  <c r="F24" i="61"/>
  <c r="F25" i="61" s="1"/>
  <c r="G14" i="56"/>
  <c r="G39" i="56"/>
  <c r="G40" i="56" s="1"/>
  <c r="C26" i="61"/>
  <c r="F15" i="58"/>
  <c r="C24" i="58"/>
  <c r="C25" i="58" s="1"/>
  <c r="C16" i="58"/>
  <c r="C27" i="59" l="1"/>
  <c r="G22" i="56"/>
  <c r="G54" i="56" s="1"/>
  <c r="F24" i="43"/>
  <c r="F16" i="43"/>
  <c r="D13" i="56"/>
  <c r="C25" i="43"/>
  <c r="C26" i="43" s="1"/>
  <c r="C22" i="56"/>
  <c r="C23" i="56"/>
  <c r="C26" i="57"/>
  <c r="F27" i="59"/>
  <c r="G24" i="56"/>
  <c r="F24" i="58"/>
  <c r="F25" i="58" s="1"/>
  <c r="F13" i="56"/>
  <c r="F16" i="58"/>
  <c r="C27" i="61"/>
  <c r="F26" i="61"/>
  <c r="C26" i="58"/>
  <c r="C14" i="56"/>
  <c r="C39" i="56"/>
  <c r="C40" i="56" s="1"/>
  <c r="F16" i="57"/>
  <c r="F24" i="57"/>
  <c r="F25" i="57" s="1"/>
  <c r="E13" i="56"/>
  <c r="C27" i="43" l="1"/>
  <c r="F26" i="43"/>
  <c r="F25" i="43"/>
  <c r="D23" i="56" s="1"/>
  <c r="D22" i="56"/>
  <c r="D54" i="56" s="1"/>
  <c r="D39" i="56"/>
  <c r="D40" i="56" s="1"/>
  <c r="D14" i="56"/>
  <c r="E14" i="56"/>
  <c r="E39" i="56"/>
  <c r="E40" i="56" s="1"/>
  <c r="J13" i="56"/>
  <c r="C27" i="58"/>
  <c r="F26" i="58"/>
  <c r="F14" i="56"/>
  <c r="F39" i="56"/>
  <c r="F40" i="56" s="1"/>
  <c r="C27" i="57"/>
  <c r="F26" i="57"/>
  <c r="C54" i="56"/>
  <c r="E23" i="56"/>
  <c r="E22" i="56"/>
  <c r="E54" i="56" s="1"/>
  <c r="C24" i="56"/>
  <c r="F27" i="61"/>
  <c r="F23" i="56"/>
  <c r="F22" i="56"/>
  <c r="F54" i="56" s="1"/>
  <c r="G53" i="56"/>
  <c r="G25" i="56"/>
  <c r="G60" i="56"/>
  <c r="G59" i="56" s="1"/>
  <c r="F27" i="43" l="1"/>
  <c r="D24" i="56"/>
  <c r="J14" i="56"/>
  <c r="J39" i="56"/>
  <c r="J40" i="56" s="1"/>
  <c r="C25" i="56"/>
  <c r="C60" i="56"/>
  <c r="C59" i="56" s="1"/>
  <c r="C53" i="56"/>
  <c r="F27" i="58"/>
  <c r="F24" i="56"/>
  <c r="E24" i="56"/>
  <c r="F27" i="57"/>
  <c r="J22" i="56"/>
  <c r="D25" i="56" l="1"/>
  <c r="D60" i="56"/>
  <c r="D59" i="56" s="1"/>
  <c r="D53" i="56"/>
  <c r="J54" i="56"/>
  <c r="J23" i="56"/>
  <c r="J24" i="56" s="1"/>
  <c r="E25" i="56"/>
  <c r="E53" i="56"/>
  <c r="E60" i="56"/>
  <c r="E59" i="56" s="1"/>
  <c r="F53" i="56"/>
  <c r="F25" i="56"/>
  <c r="F60" i="56"/>
  <c r="F59" i="56" s="1"/>
  <c r="J53" i="56" l="1"/>
  <c r="J25" i="56"/>
  <c r="J60" i="56"/>
  <c r="J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<sst xmlns="http://schemas.openxmlformats.org/spreadsheetml/2006/main" count="1236" uniqueCount="307">
  <si>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</si>
  <si>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</si>
  <si>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</si>
  <si>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</si>
  <si>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</si>
  <si>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</si>
  <si>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</si>
  <si>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</si>
  <si>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</si>
  <si>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</si>
  <si>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</si>
  <si>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</si>
  <si>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</si>
  <si>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</si>
  <si>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</si>
  <si>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</si>
  <si>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</si>
  <si>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</si>
  <si>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</si>
  <si>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</si>
  <si>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</si>
  <si>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</si>
  <si>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</si>
  <si>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</si>
  <si>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</si>
  <si>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</si>
  <si>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</si>
  <si>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</si>
  <si>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</si>
  <si>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</si>
  <si>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</si>
  <si>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</si>
  <si>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</si>
  <si>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</si>
  <si>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</si>
  <si>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</si>
  <si>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</si>
  <si>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</si>
  <si>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</si>
  <si>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</si>
  <si>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</si>
  <si>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</si>
  <si>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</si>
  <si>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</si>
  <si>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</si>
  <si>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</si>
  <si>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</si>
  <si>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</si>
  <si>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</si>
  <si>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</si>
  <si>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</si>
  <si>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</si>
  <si>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</si>
  <si>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</si>
  <si>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</si>
  <si>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</si>
  <si>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</si>
  <si>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</si>
  <si>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</si>
  <si>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</si>
  <si>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</si>
  <si>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</si>
  <si>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</si>
  <si>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</si>
  <si>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</si>
  <si>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</si>
  <si>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</si>
  <si>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</si>
  <si>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</si>
  <si>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</si>
  <si>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</si>
  <si>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</si>
  <si>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</si>
  <si>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</si>
  <si>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</si>
  <si>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</si>
  <si>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</si>
  <si>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</si>
  <si>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</si>
  <si>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</si>
  <si>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</si>
  <si>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</si>
  <si>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</si>
  <si>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</si>
  <si>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</si>
  <si>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</si>
  <si>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</si>
  <si>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</si>
  <si>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</si>
  <si>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</si>
  <si>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</si>
  <si>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</si>
  <si>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</si>
  <si>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</si>
  <si>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</si>
  <si>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</si>
  <si>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</si>
  <si>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</si>
  <si>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</si>
  <si>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</si>
  <si>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</si>
  <si>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</si>
  <si>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</si>
  <si>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</si>
  <si>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</si>
  <si>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</si>
  <si>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</si>
  <si>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</si>
  <si>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</si>
  <si>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</si>
  <si>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</si>
  <si>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</si>
  <si>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</si>
  <si>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</si>
  <si>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</si>
  <si>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</si>
  <si>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</si>
  <si>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</si>
  <si>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</si>
  <si>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</si>
  <si>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</si>
  <si>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</si>
  <si>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</si>
  <si>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</si>
  <si>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</si>
  <si>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</si>
  <si>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</si>
  <si>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</si>
  <si>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</si>
  <si>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</si>
  <si>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</si>
  <si>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</si>
  <si>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</si>
  <si>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</si>
  <si>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</si>
  <si>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</si>
  <si>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</si>
  <si>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</si>
  <si>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</si>
  <si>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</si>
  <si>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</si>
  <si>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</si>
  <si>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</si>
  <si>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</si>
  <si>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</si>
  <si>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</si>
  <si>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</si>
  <si>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</si>
  <si>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</si>
  <si>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</si>
  <si>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</si>
  <si>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</si>
  <si>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</si>
  <si>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</si>
  <si>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</si>
  <si>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</si>
  <si>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</si>
  <si>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</si>
  <si>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</si>
  <si>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</si>
  <si>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</si>
  <si>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</si>
  <si>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</si>
  <si>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</si>
  <si>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</si>
  <si>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</si>
  <si>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</si>
  <si>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</si>
  <si>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</si>
  <si>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</si>
  <si>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</si>
  <si>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</si>
  <si>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</si>
  <si>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</si>
  <si>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</si>
  <si>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</si>
  <si>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</si>
  <si>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</si>
  <si>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</si>
  <si>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</si>
  <si>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</si>
  <si>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</si>
  <si>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</si>
  <si>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</si>
  <si>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</si>
  <si>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</si>
  <si>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</si>
  <si>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</si>
  <si>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</si>
  <si>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</si>
  <si>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</si>
  <si>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</si>
  <si>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</si>
  <si>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</si>
  <si>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</si>
  <si>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>销量（件）</t>
  </si>
  <si>
    <t>原材料成本</t>
  </si>
  <si>
    <t>附加值率</t>
  </si>
  <si>
    <t>预估原材料成本（单位：元，未税）</t>
  </si>
  <si>
    <t>供应商年降：       年5 %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</si>
  <si>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</si>
  <si>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</si>
  <si>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</si>
  <si>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</si>
  <si>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</si>
  <si>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</si>
  <si>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</si>
  <si>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</si>
  <si>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</si>
  <si>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</si>
  <si>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</si>
  <si>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</si>
  <si>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</si>
  <si>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</si>
  <si>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</si>
  <si>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</si>
  <si>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</si>
  <si>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</si>
  <si>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</si>
  <si>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</si>
  <si>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</si>
  <si>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</si>
  <si>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</si>
  <si>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</si>
  <si>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</si>
  <si>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</si>
  <si>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</si>
  <si>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</si>
  <si>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</si>
  <si>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</si>
  <si>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</si>
  <si>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</si>
  <si>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</si>
  <si>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</si>
  <si>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</si>
  <si>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</si>
  <si>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</si>
  <si>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</si>
  <si>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</si>
  <si>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</si>
  <si>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</si>
  <si>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</si>
  <si>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</si>
  <si>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</si>
  <si>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</si>
  <si>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</si>
  <si>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西安工厂平均值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</si>
  <si>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</si>
  <si>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</si>
  <si>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</si>
  <si>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</si>
  <si>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</si>
  <si>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</si>
  <si>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</si>
  <si>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</si>
  <si>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</si>
  <si>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</si>
  <si>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</si>
  <si>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</si>
  <si>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</si>
  <si>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7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</si>
  <si>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7" type="noConversion"/>
  </si>
  <si>
    <t>2031年</t>
  </si>
  <si>
    <t>西安工厂</t>
  </si>
  <si>
    <t>牵引车</t>
  </si>
  <si>
    <t xml:space="preserve">2029年  </t>
    <phoneticPr fontId="47" type="noConversion"/>
  </si>
  <si>
    <t xml:space="preserve">2028年  </t>
    <phoneticPr fontId="47" type="noConversion"/>
  </si>
  <si>
    <t xml:space="preserve">2027年  </t>
    <phoneticPr fontId="47" type="noConversion"/>
  </si>
  <si>
    <t xml:space="preserve">2026年  </t>
    <phoneticPr fontId="47" type="noConversion"/>
  </si>
  <si>
    <t xml:space="preserve">2025年  </t>
    <phoneticPr fontId="47" type="noConversion"/>
  </si>
  <si>
    <r>
      <t>2025</t>
    </r>
    <r>
      <rPr>
        <b/>
        <sz val="10"/>
        <rFont val="宋体"/>
        <family val="3"/>
        <charset val="134"/>
      </rPr>
      <t>年</t>
    </r>
    <phoneticPr fontId="47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</si>
  <si>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</si>
  <si>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</si>
  <si>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</si>
  <si>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</si>
  <si>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</si>
  <si>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</si>
  <si>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>单位：未税、元</t>
    <phoneticPr fontId="47" type="noConversion"/>
  </si>
  <si>
    <t>直接材料</t>
    <phoneticPr fontId="47" type="noConversion"/>
  </si>
  <si>
    <t>2025年</t>
    <phoneticPr fontId="47" type="noConversion"/>
  </si>
  <si>
    <t>单件边际贡献</t>
    <phoneticPr fontId="47" type="noConversion"/>
  </si>
  <si>
    <t>所得税(税率15%）</t>
    <phoneticPr fontId="47" type="noConversion"/>
  </si>
  <si>
    <t>单台材料成本为未税价格。</t>
    <phoneticPr fontId="47" type="noConversion"/>
  </si>
  <si>
    <t>变动费用参考西安工厂2024年实际暂估。</t>
    <phoneticPr fontId="47" type="noConversion"/>
  </si>
  <si>
    <t>西安数据</t>
    <phoneticPr fontId="47" type="noConversion"/>
  </si>
  <si>
    <t>财务费用按西安实际。</t>
    <phoneticPr fontId="47" type="noConversion"/>
  </si>
  <si>
    <t>X5000M3000S增配项目投资收益分析</t>
    <phoneticPr fontId="47" type="noConversion"/>
  </si>
  <si>
    <t>X5000M3000S增配项目</t>
    <phoneticPr fontId="47" type="noConversion"/>
  </si>
  <si>
    <t>ZY2444</t>
    <phoneticPr fontId="47" type="noConversion"/>
  </si>
  <si>
    <t>DZ14251510148</t>
  </si>
  <si>
    <t>DZ15221512009</t>
  </si>
  <si>
    <t>X5000座椅增加通风、更换面料、扶手改为长扶手</t>
  </si>
  <si>
    <t>报警锁扣、增加SBR</t>
  </si>
  <si>
    <t>销售价格
（元，未税）</t>
  </si>
  <si>
    <t>司机座椅</t>
    <phoneticPr fontId="25" type="noConversion"/>
  </si>
  <si>
    <t>副司机座椅</t>
    <phoneticPr fontId="25" type="noConversion"/>
  </si>
  <si>
    <t>陕汽重型汽车有限公司</t>
    <phoneticPr fontId="47" type="noConversion"/>
  </si>
  <si>
    <t>西安、宝鸡</t>
  </si>
  <si>
    <t>周转箱</t>
    <phoneticPr fontId="47" type="noConversion"/>
  </si>
  <si>
    <t>SHT0017767（DZ14251510148）</t>
  </si>
  <si>
    <t>驾驶员座椅总成</t>
  </si>
  <si>
    <t>整体式座椅</t>
  </si>
  <si>
    <t>低配+通风</t>
  </si>
  <si>
    <t>备注：1、X5000座椅（DZ14251510121）增加通风功能、更换为长扶手、更换皮面料        2、M3000S副司机（DZ15221519969）增加SBR功能</t>
    <phoneticPr fontId="47" type="noConversion"/>
  </si>
  <si>
    <t>SHT0012953</t>
  </si>
  <si>
    <t>不涉及实验及固资投入，均是使用现有零部件进行混合搭配。 主要花费为2个新产品扩项费用2600元。</t>
    <phoneticPr fontId="47" type="noConversion"/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</si>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</sst>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38" fillId="0" borderId="0"/>
    <xf numFmtId="0" fontId="39" fillId="0" borderId="2" applyNumberFormat="0" applyFill="0" applyBorder="0" applyAlignment="0" applyProtection="0">
      <alignment vertical="center"/>
    </xf>
    <xf numFmtId="0" fontId="46" fillId="0" borderId="0">
      <alignment vertical="center"/>
    </xf>
    <xf numFmtId="0" fontId="40" fillId="0" borderId="0"/>
    <xf numFmtId="0" fontId="41" fillId="0" borderId="0"/>
    <xf numFmtId="1" fontId="42" fillId="0" borderId="2" applyBorder="0"/>
    <xf numFmtId="43" fontId="43" fillId="0" borderId="0" applyFont="0" applyFill="0" applyBorder="0" applyAlignment="0" applyProtection="0">
      <alignment vertical="center"/>
    </xf>
    <xf numFmtId="0" fontId="40" fillId="0" borderId="0"/>
    <xf numFmtId="0" fontId="40" fillId="0" borderId="0"/>
  </cellStyleXfs>
  <cellXfs count="2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 wrapText="1" readingOrder="1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177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7" fillId="7" borderId="2" xfId="7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8" fillId="0" borderId="2" xfId="7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8" fillId="0" borderId="3" xfId="7" applyNumberFormat="1" applyFont="1" applyFill="1" applyBorder="1" applyAlignment="1">
      <alignment horizontal="center" vertical="center"/>
    </xf>
    <xf numFmtId="179" fontId="18" fillId="0" borderId="3" xfId="7" applyNumberFormat="1" applyFont="1" applyFill="1" applyBorder="1" applyAlignment="1">
      <alignment horizontal="left" vertical="center" wrapText="1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43" fontId="18" fillId="3" borderId="2" xfId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2" fillId="0" borderId="0" xfId="1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 readingOrder="1"/>
    </xf>
    <xf numFmtId="43" fontId="22" fillId="0" borderId="2" xfId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2" fillId="0" borderId="2" xfId="2" applyNumberFormat="1" applyFont="1" applyFill="1" applyBorder="1" applyAlignment="1">
      <alignment horizontal="center" vertical="center"/>
    </xf>
    <xf numFmtId="10" fontId="22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0" fillId="0" borderId="0" xfId="0" applyFont="1" applyFill="1">
      <alignment vertical="center"/>
    </xf>
    <xf numFmtId="43" fontId="22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80" fontId="22" fillId="0" borderId="0" xfId="0" applyNumberFormat="1" applyFont="1" applyFill="1">
      <alignment vertical="center"/>
    </xf>
    <xf numFmtId="10" fontId="22" fillId="0" borderId="2" xfId="2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2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2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3" fillId="4" borderId="2" xfId="0" applyFont="1" applyFill="1" applyBorder="1" applyAlignment="1">
      <alignment horizontal="center" vertical="center" wrapText="1" readingOrder="1"/>
    </xf>
    <xf numFmtId="0" fontId="24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43" fontId="22" fillId="0" borderId="0" xfId="1" applyFont="1">
      <alignment vertical="center"/>
    </xf>
    <xf numFmtId="43" fontId="31" fillId="0" borderId="2" xfId="1" applyFont="1" applyFill="1" applyBorder="1" applyAlignment="1">
      <alignment horizontal="center" vertical="center" wrapText="1"/>
    </xf>
    <xf numFmtId="177" fontId="22" fillId="0" borderId="2" xfId="1" applyNumberFormat="1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24" fillId="9" borderId="2" xfId="1" applyNumberFormat="1" applyFont="1" applyFill="1" applyBorder="1" applyAlignment="1">
      <alignment horizontal="center" vertical="center"/>
    </xf>
    <xf numFmtId="0" fontId="32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10" fontId="24" fillId="0" borderId="2" xfId="2" applyNumberFormat="1" applyFont="1" applyBorder="1" applyAlignment="1">
      <alignment vertical="center"/>
    </xf>
    <xf numFmtId="177" fontId="24" fillId="0" borderId="2" xfId="1" applyNumberFormat="1" applyFont="1" applyBorder="1" applyAlignment="1">
      <alignment horizontal="center" vertical="center"/>
    </xf>
    <xf numFmtId="177" fontId="22" fillId="0" borderId="2" xfId="1" applyNumberFormat="1" applyFont="1" applyFill="1" applyBorder="1">
      <alignment vertical="center"/>
    </xf>
    <xf numFmtId="0" fontId="32" fillId="9" borderId="2" xfId="0" applyFont="1" applyFill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10" fontId="22" fillId="0" borderId="2" xfId="2" applyNumberFormat="1" applyFont="1" applyBorder="1">
      <alignment vertical="center"/>
    </xf>
    <xf numFmtId="10" fontId="22" fillId="0" borderId="0" xfId="2" applyNumberFormat="1" applyFont="1" applyBorder="1">
      <alignment vertical="center"/>
    </xf>
    <xf numFmtId="43" fontId="22" fillId="0" borderId="0" xfId="1" applyFont="1" applyBorder="1">
      <alignment vertical="center"/>
    </xf>
    <xf numFmtId="0" fontId="28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3" fontId="22" fillId="0" borderId="2" xfId="1" applyFont="1" applyBorder="1">
      <alignment vertical="center"/>
    </xf>
    <xf numFmtId="177" fontId="22" fillId="0" borderId="2" xfId="1" applyNumberFormat="1" applyFont="1" applyBorder="1">
      <alignment vertical="center"/>
    </xf>
    <xf numFmtId="43" fontId="26" fillId="0" borderId="2" xfId="1" applyFont="1" applyFill="1" applyBorder="1" applyAlignment="1">
      <alignment horizontal="center" vertical="center" wrapText="1"/>
    </xf>
    <xf numFmtId="0" fontId="24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2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33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9" borderId="2" xfId="3" applyFont="1" applyFill="1" applyBorder="1" applyProtection="1"/>
    <xf numFmtId="177" fontId="18" fillId="9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8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9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center" wrapText="1" readingOrder="1"/>
    </xf>
    <xf numFmtId="0" fontId="34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left" vertical="center" wrapText="1" readingOrder="1"/>
    </xf>
    <xf numFmtId="0" fontId="36" fillId="0" borderId="2" xfId="0" applyFont="1" applyFill="1" applyBorder="1" applyAlignment="1">
      <alignment horizontal="left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0" fontId="36" fillId="0" borderId="0" xfId="0" applyFont="1" applyFill="1" applyBorder="1" applyAlignment="1">
      <alignment horizontal="left" vertical="center" wrapText="1" readingOrder="1"/>
    </xf>
    <xf numFmtId="0" fontId="37" fillId="0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43" fontId="3" fillId="0" borderId="2" xfId="0" applyNumberFormat="1" applyFont="1" applyFill="1" applyBorder="1">
      <alignment vertical="center"/>
    </xf>
    <xf numFmtId="43" fontId="3" fillId="0" borderId="2" xfId="1" applyFont="1" applyFill="1" applyBorder="1">
      <alignment vertical="center"/>
    </xf>
    <xf numFmtId="178" fontId="3" fillId="0" borderId="2" xfId="2" applyNumberFormat="1" applyFont="1" applyFill="1" applyBorder="1">
      <alignment vertical="center"/>
    </xf>
    <xf numFmtId="178" fontId="3" fillId="5" borderId="2" xfId="2" applyNumberFormat="1" applyFont="1" applyFill="1" applyBorder="1">
      <alignment vertical="center"/>
    </xf>
    <xf numFmtId="43" fontId="22" fillId="0" borderId="2" xfId="1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 readingOrder="1"/>
    </xf>
    <xf numFmtId="0" fontId="37" fillId="0" borderId="0" xfId="0" applyFont="1" applyFill="1" applyBorder="1" applyAlignment="1">
      <alignment horizontal="center" vertical="center" wrapText="1"/>
    </xf>
    <xf numFmtId="0" fontId="22" fillId="10" borderId="2" xfId="0" applyFont="1" applyFill="1" applyBorder="1">
      <alignment vertical="center"/>
    </xf>
    <xf numFmtId="177" fontId="22" fillId="10" borderId="2" xfId="1" applyNumberFormat="1" applyFont="1" applyFill="1" applyBorder="1" applyAlignment="1">
      <alignment horizontal="center" vertical="center"/>
    </xf>
    <xf numFmtId="177" fontId="24" fillId="1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43" fontId="22" fillId="0" borderId="3" xfId="1" applyFont="1" applyFill="1" applyBorder="1" applyAlignment="1">
      <alignment horizontal="center" vertical="center"/>
    </xf>
    <xf numFmtId="43" fontId="22" fillId="0" borderId="4" xfId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43" fontId="22" fillId="4" borderId="2" xfId="1" applyFont="1" applyFill="1" applyBorder="1" applyAlignment="1">
      <alignment horizontal="center" vertical="center"/>
    </xf>
    <xf numFmtId="0" fontId="16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51" fillId="0" borderId="0" xfId="0" applyFont="1" applyAlignment="1">
      <alignment vertical="center" wrapText="1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3" sqref="C3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7" customFormat="1" ht="35.25" customHeight="1">
      <c r="A2" s="178" t="s">
        <v>0</v>
      </c>
      <c r="B2" s="178" t="s">
        <v>1</v>
      </c>
      <c r="C2" s="178" t="s">
        <v>2</v>
      </c>
      <c r="D2" s="179"/>
    </row>
    <row r="3" spans="1:4" s="177" customFormat="1" ht="33.75" customHeight="1">
      <c r="A3" s="180">
        <v>1</v>
      </c>
      <c r="B3" s="180" t="s">
        <v>3</v>
      </c>
      <c r="C3" s="181" t="s">
        <v>4</v>
      </c>
      <c r="D3" s="179"/>
    </row>
    <row r="4" spans="1:4" s="177" customFormat="1" ht="33.75" customHeight="1">
      <c r="A4" s="180">
        <v>2</v>
      </c>
      <c r="B4" s="180" t="s">
        <v>5</v>
      </c>
      <c r="C4" s="181" t="s">
        <v>6</v>
      </c>
    </row>
    <row r="5" spans="1:4" s="177" customFormat="1" ht="33.75" customHeight="1">
      <c r="A5" s="180">
        <v>3</v>
      </c>
      <c r="B5" s="206" t="s">
        <v>7</v>
      </c>
      <c r="C5" s="182" t="s">
        <v>8</v>
      </c>
    </row>
    <row r="6" spans="1:4" s="177" customFormat="1" ht="33.75" customHeight="1">
      <c r="A6" s="180">
        <v>4</v>
      </c>
      <c r="B6" s="207"/>
      <c r="C6" s="181" t="s">
        <v>282</v>
      </c>
    </row>
    <row r="7" spans="1:4" s="177" customFormat="1" ht="33.75" customHeight="1">
      <c r="A7" s="180">
        <v>5</v>
      </c>
      <c r="B7" s="183" t="s">
        <v>9</v>
      </c>
      <c r="C7" s="181" t="s">
        <v>283</v>
      </c>
    </row>
    <row r="8" spans="1:4" s="177" customFormat="1" ht="33.75" customHeight="1">
      <c r="A8" s="180">
        <v>6</v>
      </c>
      <c r="B8" s="206" t="s">
        <v>10</v>
      </c>
      <c r="C8" s="181" t="s">
        <v>11</v>
      </c>
    </row>
    <row r="9" spans="1:4" s="177" customFormat="1" ht="33.75" customHeight="1">
      <c r="A9" s="180">
        <v>7</v>
      </c>
      <c r="B9" s="207"/>
      <c r="C9" s="181" t="s">
        <v>12</v>
      </c>
    </row>
    <row r="10" spans="1:4" s="177" customFormat="1" ht="33.75" customHeight="1">
      <c r="A10" s="180">
        <v>8</v>
      </c>
      <c r="B10" s="207"/>
      <c r="C10" s="182" t="s">
        <v>285</v>
      </c>
    </row>
    <row r="11" spans="1:4" s="177" customFormat="1" ht="33.75" customHeight="1">
      <c r="A11" s="180">
        <v>9</v>
      </c>
      <c r="B11" s="207"/>
      <c r="C11" s="181" t="s">
        <v>13</v>
      </c>
    </row>
    <row r="12" spans="1:4" s="177" customFormat="1" ht="33.75" customHeight="1">
      <c r="A12" s="180">
        <v>10</v>
      </c>
      <c r="B12" s="183" t="s">
        <v>14</v>
      </c>
      <c r="C12" s="181" t="s">
        <v>15</v>
      </c>
    </row>
    <row r="13" spans="1:4" ht="33.75" customHeight="1"/>
    <row r="14" spans="1:4" ht="33.75" customHeight="1"/>
    <row r="15" spans="1:4" ht="33.75" customHeight="1">
      <c r="C15" s="184"/>
    </row>
  </sheetData>
  <mergeCells count="2">
    <mergeCell ref="B5:B6"/>
    <mergeCell ref="B8:B11"/>
  </mergeCells>
  <phoneticPr fontId="4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F13" sqref="F13"/>
    </sheetView>
  </sheetViews>
  <sheetFormatPr defaultColWidth="9" defaultRowHeight="16.5"/>
  <cols>
    <col min="1" max="1" width="14" style="44" customWidth="1"/>
    <col min="2" max="2" width="14.125" style="44" customWidth="1"/>
    <col min="3" max="5" width="16.5" style="44" customWidth="1"/>
    <col min="6" max="6" width="11.125" style="44" customWidth="1"/>
    <col min="7" max="7" width="13.25" style="44" customWidth="1"/>
    <col min="8" max="8" width="11.625" style="44" customWidth="1"/>
    <col min="9" max="9" width="9.25" style="44" customWidth="1"/>
    <col min="10" max="10" width="9.125" style="45" customWidth="1"/>
    <col min="11" max="11" width="12.875" style="45"/>
    <col min="12" max="16384" width="9" style="44"/>
  </cols>
  <sheetData>
    <row r="1" spans="1:11" ht="29.25" customHeight="1">
      <c r="A1" s="46" t="s">
        <v>189</v>
      </c>
      <c r="E1" s="47"/>
      <c r="F1" s="47"/>
      <c r="G1" s="47"/>
      <c r="H1" s="47"/>
    </row>
    <row r="2" spans="1:11" ht="24" customHeight="1">
      <c r="A2" s="48" t="s">
        <v>190</v>
      </c>
      <c r="E2" s="47"/>
      <c r="F2" s="47"/>
      <c r="G2" s="47"/>
      <c r="H2" s="47"/>
    </row>
    <row r="3" spans="1:11">
      <c r="C3" s="44" t="s">
        <v>191</v>
      </c>
      <c r="D3" s="44" t="s">
        <v>192</v>
      </c>
      <c r="E3" s="49">
        <v>0.05</v>
      </c>
    </row>
    <row r="5" spans="1:11" ht="45" customHeight="1">
      <c r="A5" s="235" t="s">
        <v>193</v>
      </c>
      <c r="B5" s="50" t="s">
        <v>143</v>
      </c>
      <c r="C5" s="198" t="s">
        <v>294</v>
      </c>
      <c r="D5" s="198" t="s">
        <v>295</v>
      </c>
      <c r="E5" s="198"/>
      <c r="F5" s="14"/>
      <c r="G5" s="14"/>
      <c r="H5" s="239" t="s">
        <v>51</v>
      </c>
    </row>
    <row r="6" spans="1:11" ht="31.5" customHeight="1">
      <c r="A6" s="235"/>
      <c r="B6" s="50" t="s">
        <v>144</v>
      </c>
      <c r="C6" s="199" t="s">
        <v>289</v>
      </c>
      <c r="D6" s="199" t="s">
        <v>290</v>
      </c>
      <c r="E6" s="199"/>
      <c r="F6" s="14"/>
      <c r="G6" s="14"/>
      <c r="H6" s="240"/>
      <c r="J6" s="45">
        <v>100</v>
      </c>
    </row>
    <row r="7" spans="1:11" ht="62.25" customHeight="1">
      <c r="A7" s="235"/>
      <c r="B7" s="199" t="s">
        <v>194</v>
      </c>
      <c r="C7" s="199" t="s">
        <v>291</v>
      </c>
      <c r="D7" s="199" t="s">
        <v>292</v>
      </c>
      <c r="E7" s="199"/>
      <c r="F7" s="16"/>
      <c r="G7" s="51"/>
      <c r="H7" s="241"/>
      <c r="I7" s="44">
        <v>2025</v>
      </c>
      <c r="J7" s="45">
        <f>J6*(1-$E$3)</f>
        <v>95</v>
      </c>
      <c r="K7" s="45">
        <f>J7/$J$6</f>
        <v>0.95</v>
      </c>
    </row>
    <row r="8" spans="1:11" ht="33">
      <c r="A8" s="235"/>
      <c r="B8" s="199" t="s">
        <v>293</v>
      </c>
      <c r="C8" s="199">
        <v>1900</v>
      </c>
      <c r="D8" s="199">
        <v>430</v>
      </c>
      <c r="E8" s="199"/>
      <c r="F8" s="52"/>
      <c r="G8" s="52"/>
      <c r="H8" s="53">
        <f>SUM(C8:G8)</f>
        <v>2330</v>
      </c>
      <c r="I8" s="44">
        <v>2026</v>
      </c>
      <c r="J8" s="45">
        <f>J7*(1-$E$3)</f>
        <v>90.25</v>
      </c>
      <c r="K8" s="45">
        <f>J8/$J$6</f>
        <v>0.90249999999999997</v>
      </c>
    </row>
    <row r="9" spans="1:11" ht="17.25">
      <c r="A9" s="236" t="s">
        <v>195</v>
      </c>
      <c r="B9" s="55" t="s">
        <v>48</v>
      </c>
      <c r="C9" s="200">
        <v>100</v>
      </c>
      <c r="D9" s="200">
        <v>100</v>
      </c>
      <c r="E9" s="200"/>
      <c r="F9" s="54"/>
      <c r="G9" s="54"/>
      <c r="H9" s="53">
        <f>SUM(C9:G9)</f>
        <v>200</v>
      </c>
      <c r="I9" s="44">
        <v>2027</v>
      </c>
      <c r="J9" s="45">
        <f>J8*(1-E3)</f>
        <v>85.737499999999997</v>
      </c>
      <c r="K9" s="45">
        <f>J9/$J$6</f>
        <v>0.857375</v>
      </c>
    </row>
    <row r="10" spans="1:11" ht="17.25">
      <c r="A10" s="237"/>
      <c r="B10" s="55" t="s">
        <v>49</v>
      </c>
      <c r="C10" s="200">
        <v>500</v>
      </c>
      <c r="D10" s="200">
        <v>500</v>
      </c>
      <c r="E10" s="200"/>
      <c r="F10" s="54"/>
      <c r="G10" s="54"/>
      <c r="H10" s="53">
        <f t="shared" ref="H10:H15" si="0">SUM(C10:G10)</f>
        <v>1000</v>
      </c>
      <c r="I10" s="44">
        <v>2028</v>
      </c>
      <c r="J10" s="45">
        <f>J9*(1-$E$3)</f>
        <v>81.450625000000002</v>
      </c>
      <c r="K10" s="45">
        <f>J10/$J$6</f>
        <v>0.81450624999999999</v>
      </c>
    </row>
    <row r="11" spans="1:11" ht="17.25">
      <c r="A11" s="237"/>
      <c r="B11" s="55" t="s">
        <v>50</v>
      </c>
      <c r="C11" s="200">
        <v>1000</v>
      </c>
      <c r="D11" s="200">
        <v>1000</v>
      </c>
      <c r="E11" s="200"/>
      <c r="F11" s="54"/>
      <c r="G11" s="54"/>
      <c r="H11" s="53">
        <f t="shared" si="0"/>
        <v>2000</v>
      </c>
      <c r="I11" s="44">
        <v>2029</v>
      </c>
      <c r="J11" s="45">
        <f>J10*(1-$E$3)</f>
        <v>77.378093750000005</v>
      </c>
      <c r="K11" s="45">
        <f t="shared" ref="K11:K12" si="1">J11/$J$6</f>
        <v>0.77378093749999999</v>
      </c>
    </row>
    <row r="12" spans="1:11" ht="17.25">
      <c r="A12" s="237"/>
      <c r="B12" s="55" t="s">
        <v>184</v>
      </c>
      <c r="C12" s="200">
        <v>1000</v>
      </c>
      <c r="D12" s="200">
        <v>1000</v>
      </c>
      <c r="E12" s="200"/>
      <c r="F12" s="54"/>
      <c r="G12" s="54"/>
      <c r="H12" s="53">
        <f t="shared" si="0"/>
        <v>2000</v>
      </c>
      <c r="I12" s="44">
        <v>2030</v>
      </c>
      <c r="J12" s="45">
        <f>J11*(1-E3)</f>
        <v>73.509189062499999</v>
      </c>
      <c r="K12" s="45">
        <f t="shared" si="1"/>
        <v>0.73509189062500002</v>
      </c>
    </row>
    <row r="13" spans="1:11" ht="17.25">
      <c r="A13" s="237"/>
      <c r="B13" s="55" t="s">
        <v>185</v>
      </c>
      <c r="C13" s="200">
        <v>1000</v>
      </c>
      <c r="D13" s="200">
        <v>1000</v>
      </c>
      <c r="E13" s="200"/>
      <c r="F13" s="54"/>
      <c r="G13" s="54"/>
      <c r="H13" s="53">
        <f t="shared" si="0"/>
        <v>2000</v>
      </c>
    </row>
    <row r="14" spans="1:11" ht="17.25">
      <c r="A14" s="237"/>
      <c r="B14" s="55" t="s">
        <v>186</v>
      </c>
      <c r="C14" s="54"/>
      <c r="D14" s="54"/>
      <c r="E14" s="54"/>
      <c r="F14" s="54"/>
      <c r="G14" s="54"/>
      <c r="H14" s="53">
        <f t="shared" si="0"/>
        <v>0</v>
      </c>
    </row>
    <row r="15" spans="1:11" ht="17.25">
      <c r="A15" s="238"/>
      <c r="B15" s="55" t="s">
        <v>262</v>
      </c>
      <c r="C15" s="54"/>
      <c r="D15" s="54"/>
      <c r="E15" s="54"/>
      <c r="F15" s="54"/>
      <c r="G15" s="54"/>
      <c r="H15" s="53">
        <f t="shared" si="0"/>
        <v>0</v>
      </c>
    </row>
    <row r="16" spans="1:11" ht="17.25">
      <c r="A16" s="234" t="s">
        <v>51</v>
      </c>
      <c r="B16" s="234"/>
      <c r="C16" s="56">
        <f t="shared" ref="C16:H16" si="2">SUM(C9:C15)</f>
        <v>3600</v>
      </c>
      <c r="D16" s="56">
        <f t="shared" si="2"/>
        <v>3600</v>
      </c>
      <c r="E16" s="56">
        <f t="shared" si="2"/>
        <v>0</v>
      </c>
      <c r="F16" s="56">
        <f t="shared" si="2"/>
        <v>0</v>
      </c>
      <c r="G16" s="56">
        <f t="shared" si="2"/>
        <v>0</v>
      </c>
      <c r="H16" s="56">
        <f t="shared" si="2"/>
        <v>7200</v>
      </c>
    </row>
    <row r="17" spans="1:8" ht="18">
      <c r="A17" s="57"/>
      <c r="B17" s="57"/>
      <c r="C17" s="58"/>
    </row>
    <row r="18" spans="1:8">
      <c r="B18" s="192" t="s">
        <v>196</v>
      </c>
      <c r="C18" s="193">
        <f>材料成本!D24</f>
        <v>1544.5732238288449</v>
      </c>
      <c r="D18" s="193">
        <f>材料成本!E24</f>
        <v>339.51278400000001</v>
      </c>
      <c r="E18" s="193">
        <f>材料成本!F24</f>
        <v>0</v>
      </c>
      <c r="F18" s="193">
        <f>材料成本!G24</f>
        <v>0</v>
      </c>
      <c r="G18" s="193">
        <f>材料成本!H24</f>
        <v>0</v>
      </c>
      <c r="H18" s="194">
        <f>SUM(C18:G18)</f>
        <v>1884.0860078288449</v>
      </c>
    </row>
    <row r="19" spans="1:8">
      <c r="B19" s="192" t="s">
        <v>98</v>
      </c>
      <c r="C19" s="193">
        <f>C8-C18</f>
        <v>355.4267761711551</v>
      </c>
      <c r="D19" s="193">
        <f>D8-D18</f>
        <v>90.487215999999989</v>
      </c>
      <c r="E19" s="193">
        <f>E8-E18</f>
        <v>0</v>
      </c>
      <c r="F19" s="193">
        <f>F8-F18</f>
        <v>0</v>
      </c>
      <c r="G19" s="193">
        <f>G8-G18</f>
        <v>0</v>
      </c>
      <c r="H19" s="194">
        <f>SUM(C19:G19)</f>
        <v>445.91399217115509</v>
      </c>
    </row>
    <row r="20" spans="1:8">
      <c r="B20" s="192" t="s">
        <v>197</v>
      </c>
      <c r="C20" s="195">
        <f t="shared" ref="C20:H20" si="3">C19/C8</f>
        <v>0.18706672430060794</v>
      </c>
      <c r="D20" s="195">
        <f t="shared" si="3"/>
        <v>0.2104353860465116</v>
      </c>
      <c r="E20" s="195" t="e">
        <f t="shared" si="3"/>
        <v>#DIV/0!</v>
      </c>
      <c r="F20" s="195" t="e">
        <f t="shared" si="3"/>
        <v>#DIV/0!</v>
      </c>
      <c r="G20" s="196" t="e">
        <f t="shared" si="3"/>
        <v>#DIV/0!</v>
      </c>
      <c r="H20" s="195">
        <f t="shared" si="3"/>
        <v>0.19137939578161162</v>
      </c>
    </row>
  </sheetData>
  <mergeCells count="4">
    <mergeCell ref="A16:B16"/>
    <mergeCell ref="A5:A8"/>
    <mergeCell ref="A9:A15"/>
    <mergeCell ref="H5:H7"/>
  </mergeCells>
  <phoneticPr fontId="4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6" activePane="bottomRight" state="frozen"/>
      <selection pane="topRight"/>
      <selection pane="bottomLeft"/>
      <selection pane="bottomRight" activeCell="G17" sqref="G17"/>
    </sheetView>
  </sheetViews>
  <sheetFormatPr defaultColWidth="9" defaultRowHeight="16.5"/>
  <cols>
    <col min="1" max="2" width="4.375" style="25" customWidth="1"/>
    <col min="3" max="3" width="8.125" style="25" customWidth="1"/>
    <col min="4" max="5" width="14.375" style="26" customWidth="1"/>
    <col min="6" max="6" width="13.5" style="26" customWidth="1"/>
    <col min="7" max="8" width="12" style="26" customWidth="1"/>
    <col min="9" max="9" width="23" style="26" customWidth="1"/>
    <col min="10" max="10" width="12.25" style="25" customWidth="1"/>
    <col min="11" max="11" width="13.25" style="25" customWidth="1"/>
    <col min="12" max="12" width="16" style="25" customWidth="1"/>
    <col min="13" max="16384" width="9" style="25"/>
  </cols>
  <sheetData>
    <row r="1" spans="1:12" s="24" customFormat="1" ht="28.5" customHeight="1">
      <c r="A1" s="242" t="s">
        <v>7</v>
      </c>
      <c r="B1" s="242"/>
      <c r="C1" s="27"/>
      <c r="D1" s="28"/>
      <c r="E1" s="29"/>
      <c r="F1" s="29"/>
      <c r="G1" s="29"/>
      <c r="H1" s="29"/>
      <c r="I1" s="29"/>
      <c r="L1" s="41"/>
    </row>
    <row r="2" spans="1:12">
      <c r="A2" s="243" t="s">
        <v>198</v>
      </c>
      <c r="B2" s="243"/>
      <c r="C2" s="244"/>
      <c r="D2" s="245"/>
      <c r="E2" s="246" t="s">
        <v>199</v>
      </c>
      <c r="F2" s="247"/>
      <c r="G2" s="247"/>
      <c r="H2" s="247"/>
      <c r="I2" s="248"/>
    </row>
    <row r="3" spans="1:12" ht="66">
      <c r="A3" s="260" t="s">
        <v>18</v>
      </c>
      <c r="B3" s="260" t="s">
        <v>200</v>
      </c>
      <c r="C3" s="31" t="s">
        <v>201</v>
      </c>
      <c r="D3" s="249" t="s">
        <v>287</v>
      </c>
      <c r="E3" s="249"/>
      <c r="F3" s="30" t="s">
        <v>202</v>
      </c>
      <c r="G3" s="250" t="s">
        <v>288</v>
      </c>
      <c r="H3" s="251"/>
      <c r="I3" s="252" t="s">
        <v>303</v>
      </c>
      <c r="J3" s="205" t="s">
        <v>299</v>
      </c>
      <c r="K3" s="25" t="s">
        <v>304</v>
      </c>
    </row>
    <row r="4" spans="1:12" ht="30">
      <c r="A4" s="260"/>
      <c r="B4" s="260"/>
      <c r="C4" s="31" t="s">
        <v>143</v>
      </c>
      <c r="D4" s="32" t="str">
        <f>销量!C5</f>
        <v>司机座椅</v>
      </c>
      <c r="E4" s="32" t="str">
        <f>销量!D5</f>
        <v>副司机座椅</v>
      </c>
      <c r="F4" s="32">
        <f>销量!E5</f>
        <v>0</v>
      </c>
      <c r="G4" s="32"/>
      <c r="H4" s="33"/>
      <c r="I4" s="253"/>
      <c r="J4" s="25" t="s">
        <v>300</v>
      </c>
    </row>
    <row r="5" spans="1:12" ht="30">
      <c r="A5" s="260"/>
      <c r="B5" s="260"/>
      <c r="C5" s="31" t="s">
        <v>144</v>
      </c>
      <c r="D5" s="32" t="str">
        <f>销量!C6</f>
        <v>DZ14251510148</v>
      </c>
      <c r="E5" s="32" t="str">
        <f>销量!D6</f>
        <v>DZ15221512009</v>
      </c>
      <c r="F5" s="32">
        <f>销量!E6</f>
        <v>0</v>
      </c>
      <c r="G5" s="32"/>
      <c r="H5" s="32"/>
      <c r="I5" s="254"/>
      <c r="J5" s="25" t="s">
        <v>301</v>
      </c>
    </row>
    <row r="6" spans="1:12">
      <c r="A6" s="34">
        <v>1</v>
      </c>
      <c r="B6" s="255" t="s">
        <v>203</v>
      </c>
      <c r="C6" s="256"/>
      <c r="D6" s="35"/>
      <c r="E6" s="33"/>
      <c r="F6" s="33"/>
      <c r="G6" s="33"/>
      <c r="H6" s="33"/>
      <c r="I6" s="42"/>
      <c r="J6" s="25" t="s">
        <v>302</v>
      </c>
    </row>
    <row r="7" spans="1:12">
      <c r="A7" s="34">
        <v>2</v>
      </c>
      <c r="B7" s="255" t="s">
        <v>204</v>
      </c>
      <c r="C7" s="256"/>
      <c r="D7" s="35"/>
      <c r="E7" s="33"/>
      <c r="F7" s="33"/>
      <c r="G7" s="33"/>
      <c r="H7" s="33"/>
      <c r="I7" s="42"/>
    </row>
    <row r="8" spans="1:12">
      <c r="A8" s="34">
        <v>3</v>
      </c>
      <c r="B8" s="255" t="s">
        <v>205</v>
      </c>
      <c r="C8" s="256"/>
      <c r="D8" s="35"/>
      <c r="E8" s="35"/>
      <c r="F8" s="35"/>
      <c r="G8" s="35"/>
      <c r="H8" s="35"/>
      <c r="I8" s="42"/>
    </row>
    <row r="9" spans="1:12">
      <c r="A9" s="34">
        <v>4</v>
      </c>
      <c r="B9" s="255" t="s">
        <v>206</v>
      </c>
      <c r="C9" s="256"/>
      <c r="D9" s="35"/>
      <c r="E9" s="33"/>
      <c r="F9" s="33"/>
      <c r="G9" s="33"/>
      <c r="H9" s="33"/>
      <c r="I9" s="42"/>
    </row>
    <row r="10" spans="1:12">
      <c r="A10" s="34">
        <v>5</v>
      </c>
      <c r="B10" s="255" t="s">
        <v>207</v>
      </c>
      <c r="C10" s="256"/>
      <c r="D10" s="35"/>
      <c r="E10" s="33"/>
      <c r="F10" s="33"/>
      <c r="G10" s="33"/>
      <c r="H10" s="33"/>
      <c r="I10" s="42"/>
    </row>
    <row r="11" spans="1:12">
      <c r="A11" s="34">
        <v>6</v>
      </c>
      <c r="B11" s="255" t="s">
        <v>208</v>
      </c>
      <c r="C11" s="256"/>
      <c r="D11" s="35"/>
      <c r="E11" s="33"/>
      <c r="F11" s="33"/>
      <c r="G11" s="33"/>
      <c r="H11" s="33"/>
      <c r="I11" s="42"/>
    </row>
    <row r="12" spans="1:12">
      <c r="A12" s="34">
        <v>7</v>
      </c>
      <c r="B12" s="255" t="s">
        <v>209</v>
      </c>
      <c r="C12" s="256"/>
      <c r="D12" s="35"/>
      <c r="E12" s="33"/>
      <c r="F12" s="33"/>
      <c r="G12" s="33"/>
      <c r="H12" s="33"/>
      <c r="I12" s="42"/>
    </row>
    <row r="13" spans="1:12">
      <c r="A13" s="34">
        <v>8</v>
      </c>
      <c r="B13" s="255" t="s">
        <v>210</v>
      </c>
      <c r="C13" s="256"/>
      <c r="D13" s="35"/>
      <c r="E13" s="33"/>
      <c r="F13" s="33"/>
      <c r="G13" s="33"/>
      <c r="H13" s="33"/>
      <c r="I13" s="42"/>
    </row>
    <row r="14" spans="1:12">
      <c r="A14" s="34">
        <v>9</v>
      </c>
      <c r="B14" s="255" t="s">
        <v>211</v>
      </c>
      <c r="C14" s="256"/>
      <c r="D14" s="35"/>
      <c r="E14" s="33"/>
      <c r="F14" s="33"/>
      <c r="G14" s="33"/>
      <c r="H14" s="33"/>
      <c r="I14" s="42"/>
    </row>
    <row r="15" spans="1:12">
      <c r="A15" s="34">
        <v>10</v>
      </c>
      <c r="B15" s="255" t="s">
        <v>212</v>
      </c>
      <c r="C15" s="256"/>
      <c r="D15" s="35"/>
      <c r="E15" s="33"/>
      <c r="F15" s="33"/>
      <c r="G15" s="33"/>
      <c r="H15" s="33"/>
      <c r="I15" s="42"/>
    </row>
    <row r="16" spans="1:12">
      <c r="A16" s="34">
        <v>11</v>
      </c>
      <c r="B16" s="255" t="s">
        <v>213</v>
      </c>
      <c r="C16" s="256"/>
      <c r="D16" s="35"/>
      <c r="E16" s="33"/>
      <c r="F16" s="33"/>
      <c r="G16" s="33"/>
      <c r="H16" s="33"/>
      <c r="I16" s="42"/>
    </row>
    <row r="17" spans="1:9">
      <c r="A17" s="34">
        <v>12</v>
      </c>
      <c r="B17" s="255" t="s">
        <v>214</v>
      </c>
      <c r="C17" s="256"/>
      <c r="D17" s="35"/>
      <c r="E17" s="33"/>
      <c r="F17" s="33"/>
      <c r="G17" s="33"/>
      <c r="H17" s="33"/>
      <c r="I17" s="42"/>
    </row>
    <row r="18" spans="1:9">
      <c r="A18" s="34">
        <v>13</v>
      </c>
      <c r="B18" s="255" t="s">
        <v>215</v>
      </c>
      <c r="C18" s="256"/>
      <c r="D18" s="35"/>
      <c r="E18" s="33"/>
      <c r="F18" s="33"/>
      <c r="G18" s="33"/>
      <c r="H18" s="33"/>
      <c r="I18" s="42"/>
    </row>
    <row r="19" spans="1:9">
      <c r="A19" s="34">
        <v>14</v>
      </c>
      <c r="B19" s="255" t="s">
        <v>216</v>
      </c>
      <c r="C19" s="256"/>
      <c r="D19" s="35"/>
      <c r="E19" s="33"/>
      <c r="F19" s="33"/>
      <c r="G19" s="33"/>
      <c r="H19" s="33"/>
      <c r="I19" s="42"/>
    </row>
    <row r="20" spans="1:9">
      <c r="A20" s="34">
        <v>15</v>
      </c>
      <c r="B20" s="255" t="s">
        <v>217</v>
      </c>
      <c r="C20" s="256"/>
      <c r="D20" s="35"/>
      <c r="E20" s="33"/>
      <c r="F20" s="33"/>
      <c r="G20" s="33"/>
      <c r="H20" s="33"/>
      <c r="I20" s="42"/>
    </row>
    <row r="21" spans="1:9">
      <c r="A21" s="34">
        <v>16</v>
      </c>
      <c r="B21" s="255" t="s">
        <v>218</v>
      </c>
      <c r="C21" s="256"/>
      <c r="D21" s="35"/>
      <c r="E21" s="33"/>
      <c r="F21" s="33"/>
      <c r="G21" s="33"/>
      <c r="H21" s="33"/>
      <c r="I21" s="42"/>
    </row>
    <row r="22" spans="1:9">
      <c r="A22" s="34">
        <v>17</v>
      </c>
      <c r="B22" s="255" t="s">
        <v>36</v>
      </c>
      <c r="C22" s="256"/>
      <c r="D22" s="35"/>
      <c r="E22" s="33"/>
      <c r="F22" s="33"/>
      <c r="G22" s="33"/>
      <c r="H22" s="33"/>
      <c r="I22" s="42"/>
    </row>
    <row r="23" spans="1:9">
      <c r="A23" s="34">
        <v>18</v>
      </c>
      <c r="B23" s="255" t="s">
        <v>219</v>
      </c>
      <c r="C23" s="256"/>
      <c r="D23" s="36">
        <v>1544.5732238288449</v>
      </c>
      <c r="E23" s="36">
        <v>339.51278400000001</v>
      </c>
      <c r="F23" s="36"/>
      <c r="G23" s="37"/>
      <c r="H23" s="38"/>
      <c r="I23" s="43"/>
    </row>
    <row r="24" spans="1:9" ht="31.5" customHeight="1">
      <c r="A24" s="257" t="s">
        <v>220</v>
      </c>
      <c r="B24" s="258"/>
      <c r="C24" s="259"/>
      <c r="D24" s="39">
        <f>SUM(D6:D23)</f>
        <v>1544.5732238288449</v>
      </c>
      <c r="E24" s="39">
        <f>SUM(E6:E23)</f>
        <v>339.51278400000001</v>
      </c>
      <c r="F24" s="39">
        <f>SUM(F6:F23)</f>
        <v>0</v>
      </c>
      <c r="G24" s="39">
        <f>SUM(G6:G23)</f>
        <v>0</v>
      </c>
      <c r="H24" s="39">
        <f>SUM(H6:H23)</f>
        <v>0</v>
      </c>
      <c r="I24" s="43"/>
    </row>
    <row r="25" spans="1:9">
      <c r="C25" s="25" t="s">
        <v>49</v>
      </c>
      <c r="D25" s="40">
        <f>D24*0.95</f>
        <v>1467.3445626374025</v>
      </c>
      <c r="E25" s="40">
        <f t="shared" ref="E25:F25" si="0">E24*0.95</f>
        <v>322.53714480000002</v>
      </c>
      <c r="F25" s="40">
        <f t="shared" si="0"/>
        <v>0</v>
      </c>
      <c r="G25" s="40"/>
      <c r="H25" s="40"/>
    </row>
    <row r="26" spans="1:9">
      <c r="C26" s="25" t="s">
        <v>50</v>
      </c>
      <c r="D26" s="40">
        <f t="shared" ref="D26:F28" si="1">D25*0.95</f>
        <v>1393.9773345055323</v>
      </c>
      <c r="E26" s="40">
        <f t="shared" si="1"/>
        <v>306.41028756000003</v>
      </c>
      <c r="F26" s="40">
        <f t="shared" si="1"/>
        <v>0</v>
      </c>
      <c r="G26" s="40"/>
      <c r="H26" s="40"/>
    </row>
    <row r="27" spans="1:9">
      <c r="C27" s="25" t="s">
        <v>184</v>
      </c>
      <c r="D27" s="40">
        <f t="shared" si="1"/>
        <v>1324.2784677802556</v>
      </c>
      <c r="E27" s="40">
        <f t="shared" si="1"/>
        <v>291.08977318199999</v>
      </c>
      <c r="F27" s="40">
        <f t="shared" si="1"/>
        <v>0</v>
      </c>
    </row>
    <row r="28" spans="1:9">
      <c r="C28" s="25" t="s">
        <v>185</v>
      </c>
      <c r="D28" s="40">
        <f t="shared" si="1"/>
        <v>1258.0645443912429</v>
      </c>
      <c r="E28" s="40">
        <f t="shared" si="1"/>
        <v>276.53528452289999</v>
      </c>
      <c r="F28" s="40">
        <f t="shared" si="1"/>
        <v>0</v>
      </c>
    </row>
    <row r="29" spans="1:9">
      <c r="C29" s="25" t="s">
        <v>186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4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 activeCell="G23" sqref="G23"/>
    </sheetView>
  </sheetViews>
  <sheetFormatPr defaultColWidth="9" defaultRowHeight="13.5"/>
  <cols>
    <col min="1" max="1" width="5.75" style="17" customWidth="1"/>
    <col min="2" max="2" width="29.625" style="17" customWidth="1"/>
    <col min="3" max="3" width="25.5" style="17" customWidth="1"/>
    <col min="4" max="4" width="22" style="17" customWidth="1"/>
    <col min="5" max="16384" width="9" style="17"/>
  </cols>
  <sheetData>
    <row r="1" spans="1:4" ht="39.75" customHeight="1">
      <c r="A1" s="18" t="s">
        <v>18</v>
      </c>
      <c r="B1" s="18" t="s">
        <v>221</v>
      </c>
      <c r="C1" s="18" t="s">
        <v>222</v>
      </c>
      <c r="D1" s="18" t="s">
        <v>223</v>
      </c>
    </row>
    <row r="2" spans="1:4" ht="25.5" customHeight="1">
      <c r="A2" s="18">
        <v>1</v>
      </c>
      <c r="B2" s="19" t="s">
        <v>224</v>
      </c>
      <c r="C2" s="20" t="s">
        <v>263</v>
      </c>
      <c r="D2" s="18"/>
    </row>
    <row r="3" spans="1:4" ht="24" customHeight="1">
      <c r="A3" s="18">
        <v>2</v>
      </c>
      <c r="B3" s="19" t="s">
        <v>225</v>
      </c>
      <c r="C3" s="21" t="s">
        <v>297</v>
      </c>
      <c r="D3" s="18" t="s">
        <v>226</v>
      </c>
    </row>
    <row r="4" spans="1:4" ht="19.5" customHeight="1">
      <c r="A4" s="18">
        <v>3</v>
      </c>
      <c r="B4" s="19" t="s">
        <v>227</v>
      </c>
      <c r="C4" s="20" t="s">
        <v>228</v>
      </c>
      <c r="D4" s="18"/>
    </row>
    <row r="5" spans="1:4" ht="21" customHeight="1">
      <c r="A5" s="18">
        <v>4</v>
      </c>
      <c r="B5" s="19" t="s">
        <v>229</v>
      </c>
      <c r="C5" s="20"/>
      <c r="D5" s="18"/>
    </row>
    <row r="6" spans="1:4" ht="21" customHeight="1">
      <c r="A6" s="18">
        <v>5</v>
      </c>
      <c r="B6" s="19" t="s">
        <v>230</v>
      </c>
      <c r="C6" s="20"/>
      <c r="D6" s="18"/>
    </row>
    <row r="7" spans="1:4" ht="27.75" customHeight="1">
      <c r="A7" s="18">
        <v>6</v>
      </c>
      <c r="B7" s="18" t="s">
        <v>231</v>
      </c>
      <c r="C7" s="21" t="s">
        <v>298</v>
      </c>
      <c r="D7" s="18"/>
    </row>
    <row r="8" spans="1:4" ht="25.5" customHeight="1">
      <c r="A8" s="18">
        <v>7</v>
      </c>
      <c r="B8" s="19" t="s">
        <v>232</v>
      </c>
      <c r="C8" s="22" t="s">
        <v>233</v>
      </c>
      <c r="D8" s="18"/>
    </row>
    <row r="9" spans="1:4" ht="25.5" customHeight="1">
      <c r="A9" s="18">
        <v>8</v>
      </c>
      <c r="B9" s="18" t="s">
        <v>234</v>
      </c>
      <c r="C9" s="22"/>
      <c r="D9" s="18"/>
    </row>
    <row r="10" spans="1:4" ht="25.5" customHeight="1">
      <c r="A10" s="18">
        <v>9</v>
      </c>
      <c r="B10" s="18" t="s">
        <v>235</v>
      </c>
      <c r="C10" s="22"/>
      <c r="D10" s="18"/>
    </row>
    <row r="11" spans="1:4" ht="25.5" customHeight="1">
      <c r="A11" s="18">
        <v>10</v>
      </c>
      <c r="B11" s="18" t="s">
        <v>236</v>
      </c>
      <c r="C11" s="22"/>
      <c r="D11" s="18" t="s">
        <v>237</v>
      </c>
    </row>
    <row r="12" spans="1:4" ht="25.5" customHeight="1">
      <c r="A12" s="18">
        <v>11</v>
      </c>
      <c r="B12" s="18" t="s">
        <v>238</v>
      </c>
      <c r="C12" s="22"/>
      <c r="D12" s="18"/>
    </row>
    <row r="13" spans="1:4" ht="24" customHeight="1">
      <c r="A13" s="18">
        <v>12</v>
      </c>
      <c r="B13" s="19" t="s">
        <v>239</v>
      </c>
      <c r="C13" s="22" t="s">
        <v>240</v>
      </c>
      <c r="D13" s="18"/>
    </row>
    <row r="14" spans="1:4" ht="24" customHeight="1">
      <c r="A14" s="18">
        <v>13</v>
      </c>
      <c r="B14" s="19" t="s">
        <v>241</v>
      </c>
      <c r="C14" s="22" t="s">
        <v>264</v>
      </c>
      <c r="D14" s="18"/>
    </row>
    <row r="15" spans="1:4" ht="24" customHeight="1">
      <c r="A15" s="18">
        <v>14</v>
      </c>
      <c r="B15" s="19" t="s">
        <v>242</v>
      </c>
      <c r="C15" s="22">
        <v>24</v>
      </c>
      <c r="D15" s="18"/>
    </row>
    <row r="16" spans="1:4" ht="24" customHeight="1">
      <c r="A16" s="18">
        <v>15</v>
      </c>
      <c r="B16" s="18" t="s">
        <v>36</v>
      </c>
      <c r="C16" s="18"/>
      <c r="D16" s="18"/>
    </row>
    <row r="17" spans="2:2" ht="16.5">
      <c r="B17" s="23" t="s">
        <v>243</v>
      </c>
    </row>
  </sheetData>
  <phoneticPr fontId="4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zoomScale="85" zoomScaleNormal="85" workbookViewId="0">
      <selection activeCell="J15" sqref="J15"/>
    </sheetView>
  </sheetViews>
  <sheetFormatPr defaultColWidth="9" defaultRowHeight="13.5"/>
  <cols>
    <col min="1" max="2" width="9" style="2"/>
    <col min="3" max="4" width="12.625" style="2" customWidth="1"/>
    <col min="5" max="5" width="12.125" style="2" customWidth="1"/>
    <col min="6" max="8" width="11.125" style="2" customWidth="1"/>
    <col min="9" max="9" width="15.75" style="3" customWidth="1"/>
    <col min="10" max="16384" width="9" style="2"/>
  </cols>
  <sheetData>
    <row r="1" spans="1:11" s="1" customFormat="1" ht="18.75" customHeight="1">
      <c r="G1" s="261" t="s">
        <v>244</v>
      </c>
      <c r="H1" s="261"/>
      <c r="I1" s="14" t="str">
        <f>销量!C6</f>
        <v>DZ14251510148</v>
      </c>
    </row>
    <row r="2" spans="1:11" ht="39" customHeight="1">
      <c r="A2" s="266" t="s">
        <v>245</v>
      </c>
      <c r="B2" s="266"/>
      <c r="C2" s="262" t="s">
        <v>246</v>
      </c>
      <c r="D2" s="263"/>
      <c r="E2" s="263"/>
      <c r="F2" s="263"/>
      <c r="G2" s="263"/>
      <c r="H2" s="264"/>
      <c r="I2" s="3" t="s">
        <v>247</v>
      </c>
    </row>
    <row r="3" spans="1:11" ht="34.5" customHeight="1">
      <c r="A3" s="266"/>
      <c r="B3" s="266"/>
      <c r="C3" s="4" t="s">
        <v>248</v>
      </c>
      <c r="D3" s="4" t="s">
        <v>249</v>
      </c>
      <c r="E3" s="4" t="s">
        <v>250</v>
      </c>
      <c r="F3" s="5" t="s">
        <v>251</v>
      </c>
      <c r="G3" s="5" t="s">
        <v>252</v>
      </c>
      <c r="H3" s="185" t="s">
        <v>261</v>
      </c>
      <c r="I3" s="15">
        <f>销量!C8</f>
        <v>1900</v>
      </c>
      <c r="K3" s="201" t="s">
        <v>284</v>
      </c>
    </row>
    <row r="4" spans="1:11" ht="24" customHeight="1">
      <c r="A4" s="265" t="s">
        <v>254</v>
      </c>
      <c r="B4" s="265"/>
      <c r="C4" s="7"/>
      <c r="D4" s="8"/>
      <c r="E4" s="9">
        <f>$I$3*H4</f>
        <v>55.67</v>
      </c>
      <c r="F4" s="9"/>
      <c r="G4" s="9"/>
      <c r="H4" s="10">
        <v>2.93E-2</v>
      </c>
      <c r="I4" s="3">
        <v>0.03</v>
      </c>
      <c r="K4" s="3">
        <v>2.93E-2</v>
      </c>
    </row>
    <row r="5" spans="1:11" ht="24" customHeight="1">
      <c r="A5" s="265" t="s">
        <v>255</v>
      </c>
      <c r="B5" s="6" t="s">
        <v>256</v>
      </c>
      <c r="C5" s="7"/>
      <c r="D5" s="8"/>
      <c r="E5" s="9">
        <f>$I$3*H5</f>
        <v>122.92999999999999</v>
      </c>
      <c r="F5" s="9"/>
      <c r="G5" s="9"/>
      <c r="H5" s="10">
        <v>6.4699999999999994E-2</v>
      </c>
      <c r="I5" s="3">
        <v>0.06</v>
      </c>
      <c r="K5" s="3">
        <v>6.4699999999999994E-2</v>
      </c>
    </row>
    <row r="6" spans="1:11" ht="24" customHeight="1">
      <c r="A6" s="265"/>
      <c r="B6" s="6" t="s">
        <v>257</v>
      </c>
      <c r="C6" s="7"/>
      <c r="D6" s="8"/>
      <c r="E6" s="9">
        <f t="shared" ref="E6:E11" si="0">$I$3*H6</f>
        <v>16.529999999999998</v>
      </c>
      <c r="F6" s="9"/>
      <c r="G6" s="9"/>
      <c r="H6" s="10">
        <v>8.6999999999999994E-3</v>
      </c>
      <c r="I6" s="3">
        <v>0.01</v>
      </c>
      <c r="K6" s="3">
        <v>8.6999999999999994E-3</v>
      </c>
    </row>
    <row r="7" spans="1:11" ht="24" customHeight="1">
      <c r="A7" s="262" t="s">
        <v>258</v>
      </c>
      <c r="B7" s="264"/>
      <c r="C7" s="11"/>
      <c r="D7" s="12"/>
      <c r="E7" s="9">
        <f t="shared" si="0"/>
        <v>195.13</v>
      </c>
      <c r="F7" s="9"/>
      <c r="G7" s="9"/>
      <c r="H7" s="13">
        <f>SUM(H4:H6)</f>
        <v>0.1027</v>
      </c>
      <c r="I7" s="3">
        <v>0.1</v>
      </c>
      <c r="K7" s="3"/>
    </row>
    <row r="8" spans="1:11" ht="24" customHeight="1">
      <c r="A8" s="265" t="s">
        <v>81</v>
      </c>
      <c r="B8" s="265"/>
      <c r="C8" s="7"/>
      <c r="D8" s="8"/>
      <c r="E8" s="9">
        <f t="shared" si="0"/>
        <v>38.950000000000003</v>
      </c>
      <c r="F8" s="9"/>
      <c r="G8" s="9"/>
      <c r="H8" s="10">
        <v>2.0500000000000001E-2</v>
      </c>
      <c r="I8" s="3">
        <v>0.02</v>
      </c>
      <c r="K8" s="3">
        <v>2.0500000000000001E-2</v>
      </c>
    </row>
    <row r="9" spans="1:11" ht="24" customHeight="1">
      <c r="A9" s="267" t="s">
        <v>259</v>
      </c>
      <c r="B9" s="6" t="s">
        <v>256</v>
      </c>
      <c r="C9" s="7"/>
      <c r="D9" s="8"/>
      <c r="E9" s="9">
        <f t="shared" si="0"/>
        <v>26.03</v>
      </c>
      <c r="F9" s="9"/>
      <c r="G9" s="9"/>
      <c r="H9" s="10">
        <v>1.37E-2</v>
      </c>
      <c r="I9" s="3">
        <v>1.4E-2</v>
      </c>
      <c r="K9" s="3">
        <v>1.37E-2</v>
      </c>
    </row>
    <row r="10" spans="1:11" ht="24" customHeight="1">
      <c r="A10" s="268"/>
      <c r="B10" s="6" t="s">
        <v>257</v>
      </c>
      <c r="C10" s="7"/>
      <c r="D10" s="8"/>
      <c r="E10" s="9">
        <f t="shared" si="0"/>
        <v>78.28</v>
      </c>
      <c r="F10" s="9"/>
      <c r="G10" s="9"/>
      <c r="H10" s="10">
        <v>4.1200000000000001E-2</v>
      </c>
      <c r="I10" s="3">
        <v>0.01</v>
      </c>
      <c r="K10" s="3">
        <v>4.1200000000000001E-2</v>
      </c>
    </row>
    <row r="11" spans="1:11" ht="24" customHeight="1">
      <c r="A11" s="265" t="s">
        <v>84</v>
      </c>
      <c r="B11" s="265"/>
      <c r="C11" s="7"/>
      <c r="D11" s="8"/>
      <c r="E11" s="9">
        <f t="shared" si="0"/>
        <v>82.84</v>
      </c>
      <c r="F11" s="9"/>
      <c r="G11" s="9"/>
      <c r="H11" s="10">
        <v>4.36E-2</v>
      </c>
      <c r="I11" s="3">
        <v>0.04</v>
      </c>
      <c r="K11" s="3">
        <v>4.36E-2</v>
      </c>
    </row>
    <row r="13" spans="1:11" s="1" customFormat="1" ht="18.75" customHeight="1">
      <c r="G13" s="261" t="s">
        <v>244</v>
      </c>
      <c r="H13" s="261"/>
      <c r="I13" s="16" t="str">
        <f>销量!D6</f>
        <v>DZ15221512009</v>
      </c>
    </row>
    <row r="14" spans="1:11" ht="39" customHeight="1">
      <c r="A14" s="266" t="s">
        <v>245</v>
      </c>
      <c r="B14" s="266"/>
      <c r="C14" s="262" t="str">
        <f>C2</f>
        <v>西安工厂平均值</v>
      </c>
      <c r="D14" s="263"/>
      <c r="E14" s="263"/>
      <c r="F14" s="263"/>
      <c r="G14" s="263"/>
      <c r="H14" s="264"/>
      <c r="I14" s="3" t="s">
        <v>247</v>
      </c>
    </row>
    <row r="15" spans="1:11" ht="34.5" customHeight="1">
      <c r="A15" s="266"/>
      <c r="B15" s="266"/>
      <c r="C15" s="4" t="s">
        <v>248</v>
      </c>
      <c r="D15" s="4" t="s">
        <v>249</v>
      </c>
      <c r="E15" s="4" t="s">
        <v>250</v>
      </c>
      <c r="F15" s="5" t="s">
        <v>251</v>
      </c>
      <c r="G15" s="5" t="s">
        <v>252</v>
      </c>
      <c r="H15" s="5" t="s">
        <v>253</v>
      </c>
      <c r="I15" s="15">
        <f>销量!D8</f>
        <v>430</v>
      </c>
    </row>
    <row r="16" spans="1:11" ht="24" customHeight="1">
      <c r="A16" s="265" t="s">
        <v>254</v>
      </c>
      <c r="B16" s="265"/>
      <c r="C16" s="7"/>
      <c r="D16" s="8"/>
      <c r="E16" s="9">
        <f>$I$15*H16</f>
        <v>12.599</v>
      </c>
      <c r="F16" s="9"/>
      <c r="G16" s="9"/>
      <c r="H16" s="10">
        <f t="shared" ref="H16:H23" si="1">H4</f>
        <v>2.93E-2</v>
      </c>
      <c r="I16" s="3">
        <v>0.03</v>
      </c>
    </row>
    <row r="17" spans="1:9" ht="24" customHeight="1">
      <c r="A17" s="265" t="s">
        <v>255</v>
      </c>
      <c r="B17" s="6" t="s">
        <v>256</v>
      </c>
      <c r="C17" s="7"/>
      <c r="D17" s="8"/>
      <c r="E17" s="9">
        <f t="shared" ref="E17:E23" si="2">$I$15*H17</f>
        <v>27.820999999999998</v>
      </c>
      <c r="F17" s="9"/>
      <c r="G17" s="9"/>
      <c r="H17" s="10">
        <f t="shared" si="1"/>
        <v>6.4699999999999994E-2</v>
      </c>
      <c r="I17" s="3">
        <v>0.06</v>
      </c>
    </row>
    <row r="18" spans="1:9" ht="24" customHeight="1">
      <c r="A18" s="265"/>
      <c r="B18" s="6" t="s">
        <v>257</v>
      </c>
      <c r="C18" s="7"/>
      <c r="D18" s="8"/>
      <c r="E18" s="9">
        <f t="shared" si="2"/>
        <v>3.7409999999999997</v>
      </c>
      <c r="F18" s="9"/>
      <c r="G18" s="9"/>
      <c r="H18" s="10">
        <f t="shared" si="1"/>
        <v>8.6999999999999994E-3</v>
      </c>
      <c r="I18" s="3">
        <v>0.01</v>
      </c>
    </row>
    <row r="19" spans="1:9" ht="24" customHeight="1">
      <c r="A19" s="262" t="s">
        <v>258</v>
      </c>
      <c r="B19" s="264"/>
      <c r="C19" s="11"/>
      <c r="D19" s="12"/>
      <c r="E19" s="9">
        <f t="shared" si="2"/>
        <v>44.161000000000001</v>
      </c>
      <c r="F19" s="9"/>
      <c r="G19" s="9"/>
      <c r="H19" s="13">
        <f t="shared" si="1"/>
        <v>0.1027</v>
      </c>
      <c r="I19" s="3">
        <v>0.1</v>
      </c>
    </row>
    <row r="20" spans="1:9" ht="24" customHeight="1">
      <c r="A20" s="265" t="s">
        <v>81</v>
      </c>
      <c r="B20" s="265"/>
      <c r="C20" s="7"/>
      <c r="D20" s="8"/>
      <c r="E20" s="9">
        <f t="shared" si="2"/>
        <v>8.8149999999999995</v>
      </c>
      <c r="F20" s="9"/>
      <c r="G20" s="9"/>
      <c r="H20" s="10">
        <f t="shared" si="1"/>
        <v>2.0500000000000001E-2</v>
      </c>
      <c r="I20" s="3">
        <v>0.02</v>
      </c>
    </row>
    <row r="21" spans="1:9" ht="24" customHeight="1">
      <c r="A21" s="267" t="s">
        <v>259</v>
      </c>
      <c r="B21" s="6" t="s">
        <v>256</v>
      </c>
      <c r="C21" s="7"/>
      <c r="D21" s="8"/>
      <c r="E21" s="9">
        <f t="shared" si="2"/>
        <v>5.891</v>
      </c>
      <c r="F21" s="9"/>
      <c r="G21" s="9"/>
      <c r="H21" s="10">
        <f t="shared" si="1"/>
        <v>1.37E-2</v>
      </c>
      <c r="I21" s="3">
        <v>1.4E-2</v>
      </c>
    </row>
    <row r="22" spans="1:9" ht="24" customHeight="1">
      <c r="A22" s="268"/>
      <c r="B22" s="6" t="s">
        <v>257</v>
      </c>
      <c r="C22" s="7"/>
      <c r="D22" s="8"/>
      <c r="E22" s="9">
        <f t="shared" si="2"/>
        <v>17.716000000000001</v>
      </c>
      <c r="F22" s="9"/>
      <c r="G22" s="9"/>
      <c r="H22" s="10">
        <f t="shared" si="1"/>
        <v>4.1200000000000001E-2</v>
      </c>
      <c r="I22" s="3">
        <v>0.01</v>
      </c>
    </row>
    <row r="23" spans="1:9" ht="24" customHeight="1">
      <c r="A23" s="265" t="s">
        <v>84</v>
      </c>
      <c r="B23" s="265"/>
      <c r="C23" s="7"/>
      <c r="D23" s="8"/>
      <c r="E23" s="9">
        <f t="shared" si="2"/>
        <v>18.748000000000001</v>
      </c>
      <c r="F23" s="9"/>
      <c r="G23" s="9"/>
      <c r="H23" s="10">
        <f t="shared" si="1"/>
        <v>4.36E-2</v>
      </c>
      <c r="I23" s="3">
        <v>0.04</v>
      </c>
    </row>
    <row r="26" spans="1:9" s="1" customFormat="1" ht="18.75" customHeight="1">
      <c r="G26" s="261" t="s">
        <v>244</v>
      </c>
      <c r="H26" s="261"/>
      <c r="I26" s="16"/>
    </row>
    <row r="27" spans="1:9" ht="39" customHeight="1">
      <c r="A27" s="266" t="s">
        <v>245</v>
      </c>
      <c r="B27" s="266"/>
      <c r="C27" s="262" t="str">
        <f>C2</f>
        <v>西安工厂平均值</v>
      </c>
      <c r="D27" s="263"/>
      <c r="E27" s="263"/>
      <c r="F27" s="263"/>
      <c r="G27" s="263"/>
      <c r="H27" s="264"/>
      <c r="I27" s="3" t="s">
        <v>247</v>
      </c>
    </row>
    <row r="28" spans="1:9" ht="34.5" customHeight="1">
      <c r="A28" s="266"/>
      <c r="B28" s="266"/>
      <c r="C28" s="4" t="s">
        <v>248</v>
      </c>
      <c r="D28" s="4" t="s">
        <v>249</v>
      </c>
      <c r="E28" s="4" t="s">
        <v>250</v>
      </c>
      <c r="F28" s="5" t="s">
        <v>251</v>
      </c>
      <c r="G28" s="5" t="s">
        <v>252</v>
      </c>
      <c r="H28" s="5" t="s">
        <v>253</v>
      </c>
      <c r="I28" s="15">
        <f>销量!E8</f>
        <v>0</v>
      </c>
    </row>
    <row r="29" spans="1:9" ht="24" customHeight="1">
      <c r="A29" s="265" t="s">
        <v>254</v>
      </c>
      <c r="B29" s="265"/>
      <c r="C29" s="7"/>
      <c r="D29" s="8"/>
      <c r="E29" s="9">
        <f>I28*I29</f>
        <v>0</v>
      </c>
      <c r="F29" s="9"/>
      <c r="G29" s="9"/>
      <c r="H29" s="10">
        <f t="shared" ref="H29:H36" si="3">H4</f>
        <v>2.93E-2</v>
      </c>
      <c r="I29" s="3">
        <v>4.3099999999999999E-2</v>
      </c>
    </row>
    <row r="30" spans="1:9" ht="24" customHeight="1">
      <c r="A30" s="265" t="s">
        <v>255</v>
      </c>
      <c r="B30" s="6" t="s">
        <v>256</v>
      </c>
      <c r="C30" s="7"/>
      <c r="D30" s="8"/>
      <c r="E30" s="9">
        <f t="shared" ref="E30:E36" si="4">$I$28*I30</f>
        <v>0</v>
      </c>
      <c r="F30" s="9"/>
      <c r="G30" s="9"/>
      <c r="H30" s="10">
        <f t="shared" si="3"/>
        <v>6.4699999999999994E-2</v>
      </c>
      <c r="I30" s="3">
        <v>4.1000000000000002E-2</v>
      </c>
    </row>
    <row r="31" spans="1:9" ht="24" customHeight="1">
      <c r="A31" s="265"/>
      <c r="B31" s="6" t="s">
        <v>257</v>
      </c>
      <c r="C31" s="7"/>
      <c r="D31" s="8"/>
      <c r="E31" s="9">
        <f t="shared" si="4"/>
        <v>0</v>
      </c>
      <c r="F31" s="9"/>
      <c r="G31" s="9"/>
      <c r="H31" s="10">
        <f t="shared" si="3"/>
        <v>8.6999999999999994E-3</v>
      </c>
      <c r="I31" s="3">
        <v>2.1700000000000001E-2</v>
      </c>
    </row>
    <row r="32" spans="1:9" ht="24" customHeight="1">
      <c r="A32" s="262" t="s">
        <v>258</v>
      </c>
      <c r="B32" s="264"/>
      <c r="C32" s="11"/>
      <c r="D32" s="12"/>
      <c r="E32" s="9">
        <f t="shared" si="4"/>
        <v>0</v>
      </c>
      <c r="F32" s="9"/>
      <c r="G32" s="9"/>
      <c r="H32" s="13">
        <f t="shared" si="3"/>
        <v>0.1027</v>
      </c>
      <c r="I32" s="3">
        <f>SUM(I29:I31)</f>
        <v>0.10580000000000001</v>
      </c>
    </row>
    <row r="33" spans="1:9" ht="24" customHeight="1">
      <c r="A33" s="265" t="s">
        <v>81</v>
      </c>
      <c r="B33" s="265"/>
      <c r="C33" s="7"/>
      <c r="D33" s="8"/>
      <c r="E33" s="9">
        <f t="shared" si="4"/>
        <v>0</v>
      </c>
      <c r="F33" s="9"/>
      <c r="G33" s="9"/>
      <c r="H33" s="10">
        <f t="shared" si="3"/>
        <v>2.0500000000000001E-2</v>
      </c>
      <c r="I33" s="3">
        <v>3.4000000000000002E-2</v>
      </c>
    </row>
    <row r="34" spans="1:9" ht="24" customHeight="1">
      <c r="A34" s="267" t="s">
        <v>259</v>
      </c>
      <c r="B34" s="6" t="s">
        <v>256</v>
      </c>
      <c r="C34" s="7"/>
      <c r="D34" s="8"/>
      <c r="E34" s="9">
        <f t="shared" si="4"/>
        <v>0</v>
      </c>
      <c r="F34" s="9"/>
      <c r="G34" s="9"/>
      <c r="H34" s="10">
        <f t="shared" si="3"/>
        <v>1.37E-2</v>
      </c>
      <c r="I34" s="3">
        <v>7.0000000000000001E-3</v>
      </c>
    </row>
    <row r="35" spans="1:9" ht="24" customHeight="1">
      <c r="A35" s="268"/>
      <c r="B35" s="6" t="s">
        <v>257</v>
      </c>
      <c r="C35" s="7"/>
      <c r="D35" s="8"/>
      <c r="E35" s="9">
        <f t="shared" si="4"/>
        <v>0</v>
      </c>
      <c r="F35" s="9"/>
      <c r="G35" s="9"/>
      <c r="H35" s="10">
        <f t="shared" si="3"/>
        <v>4.1200000000000001E-2</v>
      </c>
      <c r="I35" s="3">
        <f>2.8%+1.6%</f>
        <v>4.3999999999999997E-2</v>
      </c>
    </row>
    <row r="36" spans="1:9" ht="24" customHeight="1">
      <c r="A36" s="265" t="s">
        <v>84</v>
      </c>
      <c r="B36" s="265"/>
      <c r="C36" s="7"/>
      <c r="D36" s="8"/>
      <c r="E36" s="9">
        <f t="shared" si="4"/>
        <v>0</v>
      </c>
      <c r="F36" s="9"/>
      <c r="G36" s="9"/>
      <c r="H36" s="10">
        <f t="shared" si="3"/>
        <v>4.36E-2</v>
      </c>
      <c r="I36" s="3">
        <v>0.03</v>
      </c>
    </row>
    <row r="39" spans="1:9" s="1" customFormat="1" ht="18.75" customHeight="1">
      <c r="G39" s="261" t="s">
        <v>244</v>
      </c>
      <c r="H39" s="261"/>
      <c r="I39" s="16"/>
    </row>
    <row r="40" spans="1:9" ht="39" customHeight="1">
      <c r="A40" s="266" t="s">
        <v>245</v>
      </c>
      <c r="B40" s="266"/>
      <c r="C40" s="262" t="str">
        <f>C2</f>
        <v>西安工厂平均值</v>
      </c>
      <c r="D40" s="263"/>
      <c r="E40" s="263"/>
      <c r="F40" s="263"/>
      <c r="G40" s="263"/>
      <c r="H40" s="264"/>
      <c r="I40" s="3" t="s">
        <v>247</v>
      </c>
    </row>
    <row r="41" spans="1:9" ht="34.5" customHeight="1">
      <c r="A41" s="266"/>
      <c r="B41" s="266"/>
      <c r="C41" s="4" t="s">
        <v>248</v>
      </c>
      <c r="D41" s="4" t="s">
        <v>249</v>
      </c>
      <c r="E41" s="4" t="s">
        <v>250</v>
      </c>
      <c r="F41" s="5" t="s">
        <v>251</v>
      </c>
      <c r="G41" s="5" t="s">
        <v>252</v>
      </c>
      <c r="H41" s="5" t="s">
        <v>253</v>
      </c>
      <c r="I41" s="15">
        <f>销量!F8</f>
        <v>0</v>
      </c>
    </row>
    <row r="42" spans="1:9" ht="24" customHeight="1">
      <c r="A42" s="265" t="s">
        <v>254</v>
      </c>
      <c r="B42" s="265"/>
      <c r="C42" s="7"/>
      <c r="D42" s="8"/>
      <c r="E42" s="9">
        <f>I41*I42</f>
        <v>0</v>
      </c>
      <c r="F42" s="9"/>
      <c r="G42" s="9"/>
      <c r="H42" s="10">
        <f t="shared" ref="H42:H49" si="5">H4</f>
        <v>2.93E-2</v>
      </c>
      <c r="I42" s="3">
        <v>4.3099999999999999E-2</v>
      </c>
    </row>
    <row r="43" spans="1:9" ht="24" customHeight="1">
      <c r="A43" s="265" t="s">
        <v>255</v>
      </c>
      <c r="B43" s="6" t="s">
        <v>256</v>
      </c>
      <c r="C43" s="7"/>
      <c r="D43" s="8"/>
      <c r="E43" s="9">
        <f>$I$28*I43</f>
        <v>0</v>
      </c>
      <c r="F43" s="9"/>
      <c r="G43" s="9"/>
      <c r="H43" s="10">
        <f t="shared" si="5"/>
        <v>6.4699999999999994E-2</v>
      </c>
      <c r="I43" s="3">
        <v>4.1000000000000002E-2</v>
      </c>
    </row>
    <row r="44" spans="1:9" ht="24" customHeight="1">
      <c r="A44" s="265"/>
      <c r="B44" s="6" t="s">
        <v>257</v>
      </c>
      <c r="C44" s="7"/>
      <c r="D44" s="8"/>
      <c r="E44" s="9">
        <f t="shared" ref="E44:E49" si="6">$I$28*I44</f>
        <v>0</v>
      </c>
      <c r="F44" s="9"/>
      <c r="G44" s="9"/>
      <c r="H44" s="10">
        <f t="shared" si="5"/>
        <v>8.6999999999999994E-3</v>
      </c>
      <c r="I44" s="3">
        <v>2.1700000000000001E-2</v>
      </c>
    </row>
    <row r="45" spans="1:9" ht="24" customHeight="1">
      <c r="A45" s="262" t="s">
        <v>258</v>
      </c>
      <c r="B45" s="264"/>
      <c r="C45" s="11"/>
      <c r="D45" s="12"/>
      <c r="E45" s="9">
        <f t="shared" si="6"/>
        <v>0</v>
      </c>
      <c r="F45" s="9"/>
      <c r="G45" s="9"/>
      <c r="H45" s="13">
        <f t="shared" si="5"/>
        <v>0.1027</v>
      </c>
      <c r="I45" s="3">
        <f>SUM(I42:I44)</f>
        <v>0.10580000000000001</v>
      </c>
    </row>
    <row r="46" spans="1:9" ht="24" customHeight="1">
      <c r="A46" s="265" t="s">
        <v>81</v>
      </c>
      <c r="B46" s="265"/>
      <c r="C46" s="7"/>
      <c r="D46" s="8"/>
      <c r="E46" s="9">
        <f t="shared" si="6"/>
        <v>0</v>
      </c>
      <c r="F46" s="9"/>
      <c r="G46" s="9"/>
      <c r="H46" s="10">
        <f t="shared" si="5"/>
        <v>2.0500000000000001E-2</v>
      </c>
      <c r="I46" s="3">
        <v>3.4000000000000002E-2</v>
      </c>
    </row>
    <row r="47" spans="1:9" ht="24" customHeight="1">
      <c r="A47" s="267" t="s">
        <v>259</v>
      </c>
      <c r="B47" s="6" t="s">
        <v>256</v>
      </c>
      <c r="C47" s="7"/>
      <c r="D47" s="8"/>
      <c r="E47" s="9">
        <f t="shared" si="6"/>
        <v>0</v>
      </c>
      <c r="F47" s="9"/>
      <c r="G47" s="9"/>
      <c r="H47" s="10">
        <f t="shared" si="5"/>
        <v>1.37E-2</v>
      </c>
      <c r="I47" s="3">
        <v>7.0000000000000001E-3</v>
      </c>
    </row>
    <row r="48" spans="1:9" ht="24" customHeight="1">
      <c r="A48" s="268"/>
      <c r="B48" s="6" t="s">
        <v>257</v>
      </c>
      <c r="C48" s="7"/>
      <c r="D48" s="8"/>
      <c r="E48" s="9">
        <f t="shared" si="6"/>
        <v>0</v>
      </c>
      <c r="F48" s="9"/>
      <c r="G48" s="9"/>
      <c r="H48" s="10">
        <f t="shared" si="5"/>
        <v>4.1200000000000001E-2</v>
      </c>
      <c r="I48" s="3">
        <f>2.8%+1.6%</f>
        <v>4.3999999999999997E-2</v>
      </c>
    </row>
    <row r="49" spans="1:9" ht="24" customHeight="1">
      <c r="A49" s="265" t="s">
        <v>84</v>
      </c>
      <c r="B49" s="265"/>
      <c r="C49" s="7"/>
      <c r="D49" s="8"/>
      <c r="E49" s="9">
        <f t="shared" si="6"/>
        <v>0</v>
      </c>
      <c r="F49" s="9"/>
      <c r="G49" s="9"/>
      <c r="H49" s="10">
        <f t="shared" si="5"/>
        <v>4.36E-2</v>
      </c>
      <c r="I49" s="3">
        <v>0.03</v>
      </c>
    </row>
    <row r="52" spans="1:9" s="1" customFormat="1" ht="18.75" customHeight="1">
      <c r="G52" s="261" t="s">
        <v>244</v>
      </c>
      <c r="H52" s="261"/>
      <c r="I52" s="16"/>
    </row>
    <row r="53" spans="1:9" ht="39" customHeight="1">
      <c r="A53" s="266" t="s">
        <v>245</v>
      </c>
      <c r="B53" s="266"/>
      <c r="C53" s="262" t="str">
        <f>C2</f>
        <v>西安工厂平均值</v>
      </c>
      <c r="D53" s="263"/>
      <c r="E53" s="263"/>
      <c r="F53" s="263"/>
      <c r="G53" s="263"/>
      <c r="H53" s="264"/>
      <c r="I53" s="3" t="s">
        <v>247</v>
      </c>
    </row>
    <row r="54" spans="1:9" ht="34.5" customHeight="1">
      <c r="A54" s="266"/>
      <c r="B54" s="266"/>
      <c r="C54" s="4" t="s">
        <v>248</v>
      </c>
      <c r="D54" s="4" t="s">
        <v>249</v>
      </c>
      <c r="E54" s="4" t="s">
        <v>250</v>
      </c>
      <c r="F54" s="5" t="s">
        <v>251</v>
      </c>
      <c r="G54" s="5" t="s">
        <v>252</v>
      </c>
      <c r="H54" s="5" t="s">
        <v>253</v>
      </c>
      <c r="I54" s="15">
        <f>销量!G8</f>
        <v>0</v>
      </c>
    </row>
    <row r="55" spans="1:9" ht="24" customHeight="1">
      <c r="A55" s="265" t="s">
        <v>254</v>
      </c>
      <c r="B55" s="265"/>
      <c r="C55" s="7"/>
      <c r="D55" s="8"/>
      <c r="E55" s="9">
        <f>I54*I55</f>
        <v>0</v>
      </c>
      <c r="F55" s="9"/>
      <c r="G55" s="9"/>
      <c r="H55" s="10">
        <f t="shared" ref="H55:H62" si="7">H4</f>
        <v>2.93E-2</v>
      </c>
      <c r="I55" s="3">
        <v>4.3099999999999999E-2</v>
      </c>
    </row>
    <row r="56" spans="1:9" ht="24" customHeight="1">
      <c r="A56" s="265" t="s">
        <v>255</v>
      </c>
      <c r="B56" s="6" t="s">
        <v>256</v>
      </c>
      <c r="C56" s="7"/>
      <c r="D56" s="8"/>
      <c r="E56" s="9">
        <f>$I$54*I56</f>
        <v>0</v>
      </c>
      <c r="F56" s="9"/>
      <c r="G56" s="9"/>
      <c r="H56" s="10">
        <f t="shared" si="7"/>
        <v>6.4699999999999994E-2</v>
      </c>
      <c r="I56" s="3">
        <v>4.1000000000000002E-2</v>
      </c>
    </row>
    <row r="57" spans="1:9" ht="24" customHeight="1">
      <c r="A57" s="265"/>
      <c r="B57" s="6" t="s">
        <v>257</v>
      </c>
      <c r="C57" s="7"/>
      <c r="D57" s="8"/>
      <c r="E57" s="9">
        <f t="shared" ref="E57:E62" si="8">$I$54*I57</f>
        <v>0</v>
      </c>
      <c r="F57" s="9"/>
      <c r="G57" s="9"/>
      <c r="H57" s="10">
        <f t="shared" si="7"/>
        <v>8.6999999999999994E-3</v>
      </c>
      <c r="I57" s="3">
        <v>2.1700000000000001E-2</v>
      </c>
    </row>
    <row r="58" spans="1:9" ht="24" customHeight="1">
      <c r="A58" s="262" t="s">
        <v>258</v>
      </c>
      <c r="B58" s="264"/>
      <c r="C58" s="11"/>
      <c r="D58" s="12"/>
      <c r="E58" s="9">
        <f t="shared" si="8"/>
        <v>0</v>
      </c>
      <c r="F58" s="9"/>
      <c r="G58" s="9"/>
      <c r="H58" s="13">
        <f t="shared" si="7"/>
        <v>0.1027</v>
      </c>
      <c r="I58" s="3">
        <f>SUM(I55:I57)</f>
        <v>0.10580000000000001</v>
      </c>
    </row>
    <row r="59" spans="1:9" ht="24" customHeight="1">
      <c r="A59" s="265" t="s">
        <v>81</v>
      </c>
      <c r="B59" s="265"/>
      <c r="C59" s="7"/>
      <c r="D59" s="8"/>
      <c r="E59" s="9">
        <f t="shared" si="8"/>
        <v>0</v>
      </c>
      <c r="F59" s="9"/>
      <c r="G59" s="9"/>
      <c r="H59" s="10">
        <f t="shared" si="7"/>
        <v>2.0500000000000001E-2</v>
      </c>
      <c r="I59" s="3">
        <v>3.4000000000000002E-2</v>
      </c>
    </row>
    <row r="60" spans="1:9" ht="24" customHeight="1">
      <c r="A60" s="267" t="s">
        <v>259</v>
      </c>
      <c r="B60" s="6" t="s">
        <v>256</v>
      </c>
      <c r="C60" s="7"/>
      <c r="D60" s="8"/>
      <c r="E60" s="9">
        <f t="shared" si="8"/>
        <v>0</v>
      </c>
      <c r="F60" s="9"/>
      <c r="G60" s="9"/>
      <c r="H60" s="10">
        <f t="shared" si="7"/>
        <v>1.37E-2</v>
      </c>
      <c r="I60" s="3">
        <v>7.0000000000000001E-3</v>
      </c>
    </row>
    <row r="61" spans="1:9" ht="24" customHeight="1">
      <c r="A61" s="268"/>
      <c r="B61" s="6" t="s">
        <v>257</v>
      </c>
      <c r="C61" s="7"/>
      <c r="D61" s="8"/>
      <c r="E61" s="9">
        <f t="shared" si="8"/>
        <v>0</v>
      </c>
      <c r="F61" s="9"/>
      <c r="G61" s="9"/>
      <c r="H61" s="10">
        <f t="shared" si="7"/>
        <v>4.1200000000000001E-2</v>
      </c>
      <c r="I61" s="3">
        <f>2.8%+1.6%</f>
        <v>4.3999999999999997E-2</v>
      </c>
    </row>
    <row r="62" spans="1:9" ht="24" customHeight="1">
      <c r="A62" s="265" t="s">
        <v>84</v>
      </c>
      <c r="B62" s="265"/>
      <c r="C62" s="7"/>
      <c r="D62" s="8"/>
      <c r="E62" s="9">
        <f t="shared" si="8"/>
        <v>0</v>
      </c>
      <c r="F62" s="9"/>
      <c r="G62" s="9"/>
      <c r="H62" s="10">
        <f t="shared" si="7"/>
        <v>4.36E-2</v>
      </c>
      <c r="I62" s="3">
        <v>0.03</v>
      </c>
    </row>
  </sheetData>
  <mergeCells count="45">
    <mergeCell ref="C53:H53"/>
    <mergeCell ref="A55:B55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</mergeCells>
  <phoneticPr fontId="4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42" customWidth="1"/>
    <col min="2" max="2" width="28.5" style="142" customWidth="1"/>
    <col min="3" max="4" width="9.125" style="142"/>
    <col min="5" max="5" width="13.875" style="142" customWidth="1"/>
    <col min="6" max="12" width="16.125" style="142" customWidth="1"/>
    <col min="13" max="13" width="10.625" style="142" customWidth="1"/>
    <col min="14" max="254" width="9.125" style="142"/>
    <col min="255" max="255" width="8" style="142" customWidth="1"/>
    <col min="256" max="256" width="28.5" style="142" customWidth="1"/>
    <col min="257" max="268" width="9.125" style="142"/>
    <col min="269" max="269" width="10.625" style="142" customWidth="1"/>
    <col min="270" max="510" width="9.125" style="142"/>
    <col min="511" max="511" width="8" style="142" customWidth="1"/>
    <col min="512" max="512" width="28.5" style="142" customWidth="1"/>
    <col min="513" max="524" width="9.125" style="142"/>
    <col min="525" max="525" width="10.625" style="142" customWidth="1"/>
    <col min="526" max="766" width="9.125" style="142"/>
    <col min="767" max="767" width="8" style="142" customWidth="1"/>
    <col min="768" max="768" width="28.5" style="142" customWidth="1"/>
    <col min="769" max="780" width="9.125" style="142"/>
    <col min="781" max="781" width="10.625" style="142" customWidth="1"/>
    <col min="782" max="1022" width="9.125" style="142"/>
    <col min="1023" max="1023" width="8" style="142" customWidth="1"/>
    <col min="1024" max="1024" width="28.5" style="142" customWidth="1"/>
    <col min="1025" max="1036" width="9.125" style="142"/>
    <col min="1037" max="1037" width="10.625" style="142" customWidth="1"/>
    <col min="1038" max="1278" width="9.125" style="142"/>
    <col min="1279" max="1279" width="8" style="142" customWidth="1"/>
    <col min="1280" max="1280" width="28.5" style="142" customWidth="1"/>
    <col min="1281" max="1292" width="9.125" style="142"/>
    <col min="1293" max="1293" width="10.625" style="142" customWidth="1"/>
    <col min="1294" max="1534" width="9.125" style="142"/>
    <col min="1535" max="1535" width="8" style="142" customWidth="1"/>
    <col min="1536" max="1536" width="28.5" style="142" customWidth="1"/>
    <col min="1537" max="1548" width="9.125" style="142"/>
    <col min="1549" max="1549" width="10.625" style="142" customWidth="1"/>
    <col min="1550" max="1790" width="9.125" style="142"/>
    <col min="1791" max="1791" width="8" style="142" customWidth="1"/>
    <col min="1792" max="1792" width="28.5" style="142" customWidth="1"/>
    <col min="1793" max="1804" width="9.125" style="142"/>
    <col min="1805" max="1805" width="10.625" style="142" customWidth="1"/>
    <col min="1806" max="2046" width="9.125" style="142"/>
    <col min="2047" max="2047" width="8" style="142" customWidth="1"/>
    <col min="2048" max="2048" width="28.5" style="142" customWidth="1"/>
    <col min="2049" max="2060" width="9.125" style="142"/>
    <col min="2061" max="2061" width="10.625" style="142" customWidth="1"/>
    <col min="2062" max="2302" width="9.125" style="142"/>
    <col min="2303" max="2303" width="8" style="142" customWidth="1"/>
    <col min="2304" max="2304" width="28.5" style="142" customWidth="1"/>
    <col min="2305" max="2316" width="9.125" style="142"/>
    <col min="2317" max="2317" width="10.625" style="142" customWidth="1"/>
    <col min="2318" max="2558" width="9.125" style="142"/>
    <col min="2559" max="2559" width="8" style="142" customWidth="1"/>
    <col min="2560" max="2560" width="28.5" style="142" customWidth="1"/>
    <col min="2561" max="2572" width="9.125" style="142"/>
    <col min="2573" max="2573" width="10.625" style="142" customWidth="1"/>
    <col min="2574" max="2814" width="9.125" style="142"/>
    <col min="2815" max="2815" width="8" style="142" customWidth="1"/>
    <col min="2816" max="2816" width="28.5" style="142" customWidth="1"/>
    <col min="2817" max="2828" width="9.125" style="142"/>
    <col min="2829" max="2829" width="10.625" style="142" customWidth="1"/>
    <col min="2830" max="3070" width="9.125" style="142"/>
    <col min="3071" max="3071" width="8" style="142" customWidth="1"/>
    <col min="3072" max="3072" width="28.5" style="142" customWidth="1"/>
    <col min="3073" max="3084" width="9.125" style="142"/>
    <col min="3085" max="3085" width="10.625" style="142" customWidth="1"/>
    <col min="3086" max="3326" width="9.125" style="142"/>
    <col min="3327" max="3327" width="8" style="142" customWidth="1"/>
    <col min="3328" max="3328" width="28.5" style="142" customWidth="1"/>
    <col min="3329" max="3340" width="9.125" style="142"/>
    <col min="3341" max="3341" width="10.625" style="142" customWidth="1"/>
    <col min="3342" max="3582" width="9.125" style="142"/>
    <col min="3583" max="3583" width="8" style="142" customWidth="1"/>
    <col min="3584" max="3584" width="28.5" style="142" customWidth="1"/>
    <col min="3585" max="3596" width="9.125" style="142"/>
    <col min="3597" max="3597" width="10.625" style="142" customWidth="1"/>
    <col min="3598" max="3838" width="9.125" style="142"/>
    <col min="3839" max="3839" width="8" style="142" customWidth="1"/>
    <col min="3840" max="3840" width="28.5" style="142" customWidth="1"/>
    <col min="3841" max="3852" width="9.125" style="142"/>
    <col min="3853" max="3853" width="10.625" style="142" customWidth="1"/>
    <col min="3854" max="4094" width="9.125" style="142"/>
    <col min="4095" max="4095" width="8" style="142" customWidth="1"/>
    <col min="4096" max="4096" width="28.5" style="142" customWidth="1"/>
    <col min="4097" max="4108" width="9.125" style="142"/>
    <col min="4109" max="4109" width="10.625" style="142" customWidth="1"/>
    <col min="4110" max="4350" width="9.125" style="142"/>
    <col min="4351" max="4351" width="8" style="142" customWidth="1"/>
    <col min="4352" max="4352" width="28.5" style="142" customWidth="1"/>
    <col min="4353" max="4364" width="9.125" style="142"/>
    <col min="4365" max="4365" width="10.625" style="142" customWidth="1"/>
    <col min="4366" max="4606" width="9.125" style="142"/>
    <col min="4607" max="4607" width="8" style="142" customWidth="1"/>
    <col min="4608" max="4608" width="28.5" style="142" customWidth="1"/>
    <col min="4609" max="4620" width="9.125" style="142"/>
    <col min="4621" max="4621" width="10.625" style="142" customWidth="1"/>
    <col min="4622" max="4862" width="9.125" style="142"/>
    <col min="4863" max="4863" width="8" style="142" customWidth="1"/>
    <col min="4864" max="4864" width="28.5" style="142" customWidth="1"/>
    <col min="4865" max="4876" width="9.125" style="142"/>
    <col min="4877" max="4877" width="10.625" style="142" customWidth="1"/>
    <col min="4878" max="5118" width="9.125" style="142"/>
    <col min="5119" max="5119" width="8" style="142" customWidth="1"/>
    <col min="5120" max="5120" width="28.5" style="142" customWidth="1"/>
    <col min="5121" max="5132" width="9.125" style="142"/>
    <col min="5133" max="5133" width="10.625" style="142" customWidth="1"/>
    <col min="5134" max="5374" width="9.125" style="142"/>
    <col min="5375" max="5375" width="8" style="142" customWidth="1"/>
    <col min="5376" max="5376" width="28.5" style="142" customWidth="1"/>
    <col min="5377" max="5388" width="9.125" style="142"/>
    <col min="5389" max="5389" width="10.625" style="142" customWidth="1"/>
    <col min="5390" max="5630" width="9.125" style="142"/>
    <col min="5631" max="5631" width="8" style="142" customWidth="1"/>
    <col min="5632" max="5632" width="28.5" style="142" customWidth="1"/>
    <col min="5633" max="5644" width="9.125" style="142"/>
    <col min="5645" max="5645" width="10.625" style="142" customWidth="1"/>
    <col min="5646" max="5886" width="9.125" style="142"/>
    <col min="5887" max="5887" width="8" style="142" customWidth="1"/>
    <col min="5888" max="5888" width="28.5" style="142" customWidth="1"/>
    <col min="5889" max="5900" width="9.125" style="142"/>
    <col min="5901" max="5901" width="10.625" style="142" customWidth="1"/>
    <col min="5902" max="6142" width="9.125" style="142"/>
    <col min="6143" max="6143" width="8" style="142" customWidth="1"/>
    <col min="6144" max="6144" width="28.5" style="142" customWidth="1"/>
    <col min="6145" max="6156" width="9.125" style="142"/>
    <col min="6157" max="6157" width="10.625" style="142" customWidth="1"/>
    <col min="6158" max="6398" width="9.125" style="142"/>
    <col min="6399" max="6399" width="8" style="142" customWidth="1"/>
    <col min="6400" max="6400" width="28.5" style="142" customWidth="1"/>
    <col min="6401" max="6412" width="9.125" style="142"/>
    <col min="6413" max="6413" width="10.625" style="142" customWidth="1"/>
    <col min="6414" max="6654" width="9.125" style="142"/>
    <col min="6655" max="6655" width="8" style="142" customWidth="1"/>
    <col min="6656" max="6656" width="28.5" style="142" customWidth="1"/>
    <col min="6657" max="6668" width="9.125" style="142"/>
    <col min="6669" max="6669" width="10.625" style="142" customWidth="1"/>
    <col min="6670" max="6910" width="9.125" style="142"/>
    <col min="6911" max="6911" width="8" style="142" customWidth="1"/>
    <col min="6912" max="6912" width="28.5" style="142" customWidth="1"/>
    <col min="6913" max="6924" width="9.125" style="142"/>
    <col min="6925" max="6925" width="10.625" style="142" customWidth="1"/>
    <col min="6926" max="7166" width="9.125" style="142"/>
    <col min="7167" max="7167" width="8" style="142" customWidth="1"/>
    <col min="7168" max="7168" width="28.5" style="142" customWidth="1"/>
    <col min="7169" max="7180" width="9.125" style="142"/>
    <col min="7181" max="7181" width="10.625" style="142" customWidth="1"/>
    <col min="7182" max="7422" width="9.125" style="142"/>
    <col min="7423" max="7423" width="8" style="142" customWidth="1"/>
    <col min="7424" max="7424" width="28.5" style="142" customWidth="1"/>
    <col min="7425" max="7436" width="9.125" style="142"/>
    <col min="7437" max="7437" width="10.625" style="142" customWidth="1"/>
    <col min="7438" max="7678" width="9.125" style="142"/>
    <col min="7679" max="7679" width="8" style="142" customWidth="1"/>
    <col min="7680" max="7680" width="28.5" style="142" customWidth="1"/>
    <col min="7681" max="7692" width="9.125" style="142"/>
    <col min="7693" max="7693" width="10.625" style="142" customWidth="1"/>
    <col min="7694" max="7934" width="9.125" style="142"/>
    <col min="7935" max="7935" width="8" style="142" customWidth="1"/>
    <col min="7936" max="7936" width="28.5" style="142" customWidth="1"/>
    <col min="7937" max="7948" width="9.125" style="142"/>
    <col min="7949" max="7949" width="10.625" style="142" customWidth="1"/>
    <col min="7950" max="8190" width="9.125" style="142"/>
    <col min="8191" max="8191" width="8" style="142" customWidth="1"/>
    <col min="8192" max="8192" width="28.5" style="142" customWidth="1"/>
    <col min="8193" max="8204" width="9.125" style="142"/>
    <col min="8205" max="8205" width="10.625" style="142" customWidth="1"/>
    <col min="8206" max="8446" width="9.125" style="142"/>
    <col min="8447" max="8447" width="8" style="142" customWidth="1"/>
    <col min="8448" max="8448" width="28.5" style="142" customWidth="1"/>
    <col min="8449" max="8460" width="9.125" style="142"/>
    <col min="8461" max="8461" width="10.625" style="142" customWidth="1"/>
    <col min="8462" max="8702" width="9.125" style="142"/>
    <col min="8703" max="8703" width="8" style="142" customWidth="1"/>
    <col min="8704" max="8704" width="28.5" style="142" customWidth="1"/>
    <col min="8705" max="8716" width="9.125" style="142"/>
    <col min="8717" max="8717" width="10.625" style="142" customWidth="1"/>
    <col min="8718" max="8958" width="9.125" style="142"/>
    <col min="8959" max="8959" width="8" style="142" customWidth="1"/>
    <col min="8960" max="8960" width="28.5" style="142" customWidth="1"/>
    <col min="8961" max="8972" width="9.125" style="142"/>
    <col min="8973" max="8973" width="10.625" style="142" customWidth="1"/>
    <col min="8974" max="9214" width="9.125" style="142"/>
    <col min="9215" max="9215" width="8" style="142" customWidth="1"/>
    <col min="9216" max="9216" width="28.5" style="142" customWidth="1"/>
    <col min="9217" max="9228" width="9.125" style="142"/>
    <col min="9229" max="9229" width="10.625" style="142" customWidth="1"/>
    <col min="9230" max="9470" width="9.125" style="142"/>
    <col min="9471" max="9471" width="8" style="142" customWidth="1"/>
    <col min="9472" max="9472" width="28.5" style="142" customWidth="1"/>
    <col min="9473" max="9484" width="9.125" style="142"/>
    <col min="9485" max="9485" width="10.625" style="142" customWidth="1"/>
    <col min="9486" max="9726" width="9.125" style="142"/>
    <col min="9727" max="9727" width="8" style="142" customWidth="1"/>
    <col min="9728" max="9728" width="28.5" style="142" customWidth="1"/>
    <col min="9729" max="9740" width="9.125" style="142"/>
    <col min="9741" max="9741" width="10.625" style="142" customWidth="1"/>
    <col min="9742" max="9982" width="9.125" style="142"/>
    <col min="9983" max="9983" width="8" style="142" customWidth="1"/>
    <col min="9984" max="9984" width="28.5" style="142" customWidth="1"/>
    <col min="9985" max="9996" width="9.125" style="142"/>
    <col min="9997" max="9997" width="10.625" style="142" customWidth="1"/>
    <col min="9998" max="10238" width="9.125" style="142"/>
    <col min="10239" max="10239" width="8" style="142" customWidth="1"/>
    <col min="10240" max="10240" width="28.5" style="142" customWidth="1"/>
    <col min="10241" max="10252" width="9.125" style="142"/>
    <col min="10253" max="10253" width="10.625" style="142" customWidth="1"/>
    <col min="10254" max="10494" width="9.125" style="142"/>
    <col min="10495" max="10495" width="8" style="142" customWidth="1"/>
    <col min="10496" max="10496" width="28.5" style="142" customWidth="1"/>
    <col min="10497" max="10508" width="9.125" style="142"/>
    <col min="10509" max="10509" width="10.625" style="142" customWidth="1"/>
    <col min="10510" max="10750" width="9.125" style="142"/>
    <col min="10751" max="10751" width="8" style="142" customWidth="1"/>
    <col min="10752" max="10752" width="28.5" style="142" customWidth="1"/>
    <col min="10753" max="10764" width="9.125" style="142"/>
    <col min="10765" max="10765" width="10.625" style="142" customWidth="1"/>
    <col min="10766" max="11006" width="9.125" style="142"/>
    <col min="11007" max="11007" width="8" style="142" customWidth="1"/>
    <col min="11008" max="11008" width="28.5" style="142" customWidth="1"/>
    <col min="11009" max="11020" width="9.125" style="142"/>
    <col min="11021" max="11021" width="10.625" style="142" customWidth="1"/>
    <col min="11022" max="11262" width="9.125" style="142"/>
    <col min="11263" max="11263" width="8" style="142" customWidth="1"/>
    <col min="11264" max="11264" width="28.5" style="142" customWidth="1"/>
    <col min="11265" max="11276" width="9.125" style="142"/>
    <col min="11277" max="11277" width="10.625" style="142" customWidth="1"/>
    <col min="11278" max="11518" width="9.125" style="142"/>
    <col min="11519" max="11519" width="8" style="142" customWidth="1"/>
    <col min="11520" max="11520" width="28.5" style="142" customWidth="1"/>
    <col min="11521" max="11532" width="9.125" style="142"/>
    <col min="11533" max="11533" width="10.625" style="142" customWidth="1"/>
    <col min="11534" max="11774" width="9.125" style="142"/>
    <col min="11775" max="11775" width="8" style="142" customWidth="1"/>
    <col min="11776" max="11776" width="28.5" style="142" customWidth="1"/>
    <col min="11777" max="11788" width="9.125" style="142"/>
    <col min="11789" max="11789" width="10.625" style="142" customWidth="1"/>
    <col min="11790" max="12030" width="9.125" style="142"/>
    <col min="12031" max="12031" width="8" style="142" customWidth="1"/>
    <col min="12032" max="12032" width="28.5" style="142" customWidth="1"/>
    <col min="12033" max="12044" width="9.125" style="142"/>
    <col min="12045" max="12045" width="10.625" style="142" customWidth="1"/>
    <col min="12046" max="12286" width="9.125" style="142"/>
    <col min="12287" max="12287" width="8" style="142" customWidth="1"/>
    <col min="12288" max="12288" width="28.5" style="142" customWidth="1"/>
    <col min="12289" max="12300" width="9.125" style="142"/>
    <col min="12301" max="12301" width="10.625" style="142" customWidth="1"/>
    <col min="12302" max="12542" width="9.125" style="142"/>
    <col min="12543" max="12543" width="8" style="142" customWidth="1"/>
    <col min="12544" max="12544" width="28.5" style="142" customWidth="1"/>
    <col min="12545" max="12556" width="9.125" style="142"/>
    <col min="12557" max="12557" width="10.625" style="142" customWidth="1"/>
    <col min="12558" max="12798" width="9.125" style="142"/>
    <col min="12799" max="12799" width="8" style="142" customWidth="1"/>
    <col min="12800" max="12800" width="28.5" style="142" customWidth="1"/>
    <col min="12801" max="12812" width="9.125" style="142"/>
    <col min="12813" max="12813" width="10.625" style="142" customWidth="1"/>
    <col min="12814" max="13054" width="9.125" style="142"/>
    <col min="13055" max="13055" width="8" style="142" customWidth="1"/>
    <col min="13056" max="13056" width="28.5" style="142" customWidth="1"/>
    <col min="13057" max="13068" width="9.125" style="142"/>
    <col min="13069" max="13069" width="10.625" style="142" customWidth="1"/>
    <col min="13070" max="13310" width="9.125" style="142"/>
    <col min="13311" max="13311" width="8" style="142" customWidth="1"/>
    <col min="13312" max="13312" width="28.5" style="142" customWidth="1"/>
    <col min="13313" max="13324" width="9.125" style="142"/>
    <col min="13325" max="13325" width="10.625" style="142" customWidth="1"/>
    <col min="13326" max="13566" width="9.125" style="142"/>
    <col min="13567" max="13567" width="8" style="142" customWidth="1"/>
    <col min="13568" max="13568" width="28.5" style="142" customWidth="1"/>
    <col min="13569" max="13580" width="9.125" style="142"/>
    <col min="13581" max="13581" width="10.625" style="142" customWidth="1"/>
    <col min="13582" max="13822" width="9.125" style="142"/>
    <col min="13823" max="13823" width="8" style="142" customWidth="1"/>
    <col min="13824" max="13824" width="28.5" style="142" customWidth="1"/>
    <col min="13825" max="13836" width="9.125" style="142"/>
    <col min="13837" max="13837" width="10.625" style="142" customWidth="1"/>
    <col min="13838" max="14078" width="9.125" style="142"/>
    <col min="14079" max="14079" width="8" style="142" customWidth="1"/>
    <col min="14080" max="14080" width="28.5" style="142" customWidth="1"/>
    <col min="14081" max="14092" width="9.125" style="142"/>
    <col min="14093" max="14093" width="10.625" style="142" customWidth="1"/>
    <col min="14094" max="14334" width="9.125" style="142"/>
    <col min="14335" max="14335" width="8" style="142" customWidth="1"/>
    <col min="14336" max="14336" width="28.5" style="142" customWidth="1"/>
    <col min="14337" max="14348" width="9.125" style="142"/>
    <col min="14349" max="14349" width="10.625" style="142" customWidth="1"/>
    <col min="14350" max="14590" width="9.125" style="142"/>
    <col min="14591" max="14591" width="8" style="142" customWidth="1"/>
    <col min="14592" max="14592" width="28.5" style="142" customWidth="1"/>
    <col min="14593" max="14604" width="9.125" style="142"/>
    <col min="14605" max="14605" width="10.625" style="142" customWidth="1"/>
    <col min="14606" max="14846" width="9.125" style="142"/>
    <col min="14847" max="14847" width="8" style="142" customWidth="1"/>
    <col min="14848" max="14848" width="28.5" style="142" customWidth="1"/>
    <col min="14849" max="14860" width="9.125" style="142"/>
    <col min="14861" max="14861" width="10.625" style="142" customWidth="1"/>
    <col min="14862" max="15102" width="9.125" style="142"/>
    <col min="15103" max="15103" width="8" style="142" customWidth="1"/>
    <col min="15104" max="15104" width="28.5" style="142" customWidth="1"/>
    <col min="15105" max="15116" width="9.125" style="142"/>
    <col min="15117" max="15117" width="10.625" style="142" customWidth="1"/>
    <col min="15118" max="15358" width="9.125" style="142"/>
    <col min="15359" max="15359" width="8" style="142" customWidth="1"/>
    <col min="15360" max="15360" width="28.5" style="142" customWidth="1"/>
    <col min="15361" max="15372" width="9.125" style="142"/>
    <col min="15373" max="15373" width="10.625" style="142" customWidth="1"/>
    <col min="15374" max="15614" width="9.125" style="142"/>
    <col min="15615" max="15615" width="8" style="142" customWidth="1"/>
    <col min="15616" max="15616" width="28.5" style="142" customWidth="1"/>
    <col min="15617" max="15628" width="9.125" style="142"/>
    <col min="15629" max="15629" width="10.625" style="142" customWidth="1"/>
    <col min="15630" max="15870" width="9.125" style="142"/>
    <col min="15871" max="15871" width="8" style="142" customWidth="1"/>
    <col min="15872" max="15872" width="28.5" style="142" customWidth="1"/>
    <col min="15873" max="15884" width="9.125" style="142"/>
    <col min="15885" max="15885" width="10.625" style="142" customWidth="1"/>
    <col min="15886" max="16126" width="9.125" style="142"/>
    <col min="16127" max="16127" width="8" style="142" customWidth="1"/>
    <col min="16128" max="16128" width="28.5" style="142" customWidth="1"/>
    <col min="16129" max="16140" width="9.125" style="142"/>
    <col min="16141" max="16141" width="10.625" style="142" customWidth="1"/>
    <col min="16142" max="16384" width="9.125" style="142"/>
  </cols>
  <sheetData>
    <row r="1" spans="1:13" ht="18.75">
      <c r="A1" s="143" t="s">
        <v>16</v>
      </c>
      <c r="B1" s="144"/>
      <c r="C1" s="145"/>
      <c r="D1" s="145"/>
      <c r="E1" s="144"/>
      <c r="F1" s="145"/>
      <c r="G1" s="145"/>
      <c r="H1" s="144"/>
      <c r="I1" s="145"/>
      <c r="J1" s="145"/>
      <c r="K1" s="145"/>
      <c r="L1" s="145"/>
      <c r="M1" s="145"/>
    </row>
    <row r="2" spans="1:13" ht="12">
      <c r="A2" s="142" t="s">
        <v>17</v>
      </c>
      <c r="B2" s="146"/>
    </row>
    <row r="3" spans="1:13" ht="16.899999999999999" customHeight="1">
      <c r="A3" s="147" t="s">
        <v>18</v>
      </c>
      <c r="B3" s="147" t="s">
        <v>19</v>
      </c>
      <c r="C3" s="208" t="s">
        <v>20</v>
      </c>
      <c r="D3" s="208"/>
      <c r="E3" s="208"/>
      <c r="F3" s="149"/>
      <c r="G3" s="150"/>
      <c r="H3" s="151"/>
      <c r="I3" s="151"/>
      <c r="J3" s="151" t="s">
        <v>21</v>
      </c>
      <c r="K3" s="151"/>
      <c r="L3" s="151"/>
      <c r="M3" s="172"/>
    </row>
    <row r="4" spans="1:13" ht="16.149999999999999" customHeight="1">
      <c r="A4" s="152"/>
      <c r="B4" s="152" t="s">
        <v>22</v>
      </c>
      <c r="C4" s="148">
        <v>2017</v>
      </c>
      <c r="D4" s="148">
        <f t="shared" ref="D4:L4" si="0">C4+1</f>
        <v>2018</v>
      </c>
      <c r="E4" s="148">
        <f t="shared" si="0"/>
        <v>2019</v>
      </c>
      <c r="F4" s="148">
        <f t="shared" si="0"/>
        <v>2020</v>
      </c>
      <c r="G4" s="148">
        <f t="shared" si="0"/>
        <v>2021</v>
      </c>
      <c r="H4" s="153">
        <f t="shared" si="0"/>
        <v>2022</v>
      </c>
      <c r="I4" s="153">
        <f t="shared" si="0"/>
        <v>2023</v>
      </c>
      <c r="J4" s="153">
        <f t="shared" si="0"/>
        <v>2024</v>
      </c>
      <c r="K4" s="153">
        <f t="shared" si="0"/>
        <v>2025</v>
      </c>
      <c r="L4" s="153">
        <f t="shared" si="0"/>
        <v>2026</v>
      </c>
      <c r="M4" s="173" t="s">
        <v>23</v>
      </c>
    </row>
    <row r="5" spans="1:13" ht="15.6" customHeight="1">
      <c r="A5" s="154">
        <v>1</v>
      </c>
      <c r="B5" s="155" t="s">
        <v>24</v>
      </c>
      <c r="C5" s="156">
        <f>SUM(C6:C9)</f>
        <v>0</v>
      </c>
      <c r="D5" s="156">
        <f t="shared" ref="D5:L5" si="1">SUM(D6:D9)</f>
        <v>0</v>
      </c>
      <c r="E5" s="156" t="e">
        <f t="shared" si="1"/>
        <v>#REF!</v>
      </c>
      <c r="F5" s="156" t="e">
        <f t="shared" si="1"/>
        <v>#REF!</v>
      </c>
      <c r="G5" s="156" t="e">
        <f t="shared" si="1"/>
        <v>#REF!</v>
      </c>
      <c r="H5" s="156" t="e">
        <f t="shared" si="1"/>
        <v>#REF!</v>
      </c>
      <c r="I5" s="156" t="e">
        <f t="shared" si="1"/>
        <v>#REF!</v>
      </c>
      <c r="J5" s="156" t="e">
        <f t="shared" si="1"/>
        <v>#REF!</v>
      </c>
      <c r="K5" s="156" t="e">
        <f t="shared" si="1"/>
        <v>#REF!</v>
      </c>
      <c r="L5" s="156" t="e">
        <f t="shared" si="1"/>
        <v>#REF!</v>
      </c>
      <c r="M5" s="160" t="e">
        <f t="shared" ref="M5:M17" si="2">SUM(C5:L5)</f>
        <v>#REF!</v>
      </c>
    </row>
    <row r="6" spans="1:13" ht="15.6" customHeight="1">
      <c r="A6" s="154">
        <v>1.1000000000000001</v>
      </c>
      <c r="B6" s="157" t="s">
        <v>25</v>
      </c>
      <c r="C6" s="158"/>
      <c r="D6" s="158"/>
      <c r="E6" s="158" t="e">
        <f>#REF!</f>
        <v>#REF!</v>
      </c>
      <c r="F6" s="158" t="e">
        <f>#REF!</f>
        <v>#REF!</v>
      </c>
      <c r="G6" s="158" t="e">
        <f>#REF!</f>
        <v>#REF!</v>
      </c>
      <c r="H6" s="158" t="e">
        <f>#REF!</f>
        <v>#REF!</v>
      </c>
      <c r="I6" s="158" t="e">
        <f>#REF!</f>
        <v>#REF!</v>
      </c>
      <c r="J6" s="158" t="e">
        <f>#REF!</f>
        <v>#REF!</v>
      </c>
      <c r="K6" s="158" t="e">
        <f>#REF!</f>
        <v>#REF!</v>
      </c>
      <c r="L6" s="158" t="e">
        <f>#REF!</f>
        <v>#REF!</v>
      </c>
      <c r="M6" s="160" t="e">
        <f t="shared" si="2"/>
        <v>#REF!</v>
      </c>
    </row>
    <row r="7" spans="1:13" ht="15.6" customHeight="1">
      <c r="A7" s="154">
        <v>1.2</v>
      </c>
      <c r="B7" s="157" t="s">
        <v>26</v>
      </c>
      <c r="C7" s="158"/>
      <c r="D7" s="158"/>
      <c r="E7" s="158">
        <f>[1]折、摊!G18</f>
        <v>0</v>
      </c>
      <c r="F7" s="158">
        <f>[1]折、摊!H18</f>
        <v>0</v>
      </c>
      <c r="G7" s="158">
        <f>[1]折、摊!I18</f>
        <v>0</v>
      </c>
      <c r="H7" s="158">
        <f>[1]折、摊!J18</f>
        <v>0</v>
      </c>
      <c r="I7" s="158">
        <f>[1]折、摊!K18</f>
        <v>0</v>
      </c>
      <c r="J7" s="158">
        <f>[1]折、摊!L18</f>
        <v>0</v>
      </c>
      <c r="K7" s="158">
        <f>[1]折、摊!M18</f>
        <v>0</v>
      </c>
      <c r="L7" s="158">
        <f>[1]折、摊!N18</f>
        <v>0</v>
      </c>
      <c r="M7" s="160">
        <f t="shared" si="2"/>
        <v>0</v>
      </c>
    </row>
    <row r="8" spans="1:13" ht="15.6" customHeight="1">
      <c r="A8" s="154">
        <v>1.3</v>
      </c>
      <c r="B8" s="157" t="s">
        <v>27</v>
      </c>
      <c r="C8" s="158" t="s">
        <v>28</v>
      </c>
      <c r="D8" s="158" t="s">
        <v>28</v>
      </c>
      <c r="E8" s="158" t="s">
        <v>28</v>
      </c>
      <c r="F8" s="158" t="s">
        <v>28</v>
      </c>
      <c r="G8" s="158" t="s">
        <v>28</v>
      </c>
      <c r="H8" s="158" t="s">
        <v>28</v>
      </c>
      <c r="I8" s="158" t="s">
        <v>28</v>
      </c>
      <c r="J8" s="158" t="s">
        <v>28</v>
      </c>
      <c r="K8" s="158" t="s">
        <v>28</v>
      </c>
      <c r="L8" s="158"/>
      <c r="M8" s="160">
        <f t="shared" si="2"/>
        <v>0</v>
      </c>
    </row>
    <row r="9" spans="1:13" s="141" customFormat="1" ht="15.6" customHeight="1">
      <c r="A9" s="159">
        <v>1.4</v>
      </c>
      <c r="B9" s="160" t="s">
        <v>29</v>
      </c>
      <c r="C9" s="158" t="s">
        <v>28</v>
      </c>
      <c r="D9" s="158" t="s">
        <v>28</v>
      </c>
      <c r="E9" s="158" t="s">
        <v>28</v>
      </c>
      <c r="F9" s="158" t="s">
        <v>28</v>
      </c>
      <c r="G9" s="158" t="s">
        <v>28</v>
      </c>
      <c r="H9" s="158" t="s">
        <v>28</v>
      </c>
      <c r="I9" s="158" t="s">
        <v>28</v>
      </c>
      <c r="J9" s="158" t="s">
        <v>28</v>
      </c>
      <c r="K9" s="158" t="s">
        <v>28</v>
      </c>
      <c r="L9" s="158" t="s">
        <v>28</v>
      </c>
      <c r="M9" s="160">
        <f t="shared" si="2"/>
        <v>0</v>
      </c>
    </row>
    <row r="10" spans="1:13" ht="15.6" customHeight="1">
      <c r="A10" s="159">
        <v>2</v>
      </c>
      <c r="B10" s="155" t="s">
        <v>30</v>
      </c>
      <c r="C10" s="156">
        <f t="shared" ref="C10:L10" si="3">SUM(C11:C16)</f>
        <v>0</v>
      </c>
      <c r="D10" s="156">
        <f t="shared" si="3"/>
        <v>0</v>
      </c>
      <c r="E10" s="156">
        <f t="shared" si="3"/>
        <v>0</v>
      </c>
      <c r="F10" s="156">
        <f t="shared" si="3"/>
        <v>0</v>
      </c>
      <c r="G10" s="156">
        <f t="shared" si="3"/>
        <v>0</v>
      </c>
      <c r="H10" s="156">
        <f t="shared" si="3"/>
        <v>0</v>
      </c>
      <c r="I10" s="156">
        <f t="shared" si="3"/>
        <v>0</v>
      </c>
      <c r="J10" s="156">
        <f t="shared" si="3"/>
        <v>0</v>
      </c>
      <c r="K10" s="156">
        <f t="shared" si="3"/>
        <v>0</v>
      </c>
      <c r="L10" s="156">
        <f t="shared" si="3"/>
        <v>0</v>
      </c>
      <c r="M10" s="160">
        <f t="shared" si="2"/>
        <v>0</v>
      </c>
    </row>
    <row r="11" spans="1:13" ht="15" customHeight="1">
      <c r="A11" s="154">
        <v>2.1</v>
      </c>
      <c r="B11" s="154" t="s">
        <v>31</v>
      </c>
      <c r="C11" s="158">
        <f>([1]计划!C6-[1]计划!C7)</f>
        <v>0</v>
      </c>
      <c r="D11" s="158">
        <f>([1]计划!D6-[1]计划!D7)</f>
        <v>0</v>
      </c>
      <c r="E11" s="158">
        <f>([1]计划!E6-[1]计划!E7)</f>
        <v>0</v>
      </c>
      <c r="F11" s="158">
        <f>([1]计划!F6-[1]计划!F7)</f>
        <v>0</v>
      </c>
      <c r="G11" s="158">
        <f>([1]计划!G6-[1]计划!G7)</f>
        <v>0</v>
      </c>
      <c r="H11" s="158">
        <f>([1]计划!H6-[1]计划!H7)</f>
        <v>0</v>
      </c>
      <c r="I11" s="158">
        <f>([1]计划!I6-[1]计划!I7)</f>
        <v>0</v>
      </c>
      <c r="J11" s="158">
        <f>([1]计划!J6-[1]计划!J7)</f>
        <v>0</v>
      </c>
      <c r="K11" s="158">
        <f>([1]计划!K6-[1]计划!K7)</f>
        <v>0</v>
      </c>
      <c r="L11" s="158">
        <f>([1]计划!L6-[1]计划!L7)</f>
        <v>0</v>
      </c>
      <c r="M11" s="160">
        <f t="shared" si="2"/>
        <v>0</v>
      </c>
    </row>
    <row r="12" spans="1:13" s="141" customFormat="1" ht="15" customHeight="1">
      <c r="A12" s="154">
        <v>2.2000000000000002</v>
      </c>
      <c r="B12" s="160" t="s">
        <v>32</v>
      </c>
      <c r="C12" s="158">
        <f>[1]计划!C8</f>
        <v>0</v>
      </c>
      <c r="D12" s="158">
        <f>[1]计划!D8</f>
        <v>0</v>
      </c>
      <c r="E12" s="158">
        <f>[1]计划!E8</f>
        <v>0</v>
      </c>
      <c r="F12" s="158">
        <f>[1]计划!F8</f>
        <v>0</v>
      </c>
      <c r="G12" s="158">
        <f>[1]计划!G8</f>
        <v>0</v>
      </c>
      <c r="H12" s="158">
        <f>[1]计划!H8</f>
        <v>0</v>
      </c>
      <c r="I12" s="158">
        <f>[1]计划!I8</f>
        <v>0</v>
      </c>
      <c r="J12" s="158">
        <f>[1]计划!J8</f>
        <v>0</v>
      </c>
      <c r="K12" s="158">
        <f>[1]计划!K8</f>
        <v>0</v>
      </c>
      <c r="L12" s="158">
        <f>[1]计划!L8</f>
        <v>0</v>
      </c>
      <c r="M12" s="160">
        <f t="shared" si="2"/>
        <v>0</v>
      </c>
    </row>
    <row r="13" spans="1:13" ht="15" customHeight="1">
      <c r="A13" s="154">
        <v>2.2999999999999998</v>
      </c>
      <c r="B13" s="157" t="s">
        <v>33</v>
      </c>
      <c r="C13" s="158">
        <f>[1]总成本!C22</f>
        <v>0</v>
      </c>
      <c r="D13" s="158">
        <f>[1]总成本!D22</f>
        <v>0</v>
      </c>
      <c r="E13" s="158">
        <f>[1]总成本!E22</f>
        <v>0</v>
      </c>
      <c r="F13" s="158">
        <f>[1]总成本!F22</f>
        <v>0</v>
      </c>
      <c r="G13" s="158">
        <f>[1]总成本!G22</f>
        <v>0</v>
      </c>
      <c r="H13" s="158">
        <f>[1]总成本!H22</f>
        <v>0</v>
      </c>
      <c r="I13" s="158">
        <f>[1]总成本!I22</f>
        <v>0</v>
      </c>
      <c r="J13" s="158">
        <f>[1]总成本!J22</f>
        <v>0</v>
      </c>
      <c r="K13" s="158">
        <f>[1]总成本!K22</f>
        <v>0</v>
      </c>
      <c r="L13" s="158">
        <f>[1]总成本!L22</f>
        <v>0</v>
      </c>
      <c r="M13" s="160">
        <f t="shared" si="2"/>
        <v>0</v>
      </c>
    </row>
    <row r="14" spans="1:13" ht="15" customHeight="1">
      <c r="A14" s="154">
        <v>2.4</v>
      </c>
      <c r="B14" s="157" t="s">
        <v>34</v>
      </c>
      <c r="C14" s="158">
        <f>[1]价格!D15</f>
        <v>0</v>
      </c>
      <c r="D14" s="158">
        <f>[1]价格!E15</f>
        <v>0</v>
      </c>
      <c r="E14" s="158">
        <f>[1]价格!F15</f>
        <v>0</v>
      </c>
      <c r="F14" s="158">
        <f>[1]价格!G15</f>
        <v>0</v>
      </c>
      <c r="G14" s="158">
        <f>[1]价格!H15</f>
        <v>0</v>
      </c>
      <c r="H14" s="158">
        <f>[1]价格!I15</f>
        <v>0</v>
      </c>
      <c r="I14" s="158">
        <f>[1]价格!J15</f>
        <v>0</v>
      </c>
      <c r="J14" s="158">
        <f>[1]价格!K15</f>
        <v>0</v>
      </c>
      <c r="K14" s="158">
        <f>[1]价格!L15</f>
        <v>0</v>
      </c>
      <c r="L14" s="158">
        <f>[1]价格!M15</f>
        <v>0</v>
      </c>
      <c r="M14" s="160">
        <f t="shared" si="2"/>
        <v>0</v>
      </c>
    </row>
    <row r="15" spans="1:13" ht="15" customHeight="1">
      <c r="A15" s="154">
        <v>2.5</v>
      </c>
      <c r="B15" s="157" t="s">
        <v>35</v>
      </c>
      <c r="C15" s="158">
        <f>[1]利润!C13</f>
        <v>0</v>
      </c>
      <c r="D15" s="158">
        <f>[1]利润!D13</f>
        <v>0</v>
      </c>
      <c r="E15" s="158">
        <f>[1]利润!E13</f>
        <v>0</v>
      </c>
      <c r="F15" s="158">
        <f>[1]利润!F13</f>
        <v>0</v>
      </c>
      <c r="G15" s="158">
        <f>[1]利润!G13</f>
        <v>0</v>
      </c>
      <c r="H15" s="158">
        <f>[1]利润!H13</f>
        <v>0</v>
      </c>
      <c r="I15" s="158">
        <f>[1]利润!I13</f>
        <v>0</v>
      </c>
      <c r="J15" s="158">
        <f>[1]利润!J13</f>
        <v>0</v>
      </c>
      <c r="K15" s="158">
        <f>[1]利润!K13</f>
        <v>0</v>
      </c>
      <c r="L15" s="158">
        <f>[1]利润!L13</f>
        <v>0</v>
      </c>
      <c r="M15" s="160">
        <f t="shared" si="2"/>
        <v>0</v>
      </c>
    </row>
    <row r="16" spans="1:13" ht="15" customHeight="1">
      <c r="A16" s="154">
        <v>2.6</v>
      </c>
      <c r="B16" s="157" t="s">
        <v>36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60">
        <f t="shared" si="2"/>
        <v>0</v>
      </c>
    </row>
    <row r="17" spans="1:18" ht="12">
      <c r="A17" s="154">
        <v>3</v>
      </c>
      <c r="B17" s="155" t="s">
        <v>37</v>
      </c>
      <c r="C17" s="156">
        <f t="shared" ref="C17:L17" si="4">C5-C10</f>
        <v>0</v>
      </c>
      <c r="D17" s="156">
        <f t="shared" si="4"/>
        <v>0</v>
      </c>
      <c r="E17" s="156" t="e">
        <f t="shared" si="4"/>
        <v>#REF!</v>
      </c>
      <c r="F17" s="156" t="e">
        <f t="shared" si="4"/>
        <v>#REF!</v>
      </c>
      <c r="G17" s="156" t="e">
        <f t="shared" si="4"/>
        <v>#REF!</v>
      </c>
      <c r="H17" s="156" t="e">
        <f t="shared" si="4"/>
        <v>#REF!</v>
      </c>
      <c r="I17" s="156" t="e">
        <f t="shared" si="4"/>
        <v>#REF!</v>
      </c>
      <c r="J17" s="156" t="e">
        <f t="shared" si="4"/>
        <v>#REF!</v>
      </c>
      <c r="K17" s="156" t="e">
        <f t="shared" si="4"/>
        <v>#REF!</v>
      </c>
      <c r="L17" s="156" t="e">
        <f t="shared" si="4"/>
        <v>#REF!</v>
      </c>
      <c r="M17" s="160" t="e">
        <f t="shared" si="2"/>
        <v>#REF!</v>
      </c>
    </row>
    <row r="18" spans="1:18" ht="12">
      <c r="A18" s="161">
        <v>4</v>
      </c>
      <c r="B18" s="157" t="s">
        <v>38</v>
      </c>
      <c r="C18" s="158">
        <f>C17</f>
        <v>0</v>
      </c>
      <c r="D18" s="158">
        <f t="shared" ref="D18:L18" si="5">C18+D17</f>
        <v>0</v>
      </c>
      <c r="E18" s="158" t="e">
        <f t="shared" si="5"/>
        <v>#REF!</v>
      </c>
      <c r="F18" s="158" t="e">
        <f t="shared" si="5"/>
        <v>#REF!</v>
      </c>
      <c r="G18" s="158" t="e">
        <f t="shared" si="5"/>
        <v>#REF!</v>
      </c>
      <c r="H18" s="158" t="e">
        <f t="shared" si="5"/>
        <v>#REF!</v>
      </c>
      <c r="I18" s="158" t="e">
        <f t="shared" si="5"/>
        <v>#REF!</v>
      </c>
      <c r="J18" s="158" t="e">
        <f t="shared" si="5"/>
        <v>#REF!</v>
      </c>
      <c r="K18" s="158" t="e">
        <f t="shared" si="5"/>
        <v>#REF!</v>
      </c>
      <c r="L18" s="158" t="e">
        <f t="shared" si="5"/>
        <v>#REF!</v>
      </c>
      <c r="M18" s="157" t="s">
        <v>28</v>
      </c>
    </row>
    <row r="19" spans="1:18" s="141" customFormat="1" ht="12">
      <c r="A19" s="161">
        <v>5</v>
      </c>
      <c r="B19" s="157" t="s">
        <v>39</v>
      </c>
      <c r="C19" s="158">
        <f t="shared" ref="C19:L19" si="6">C17+C15</f>
        <v>0</v>
      </c>
      <c r="D19" s="158">
        <f t="shared" si="6"/>
        <v>0</v>
      </c>
      <c r="E19" s="158" t="e">
        <f t="shared" si="6"/>
        <v>#REF!</v>
      </c>
      <c r="F19" s="158" t="e">
        <f t="shared" si="6"/>
        <v>#REF!</v>
      </c>
      <c r="G19" s="158" t="e">
        <f t="shared" si="6"/>
        <v>#REF!</v>
      </c>
      <c r="H19" s="158" t="e">
        <f t="shared" si="6"/>
        <v>#REF!</v>
      </c>
      <c r="I19" s="158" t="e">
        <f t="shared" si="6"/>
        <v>#REF!</v>
      </c>
      <c r="J19" s="158" t="e">
        <f t="shared" si="6"/>
        <v>#REF!</v>
      </c>
      <c r="K19" s="158" t="e">
        <f t="shared" si="6"/>
        <v>#REF!</v>
      </c>
      <c r="L19" s="158" t="e">
        <f t="shared" si="6"/>
        <v>#REF!</v>
      </c>
      <c r="M19" s="160" t="e">
        <f>SUM(C19:L19)</f>
        <v>#REF!</v>
      </c>
    </row>
    <row r="20" spans="1:18" s="141" customFormat="1" ht="12">
      <c r="A20" s="154">
        <v>6</v>
      </c>
      <c r="B20" s="157" t="s">
        <v>40</v>
      </c>
      <c r="C20" s="158">
        <f>C19</f>
        <v>0</v>
      </c>
      <c r="D20" s="158">
        <f t="shared" ref="D20:L20" si="7">C20+D19</f>
        <v>0</v>
      </c>
      <c r="E20" s="158" t="e">
        <f t="shared" si="7"/>
        <v>#REF!</v>
      </c>
      <c r="F20" s="158" t="e">
        <f t="shared" si="7"/>
        <v>#REF!</v>
      </c>
      <c r="G20" s="158" t="e">
        <f t="shared" si="7"/>
        <v>#REF!</v>
      </c>
      <c r="H20" s="158" t="e">
        <f t="shared" si="7"/>
        <v>#REF!</v>
      </c>
      <c r="I20" s="158" t="e">
        <f t="shared" si="7"/>
        <v>#REF!</v>
      </c>
      <c r="J20" s="158" t="e">
        <f t="shared" si="7"/>
        <v>#REF!</v>
      </c>
      <c r="K20" s="158" t="e">
        <f t="shared" si="7"/>
        <v>#REF!</v>
      </c>
      <c r="L20" s="158" t="e">
        <f t="shared" si="7"/>
        <v>#REF!</v>
      </c>
      <c r="M20" s="157" t="s">
        <v>28</v>
      </c>
    </row>
    <row r="21" spans="1:18" ht="12">
      <c r="A21" s="162"/>
      <c r="B21" s="163" t="s">
        <v>41</v>
      </c>
      <c r="C21" s="163"/>
      <c r="D21" s="163"/>
      <c r="E21" s="163" t="s">
        <v>42</v>
      </c>
      <c r="F21" s="163"/>
      <c r="G21" s="163"/>
      <c r="H21" s="163"/>
      <c r="I21" s="163" t="s">
        <v>43</v>
      </c>
      <c r="J21" s="163"/>
      <c r="K21" s="163"/>
      <c r="L21" s="163"/>
      <c r="M21" s="174"/>
    </row>
    <row r="22" spans="1:18" ht="12">
      <c r="A22" s="164"/>
      <c r="B22" s="165" t="s">
        <v>44</v>
      </c>
      <c r="C22" s="165"/>
      <c r="D22" s="166" t="s">
        <v>45</v>
      </c>
      <c r="E22" s="167" t="e">
        <f>IRR(C17:L17,0.15)</f>
        <v>#VALUE!</v>
      </c>
      <c r="F22" s="165"/>
      <c r="G22" s="165"/>
      <c r="H22" s="165"/>
      <c r="I22" s="167" t="e">
        <f>IRR(C19:L19,0.15)</f>
        <v>#VALUE!</v>
      </c>
      <c r="J22" s="165"/>
      <c r="K22" s="165"/>
      <c r="L22" s="165"/>
      <c r="M22" s="175"/>
    </row>
    <row r="23" spans="1:18" ht="12">
      <c r="A23" s="164"/>
      <c r="B23" s="165" t="s">
        <v>46</v>
      </c>
      <c r="C23" s="165"/>
      <c r="D23" s="165"/>
      <c r="E23" s="168" t="e">
        <f>NPV(0.12,C17:L17)</f>
        <v>#REF!</v>
      </c>
      <c r="F23" s="165"/>
      <c r="G23" s="165"/>
      <c r="H23" s="165"/>
      <c r="I23" s="168" t="e">
        <f>NPV(0.12,C19:L19)</f>
        <v>#REF!</v>
      </c>
      <c r="J23" s="165"/>
      <c r="K23" s="165"/>
      <c r="L23" s="165"/>
      <c r="M23" s="175"/>
      <c r="R23" s="142">
        <f>30.9-29.82</f>
        <v>1.08</v>
      </c>
    </row>
    <row r="24" spans="1:18" ht="12">
      <c r="A24" s="169"/>
      <c r="B24" s="170" t="s">
        <v>47</v>
      </c>
      <c r="C24" s="170"/>
      <c r="D24" s="170"/>
      <c r="E24" s="171" t="e">
        <f>6-H18/I17</f>
        <v>#REF!</v>
      </c>
      <c r="F24" s="170"/>
      <c r="G24" s="170"/>
      <c r="H24" s="170"/>
      <c r="I24" s="171" t="e">
        <f>6-H20/I19</f>
        <v>#REF!</v>
      </c>
      <c r="J24" s="170"/>
      <c r="K24" s="170"/>
      <c r="L24" s="170"/>
      <c r="M24" s="176"/>
    </row>
  </sheetData>
  <mergeCells count="1">
    <mergeCell ref="C3:E3"/>
  </mergeCells>
  <phoneticPr fontId="4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E15" sqref="E15"/>
    </sheetView>
  </sheetViews>
  <sheetFormatPr defaultColWidth="9" defaultRowHeight="16.5"/>
  <cols>
    <col min="1" max="1" width="5.125" style="116" customWidth="1"/>
    <col min="2" max="2" width="26.375" style="116" customWidth="1"/>
    <col min="3" max="3" width="12.5" style="116" customWidth="1"/>
    <col min="4" max="9" width="12.5" style="117" customWidth="1"/>
    <col min="10" max="10" width="16.5" style="117" customWidth="1"/>
    <col min="11" max="36" width="9" style="116"/>
    <col min="37" max="37" width="4.375" style="116" customWidth="1"/>
    <col min="38" max="38" width="13.875" style="116" customWidth="1"/>
    <col min="39" max="16384" width="9" style="116"/>
  </cols>
  <sheetData>
    <row r="1" spans="1:39" ht="36.75" customHeight="1">
      <c r="A1" s="211" t="s">
        <v>286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39" ht="22.5" customHeight="1">
      <c r="B2" s="186"/>
      <c r="C2" s="186"/>
      <c r="D2" s="186"/>
      <c r="E2" s="186"/>
      <c r="F2" s="186"/>
      <c r="G2" s="186"/>
      <c r="H2" s="186"/>
      <c r="I2" s="186" t="s">
        <v>277</v>
      </c>
      <c r="J2" s="186"/>
    </row>
    <row r="3" spans="1:39" ht="21.75" customHeight="1">
      <c r="A3" s="209" t="s">
        <v>18</v>
      </c>
      <c r="B3" s="118" t="s">
        <v>1</v>
      </c>
      <c r="C3" s="118" t="s">
        <v>270</v>
      </c>
      <c r="D3" s="118" t="s">
        <v>271</v>
      </c>
      <c r="E3" s="118" t="s">
        <v>272</v>
      </c>
      <c r="F3" s="118" t="s">
        <v>273</v>
      </c>
      <c r="G3" s="118" t="s">
        <v>274</v>
      </c>
      <c r="H3" s="118" t="s">
        <v>275</v>
      </c>
      <c r="I3" s="118" t="s">
        <v>276</v>
      </c>
      <c r="J3" s="137" t="s">
        <v>51</v>
      </c>
      <c r="AM3" s="116" t="s">
        <v>52</v>
      </c>
    </row>
    <row r="4" spans="1:39" s="86" customFormat="1" ht="15.75" customHeight="1">
      <c r="A4" s="210"/>
      <c r="B4" s="94" t="s">
        <v>3</v>
      </c>
      <c r="C4" s="119">
        <f>'2025年'!F6</f>
        <v>200</v>
      </c>
      <c r="D4" s="119">
        <f>'2026年'!F6</f>
        <v>1000</v>
      </c>
      <c r="E4" s="119">
        <f>'2027年'!F6</f>
        <v>2000</v>
      </c>
      <c r="F4" s="119">
        <f>'2028年'!F6</f>
        <v>2000</v>
      </c>
      <c r="G4" s="119">
        <f>'2029年'!F6</f>
        <v>2000</v>
      </c>
      <c r="H4" s="119"/>
      <c r="I4" s="119"/>
      <c r="J4" s="119">
        <f t="shared" ref="J4:J11" si="0">SUM(C4:I4)</f>
        <v>7200</v>
      </c>
      <c r="AK4" s="93" t="s">
        <v>18</v>
      </c>
      <c r="AL4" s="94" t="s">
        <v>3</v>
      </c>
      <c r="AM4" s="86" t="s">
        <v>53</v>
      </c>
    </row>
    <row r="5" spans="1:39" s="86" customFormat="1" ht="15.75" customHeight="1">
      <c r="A5" s="90">
        <v>1</v>
      </c>
      <c r="B5" s="94" t="s">
        <v>54</v>
      </c>
      <c r="C5" s="119">
        <f>'2025年'!F7</f>
        <v>233000</v>
      </c>
      <c r="D5" s="119">
        <f>'2026年'!F7</f>
        <v>1165000</v>
      </c>
      <c r="E5" s="119">
        <f>'2027年'!F7</f>
        <v>2330000</v>
      </c>
      <c r="F5" s="119">
        <f>'2028年'!F7</f>
        <v>2330000</v>
      </c>
      <c r="G5" s="119">
        <f>'2029年'!F7</f>
        <v>2330000</v>
      </c>
      <c r="H5" s="119"/>
      <c r="I5" s="119"/>
      <c r="J5" s="119">
        <f t="shared" si="0"/>
        <v>8388000</v>
      </c>
      <c r="AK5" s="93" t="s">
        <v>55</v>
      </c>
      <c r="AL5" s="94" t="s">
        <v>54</v>
      </c>
      <c r="AM5" s="86" t="s">
        <v>53</v>
      </c>
    </row>
    <row r="6" spans="1:39" s="86" customFormat="1" ht="15.75" customHeight="1">
      <c r="A6" s="90">
        <v>2</v>
      </c>
      <c r="B6" s="90" t="s">
        <v>56</v>
      </c>
      <c r="C6" s="119">
        <f>'2025年'!F8</f>
        <v>0</v>
      </c>
      <c r="D6" s="119">
        <f>'2026年'!F8</f>
        <v>58250.000000000051</v>
      </c>
      <c r="E6" s="119">
        <f>'2027年'!F8</f>
        <v>227175.00000000006</v>
      </c>
      <c r="F6" s="119">
        <f>'2028年'!F8</f>
        <v>332316.25</v>
      </c>
      <c r="G6" s="119">
        <f>'2029年'!F8</f>
        <v>432200.4375</v>
      </c>
      <c r="H6" s="119"/>
      <c r="I6" s="119"/>
      <c r="J6" s="119">
        <f t="shared" si="0"/>
        <v>1049941.6875</v>
      </c>
      <c r="AK6" s="93" t="s">
        <v>57</v>
      </c>
      <c r="AL6" s="90" t="s">
        <v>58</v>
      </c>
      <c r="AM6" s="86" t="s">
        <v>53</v>
      </c>
    </row>
    <row r="7" spans="1:39" s="86" customFormat="1" ht="15.75" customHeight="1">
      <c r="A7" s="90">
        <v>3</v>
      </c>
      <c r="B7" s="94" t="s">
        <v>59</v>
      </c>
      <c r="C7" s="120">
        <f>'2025年'!F9</f>
        <v>233000</v>
      </c>
      <c r="D7" s="120">
        <f>D5-D6</f>
        <v>1106750</v>
      </c>
      <c r="E7" s="120">
        <f>'2027年'!F9</f>
        <v>2102825</v>
      </c>
      <c r="F7" s="119">
        <f>'2028年'!F9</f>
        <v>1997683.75</v>
      </c>
      <c r="G7" s="119">
        <f>'2029年'!F9</f>
        <v>1897799.5625</v>
      </c>
      <c r="H7" s="119"/>
      <c r="I7" s="119"/>
      <c r="J7" s="119">
        <f t="shared" si="0"/>
        <v>7338058.3125</v>
      </c>
      <c r="AK7" s="93" t="s">
        <v>60</v>
      </c>
      <c r="AL7" s="94" t="s">
        <v>59</v>
      </c>
      <c r="AM7" s="86" t="s">
        <v>61</v>
      </c>
    </row>
    <row r="8" spans="1:39" s="86" customFormat="1" ht="15.75" customHeight="1">
      <c r="A8" s="90">
        <v>4</v>
      </c>
      <c r="B8" s="202" t="s">
        <v>278</v>
      </c>
      <c r="C8" s="203">
        <f>'2025年'!F10</f>
        <v>188408.60078288449</v>
      </c>
      <c r="D8" s="203">
        <f>'2026年'!F10</f>
        <v>894940.85371870128</v>
      </c>
      <c r="E8" s="204">
        <f>'2027年'!F10</f>
        <v>1700387.6220655325</v>
      </c>
      <c r="F8" s="203">
        <f>'2028年'!F10</f>
        <v>1615368.2409622557</v>
      </c>
      <c r="G8" s="203">
        <f>'2029年'!F10</f>
        <v>1534599.8289141427</v>
      </c>
      <c r="H8" s="203"/>
      <c r="I8" s="203"/>
      <c r="J8" s="203">
        <f t="shared" si="0"/>
        <v>5933705.146443516</v>
      </c>
      <c r="AK8" s="93" t="s">
        <v>62</v>
      </c>
      <c r="AL8" s="93" t="s">
        <v>63</v>
      </c>
      <c r="AM8" s="86" t="s">
        <v>64</v>
      </c>
    </row>
    <row r="9" spans="1:39" s="86" customFormat="1" ht="15.75" customHeight="1">
      <c r="A9" s="90">
        <v>5</v>
      </c>
      <c r="B9" s="93" t="s">
        <v>65</v>
      </c>
      <c r="C9" s="119">
        <f>'2025年'!F11</f>
        <v>6826.9</v>
      </c>
      <c r="D9" s="119">
        <f>'2026年'!F11</f>
        <v>34134.5</v>
      </c>
      <c r="E9" s="120">
        <f>'2027年'!F11</f>
        <v>68269</v>
      </c>
      <c r="F9" s="119">
        <f>'2028年'!F11</f>
        <v>68269</v>
      </c>
      <c r="G9" s="119">
        <f>'2029年'!F11</f>
        <v>68269</v>
      </c>
      <c r="H9" s="119"/>
      <c r="I9" s="119"/>
      <c r="J9" s="119">
        <f t="shared" si="0"/>
        <v>245768.4</v>
      </c>
      <c r="AK9" s="93" t="s">
        <v>66</v>
      </c>
      <c r="AL9" s="93" t="s">
        <v>65</v>
      </c>
    </row>
    <row r="10" spans="1:39" s="86" customFormat="1" ht="15.75" customHeight="1">
      <c r="A10" s="90">
        <v>6</v>
      </c>
      <c r="B10" s="93" t="s">
        <v>67</v>
      </c>
      <c r="C10" s="119">
        <f>'2025年'!F12</f>
        <v>2027.0999999999997</v>
      </c>
      <c r="D10" s="119">
        <f>'2026年'!F12</f>
        <v>10135.499999999998</v>
      </c>
      <c r="E10" s="120">
        <f>'2027年'!F12</f>
        <v>20270.999999999996</v>
      </c>
      <c r="F10" s="119">
        <f>'2028年'!F12</f>
        <v>20270.999999999996</v>
      </c>
      <c r="G10" s="119">
        <f>'2029年'!F12</f>
        <v>20270.999999999996</v>
      </c>
      <c r="H10" s="119"/>
      <c r="I10" s="119"/>
      <c r="J10" s="119">
        <f t="shared" si="0"/>
        <v>72975.599999999991</v>
      </c>
      <c r="AK10" s="93" t="s">
        <v>68</v>
      </c>
      <c r="AL10" s="93" t="s">
        <v>67</v>
      </c>
    </row>
    <row r="11" spans="1:39" s="86" customFormat="1" ht="15.75" customHeight="1">
      <c r="A11" s="90">
        <v>7</v>
      </c>
      <c r="B11" s="93" t="s">
        <v>69</v>
      </c>
      <c r="C11" s="119">
        <f>'2025年'!F13</f>
        <v>9599.6</v>
      </c>
      <c r="D11" s="119">
        <f>'2026年'!F13</f>
        <v>47998</v>
      </c>
      <c r="E11" s="120">
        <f>'2027年'!F13</f>
        <v>95996</v>
      </c>
      <c r="F11" s="119">
        <f>'2028年'!F13</f>
        <v>95996</v>
      </c>
      <c r="G11" s="119">
        <f>'2029年'!F13</f>
        <v>95996</v>
      </c>
      <c r="H11" s="119"/>
      <c r="I11" s="119"/>
      <c r="J11" s="119">
        <f t="shared" si="0"/>
        <v>345585.6</v>
      </c>
      <c r="AK11" s="93" t="s">
        <v>70</v>
      </c>
      <c r="AL11" s="93" t="s">
        <v>69</v>
      </c>
      <c r="AM11" s="86" t="s">
        <v>53</v>
      </c>
    </row>
    <row r="12" spans="1:39" s="86" customFormat="1" ht="15.75" customHeight="1">
      <c r="A12" s="90">
        <v>8</v>
      </c>
      <c r="B12" s="121" t="s">
        <v>71</v>
      </c>
      <c r="C12" s="122">
        <f>SUM(C9:C11)</f>
        <v>18453.599999999999</v>
      </c>
      <c r="D12" s="122">
        <f t="shared" ref="D12:J12" si="1">SUM(D9:D11)</f>
        <v>92268</v>
      </c>
      <c r="E12" s="122">
        <f t="shared" si="1"/>
        <v>184536</v>
      </c>
      <c r="F12" s="122">
        <f t="shared" si="1"/>
        <v>184536</v>
      </c>
      <c r="G12" s="122">
        <f t="shared" si="1"/>
        <v>184536</v>
      </c>
      <c r="H12" s="122"/>
      <c r="I12" s="122"/>
      <c r="J12" s="122">
        <f t="shared" si="1"/>
        <v>664329.6</v>
      </c>
      <c r="AK12" s="93" t="s">
        <v>72</v>
      </c>
      <c r="AL12" s="98" t="s">
        <v>71</v>
      </c>
    </row>
    <row r="13" spans="1:39" s="86" customFormat="1" ht="15.75" customHeight="1">
      <c r="A13" s="90">
        <v>9</v>
      </c>
      <c r="B13" s="123" t="s">
        <v>73</v>
      </c>
      <c r="C13" s="119">
        <f>'2025年'!F15</f>
        <v>26137.79921711552</v>
      </c>
      <c r="D13" s="119">
        <f>'2026年'!F15</f>
        <v>119541.14628129877</v>
      </c>
      <c r="E13" s="120">
        <f>'2027年'!F15</f>
        <v>217901.37793446757</v>
      </c>
      <c r="F13" s="119">
        <f>'2028年'!F15</f>
        <v>197779.50903774431</v>
      </c>
      <c r="G13" s="119">
        <f>'2029年'!F15</f>
        <v>178663.7335858572</v>
      </c>
      <c r="H13" s="119"/>
      <c r="I13" s="119"/>
      <c r="J13" s="119">
        <f t="shared" ref="J13:J20" si="2">SUM(C13:I13)</f>
        <v>740023.56605648331</v>
      </c>
      <c r="L13" s="116"/>
      <c r="M13" s="116"/>
      <c r="N13" s="116"/>
      <c r="O13" s="116"/>
      <c r="P13" s="116"/>
      <c r="Q13" s="116"/>
      <c r="AK13" s="93" t="s">
        <v>74</v>
      </c>
      <c r="AL13" s="98" t="s">
        <v>73</v>
      </c>
    </row>
    <row r="14" spans="1:39" ht="15.75" customHeight="1">
      <c r="A14" s="90">
        <v>10</v>
      </c>
      <c r="B14" s="124" t="s">
        <v>75</v>
      </c>
      <c r="C14" s="125">
        <f t="shared" ref="C14:G14" si="3">+C13/C7</f>
        <v>0.11217939578161168</v>
      </c>
      <c r="D14" s="125">
        <f t="shared" si="3"/>
        <v>0.10801097472898015</v>
      </c>
      <c r="E14" s="125">
        <f t="shared" si="3"/>
        <v>0.10362316309463107</v>
      </c>
      <c r="F14" s="125">
        <f t="shared" si="3"/>
        <v>9.9004414005842672E-2</v>
      </c>
      <c r="G14" s="125">
        <f t="shared" si="3"/>
        <v>9.4142572859749626E-2</v>
      </c>
      <c r="H14" s="125"/>
      <c r="I14" s="119"/>
      <c r="J14" s="125">
        <f>+J13/J7</f>
        <v>0.1008473269823833</v>
      </c>
      <c r="AK14" s="124" t="s">
        <v>76</v>
      </c>
      <c r="AL14" s="124" t="s">
        <v>75</v>
      </c>
    </row>
    <row r="15" spans="1:39" ht="15.75" customHeight="1">
      <c r="A15" s="90">
        <v>11</v>
      </c>
      <c r="B15" s="124" t="s">
        <v>77</v>
      </c>
      <c r="C15" s="119">
        <f>'2025年'!F17</f>
        <v>15075.1</v>
      </c>
      <c r="D15" s="119">
        <f>'2026年'!F17</f>
        <v>75375.499999999985</v>
      </c>
      <c r="E15" s="120">
        <f>'2027年'!F17</f>
        <v>150750.99999999997</v>
      </c>
      <c r="F15" s="119">
        <f>'2028年'!F17</f>
        <v>150750.99999999997</v>
      </c>
      <c r="G15" s="119">
        <f>'2029年'!F17</f>
        <v>150750.99999999997</v>
      </c>
      <c r="H15" s="119"/>
      <c r="I15" s="119"/>
      <c r="J15" s="119">
        <f t="shared" si="2"/>
        <v>542703.6</v>
      </c>
      <c r="AK15" s="124" t="s">
        <v>78</v>
      </c>
      <c r="AL15" s="124" t="s">
        <v>77</v>
      </c>
    </row>
    <row r="16" spans="1:39" ht="15.75" hidden="1" customHeight="1">
      <c r="A16" s="90"/>
      <c r="B16" s="124"/>
      <c r="C16" s="119"/>
      <c r="D16" s="119"/>
      <c r="E16" s="119"/>
      <c r="F16" s="119"/>
      <c r="G16" s="119"/>
      <c r="H16" s="119"/>
      <c r="I16" s="119"/>
      <c r="J16" s="119">
        <f>SUM(D16:F16)</f>
        <v>0</v>
      </c>
      <c r="AK16" s="124"/>
      <c r="AL16" s="124"/>
    </row>
    <row r="17" spans="1:39" ht="15.75" customHeight="1">
      <c r="A17" s="90">
        <v>12</v>
      </c>
      <c r="B17" s="124" t="s">
        <v>79</v>
      </c>
      <c r="C17" s="126">
        <f>'2025年'!F19</f>
        <v>3192.1</v>
      </c>
      <c r="D17" s="126">
        <f>'2026年'!F19</f>
        <v>15960.5</v>
      </c>
      <c r="E17" s="126">
        <f>'2027年'!F19</f>
        <v>31921</v>
      </c>
      <c r="F17" s="119">
        <f>'2028年'!F19</f>
        <v>31921</v>
      </c>
      <c r="G17" s="119">
        <f>'2029年'!F19</f>
        <v>31921</v>
      </c>
      <c r="H17" s="119"/>
      <c r="I17" s="119"/>
      <c r="J17" s="119">
        <f t="shared" si="2"/>
        <v>114915.6</v>
      </c>
      <c r="R17" s="97"/>
      <c r="AK17" s="124" t="s">
        <v>80</v>
      </c>
      <c r="AL17" s="124" t="s">
        <v>79</v>
      </c>
      <c r="AM17" s="116" t="s">
        <v>53</v>
      </c>
    </row>
    <row r="18" spans="1:39" ht="15.75" customHeight="1">
      <c r="A18" s="90">
        <v>13</v>
      </c>
      <c r="B18" s="124" t="s">
        <v>81</v>
      </c>
      <c r="C18" s="126">
        <f>'2025年'!F20</f>
        <v>4776.5</v>
      </c>
      <c r="D18" s="126">
        <f>'2026年'!F20</f>
        <v>23882.5</v>
      </c>
      <c r="E18" s="126">
        <f>'2027年'!F20</f>
        <v>47765</v>
      </c>
      <c r="F18" s="119">
        <f>'2028年'!F20</f>
        <v>47765</v>
      </c>
      <c r="G18" s="119">
        <f>'2029年'!F20</f>
        <v>47765</v>
      </c>
      <c r="H18" s="119"/>
      <c r="I18" s="119"/>
      <c r="J18" s="119">
        <f t="shared" si="2"/>
        <v>171954</v>
      </c>
      <c r="AK18" s="124" t="s">
        <v>82</v>
      </c>
      <c r="AL18" s="124" t="s">
        <v>81</v>
      </c>
    </row>
    <row r="19" spans="1:39" s="88" customFormat="1" ht="15.75" customHeight="1">
      <c r="A19" s="90">
        <v>14</v>
      </c>
      <c r="B19" s="105" t="s">
        <v>83</v>
      </c>
      <c r="C19" s="127">
        <f>'2025年'!F21</f>
        <v>520</v>
      </c>
      <c r="D19" s="127">
        <f>'2026年'!F21</f>
        <v>520</v>
      </c>
      <c r="E19" s="127">
        <f>'2027年'!F21</f>
        <v>520</v>
      </c>
      <c r="F19" s="127">
        <f>'2028年'!F21</f>
        <v>520</v>
      </c>
      <c r="G19" s="119">
        <f>'2029年'!F21</f>
        <v>520</v>
      </c>
      <c r="H19" s="119"/>
      <c r="I19" s="119"/>
      <c r="J19" s="119">
        <f t="shared" si="2"/>
        <v>2600</v>
      </c>
      <c r="AK19" s="105"/>
      <c r="AL19" s="105"/>
    </row>
    <row r="20" spans="1:39" s="86" customFormat="1" ht="15.75" customHeight="1">
      <c r="A20" s="90">
        <v>15</v>
      </c>
      <c r="B20" s="93" t="s">
        <v>84</v>
      </c>
      <c r="C20" s="126">
        <f>'2025年'!F22</f>
        <v>10158.799999999999</v>
      </c>
      <c r="D20" s="126">
        <f>'2026年'!F22</f>
        <v>50794</v>
      </c>
      <c r="E20" s="126">
        <f>'2027年'!F22</f>
        <v>165680</v>
      </c>
      <c r="F20" s="119">
        <f>'2028年'!F22</f>
        <v>165680</v>
      </c>
      <c r="G20" s="119">
        <f>'2029年'!F22</f>
        <v>165680</v>
      </c>
      <c r="H20" s="119"/>
      <c r="I20" s="119"/>
      <c r="J20" s="119">
        <f t="shared" si="2"/>
        <v>557992.80000000005</v>
      </c>
      <c r="AK20" s="93" t="s">
        <v>85</v>
      </c>
      <c r="AL20" s="93" t="s">
        <v>84</v>
      </c>
    </row>
    <row r="21" spans="1:39" s="114" customFormat="1" ht="15.75" customHeight="1">
      <c r="A21" s="90">
        <v>16</v>
      </c>
      <c r="B21" s="128" t="s">
        <v>86</v>
      </c>
      <c r="C21" s="122">
        <f t="shared" ref="C21:G21" si="4">+C20+C19+C18+C17+C15</f>
        <v>33722.5</v>
      </c>
      <c r="D21" s="122">
        <f t="shared" si="4"/>
        <v>166532.5</v>
      </c>
      <c r="E21" s="122">
        <f t="shared" si="4"/>
        <v>396637</v>
      </c>
      <c r="F21" s="122">
        <f t="shared" si="4"/>
        <v>396637</v>
      </c>
      <c r="G21" s="122">
        <f t="shared" si="4"/>
        <v>396637</v>
      </c>
      <c r="H21" s="122"/>
      <c r="I21" s="122"/>
      <c r="J21" s="122">
        <f>+J20+J19+J18+J17+J15</f>
        <v>1390166</v>
      </c>
      <c r="AK21" s="138" t="s">
        <v>87</v>
      </c>
      <c r="AL21" s="139" t="s">
        <v>86</v>
      </c>
    </row>
    <row r="22" spans="1:39" ht="15.75" customHeight="1">
      <c r="A22" s="90">
        <v>17</v>
      </c>
      <c r="B22" s="124" t="s">
        <v>88</v>
      </c>
      <c r="C22" s="127">
        <f>'2025年'!F24</f>
        <v>-7584.7007828844798</v>
      </c>
      <c r="D22" s="129">
        <f>'2026年'!F24</f>
        <v>-46991.353718701226</v>
      </c>
      <c r="E22" s="129">
        <f>'2027年'!F24</f>
        <v>-178735.62206553243</v>
      </c>
      <c r="F22" s="119">
        <f>'2028年'!F24</f>
        <v>-198857.49096225569</v>
      </c>
      <c r="G22" s="119">
        <f>'2029年'!F24</f>
        <v>-217973.2664141428</v>
      </c>
      <c r="H22" s="119"/>
      <c r="I22" s="119"/>
      <c r="J22" s="119">
        <f t="shared" ref="J22" si="5">SUM(C22:I22)</f>
        <v>-650142.43394351657</v>
      </c>
      <c r="AK22" s="124" t="s">
        <v>89</v>
      </c>
      <c r="AL22" s="124" t="s">
        <v>88</v>
      </c>
    </row>
    <row r="23" spans="1:39" ht="15.75" customHeight="1">
      <c r="A23" s="90">
        <v>18</v>
      </c>
      <c r="B23" s="124" t="s">
        <v>35</v>
      </c>
      <c r="C23" s="127">
        <f>'2025年'!F25</f>
        <v>0</v>
      </c>
      <c r="D23" s="129">
        <f>'2026年'!F25</f>
        <v>0</v>
      </c>
      <c r="E23" s="129">
        <f>'2027年'!F25</f>
        <v>0</v>
      </c>
      <c r="F23" s="119">
        <f>'2028年'!F25</f>
        <v>0</v>
      </c>
      <c r="G23" s="119">
        <f>'2029年'!F25</f>
        <v>0</v>
      </c>
      <c r="H23" s="119"/>
      <c r="I23" s="119"/>
      <c r="J23" s="119">
        <f t="shared" ref="J23" si="6">IF(J22&lt;0,0,J22*0.15)</f>
        <v>0</v>
      </c>
      <c r="AK23" s="124" t="s">
        <v>90</v>
      </c>
      <c r="AL23" s="124" t="s">
        <v>35</v>
      </c>
    </row>
    <row r="24" spans="1:39" ht="15.75" customHeight="1">
      <c r="A24" s="90">
        <v>19</v>
      </c>
      <c r="B24" s="124" t="s">
        <v>91</v>
      </c>
      <c r="C24" s="127">
        <f>'2025年'!F26</f>
        <v>-7584.7007828844817</v>
      </c>
      <c r="D24" s="129">
        <f>'2026年'!F26</f>
        <v>-46991.353718701226</v>
      </c>
      <c r="E24" s="129">
        <f>'2027年'!F26</f>
        <v>-178735.62206553243</v>
      </c>
      <c r="F24" s="119">
        <f>'2028年'!F26</f>
        <v>-198857.49096225569</v>
      </c>
      <c r="G24" s="119">
        <f>'2029年'!F26</f>
        <v>-217973.2664141428</v>
      </c>
      <c r="H24" s="119"/>
      <c r="I24" s="119"/>
      <c r="J24" s="119">
        <f>J22-J23</f>
        <v>-650142.43394351657</v>
      </c>
      <c r="AK24" s="124" t="s">
        <v>92</v>
      </c>
      <c r="AL24" s="124" t="s">
        <v>91</v>
      </c>
    </row>
    <row r="25" spans="1:39" ht="15.75" customHeight="1">
      <c r="A25" s="90">
        <v>20</v>
      </c>
      <c r="B25" s="124" t="s">
        <v>93</v>
      </c>
      <c r="C25" s="130">
        <f>C24/C5</f>
        <v>-3.2552363875040694E-2</v>
      </c>
      <c r="D25" s="130">
        <f t="shared" ref="D25:J25" si="7">D24/D5</f>
        <v>-4.0335925938799339E-2</v>
      </c>
      <c r="E25" s="130">
        <f t="shared" si="7"/>
        <v>-7.6710567410099753E-2</v>
      </c>
      <c r="F25" s="130">
        <f t="shared" si="7"/>
        <v>-8.5346562644744925E-2</v>
      </c>
      <c r="G25" s="130">
        <f t="shared" si="7"/>
        <v>-9.3550758117657853E-2</v>
      </c>
      <c r="H25" s="130"/>
      <c r="I25" s="130"/>
      <c r="J25" s="130">
        <f t="shared" si="7"/>
        <v>-7.7508635424835076E-2</v>
      </c>
      <c r="AK25" s="140" t="s">
        <v>94</v>
      </c>
      <c r="AL25" s="140" t="s">
        <v>95</v>
      </c>
    </row>
    <row r="26" spans="1:39" s="115" customFormat="1" ht="15.75" customHeight="1">
      <c r="D26" s="131"/>
      <c r="E26" s="131"/>
      <c r="F26" s="131"/>
      <c r="G26" s="131"/>
      <c r="H26" s="131"/>
      <c r="I26" s="131"/>
      <c r="J26" s="131"/>
    </row>
    <row r="27" spans="1:39" s="115" customFormat="1" ht="15.75" customHeight="1">
      <c r="A27" s="115" t="s">
        <v>96</v>
      </c>
      <c r="D27" s="132"/>
      <c r="E27" s="132"/>
      <c r="F27" s="132"/>
      <c r="G27" s="132"/>
      <c r="H27" s="132"/>
      <c r="I27" s="132"/>
      <c r="J27" s="132"/>
      <c r="AK27" s="115" t="s">
        <v>96</v>
      </c>
    </row>
    <row r="28" spans="1:39" ht="25.5" customHeight="1">
      <c r="A28" s="124" t="s">
        <v>18</v>
      </c>
      <c r="B28" s="187" t="s">
        <v>1</v>
      </c>
      <c r="C28" s="118" t="str">
        <f>C3</f>
        <v>2025年</v>
      </c>
      <c r="D28" s="118" t="str">
        <f t="shared" ref="D28:I28" si="8">D3</f>
        <v>2026年</v>
      </c>
      <c r="E28" s="118" t="str">
        <f t="shared" si="8"/>
        <v>2027年</v>
      </c>
      <c r="F28" s="118" t="str">
        <f t="shared" si="8"/>
        <v>2028年</v>
      </c>
      <c r="G28" s="118" t="str">
        <f t="shared" si="8"/>
        <v>2029年</v>
      </c>
      <c r="H28" s="118" t="str">
        <f t="shared" si="8"/>
        <v>2030年</v>
      </c>
      <c r="I28" s="118" t="str">
        <f t="shared" si="8"/>
        <v>2031年</v>
      </c>
      <c r="J28" s="137" t="s">
        <v>51</v>
      </c>
      <c r="AM28" s="116" t="s">
        <v>52</v>
      </c>
    </row>
    <row r="29" spans="1:39" s="86" customFormat="1" ht="15.75" customHeight="1">
      <c r="A29" s="93" t="s">
        <v>97</v>
      </c>
      <c r="B29" s="98" t="s">
        <v>98</v>
      </c>
      <c r="C29" s="98"/>
      <c r="D29" s="104"/>
      <c r="E29" s="104"/>
      <c r="F29" s="104"/>
      <c r="G29" s="104"/>
      <c r="H29" s="104"/>
      <c r="I29" s="104"/>
      <c r="J29" s="104"/>
      <c r="AK29" s="93" t="s">
        <v>99</v>
      </c>
      <c r="AL29" s="98" t="s">
        <v>98</v>
      </c>
    </row>
    <row r="30" spans="1:39" s="86" customFormat="1" ht="15.75" customHeight="1">
      <c r="A30" s="93" t="s">
        <v>55</v>
      </c>
      <c r="B30" s="93" t="s">
        <v>100</v>
      </c>
      <c r="C30" s="96">
        <f>+C7/C4</f>
        <v>1165</v>
      </c>
      <c r="D30" s="96">
        <f t="shared" ref="D30:J30" si="9">+D7/D4</f>
        <v>1106.75</v>
      </c>
      <c r="E30" s="96">
        <f t="shared" si="9"/>
        <v>1051.4124999999999</v>
      </c>
      <c r="F30" s="96">
        <f t="shared" si="9"/>
        <v>998.84187499999996</v>
      </c>
      <c r="G30" s="96">
        <f t="shared" si="9"/>
        <v>948.89978125000005</v>
      </c>
      <c r="H30" s="96"/>
      <c r="I30" s="96"/>
      <c r="J30" s="96">
        <f t="shared" si="9"/>
        <v>1019.174765625</v>
      </c>
      <c r="AK30" s="93" t="s">
        <v>55</v>
      </c>
      <c r="AL30" s="93" t="s">
        <v>100</v>
      </c>
    </row>
    <row r="31" spans="1:39" s="86" customFormat="1" ht="15.75" customHeight="1">
      <c r="A31" s="93" t="s">
        <v>57</v>
      </c>
      <c r="B31" s="93" t="s">
        <v>101</v>
      </c>
      <c r="C31" s="96">
        <f>+C8/C4</f>
        <v>942.04300391442246</v>
      </c>
      <c r="D31" s="96">
        <f t="shared" ref="D31:J31" si="10">+D8/D4</f>
        <v>894.94085371870131</v>
      </c>
      <c r="E31" s="96">
        <f t="shared" si="10"/>
        <v>850.19381103276623</v>
      </c>
      <c r="F31" s="96">
        <f t="shared" si="10"/>
        <v>807.68412048112782</v>
      </c>
      <c r="G31" s="96">
        <f t="shared" si="10"/>
        <v>767.2999144570714</v>
      </c>
      <c r="H31" s="96"/>
      <c r="I31" s="96"/>
      <c r="J31" s="96">
        <f t="shared" si="10"/>
        <v>824.12571478382165</v>
      </c>
      <c r="AK31" s="93" t="s">
        <v>57</v>
      </c>
      <c r="AL31" s="93" t="s">
        <v>101</v>
      </c>
    </row>
    <row r="32" spans="1:39" s="86" customFormat="1" ht="15.75" customHeight="1">
      <c r="A32" s="93" t="s">
        <v>102</v>
      </c>
      <c r="B32" s="93" t="s">
        <v>103</v>
      </c>
      <c r="C32" s="104">
        <f>C30-C31</f>
        <v>222.95699608557754</v>
      </c>
      <c r="D32" s="104">
        <f t="shared" ref="D32:J32" si="11">D30-D31</f>
        <v>211.80914628129869</v>
      </c>
      <c r="E32" s="104">
        <f t="shared" si="11"/>
        <v>201.21868896723367</v>
      </c>
      <c r="F32" s="104">
        <f t="shared" si="11"/>
        <v>191.15775451887214</v>
      </c>
      <c r="G32" s="104">
        <f t="shared" si="11"/>
        <v>181.59986679292865</v>
      </c>
      <c r="H32" s="104"/>
      <c r="I32" s="104"/>
      <c r="J32" s="104">
        <f t="shared" si="11"/>
        <v>195.04905084117831</v>
      </c>
      <c r="AK32" s="93" t="s">
        <v>102</v>
      </c>
      <c r="AL32" s="93" t="s">
        <v>103</v>
      </c>
    </row>
    <row r="33" spans="1:38" s="86" customFormat="1" ht="15.75" customHeight="1">
      <c r="A33" s="93">
        <v>3.1</v>
      </c>
      <c r="B33" s="93" t="s">
        <v>104</v>
      </c>
      <c r="C33" s="99">
        <f>C32/C30</f>
        <v>0.19137939578161162</v>
      </c>
      <c r="D33" s="99">
        <f t="shared" ref="D33:J33" si="12">D32/D30</f>
        <v>0.19137939578161164</v>
      </c>
      <c r="E33" s="99">
        <f t="shared" si="12"/>
        <v>0.19137939578161159</v>
      </c>
      <c r="F33" s="99">
        <f t="shared" si="12"/>
        <v>0.19137939578161173</v>
      </c>
      <c r="G33" s="99">
        <f t="shared" si="12"/>
        <v>0.19137939578161184</v>
      </c>
      <c r="H33" s="99"/>
      <c r="I33" s="99"/>
      <c r="J33" s="99">
        <f t="shared" si="12"/>
        <v>0.19137939578161181</v>
      </c>
      <c r="AK33" s="93"/>
      <c r="AL33" s="93"/>
    </row>
    <row r="34" spans="1:38" s="86" customFormat="1" ht="15.75" customHeight="1">
      <c r="A34" s="93" t="s">
        <v>99</v>
      </c>
      <c r="B34" s="98" t="s">
        <v>9</v>
      </c>
      <c r="C34" s="104"/>
      <c r="D34" s="104"/>
      <c r="E34" s="104"/>
      <c r="F34" s="104"/>
      <c r="G34" s="104"/>
      <c r="H34" s="104"/>
      <c r="I34" s="104"/>
      <c r="J34" s="104"/>
      <c r="AK34" s="93" t="s">
        <v>105</v>
      </c>
      <c r="AL34" s="98" t="s">
        <v>9</v>
      </c>
    </row>
    <row r="35" spans="1:38" s="86" customFormat="1" ht="15.75" customHeight="1">
      <c r="A35" s="93" t="s">
        <v>55</v>
      </c>
      <c r="B35" s="105" t="s">
        <v>106</v>
      </c>
      <c r="C35" s="96">
        <f>+C9/C4</f>
        <v>34.134499999999996</v>
      </c>
      <c r="D35" s="96">
        <f t="shared" ref="D35:J35" si="13">+D9/D4</f>
        <v>34.134500000000003</v>
      </c>
      <c r="E35" s="96">
        <f t="shared" si="13"/>
        <v>34.134500000000003</v>
      </c>
      <c r="F35" s="96">
        <f t="shared" si="13"/>
        <v>34.134500000000003</v>
      </c>
      <c r="G35" s="96">
        <f t="shared" si="13"/>
        <v>34.134500000000003</v>
      </c>
      <c r="H35" s="96"/>
      <c r="I35" s="96"/>
      <c r="J35" s="96">
        <f t="shared" si="13"/>
        <v>34.134500000000003</v>
      </c>
      <c r="AK35" s="93" t="s">
        <v>102</v>
      </c>
      <c r="AL35" s="93" t="s">
        <v>106</v>
      </c>
    </row>
    <row r="36" spans="1:38" s="86" customFormat="1" ht="15.75" customHeight="1">
      <c r="A36" s="93" t="s">
        <v>57</v>
      </c>
      <c r="B36" s="105" t="s">
        <v>107</v>
      </c>
      <c r="C36" s="96">
        <f>+C10/C4</f>
        <v>10.135499999999999</v>
      </c>
      <c r="D36" s="96">
        <f t="shared" ref="D36:J36" si="14">+D10/D4</f>
        <v>10.135499999999999</v>
      </c>
      <c r="E36" s="96">
        <f t="shared" si="14"/>
        <v>10.135499999999999</v>
      </c>
      <c r="F36" s="96">
        <f t="shared" si="14"/>
        <v>10.135499999999999</v>
      </c>
      <c r="G36" s="96">
        <f t="shared" si="14"/>
        <v>10.135499999999999</v>
      </c>
      <c r="H36" s="96"/>
      <c r="I36" s="96"/>
      <c r="J36" s="96">
        <f t="shared" si="14"/>
        <v>10.135499999999999</v>
      </c>
      <c r="AK36" s="93" t="s">
        <v>60</v>
      </c>
      <c r="AL36" s="93" t="s">
        <v>107</v>
      </c>
    </row>
    <row r="37" spans="1:38" s="86" customFormat="1" ht="15.75" customHeight="1">
      <c r="A37" s="93" t="s">
        <v>102</v>
      </c>
      <c r="B37" s="105" t="s">
        <v>108</v>
      </c>
      <c r="C37" s="96">
        <f>+C11/C4</f>
        <v>47.998000000000005</v>
      </c>
      <c r="D37" s="96">
        <f t="shared" ref="D37:J37" si="15">+D11/D4</f>
        <v>47.997999999999998</v>
      </c>
      <c r="E37" s="96">
        <f t="shared" si="15"/>
        <v>47.997999999999998</v>
      </c>
      <c r="F37" s="96">
        <f t="shared" si="15"/>
        <v>47.997999999999998</v>
      </c>
      <c r="G37" s="96">
        <f t="shared" si="15"/>
        <v>47.997999999999998</v>
      </c>
      <c r="H37" s="96"/>
      <c r="I37" s="96"/>
      <c r="J37" s="96">
        <f t="shared" si="15"/>
        <v>47.997999999999998</v>
      </c>
      <c r="AK37" s="93" t="s">
        <v>66</v>
      </c>
      <c r="AL37" s="93" t="s">
        <v>108</v>
      </c>
    </row>
    <row r="38" spans="1:38" s="86" customFormat="1" ht="15.75" customHeight="1">
      <c r="A38" s="93" t="s">
        <v>109</v>
      </c>
      <c r="B38" s="123" t="s">
        <v>110</v>
      </c>
      <c r="C38" s="96"/>
      <c r="D38" s="96"/>
      <c r="E38" s="96"/>
      <c r="F38" s="96"/>
      <c r="G38" s="96"/>
      <c r="H38" s="96"/>
      <c r="I38" s="96"/>
      <c r="J38" s="96"/>
      <c r="AK38" s="93" t="s">
        <v>109</v>
      </c>
      <c r="AL38" s="98" t="s">
        <v>110</v>
      </c>
    </row>
    <row r="39" spans="1:38" s="86" customFormat="1">
      <c r="A39" s="93" t="s">
        <v>55</v>
      </c>
      <c r="B39" s="105" t="s">
        <v>280</v>
      </c>
      <c r="C39" s="96">
        <f>+C13/C4</f>
        <v>130.6889960855776</v>
      </c>
      <c r="D39" s="96">
        <f t="shared" ref="D39:J39" si="16">+D13/D4</f>
        <v>119.54114628129878</v>
      </c>
      <c r="E39" s="96">
        <f t="shared" si="16"/>
        <v>108.95068896723379</v>
      </c>
      <c r="F39" s="96">
        <f t="shared" si="16"/>
        <v>98.889754518872152</v>
      </c>
      <c r="G39" s="96">
        <f t="shared" si="16"/>
        <v>89.331866792928608</v>
      </c>
      <c r="H39" s="96"/>
      <c r="I39" s="96"/>
      <c r="J39" s="96">
        <f t="shared" si="16"/>
        <v>102.78105084117824</v>
      </c>
      <c r="AK39" s="93" t="s">
        <v>55</v>
      </c>
      <c r="AL39" s="93" t="s">
        <v>111</v>
      </c>
    </row>
    <row r="40" spans="1:38" s="86" customFormat="1" ht="15.75" customHeight="1">
      <c r="A40" s="93" t="s">
        <v>57</v>
      </c>
      <c r="B40" s="105" t="s">
        <v>112</v>
      </c>
      <c r="C40" s="119">
        <f>+C21/C39</f>
        <v>258.03626173635826</v>
      </c>
      <c r="D40" s="119">
        <f t="shared" ref="D40:J40" si="17">+D21/D39</f>
        <v>1393.0977339645322</v>
      </c>
      <c r="E40" s="119">
        <f t="shared" si="17"/>
        <v>3640.5185112623381</v>
      </c>
      <c r="F40" s="119">
        <f t="shared" si="17"/>
        <v>4010.9008453884439</v>
      </c>
      <c r="G40" s="119">
        <f t="shared" si="17"/>
        <v>4440.0393078027255</v>
      </c>
      <c r="H40" s="119"/>
      <c r="I40" s="119"/>
      <c r="J40" s="119">
        <f t="shared" si="17"/>
        <v>13525.5087258073</v>
      </c>
      <c r="AK40" s="93" t="s">
        <v>57</v>
      </c>
      <c r="AL40" s="93" t="s">
        <v>112</v>
      </c>
    </row>
    <row r="41" spans="1:38" s="86" customFormat="1" ht="15.75" customHeight="1">
      <c r="A41" s="93" t="s">
        <v>113</v>
      </c>
      <c r="B41" s="98" t="s">
        <v>114</v>
      </c>
      <c r="C41" s="104"/>
      <c r="D41" s="104"/>
      <c r="E41" s="104"/>
      <c r="F41" s="104"/>
      <c r="G41" s="104"/>
      <c r="H41" s="104"/>
      <c r="I41" s="104"/>
      <c r="J41" s="104"/>
      <c r="AK41" s="93" t="s">
        <v>113</v>
      </c>
      <c r="AL41" s="98" t="s">
        <v>114</v>
      </c>
    </row>
    <row r="42" spans="1:38" s="86" customFormat="1" ht="15.75" customHeight="1">
      <c r="A42" s="93" t="s">
        <v>55</v>
      </c>
      <c r="B42" s="93" t="s">
        <v>115</v>
      </c>
      <c r="C42" s="104">
        <f>+C15/C4</f>
        <v>75.375500000000002</v>
      </c>
      <c r="D42" s="104">
        <f t="shared" ref="D42:J42" si="18">+D15/D4</f>
        <v>75.375499999999988</v>
      </c>
      <c r="E42" s="104">
        <f t="shared" si="18"/>
        <v>75.375499999999988</v>
      </c>
      <c r="F42" s="104">
        <f t="shared" si="18"/>
        <v>75.375499999999988</v>
      </c>
      <c r="G42" s="104">
        <f t="shared" si="18"/>
        <v>75.375499999999988</v>
      </c>
      <c r="H42" s="104"/>
      <c r="I42" s="104"/>
      <c r="J42" s="104">
        <f t="shared" si="18"/>
        <v>75.375500000000002</v>
      </c>
      <c r="AK42" s="93" t="s">
        <v>55</v>
      </c>
      <c r="AL42" s="93" t="s">
        <v>115</v>
      </c>
    </row>
    <row r="43" spans="1:38" s="86" customFormat="1" ht="15.75" customHeight="1">
      <c r="A43" s="93" t="s">
        <v>57</v>
      </c>
      <c r="B43" s="93" t="s">
        <v>116</v>
      </c>
      <c r="C43" s="104">
        <f>+C17/C4</f>
        <v>15.9605</v>
      </c>
      <c r="D43" s="104">
        <f t="shared" ref="D43:J43" si="19">+D17/D4</f>
        <v>15.9605</v>
      </c>
      <c r="E43" s="104">
        <f t="shared" si="19"/>
        <v>15.9605</v>
      </c>
      <c r="F43" s="104">
        <f t="shared" si="19"/>
        <v>15.9605</v>
      </c>
      <c r="G43" s="104">
        <f t="shared" si="19"/>
        <v>15.9605</v>
      </c>
      <c r="H43" s="104"/>
      <c r="I43" s="104"/>
      <c r="J43" s="104">
        <f t="shared" si="19"/>
        <v>15.960500000000001</v>
      </c>
      <c r="AK43" s="93" t="s">
        <v>57</v>
      </c>
      <c r="AL43" s="93" t="s">
        <v>116</v>
      </c>
    </row>
    <row r="44" spans="1:38" s="86" customFormat="1" ht="15.75" customHeight="1">
      <c r="A44" s="93" t="s">
        <v>102</v>
      </c>
      <c r="B44" s="93" t="s">
        <v>117</v>
      </c>
      <c r="C44" s="104">
        <f>+C18/C4</f>
        <v>23.8825</v>
      </c>
      <c r="D44" s="104">
        <f t="shared" ref="D44:J44" si="20">+D18/D4</f>
        <v>23.8825</v>
      </c>
      <c r="E44" s="104">
        <f t="shared" si="20"/>
        <v>23.8825</v>
      </c>
      <c r="F44" s="104">
        <f t="shared" si="20"/>
        <v>23.8825</v>
      </c>
      <c r="G44" s="104">
        <f t="shared" si="20"/>
        <v>23.8825</v>
      </c>
      <c r="H44" s="104"/>
      <c r="I44" s="104"/>
      <c r="J44" s="104">
        <f t="shared" si="20"/>
        <v>23.8825</v>
      </c>
      <c r="AK44" s="93" t="s">
        <v>102</v>
      </c>
      <c r="AL44" s="93" t="s">
        <v>117</v>
      </c>
    </row>
    <row r="45" spans="1:38" s="86" customFormat="1" ht="15.75" customHeight="1">
      <c r="A45" s="93" t="s">
        <v>60</v>
      </c>
      <c r="B45" s="93" t="s">
        <v>118</v>
      </c>
      <c r="C45" s="104">
        <f>C19/C4</f>
        <v>2.6</v>
      </c>
      <c r="D45" s="104">
        <f t="shared" ref="D45:J45" si="21">D19/D4</f>
        <v>0.52</v>
      </c>
      <c r="E45" s="104">
        <f t="shared" si="21"/>
        <v>0.26</v>
      </c>
      <c r="F45" s="104">
        <f t="shared" si="21"/>
        <v>0.26</v>
      </c>
      <c r="G45" s="104">
        <f t="shared" si="21"/>
        <v>0.26</v>
      </c>
      <c r="H45" s="104"/>
      <c r="I45" s="104"/>
      <c r="J45" s="104">
        <f t="shared" si="21"/>
        <v>0.3611111111111111</v>
      </c>
      <c r="AK45" s="93" t="s">
        <v>60</v>
      </c>
      <c r="AL45" s="93" t="s">
        <v>119</v>
      </c>
    </row>
    <row r="46" spans="1:38" s="86" customFormat="1" ht="15.75" customHeight="1">
      <c r="A46" s="93" t="s">
        <v>62</v>
      </c>
      <c r="B46" s="93" t="s">
        <v>120</v>
      </c>
      <c r="C46" s="104">
        <f>C20/C4</f>
        <v>50.793999999999997</v>
      </c>
      <c r="D46" s="104">
        <f t="shared" ref="D46:J46" si="22">D20/D4</f>
        <v>50.793999999999997</v>
      </c>
      <c r="E46" s="104">
        <f t="shared" si="22"/>
        <v>82.84</v>
      </c>
      <c r="F46" s="104">
        <f t="shared" si="22"/>
        <v>82.84</v>
      </c>
      <c r="G46" s="104">
        <f t="shared" si="22"/>
        <v>82.84</v>
      </c>
      <c r="H46" s="104"/>
      <c r="I46" s="104"/>
      <c r="J46" s="104">
        <f t="shared" si="22"/>
        <v>77.499000000000009</v>
      </c>
      <c r="AK46" s="93" t="s">
        <v>62</v>
      </c>
      <c r="AL46" s="93" t="s">
        <v>120</v>
      </c>
    </row>
    <row r="47" spans="1:38" s="86" customFormat="1" ht="15.75" customHeight="1">
      <c r="A47" s="93" t="s">
        <v>121</v>
      </c>
      <c r="B47" s="98" t="s">
        <v>122</v>
      </c>
      <c r="C47" s="104"/>
      <c r="D47" s="104"/>
      <c r="E47" s="104"/>
      <c r="F47" s="104"/>
      <c r="G47" s="104"/>
      <c r="H47" s="104"/>
      <c r="I47" s="104"/>
      <c r="J47" s="104"/>
      <c r="AK47" s="93" t="s">
        <v>121</v>
      </c>
      <c r="AL47" s="98" t="s">
        <v>122</v>
      </c>
    </row>
    <row r="48" spans="1:38" s="86" customFormat="1" ht="15.75" customHeight="1">
      <c r="A48" s="93" t="s">
        <v>55</v>
      </c>
      <c r="B48" s="93" t="s">
        <v>123</v>
      </c>
      <c r="C48" s="107">
        <f>+(C11+C17)/C7</f>
        <v>5.4900000000000004E-2</v>
      </c>
      <c r="D48" s="107">
        <f t="shared" ref="D48:J48" si="23">+(D11+D17)/D7</f>
        <v>5.7789473684210529E-2</v>
      </c>
      <c r="E48" s="107">
        <f t="shared" si="23"/>
        <v>6.0831024930747921E-2</v>
      </c>
      <c r="F48" s="107">
        <f t="shared" si="23"/>
        <v>6.4032657821839922E-2</v>
      </c>
      <c r="G48" s="107">
        <f t="shared" si="23"/>
        <v>6.740279770719991E-2</v>
      </c>
      <c r="H48" s="107"/>
      <c r="I48" s="107"/>
      <c r="J48" s="107">
        <f t="shared" si="23"/>
        <v>6.2755184054010607E-2</v>
      </c>
      <c r="AK48" s="93" t="s">
        <v>55</v>
      </c>
      <c r="AL48" s="93" t="s">
        <v>123</v>
      </c>
    </row>
    <row r="49" spans="1:38" s="86" customFormat="1" ht="15.75" customHeight="1">
      <c r="A49" s="93" t="s">
        <v>57</v>
      </c>
      <c r="B49" s="93" t="s">
        <v>124</v>
      </c>
      <c r="C49" s="107">
        <f>+(C9+C10+C15)/C7</f>
        <v>0.1027</v>
      </c>
      <c r="D49" s="107">
        <f t="shared" ref="D49:J49" si="24">+(D9+D10+D15)/D7</f>
        <v>0.10810526315789472</v>
      </c>
      <c r="E49" s="107">
        <f t="shared" si="24"/>
        <v>0.1137950138504155</v>
      </c>
      <c r="F49" s="107">
        <f t="shared" si="24"/>
        <v>0.11978422510570053</v>
      </c>
      <c r="G49" s="107">
        <f t="shared" si="24"/>
        <v>0.12608865800600055</v>
      </c>
      <c r="H49" s="107"/>
      <c r="I49" s="107"/>
      <c r="J49" s="107">
        <f t="shared" si="24"/>
        <v>0.11739448820303988</v>
      </c>
      <c r="AK49" s="93" t="s">
        <v>57</v>
      </c>
      <c r="AL49" s="93" t="s">
        <v>124</v>
      </c>
    </row>
    <row r="50" spans="1:38" s="86" customFormat="1" ht="15.75" customHeight="1">
      <c r="A50" s="93" t="s">
        <v>102</v>
      </c>
      <c r="B50" s="93" t="s">
        <v>125</v>
      </c>
      <c r="C50" s="107">
        <f>+C18/C7</f>
        <v>2.0500000000000001E-2</v>
      </c>
      <c r="D50" s="107">
        <f t="shared" ref="D50:J50" si="25">+D18/D7</f>
        <v>2.1578947368421052E-2</v>
      </c>
      <c r="E50" s="107">
        <f t="shared" si="25"/>
        <v>2.2714681440443214E-2</v>
      </c>
      <c r="F50" s="107">
        <f t="shared" si="25"/>
        <v>2.3910190989940225E-2</v>
      </c>
      <c r="G50" s="107">
        <f t="shared" si="25"/>
        <v>2.516862209467392E-2</v>
      </c>
      <c r="H50" s="107"/>
      <c r="I50" s="107"/>
      <c r="J50" s="107">
        <f t="shared" si="25"/>
        <v>2.343317437353766E-2</v>
      </c>
      <c r="AK50" s="93" t="s">
        <v>102</v>
      </c>
      <c r="AL50" s="93" t="s">
        <v>125</v>
      </c>
    </row>
    <row r="51" spans="1:38" s="86" customFormat="1" ht="15.75" customHeight="1">
      <c r="A51" s="93" t="s">
        <v>60</v>
      </c>
      <c r="B51" s="93" t="s">
        <v>126</v>
      </c>
      <c r="C51" s="107">
        <f>+C19/C7</f>
        <v>2.2317596566523604E-3</v>
      </c>
      <c r="D51" s="107">
        <f t="shared" ref="D51:J51" si="26">+D19/D7</f>
        <v>4.6984413824260223E-4</v>
      </c>
      <c r="E51" s="107">
        <f t="shared" si="26"/>
        <v>2.4728638854873799E-4</v>
      </c>
      <c r="F51" s="107">
        <f t="shared" si="26"/>
        <v>2.6030146163025052E-4</v>
      </c>
      <c r="G51" s="107">
        <f t="shared" si="26"/>
        <v>2.7400153855815847E-4</v>
      </c>
      <c r="H51" s="107"/>
      <c r="I51" s="107"/>
      <c r="J51" s="107">
        <f t="shared" si="26"/>
        <v>3.5431716256206845E-4</v>
      </c>
      <c r="AK51" s="93" t="s">
        <v>60</v>
      </c>
      <c r="AL51" s="93" t="s">
        <v>126</v>
      </c>
    </row>
    <row r="52" spans="1:38" s="86" customFormat="1" ht="15.75" customHeight="1">
      <c r="A52" s="93" t="s">
        <v>62</v>
      </c>
      <c r="B52" s="93" t="s">
        <v>127</v>
      </c>
      <c r="C52" s="107">
        <f>+C20/C7</f>
        <v>4.36E-2</v>
      </c>
      <c r="D52" s="107">
        <f t="shared" ref="D52:J52" si="27">+D20/D7</f>
        <v>4.5894736842105266E-2</v>
      </c>
      <c r="E52" s="107">
        <f t="shared" si="27"/>
        <v>7.8789247797605599E-2</v>
      </c>
      <c r="F52" s="107">
        <f t="shared" si="27"/>
        <v>8.2936050313269061E-2</v>
      </c>
      <c r="G52" s="107">
        <f t="shared" si="27"/>
        <v>8.7301105592914791E-2</v>
      </c>
      <c r="H52" s="107"/>
      <c r="I52" s="107"/>
      <c r="J52" s="107">
        <f t="shared" si="27"/>
        <v>7.6040932933101449E-2</v>
      </c>
      <c r="AK52" s="93" t="s">
        <v>62</v>
      </c>
      <c r="AL52" s="93" t="s">
        <v>127</v>
      </c>
    </row>
    <row r="53" spans="1:38" s="86" customFormat="1" ht="15.75" customHeight="1">
      <c r="A53" s="93" t="s">
        <v>66</v>
      </c>
      <c r="B53" s="93" t="s">
        <v>128</v>
      </c>
      <c r="C53" s="107">
        <f>+C24/C7</f>
        <v>-3.2552363875040694E-2</v>
      </c>
      <c r="D53" s="107">
        <f t="shared" ref="D53:J53" si="28">+D24/D7</f>
        <v>-4.2458869409262461E-2</v>
      </c>
      <c r="E53" s="107">
        <f t="shared" si="28"/>
        <v>-8.4997858626149309E-2</v>
      </c>
      <c r="F53" s="107">
        <f t="shared" si="28"/>
        <v>-9.9544029910768259E-2</v>
      </c>
      <c r="G53" s="107">
        <f t="shared" si="28"/>
        <v>-0.11485578915773556</v>
      </c>
      <c r="H53" s="107"/>
      <c r="I53" s="107"/>
      <c r="J53" s="107">
        <f t="shared" si="28"/>
        <v>-8.8598700944639924E-2</v>
      </c>
      <c r="AK53" s="93" t="s">
        <v>66</v>
      </c>
      <c r="AL53" s="93" t="s">
        <v>129</v>
      </c>
    </row>
    <row r="54" spans="1:38" s="86" customFormat="1" ht="15.75" customHeight="1">
      <c r="A54" s="93" t="s">
        <v>130</v>
      </c>
      <c r="B54" s="98" t="s">
        <v>131</v>
      </c>
      <c r="C54" s="104">
        <f>+C22/C4</f>
        <v>-37.923503914422398</v>
      </c>
      <c r="D54" s="104">
        <f t="shared" ref="D54:J54" si="29">+D22/D4</f>
        <v>-46.991353718701227</v>
      </c>
      <c r="E54" s="104">
        <f t="shared" si="29"/>
        <v>-89.367811032766213</v>
      </c>
      <c r="F54" s="104">
        <f t="shared" si="29"/>
        <v>-99.428745481127848</v>
      </c>
      <c r="G54" s="104">
        <f t="shared" si="29"/>
        <v>-108.98663320707139</v>
      </c>
      <c r="H54" s="104"/>
      <c r="I54" s="104"/>
      <c r="J54" s="104">
        <f t="shared" si="29"/>
        <v>-90.297560269932859</v>
      </c>
      <c r="AK54" s="93" t="s">
        <v>130</v>
      </c>
      <c r="AL54" s="98" t="s">
        <v>131</v>
      </c>
    </row>
    <row r="55" spans="1:38" s="86" customFormat="1" ht="15.75" customHeight="1">
      <c r="A55" s="93" t="s">
        <v>132</v>
      </c>
      <c r="B55" s="133" t="s">
        <v>133</v>
      </c>
      <c r="C55" s="133"/>
      <c r="D55" s="104"/>
      <c r="E55" s="104"/>
      <c r="F55" s="104"/>
      <c r="G55" s="104"/>
      <c r="H55" s="104"/>
      <c r="I55" s="104"/>
      <c r="J55" s="104"/>
      <c r="AK55" s="93"/>
      <c r="AL55" s="98"/>
    </row>
    <row r="56" spans="1:38" s="86" customFormat="1" ht="15.75" customHeight="1">
      <c r="A56" s="93" t="s">
        <v>55</v>
      </c>
      <c r="B56" s="93" t="s">
        <v>134</v>
      </c>
      <c r="C56" s="104">
        <f>C57+C58</f>
        <v>2600</v>
      </c>
      <c r="D56" s="104">
        <f>D57+D58</f>
        <v>0</v>
      </c>
      <c r="E56" s="104"/>
      <c r="F56" s="104"/>
      <c r="G56" s="104"/>
      <c r="H56" s="104"/>
      <c r="I56" s="104"/>
      <c r="J56" s="104"/>
    </row>
    <row r="57" spans="1:38" s="86" customFormat="1" ht="15.75" customHeight="1">
      <c r="A57" s="93">
        <v>1.1000000000000001</v>
      </c>
      <c r="B57" s="134" t="s">
        <v>135</v>
      </c>
      <c r="C57" s="197">
        <f>项目投资!B27</f>
        <v>2600</v>
      </c>
      <c r="D57" s="104"/>
      <c r="E57" s="104"/>
      <c r="F57" s="104"/>
      <c r="G57" s="104"/>
      <c r="H57" s="104"/>
      <c r="I57" s="104"/>
      <c r="J57" s="104"/>
    </row>
    <row r="58" spans="1:38" s="86" customFormat="1" ht="15.75" customHeight="1">
      <c r="A58" s="93">
        <v>1.2</v>
      </c>
      <c r="B58" s="93" t="s">
        <v>136</v>
      </c>
      <c r="C58" s="104">
        <f>项目投资!B26</f>
        <v>0</v>
      </c>
      <c r="D58" s="104"/>
      <c r="E58" s="104"/>
      <c r="F58" s="104"/>
      <c r="G58" s="104"/>
      <c r="H58" s="104"/>
      <c r="I58" s="104"/>
      <c r="J58" s="104"/>
    </row>
    <row r="59" spans="1:38" ht="15.75" customHeight="1">
      <c r="A59" s="124" t="s">
        <v>57</v>
      </c>
      <c r="B59" s="124" t="s">
        <v>137</v>
      </c>
      <c r="C59" s="135">
        <f>C60+C61</f>
        <v>-7584.7007828844817</v>
      </c>
      <c r="D59" s="135">
        <f t="shared" ref="D59:J59" si="30">D60+D61</f>
        <v>-46991.353718701226</v>
      </c>
      <c r="E59" s="135">
        <f t="shared" si="30"/>
        <v>-178735.62206553243</v>
      </c>
      <c r="F59" s="135">
        <f t="shared" si="30"/>
        <v>-198857.49096225569</v>
      </c>
      <c r="G59" s="135">
        <f t="shared" si="30"/>
        <v>-217973.2664141428</v>
      </c>
      <c r="H59" s="135"/>
      <c r="I59" s="135"/>
      <c r="J59" s="135">
        <f t="shared" si="30"/>
        <v>-650142.43394351657</v>
      </c>
    </row>
    <row r="60" spans="1:38" ht="15.75" customHeight="1">
      <c r="A60" s="124" t="s">
        <v>102</v>
      </c>
      <c r="B60" s="124" t="s">
        <v>138</v>
      </c>
      <c r="C60" s="135">
        <f>C24</f>
        <v>-7584.7007828844817</v>
      </c>
      <c r="D60" s="135">
        <f t="shared" ref="D60:J60" si="31">D24</f>
        <v>-46991.353718701226</v>
      </c>
      <c r="E60" s="135">
        <f t="shared" si="31"/>
        <v>-178735.62206553243</v>
      </c>
      <c r="F60" s="135">
        <f t="shared" si="31"/>
        <v>-198857.49096225569</v>
      </c>
      <c r="G60" s="135">
        <f t="shared" si="31"/>
        <v>-217973.2664141428</v>
      </c>
      <c r="H60" s="135"/>
      <c r="I60" s="135"/>
      <c r="J60" s="135">
        <f t="shared" si="31"/>
        <v>-650142.43394351657</v>
      </c>
    </row>
    <row r="61" spans="1:38" ht="15.75" customHeight="1">
      <c r="A61" s="124" t="s">
        <v>60</v>
      </c>
      <c r="B61" s="124" t="s">
        <v>139</v>
      </c>
      <c r="C61" s="124"/>
      <c r="D61" s="135">
        <f>'[2]2023年'!I18</f>
        <v>0</v>
      </c>
      <c r="E61" s="135"/>
      <c r="F61" s="135"/>
      <c r="G61" s="135"/>
      <c r="H61" s="135"/>
      <c r="I61" s="135"/>
      <c r="J61" s="135">
        <f>[2]项目投资!G26</f>
        <v>0</v>
      </c>
    </row>
    <row r="62" spans="1:38" ht="15.75" customHeight="1">
      <c r="A62" s="124" t="s">
        <v>62</v>
      </c>
      <c r="B62" s="124" t="s">
        <v>140</v>
      </c>
      <c r="C62" s="124"/>
      <c r="D62" s="136"/>
      <c r="E62" s="136"/>
      <c r="F62" s="136"/>
      <c r="G62" s="136"/>
      <c r="H62" s="136"/>
      <c r="I62" s="136"/>
      <c r="J62" s="135"/>
    </row>
    <row r="64" spans="1:38">
      <c r="B64"/>
      <c r="C64"/>
    </row>
  </sheetData>
  <mergeCells count="2">
    <mergeCell ref="A3:A4"/>
    <mergeCell ref="A1:J1"/>
  </mergeCells>
  <phoneticPr fontId="4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workbookViewId="0">
      <selection activeCell="D11" sqref="D11"/>
    </sheetView>
  </sheetViews>
  <sheetFormatPr defaultColWidth="9" defaultRowHeight="16.5"/>
  <cols>
    <col min="1" max="1" width="5.125" style="86" customWidth="1"/>
    <col min="2" max="2" width="17.5" style="86" customWidth="1"/>
    <col min="3" max="5" width="14.375" style="89" customWidth="1"/>
    <col min="6" max="6" width="18.75" style="89" customWidth="1"/>
    <col min="7" max="7" width="12.375" style="86" customWidth="1"/>
    <col min="8" max="8" width="10.125" style="86" customWidth="1"/>
    <col min="9" max="15" width="9" style="86" customWidth="1"/>
    <col min="16" max="29" width="9" style="86"/>
    <col min="30" max="30" width="4.375" style="86" customWidth="1"/>
    <col min="31" max="31" width="13.875" style="86" customWidth="1"/>
    <col min="32" max="16384" width="9" style="86"/>
  </cols>
  <sheetData>
    <row r="1" spans="1:32">
      <c r="A1" s="212" t="s">
        <v>141</v>
      </c>
      <c r="B1" s="212"/>
      <c r="C1" s="216" t="s">
        <v>269</v>
      </c>
      <c r="D1" s="217"/>
      <c r="E1" s="217"/>
      <c r="F1" s="218"/>
    </row>
    <row r="2" spans="1:32">
      <c r="A2" s="212" t="s">
        <v>142</v>
      </c>
      <c r="B2" s="212"/>
      <c r="C2" s="219" t="s">
        <v>296</v>
      </c>
      <c r="D2" s="219"/>
      <c r="E2" s="219"/>
      <c r="F2" s="219"/>
    </row>
    <row r="3" spans="1:32">
      <c r="A3" s="212" t="s">
        <v>143</v>
      </c>
      <c r="B3" s="212"/>
      <c r="C3" s="91" t="str">
        <f>销量!C5</f>
        <v>司机座椅</v>
      </c>
      <c r="D3" s="91" t="str">
        <f>销量!D5</f>
        <v>副司机座椅</v>
      </c>
      <c r="E3" s="91">
        <f>销量!E5</f>
        <v>0</v>
      </c>
      <c r="F3" s="213" t="s">
        <v>51</v>
      </c>
    </row>
    <row r="4" spans="1:32">
      <c r="A4" s="212" t="s">
        <v>144</v>
      </c>
      <c r="B4" s="212"/>
      <c r="C4" s="91" t="str">
        <f>销量!C6</f>
        <v>DZ14251510148</v>
      </c>
      <c r="D4" s="91" t="str">
        <f>销量!D6</f>
        <v>DZ15221512009</v>
      </c>
      <c r="E4" s="91">
        <f>销量!E6</f>
        <v>0</v>
      </c>
      <c r="F4" s="214"/>
    </row>
    <row r="5" spans="1:32" ht="42.75">
      <c r="A5" s="212" t="s">
        <v>145</v>
      </c>
      <c r="B5" s="212"/>
      <c r="C5" s="92" t="str">
        <f>销量!C7</f>
        <v>X5000座椅增加通风、更换面料、扶手改为长扶手</v>
      </c>
      <c r="D5" s="92" t="str">
        <f>销量!D7</f>
        <v>报警锁扣、增加SBR</v>
      </c>
      <c r="E5" s="92">
        <f>销量!E7</f>
        <v>0</v>
      </c>
      <c r="F5" s="215"/>
      <c r="AF5" s="86" t="s">
        <v>52</v>
      </c>
    </row>
    <row r="6" spans="1:32" ht="17.25">
      <c r="A6" s="93" t="s">
        <v>18</v>
      </c>
      <c r="B6" s="94" t="s">
        <v>146</v>
      </c>
      <c r="C6" s="113">
        <f>销量!C9</f>
        <v>100</v>
      </c>
      <c r="D6" s="113">
        <f>销量!D9</f>
        <v>100</v>
      </c>
      <c r="E6" s="113">
        <f>销量!E9</f>
        <v>0</v>
      </c>
      <c r="F6" s="96">
        <f t="shared" ref="F6:F15" si="0">+SUM(C6:E6)</f>
        <v>200</v>
      </c>
      <c r="AD6" s="93" t="s">
        <v>18</v>
      </c>
      <c r="AE6" s="94" t="s">
        <v>3</v>
      </c>
      <c r="AF6" s="86" t="s">
        <v>53</v>
      </c>
    </row>
    <row r="7" spans="1:32">
      <c r="A7" s="90">
        <v>1</v>
      </c>
      <c r="B7" s="94" t="s">
        <v>54</v>
      </c>
      <c r="C7" s="96">
        <f>C6*销量!C8</f>
        <v>190000</v>
      </c>
      <c r="D7" s="96">
        <f>D6*销量!D8</f>
        <v>43000</v>
      </c>
      <c r="E7" s="96">
        <f>E6*销量!E8</f>
        <v>0</v>
      </c>
      <c r="F7" s="96">
        <f>+SUM(C7:E7)</f>
        <v>233000</v>
      </c>
      <c r="G7" s="89"/>
      <c r="AD7" s="93" t="s">
        <v>55</v>
      </c>
      <c r="AE7" s="94" t="s">
        <v>54</v>
      </c>
      <c r="AF7" s="86" t="s">
        <v>53</v>
      </c>
    </row>
    <row r="8" spans="1:32">
      <c r="A8" s="90">
        <v>2</v>
      </c>
      <c r="B8" s="90" t="s">
        <v>56</v>
      </c>
      <c r="C8" s="96"/>
      <c r="D8" s="96"/>
      <c r="E8" s="96"/>
      <c r="F8" s="96">
        <f t="shared" si="0"/>
        <v>0</v>
      </c>
      <c r="G8" s="97"/>
      <c r="AD8" s="93" t="s">
        <v>57</v>
      </c>
      <c r="AE8" s="90" t="s">
        <v>58</v>
      </c>
      <c r="AF8" s="86" t="s">
        <v>53</v>
      </c>
    </row>
    <row r="9" spans="1:32">
      <c r="A9" s="90">
        <v>3</v>
      </c>
      <c r="B9" s="94" t="s">
        <v>59</v>
      </c>
      <c r="C9" s="96">
        <f>+C7-C8</f>
        <v>190000</v>
      </c>
      <c r="D9" s="96">
        <f t="shared" ref="D9:E9" si="1">+D7-D8</f>
        <v>43000</v>
      </c>
      <c r="E9" s="96">
        <f t="shared" si="1"/>
        <v>0</v>
      </c>
      <c r="F9" s="96">
        <f t="shared" si="0"/>
        <v>233000</v>
      </c>
      <c r="AD9" s="93" t="s">
        <v>60</v>
      </c>
      <c r="AE9" s="94" t="s">
        <v>59</v>
      </c>
      <c r="AF9" s="86" t="s">
        <v>61</v>
      </c>
    </row>
    <row r="10" spans="1:32">
      <c r="A10" s="90">
        <v>4</v>
      </c>
      <c r="B10" s="93" t="s">
        <v>63</v>
      </c>
      <c r="C10" s="96">
        <f>C6*C33</f>
        <v>154457.32238288448</v>
      </c>
      <c r="D10" s="96">
        <f t="shared" ref="D10:E10" si="2">D6*D33</f>
        <v>33951.278400000003</v>
      </c>
      <c r="E10" s="96">
        <f t="shared" si="2"/>
        <v>0</v>
      </c>
      <c r="F10" s="96">
        <f t="shared" si="0"/>
        <v>188408.60078288449</v>
      </c>
      <c r="AD10" s="93" t="s">
        <v>62</v>
      </c>
      <c r="AE10" s="93" t="s">
        <v>63</v>
      </c>
      <c r="AF10" s="86" t="s">
        <v>64</v>
      </c>
    </row>
    <row r="11" spans="1:32">
      <c r="A11" s="90">
        <v>5</v>
      </c>
      <c r="B11" s="93" t="s">
        <v>65</v>
      </c>
      <c r="C11" s="96">
        <f>+C6*C36</f>
        <v>5567</v>
      </c>
      <c r="D11" s="96">
        <f t="shared" ref="D11:E11" si="3">+D6*D36</f>
        <v>1259.9000000000001</v>
      </c>
      <c r="E11" s="96">
        <f t="shared" si="3"/>
        <v>0</v>
      </c>
      <c r="F11" s="96">
        <f t="shared" si="0"/>
        <v>6826.9</v>
      </c>
      <c r="AD11" s="93" t="s">
        <v>66</v>
      </c>
      <c r="AE11" s="93" t="s">
        <v>65</v>
      </c>
    </row>
    <row r="12" spans="1:32">
      <c r="A12" s="90">
        <v>6</v>
      </c>
      <c r="B12" s="93" t="s">
        <v>67</v>
      </c>
      <c r="C12" s="96">
        <f>+C6*C37</f>
        <v>1652.9999999999998</v>
      </c>
      <c r="D12" s="96">
        <f t="shared" ref="D12:E12" si="4">+D6*D37</f>
        <v>374.09999999999997</v>
      </c>
      <c r="E12" s="96">
        <f t="shared" si="4"/>
        <v>0</v>
      </c>
      <c r="F12" s="96">
        <f t="shared" si="0"/>
        <v>2027.0999999999997</v>
      </c>
      <c r="AD12" s="93" t="s">
        <v>68</v>
      </c>
      <c r="AE12" s="93" t="s">
        <v>67</v>
      </c>
    </row>
    <row r="13" spans="1:32">
      <c r="A13" s="90">
        <v>7</v>
      </c>
      <c r="B13" s="93" t="s">
        <v>69</v>
      </c>
      <c r="C13" s="96">
        <f>+C6*C38</f>
        <v>7828</v>
      </c>
      <c r="D13" s="96">
        <f t="shared" ref="D13:E13" si="5">+D6*D38</f>
        <v>1771.6000000000001</v>
      </c>
      <c r="E13" s="96">
        <f t="shared" si="5"/>
        <v>0</v>
      </c>
      <c r="F13" s="96">
        <f t="shared" si="0"/>
        <v>9599.6</v>
      </c>
      <c r="AD13" s="93" t="s">
        <v>70</v>
      </c>
      <c r="AE13" s="93" t="s">
        <v>69</v>
      </c>
      <c r="AF13" s="86" t="s">
        <v>53</v>
      </c>
    </row>
    <row r="14" spans="1:32">
      <c r="A14" s="90">
        <v>8</v>
      </c>
      <c r="B14" s="98" t="s">
        <v>71</v>
      </c>
      <c r="C14" s="96">
        <f>SUM(C11:C13)</f>
        <v>15048</v>
      </c>
      <c r="D14" s="96">
        <f t="shared" ref="D14:E14" si="6">SUM(D11:D13)</f>
        <v>3405.6000000000004</v>
      </c>
      <c r="E14" s="96">
        <f t="shared" si="6"/>
        <v>0</v>
      </c>
      <c r="F14" s="96">
        <f t="shared" si="0"/>
        <v>18453.599999999999</v>
      </c>
      <c r="AD14" s="93" t="s">
        <v>72</v>
      </c>
      <c r="AE14" s="98" t="s">
        <v>71</v>
      </c>
    </row>
    <row r="15" spans="1:32">
      <c r="A15" s="90">
        <v>9</v>
      </c>
      <c r="B15" s="98" t="s">
        <v>73</v>
      </c>
      <c r="C15" s="96">
        <f>+C9-C10-C14</f>
        <v>20494.677617115522</v>
      </c>
      <c r="D15" s="96">
        <f t="shared" ref="D15:E15" si="7">+D9-D10-D14</f>
        <v>5643.1215999999968</v>
      </c>
      <c r="E15" s="96">
        <f t="shared" si="7"/>
        <v>0</v>
      </c>
      <c r="F15" s="96">
        <f t="shared" si="0"/>
        <v>26137.79921711552</v>
      </c>
      <c r="AD15" s="93" t="s">
        <v>74</v>
      </c>
      <c r="AE15" s="98" t="s">
        <v>73</v>
      </c>
    </row>
    <row r="16" spans="1:32">
      <c r="A16" s="90">
        <v>10</v>
      </c>
      <c r="B16" s="93" t="s">
        <v>75</v>
      </c>
      <c r="C16" s="99">
        <f>+C15/C9</f>
        <v>0.10786672430060801</v>
      </c>
      <c r="D16" s="99">
        <f t="shared" ref="D16:E16" si="8">+D15/D9</f>
        <v>0.13123538604651155</v>
      </c>
      <c r="E16" s="99" t="e">
        <f t="shared" si="8"/>
        <v>#DIV/0!</v>
      </c>
      <c r="F16" s="99">
        <f>+F15/F9</f>
        <v>0.11217939578161168</v>
      </c>
      <c r="AD16" s="93" t="s">
        <v>76</v>
      </c>
      <c r="AE16" s="93" t="s">
        <v>75</v>
      </c>
    </row>
    <row r="17" spans="1:32">
      <c r="A17" s="90">
        <v>11</v>
      </c>
      <c r="B17" s="93" t="s">
        <v>77</v>
      </c>
      <c r="C17" s="96">
        <f>C6*C43+C18</f>
        <v>12293</v>
      </c>
      <c r="D17" s="96">
        <f t="shared" ref="D17:E17" si="9">D6*D43+D18</f>
        <v>2782.1</v>
      </c>
      <c r="E17" s="96">
        <f t="shared" si="9"/>
        <v>0</v>
      </c>
      <c r="F17" s="96">
        <f>+SUM(C17:E17)</f>
        <v>15075.1</v>
      </c>
      <c r="G17" s="97"/>
      <c r="AD17" s="93" t="s">
        <v>78</v>
      </c>
      <c r="AE17" s="93" t="s">
        <v>77</v>
      </c>
    </row>
    <row r="18" spans="1:32" s="87" customFormat="1">
      <c r="A18" s="90">
        <v>12</v>
      </c>
      <c r="B18" s="101" t="s">
        <v>147</v>
      </c>
      <c r="C18" s="102">
        <f>$F$18/$F$6*C6</f>
        <v>0</v>
      </c>
      <c r="D18" s="102">
        <f t="shared" ref="D18:E18" si="10">$F$18/$F$6*D6</f>
        <v>0</v>
      </c>
      <c r="E18" s="102">
        <f t="shared" si="10"/>
        <v>0</v>
      </c>
      <c r="F18" s="96">
        <f>项目投资!D26</f>
        <v>0</v>
      </c>
      <c r="G18" s="103" t="s">
        <v>148</v>
      </c>
      <c r="H18" s="103"/>
      <c r="I18" s="103"/>
    </row>
    <row r="19" spans="1:32">
      <c r="A19" s="90">
        <v>13</v>
      </c>
      <c r="B19" s="93" t="s">
        <v>79</v>
      </c>
      <c r="C19" s="96">
        <f>C6*C44</f>
        <v>2603</v>
      </c>
      <c r="D19" s="96">
        <f t="shared" ref="D19:E19" si="11">D6*D44</f>
        <v>589.1</v>
      </c>
      <c r="E19" s="96">
        <f t="shared" si="11"/>
        <v>0</v>
      </c>
      <c r="F19" s="96">
        <f>+SUM(C19:E19)</f>
        <v>3192.1</v>
      </c>
      <c r="G19" s="87"/>
      <c r="AD19" s="93" t="s">
        <v>80</v>
      </c>
      <c r="AE19" s="93" t="s">
        <v>79</v>
      </c>
      <c r="AF19" s="86" t="s">
        <v>53</v>
      </c>
    </row>
    <row r="20" spans="1:32">
      <c r="A20" s="90">
        <v>14</v>
      </c>
      <c r="B20" s="93" t="s">
        <v>81</v>
      </c>
      <c r="C20" s="96">
        <f>C6*C45</f>
        <v>3895.0000000000005</v>
      </c>
      <c r="D20" s="96">
        <f t="shared" ref="D20:E20" si="12">D6*D45</f>
        <v>881.5</v>
      </c>
      <c r="E20" s="96">
        <f t="shared" si="12"/>
        <v>0</v>
      </c>
      <c r="F20" s="96">
        <f>+SUM(C20:E20)</f>
        <v>4776.5</v>
      </c>
      <c r="AD20" s="93" t="s">
        <v>82</v>
      </c>
      <c r="AE20" s="93" t="s">
        <v>81</v>
      </c>
    </row>
    <row r="21" spans="1:32">
      <c r="A21" s="90">
        <v>15</v>
      </c>
      <c r="B21" s="93" t="s">
        <v>83</v>
      </c>
      <c r="C21" s="104">
        <f>$F$21/$F$6*C6</f>
        <v>260</v>
      </c>
      <c r="D21" s="104">
        <f t="shared" ref="D21:E21" si="13">$F$21/$F$6*D6</f>
        <v>260</v>
      </c>
      <c r="E21" s="104">
        <f t="shared" si="13"/>
        <v>0</v>
      </c>
      <c r="F21" s="96">
        <f>项目投资!D27</f>
        <v>520</v>
      </c>
      <c r="AD21" s="93"/>
      <c r="AE21" s="93"/>
    </row>
    <row r="22" spans="1:32">
      <c r="A22" s="90">
        <v>16</v>
      </c>
      <c r="B22" s="93" t="s">
        <v>84</v>
      </c>
      <c r="C22" s="96">
        <f>C6*C47</f>
        <v>8284</v>
      </c>
      <c r="D22" s="96">
        <f t="shared" ref="D22:E22" si="14">D6*D47</f>
        <v>1874.8000000000002</v>
      </c>
      <c r="E22" s="96">
        <f t="shared" si="14"/>
        <v>0</v>
      </c>
      <c r="F22" s="96">
        <f>+SUM(C22:E22)</f>
        <v>10158.799999999999</v>
      </c>
      <c r="AD22" s="93" t="s">
        <v>85</v>
      </c>
      <c r="AE22" s="93" t="s">
        <v>84</v>
      </c>
    </row>
    <row r="23" spans="1:32">
      <c r="A23" s="90">
        <v>17</v>
      </c>
      <c r="B23" s="98" t="s">
        <v>86</v>
      </c>
      <c r="C23" s="104">
        <f>+C22+C21+C20+C19+C17</f>
        <v>27335</v>
      </c>
      <c r="D23" s="104">
        <f t="shared" ref="D23:E23" si="15">+D22+D21+D20+D19+D17</f>
        <v>6387.5</v>
      </c>
      <c r="E23" s="104">
        <f t="shared" si="15"/>
        <v>0</v>
      </c>
      <c r="F23" s="104">
        <f>+F22+F21+F20+F19+F17</f>
        <v>33722.5</v>
      </c>
      <c r="AD23" s="93" t="s">
        <v>87</v>
      </c>
      <c r="AE23" s="98" t="s">
        <v>86</v>
      </c>
    </row>
    <row r="24" spans="1:32">
      <c r="A24" s="90">
        <v>18</v>
      </c>
      <c r="B24" s="105" t="s">
        <v>88</v>
      </c>
      <c r="C24" s="104">
        <f>+C15-C23</f>
        <v>-6840.3223828844784</v>
      </c>
      <c r="D24" s="104">
        <f t="shared" ref="D24:E24" si="16">+D15-D23</f>
        <v>-744.37840000000324</v>
      </c>
      <c r="E24" s="104">
        <f t="shared" si="16"/>
        <v>0</v>
      </c>
      <c r="F24" s="104">
        <f>+F15-F23</f>
        <v>-7584.7007828844798</v>
      </c>
      <c r="H24" s="106"/>
      <c r="AD24" s="93" t="s">
        <v>89</v>
      </c>
      <c r="AE24" s="93" t="s">
        <v>88</v>
      </c>
    </row>
    <row r="25" spans="1:32">
      <c r="A25" s="90">
        <v>19</v>
      </c>
      <c r="B25" s="93" t="s">
        <v>281</v>
      </c>
      <c r="C25" s="104">
        <f>IF(C24&lt;0,0,C24*0.15)</f>
        <v>0</v>
      </c>
      <c r="D25" s="104">
        <f t="shared" ref="D25:E25" si="17">IF(D24&lt;0,0,D24*0.15)</f>
        <v>0</v>
      </c>
      <c r="E25" s="104">
        <f t="shared" si="17"/>
        <v>0</v>
      </c>
      <c r="F25" s="104">
        <f t="shared" ref="F25" si="18">IF(F24&lt;0,0,F24*0.15)</f>
        <v>0</v>
      </c>
      <c r="G25" s="2"/>
      <c r="H25" s="2"/>
      <c r="I25" s="2"/>
      <c r="AD25" s="93" t="s">
        <v>90</v>
      </c>
      <c r="AE25" s="93" t="s">
        <v>35</v>
      </c>
    </row>
    <row r="26" spans="1:32">
      <c r="A26" s="90">
        <v>20</v>
      </c>
      <c r="B26" s="93" t="s">
        <v>91</v>
      </c>
      <c r="C26" s="104">
        <f>C24-C25</f>
        <v>-6840.3223828844784</v>
      </c>
      <c r="D26" s="104">
        <f t="shared" ref="D26:E26" si="19">D24-D25</f>
        <v>-744.37840000000324</v>
      </c>
      <c r="E26" s="104">
        <f t="shared" si="19"/>
        <v>0</v>
      </c>
      <c r="F26" s="96">
        <f>+SUM(C26:E26)</f>
        <v>-7584.7007828844817</v>
      </c>
      <c r="G26" s="2"/>
      <c r="H26" s="2"/>
      <c r="I26" s="2"/>
      <c r="AD26" s="93" t="s">
        <v>92</v>
      </c>
      <c r="AE26" s="93" t="s">
        <v>91</v>
      </c>
    </row>
    <row r="27" spans="1:32">
      <c r="A27" s="90">
        <v>21</v>
      </c>
      <c r="B27" s="93" t="s">
        <v>95</v>
      </c>
      <c r="C27" s="107">
        <f>C26/C7</f>
        <v>-3.6001696752023568E-2</v>
      </c>
      <c r="D27" s="107">
        <f t="shared" ref="D27:E27" si="20">D26/D7</f>
        <v>-1.7311125581395425E-2</v>
      </c>
      <c r="E27" s="107" t="e">
        <f t="shared" si="20"/>
        <v>#DIV/0!</v>
      </c>
      <c r="F27" s="107">
        <f>F26/F7</f>
        <v>-3.2552363875040694E-2</v>
      </c>
      <c r="G27" s="2"/>
      <c r="H27" s="2"/>
      <c r="I27" s="2"/>
      <c r="AD27" s="93" t="s">
        <v>94</v>
      </c>
      <c r="AE27" s="93" t="s">
        <v>95</v>
      </c>
    </row>
    <row r="28" spans="1:32">
      <c r="G28" s="2"/>
      <c r="H28" s="2"/>
      <c r="I28" s="2"/>
    </row>
    <row r="29" spans="1:32">
      <c r="A29" s="86" t="s">
        <v>96</v>
      </c>
      <c r="F29" s="89" t="s">
        <v>149</v>
      </c>
      <c r="G29" s="2"/>
      <c r="H29" s="2"/>
      <c r="I29" s="2"/>
      <c r="AD29" s="86" t="s">
        <v>96</v>
      </c>
    </row>
    <row r="30" spans="1:32">
      <c r="A30" s="93" t="s">
        <v>97</v>
      </c>
      <c r="B30" s="98" t="s">
        <v>98</v>
      </c>
      <c r="C30" s="104"/>
      <c r="D30" s="104"/>
      <c r="E30" s="104"/>
      <c r="F30" s="104"/>
      <c r="G30" s="2"/>
      <c r="H30" s="2"/>
      <c r="I30" s="2"/>
      <c r="K30" s="2"/>
      <c r="AD30" s="93" t="s">
        <v>99</v>
      </c>
      <c r="AE30" s="98" t="s">
        <v>98</v>
      </c>
    </row>
    <row r="31" spans="1:32">
      <c r="A31" s="90">
        <v>1</v>
      </c>
      <c r="B31" s="101" t="s">
        <v>100</v>
      </c>
      <c r="C31" s="108">
        <f>销量!C8</f>
        <v>1900</v>
      </c>
      <c r="D31" s="108">
        <f>销量!D8</f>
        <v>430</v>
      </c>
      <c r="E31" s="108">
        <f>销量!E8</f>
        <v>0</v>
      </c>
      <c r="F31" s="104"/>
      <c r="G31" s="2"/>
      <c r="H31" s="2"/>
      <c r="I31" s="2"/>
      <c r="K31" s="2"/>
      <c r="AD31" s="93" t="s">
        <v>55</v>
      </c>
      <c r="AE31" s="93" t="s">
        <v>100</v>
      </c>
    </row>
    <row r="32" spans="1:32">
      <c r="A32" s="90">
        <v>2</v>
      </c>
      <c r="B32" s="93" t="s">
        <v>150</v>
      </c>
      <c r="C32" s="96">
        <f>C9/C6</f>
        <v>1900</v>
      </c>
      <c r="D32" s="96">
        <f t="shared" ref="D32:E32" si="21">D9/D6</f>
        <v>430</v>
      </c>
      <c r="E32" s="96" t="e">
        <f t="shared" si="21"/>
        <v>#DIV/0!</v>
      </c>
      <c r="F32" s="104"/>
      <c r="G32" s="2"/>
      <c r="H32" s="2"/>
      <c r="I32" s="2"/>
      <c r="J32" s="2"/>
      <c r="K32" s="2"/>
      <c r="L32" s="2"/>
      <c r="M32" s="2"/>
      <c r="AD32" s="93"/>
      <c r="AE32" s="93"/>
    </row>
    <row r="33" spans="1:31">
      <c r="A33" s="90">
        <v>3</v>
      </c>
      <c r="B33" s="101" t="s">
        <v>101</v>
      </c>
      <c r="C33" s="96">
        <f>材料成本!D24</f>
        <v>1544.5732238288449</v>
      </c>
      <c r="D33" s="96">
        <f>材料成本!E24</f>
        <v>339.51278400000001</v>
      </c>
      <c r="E33" s="96">
        <f>材料成本!F24</f>
        <v>0</v>
      </c>
      <c r="F33" s="104"/>
      <c r="H33" s="2"/>
      <c r="I33" s="2"/>
      <c r="J33" s="2"/>
      <c r="K33" s="2"/>
      <c r="L33" s="2"/>
      <c r="M33" s="2"/>
      <c r="AD33" s="93" t="s">
        <v>57</v>
      </c>
      <c r="AE33" s="93" t="s">
        <v>101</v>
      </c>
    </row>
    <row r="34" spans="1:31" ht="17.25" customHeight="1">
      <c r="A34" s="90">
        <v>4</v>
      </c>
      <c r="B34" s="93" t="s">
        <v>103</v>
      </c>
      <c r="C34" s="109">
        <f>C32-C33</f>
        <v>355.4267761711551</v>
      </c>
      <c r="D34" s="109">
        <f t="shared" ref="D34:E34" si="22">D32-D33</f>
        <v>90.487215999999989</v>
      </c>
      <c r="E34" s="109" t="e">
        <f t="shared" si="22"/>
        <v>#DIV/0!</v>
      </c>
      <c r="F34" s="104"/>
      <c r="H34" s="2"/>
      <c r="I34" s="2"/>
      <c r="J34" s="2"/>
      <c r="K34" s="2"/>
      <c r="L34" s="2"/>
      <c r="M34" s="2"/>
      <c r="AD34" s="93" t="s">
        <v>102</v>
      </c>
      <c r="AE34" s="93" t="s">
        <v>103</v>
      </c>
    </row>
    <row r="35" spans="1:31">
      <c r="A35" s="93" t="s">
        <v>99</v>
      </c>
      <c r="B35" s="98" t="s">
        <v>9</v>
      </c>
      <c r="C35" s="104"/>
      <c r="D35" s="104"/>
      <c r="E35" s="104"/>
      <c r="F35" s="104"/>
      <c r="G35" s="2"/>
      <c r="H35" s="2"/>
      <c r="I35" s="2"/>
      <c r="J35" s="2"/>
      <c r="K35" s="2"/>
      <c r="L35" s="2"/>
      <c r="M35" s="2"/>
      <c r="N35" s="2"/>
      <c r="O35" s="2"/>
      <c r="P35" s="2"/>
      <c r="AD35" s="93" t="s">
        <v>105</v>
      </c>
      <c r="AE35" s="98" t="s">
        <v>9</v>
      </c>
    </row>
    <row r="36" spans="1:31">
      <c r="A36" s="90">
        <v>1</v>
      </c>
      <c r="B36" s="93" t="s">
        <v>106</v>
      </c>
      <c r="C36" s="102">
        <f>标准成本!E4</f>
        <v>55.67</v>
      </c>
      <c r="D36" s="102">
        <f>标准成本!E16</f>
        <v>12.599</v>
      </c>
      <c r="E36" s="102">
        <f>标准成本!E29</f>
        <v>0</v>
      </c>
      <c r="F36" s="108"/>
      <c r="G36" s="2"/>
      <c r="H36" s="2"/>
      <c r="I36" s="2"/>
      <c r="J36" s="2"/>
      <c r="K36" s="2"/>
      <c r="L36" s="2"/>
      <c r="M36" s="2"/>
      <c r="N36" s="2"/>
      <c r="O36" s="2"/>
      <c r="P36" s="2"/>
      <c r="AD36" s="93" t="s">
        <v>102</v>
      </c>
      <c r="AE36" s="93" t="s">
        <v>106</v>
      </c>
    </row>
    <row r="37" spans="1:31">
      <c r="A37" s="90">
        <v>2</v>
      </c>
      <c r="B37" s="93" t="s">
        <v>107</v>
      </c>
      <c r="C37" s="102">
        <f>标准成本!E6</f>
        <v>16.529999999999998</v>
      </c>
      <c r="D37" s="102">
        <f>标准成本!E18</f>
        <v>3.7409999999999997</v>
      </c>
      <c r="E37" s="102">
        <f>标准成本!E31</f>
        <v>0</v>
      </c>
      <c r="F37" s="108"/>
      <c r="G37" s="2"/>
      <c r="H37" s="2"/>
      <c r="I37" s="2"/>
      <c r="J37" s="2"/>
      <c r="K37" s="2"/>
      <c r="L37" s="2"/>
      <c r="M37" s="2"/>
      <c r="N37" s="2"/>
      <c r="O37" s="2"/>
      <c r="P37" s="2"/>
      <c r="AD37" s="93" t="s">
        <v>60</v>
      </c>
      <c r="AE37" s="93" t="s">
        <v>107</v>
      </c>
    </row>
    <row r="38" spans="1:31">
      <c r="A38" s="90">
        <v>3</v>
      </c>
      <c r="B38" s="93" t="s">
        <v>108</v>
      </c>
      <c r="C38" s="102">
        <f>标准成本!E10</f>
        <v>78.28</v>
      </c>
      <c r="D38" s="102">
        <f>标准成本!E22</f>
        <v>17.716000000000001</v>
      </c>
      <c r="E38" s="102">
        <f>标准成本!E35</f>
        <v>0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AD38" s="93" t="s">
        <v>66</v>
      </c>
      <c r="AE38" s="93" t="s">
        <v>108</v>
      </c>
    </row>
    <row r="39" spans="1:31">
      <c r="A39" s="93" t="s">
        <v>105</v>
      </c>
      <c r="B39" s="98" t="s">
        <v>110</v>
      </c>
      <c r="C39" s="104"/>
      <c r="D39" s="104"/>
      <c r="E39" s="104"/>
      <c r="F39" s="104"/>
      <c r="AD39" s="93" t="s">
        <v>109</v>
      </c>
      <c r="AE39" s="98" t="s">
        <v>110</v>
      </c>
    </row>
    <row r="40" spans="1:31">
      <c r="A40" s="90">
        <v>1</v>
      </c>
      <c r="B40" s="93" t="s">
        <v>111</v>
      </c>
      <c r="C40" s="104">
        <f>C34-C36-C37-C38</f>
        <v>204.94677617115511</v>
      </c>
      <c r="D40" s="104">
        <f t="shared" ref="D40:E40" si="23">D34-D36-D37-D38</f>
        <v>56.431215999999985</v>
      </c>
      <c r="E40" s="104" t="e">
        <f t="shared" si="23"/>
        <v>#DIV/0!</v>
      </c>
      <c r="F40" s="104"/>
      <c r="AD40" s="93" t="s">
        <v>55</v>
      </c>
      <c r="AE40" s="93" t="s">
        <v>111</v>
      </c>
    </row>
    <row r="41" spans="1:31">
      <c r="A41" s="90">
        <v>2</v>
      </c>
      <c r="B41" s="93" t="s">
        <v>112</v>
      </c>
      <c r="C41" s="104"/>
      <c r="D41" s="104"/>
      <c r="E41" s="104"/>
      <c r="F41" s="104"/>
      <c r="AD41" s="93" t="s">
        <v>57</v>
      </c>
      <c r="AE41" s="93" t="s">
        <v>112</v>
      </c>
    </row>
    <row r="42" spans="1:31">
      <c r="A42" s="93" t="s">
        <v>109</v>
      </c>
      <c r="B42" s="98" t="s">
        <v>114</v>
      </c>
      <c r="C42" s="104"/>
      <c r="D42" s="104"/>
      <c r="E42" s="104"/>
      <c r="F42" s="104"/>
      <c r="AD42" s="93" t="s">
        <v>113</v>
      </c>
      <c r="AE42" s="98" t="s">
        <v>114</v>
      </c>
    </row>
    <row r="43" spans="1:31">
      <c r="A43" s="90">
        <v>1</v>
      </c>
      <c r="B43" s="105" t="s">
        <v>115</v>
      </c>
      <c r="C43" s="102">
        <f>标准成本!E5</f>
        <v>122.92999999999999</v>
      </c>
      <c r="D43" s="102">
        <f>标准成本!E17</f>
        <v>27.820999999999998</v>
      </c>
      <c r="E43" s="102">
        <f>标准成本!E30</f>
        <v>0</v>
      </c>
      <c r="F43" s="104"/>
      <c r="AD43" s="93" t="s">
        <v>55</v>
      </c>
      <c r="AE43" s="93" t="s">
        <v>115</v>
      </c>
    </row>
    <row r="44" spans="1:31">
      <c r="A44" s="90">
        <v>2</v>
      </c>
      <c r="B44" s="105" t="s">
        <v>116</v>
      </c>
      <c r="C44" s="102">
        <f>标准成本!E9</f>
        <v>26.03</v>
      </c>
      <c r="D44" s="102">
        <f>标准成本!E21</f>
        <v>5.891</v>
      </c>
      <c r="E44" s="102">
        <f>标准成本!E34</f>
        <v>0</v>
      </c>
      <c r="F44" s="104"/>
      <c r="AD44" s="93" t="s">
        <v>57</v>
      </c>
      <c r="AE44" s="93" t="s">
        <v>116</v>
      </c>
    </row>
    <row r="45" spans="1:31">
      <c r="A45" s="90">
        <v>3</v>
      </c>
      <c r="B45" s="105" t="s">
        <v>117</v>
      </c>
      <c r="C45" s="102">
        <f>标准成本!E8</f>
        <v>38.950000000000003</v>
      </c>
      <c r="D45" s="102">
        <f>标准成本!E20</f>
        <v>8.8149999999999995</v>
      </c>
      <c r="E45" s="102">
        <f>标准成本!E33</f>
        <v>0</v>
      </c>
      <c r="F45" s="104"/>
      <c r="AD45" s="93" t="s">
        <v>102</v>
      </c>
      <c r="AE45" s="93" t="s">
        <v>117</v>
      </c>
    </row>
    <row r="46" spans="1:31" s="88" customFormat="1">
      <c r="A46" s="90">
        <v>4</v>
      </c>
      <c r="B46" s="105" t="s">
        <v>118</v>
      </c>
      <c r="C46" s="110">
        <f>C21/C6</f>
        <v>2.6</v>
      </c>
      <c r="D46" s="110">
        <f t="shared" ref="D46:E46" si="24">D21/D6</f>
        <v>2.6</v>
      </c>
      <c r="E46" s="110" t="e">
        <f t="shared" si="24"/>
        <v>#DIV/0!</v>
      </c>
      <c r="F46" s="110"/>
      <c r="AD46" s="105" t="s">
        <v>62</v>
      </c>
      <c r="AE46" s="105" t="s">
        <v>120</v>
      </c>
    </row>
    <row r="47" spans="1:31" s="88" customFormat="1">
      <c r="A47" s="90">
        <v>5</v>
      </c>
      <c r="B47" s="105" t="s">
        <v>120</v>
      </c>
      <c r="C47" s="102">
        <f>标准成本!E11</f>
        <v>82.84</v>
      </c>
      <c r="D47" s="102">
        <f>标准成本!E23</f>
        <v>18.748000000000001</v>
      </c>
      <c r="E47" s="102">
        <f>标准成本!E36</f>
        <v>0</v>
      </c>
      <c r="F47" s="110"/>
      <c r="AD47" s="105" t="s">
        <v>62</v>
      </c>
      <c r="AE47" s="105" t="s">
        <v>120</v>
      </c>
    </row>
    <row r="48" spans="1:31">
      <c r="A48" s="93" t="s">
        <v>113</v>
      </c>
      <c r="B48" s="98" t="s">
        <v>131</v>
      </c>
      <c r="C48" s="104">
        <f>C40-C43-C44-C45-C47-C46</f>
        <v>-68.403223828844887</v>
      </c>
      <c r="D48" s="104">
        <f t="shared" ref="D48:E48" si="25">D40-D43-D44-D45-D47-D46</f>
        <v>-7.4437840000000115</v>
      </c>
      <c r="E48" s="104" t="e">
        <f t="shared" si="25"/>
        <v>#DIV/0!</v>
      </c>
      <c r="F48" s="104"/>
      <c r="AD48" s="93" t="s">
        <v>130</v>
      </c>
      <c r="AE48" s="98" t="s">
        <v>131</v>
      </c>
    </row>
    <row r="51" spans="2:11">
      <c r="C51" s="111"/>
      <c r="D51" s="111"/>
      <c r="E51" s="111"/>
    </row>
    <row r="54" spans="2:11">
      <c r="B54" s="2"/>
      <c r="C54" s="112"/>
      <c r="D54" s="112"/>
      <c r="E54" s="112"/>
      <c r="F54" s="112"/>
      <c r="G54" s="2"/>
      <c r="H54" s="2"/>
      <c r="I54" s="2"/>
      <c r="J54" s="2"/>
      <c r="K54" s="2"/>
    </row>
    <row r="55" spans="2:11">
      <c r="B55" s="2"/>
      <c r="C55" s="112"/>
      <c r="D55" s="112"/>
      <c r="E55" s="112"/>
      <c r="F55" s="112"/>
      <c r="G55" s="2"/>
      <c r="H55" s="2"/>
      <c r="I55" s="2"/>
      <c r="J55" s="2"/>
      <c r="K55" s="2"/>
    </row>
    <row r="56" spans="2:11">
      <c r="B56" s="2"/>
      <c r="C56" s="112"/>
      <c r="D56" s="112"/>
      <c r="E56" s="112"/>
      <c r="F56" s="112"/>
      <c r="G56" s="2"/>
      <c r="H56" s="2"/>
      <c r="I56" s="2"/>
      <c r="J56" s="2"/>
      <c r="K56" s="2"/>
    </row>
    <row r="57" spans="2:11">
      <c r="B57" s="2"/>
      <c r="C57" s="112"/>
      <c r="D57" s="112"/>
      <c r="E57" s="112"/>
      <c r="F57" s="112"/>
      <c r="G57" s="2"/>
      <c r="H57" s="2"/>
      <c r="I57" s="2"/>
      <c r="J57" s="2"/>
      <c r="K57" s="2"/>
    </row>
    <row r="58" spans="2:11">
      <c r="B58" s="2"/>
      <c r="C58" s="112"/>
      <c r="D58" s="112"/>
      <c r="E58" s="112"/>
      <c r="F58" s="112"/>
      <c r="G58" s="2"/>
      <c r="H58" s="2"/>
      <c r="I58" s="2"/>
      <c r="J58" s="2"/>
      <c r="K58" s="2"/>
    </row>
    <row r="59" spans="2:11">
      <c r="B59" s="2"/>
      <c r="C59" s="112"/>
      <c r="D59" s="112"/>
      <c r="E59" s="112"/>
      <c r="F59" s="112"/>
      <c r="G59" s="2"/>
      <c r="H59" s="2"/>
      <c r="I59" s="2"/>
      <c r="J59" s="2"/>
      <c r="K59" s="2"/>
    </row>
    <row r="60" spans="2:11">
      <c r="B60" s="2"/>
      <c r="C60" s="112"/>
      <c r="D60" s="112"/>
      <c r="E60" s="112"/>
      <c r="F60" s="112"/>
      <c r="G60" s="2"/>
      <c r="H60" s="2"/>
      <c r="I60" s="2"/>
      <c r="J60" s="2"/>
      <c r="K60" s="2"/>
    </row>
    <row r="61" spans="2:11">
      <c r="B61" s="2"/>
      <c r="C61" s="112"/>
      <c r="D61" s="112"/>
      <c r="E61" s="112"/>
      <c r="F61" s="112"/>
      <c r="G61" s="2"/>
      <c r="H61" s="2"/>
      <c r="I61" s="2"/>
      <c r="J61" s="2"/>
      <c r="K61" s="2"/>
    </row>
    <row r="62" spans="2:11">
      <c r="B62" s="2"/>
      <c r="C62" s="112"/>
      <c r="D62" s="112"/>
      <c r="E62" s="112"/>
      <c r="F62" s="112"/>
      <c r="G62" s="2"/>
      <c r="H62" s="2"/>
      <c r="I62" s="2"/>
      <c r="J62" s="2"/>
      <c r="K62" s="2"/>
    </row>
    <row r="63" spans="2:11">
      <c r="B63" s="2"/>
      <c r="C63" s="112"/>
      <c r="D63" s="112"/>
      <c r="E63" s="112"/>
      <c r="F63" s="112"/>
      <c r="G63" s="2"/>
      <c r="H63" s="2"/>
      <c r="I63" s="2"/>
      <c r="J63" s="2"/>
      <c r="K63" s="2"/>
    </row>
    <row r="64" spans="2:11">
      <c r="B64" s="2"/>
      <c r="C64" s="112"/>
      <c r="D64" s="112"/>
      <c r="E64" s="112"/>
      <c r="F64" s="112"/>
      <c r="G64" s="2"/>
      <c r="H64" s="2"/>
      <c r="I64" s="2"/>
      <c r="J64" s="2"/>
      <c r="K64" s="2"/>
    </row>
    <row r="65" spans="2:11">
      <c r="B65" s="2"/>
      <c r="C65" s="112"/>
      <c r="D65" s="112"/>
      <c r="E65" s="112"/>
      <c r="F65" s="112"/>
      <c r="G65" s="2"/>
      <c r="H65" s="2"/>
      <c r="I65" s="2"/>
      <c r="J65" s="2"/>
      <c r="K65" s="2"/>
    </row>
    <row r="66" spans="2:11">
      <c r="B66" s="2"/>
      <c r="C66" s="112"/>
      <c r="D66" s="112"/>
      <c r="E66" s="112"/>
      <c r="F66" s="112"/>
      <c r="G66" s="2"/>
      <c r="H66" s="2"/>
      <c r="I66" s="2"/>
      <c r="J66" s="2"/>
      <c r="K66" s="2"/>
    </row>
    <row r="67" spans="2:11">
      <c r="B67" s="2"/>
      <c r="C67" s="112"/>
      <c r="D67" s="112"/>
      <c r="E67" s="112"/>
      <c r="F67" s="112"/>
      <c r="G67" s="2"/>
    </row>
    <row r="68" spans="2:11">
      <c r="B68" s="2"/>
      <c r="C68" s="112"/>
      <c r="D68" s="112"/>
      <c r="E68" s="112"/>
      <c r="F68" s="112"/>
      <c r="G68" s="2"/>
    </row>
    <row r="69" spans="2:11">
      <c r="B69" s="2"/>
      <c r="C69" s="112"/>
      <c r="D69" s="112"/>
      <c r="E69" s="112"/>
      <c r="F69" s="112"/>
      <c r="G69" s="2"/>
    </row>
    <row r="70" spans="2:11">
      <c r="B70" s="2"/>
      <c r="C70" s="112"/>
      <c r="D70" s="112"/>
      <c r="E70" s="112"/>
      <c r="F70" s="112"/>
      <c r="G70" s="2"/>
    </row>
    <row r="71" spans="2:11">
      <c r="B71" s="2"/>
      <c r="C71" s="112"/>
      <c r="D71" s="112"/>
      <c r="E71" s="112"/>
      <c r="F71" s="112"/>
      <c r="G71" s="2"/>
    </row>
    <row r="72" spans="2:11">
      <c r="B72" s="2"/>
      <c r="C72" s="112"/>
      <c r="D72" s="112"/>
      <c r="E72" s="112"/>
      <c r="F72" s="112"/>
      <c r="G72" s="2"/>
    </row>
    <row r="73" spans="2:11">
      <c r="B73" s="2"/>
      <c r="C73" s="112"/>
      <c r="D73" s="112"/>
      <c r="E73" s="112"/>
      <c r="F73" s="112"/>
      <c r="G73" s="2"/>
    </row>
    <row r="74" spans="2:11">
      <c r="B74" s="2"/>
      <c r="C74" s="112"/>
      <c r="D74" s="112"/>
      <c r="E74" s="112"/>
      <c r="F74" s="112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3" activePane="bottomRight" state="frozen"/>
      <selection pane="topRight"/>
      <selection pane="bottomLeft"/>
      <selection pane="bottomRight" activeCell="C33" sqref="C33:E33"/>
    </sheetView>
  </sheetViews>
  <sheetFormatPr defaultColWidth="9" defaultRowHeight="16.5"/>
  <cols>
    <col min="1" max="1" width="5.125" style="86" customWidth="1"/>
    <col min="2" max="2" width="17.5" style="86" customWidth="1"/>
    <col min="3" max="5" width="14.375" style="89" customWidth="1"/>
    <col min="6" max="6" width="18.75" style="89" customWidth="1"/>
    <col min="7" max="7" width="12.375" style="86" customWidth="1"/>
    <col min="8" max="8" width="10.125" style="86" customWidth="1"/>
    <col min="9" max="15" width="9" style="86" customWidth="1"/>
    <col min="16" max="31" width="9" style="86"/>
    <col min="32" max="32" width="4.375" style="86" customWidth="1"/>
    <col min="33" max="33" width="13.875" style="86" customWidth="1"/>
    <col min="34" max="16384" width="9" style="86"/>
  </cols>
  <sheetData>
    <row r="1" spans="1:34">
      <c r="A1" s="212" t="s">
        <v>141</v>
      </c>
      <c r="B1" s="212"/>
      <c r="C1" s="216" t="s">
        <v>268</v>
      </c>
      <c r="D1" s="217"/>
      <c r="E1" s="217"/>
      <c r="F1" s="218"/>
    </row>
    <row r="2" spans="1:34">
      <c r="A2" s="212" t="s">
        <v>142</v>
      </c>
      <c r="B2" s="212"/>
      <c r="C2" s="219" t="str">
        <f>'2025年'!$C$2</f>
        <v>陕汽重型汽车有限公司</v>
      </c>
      <c r="D2" s="219"/>
      <c r="E2" s="219"/>
      <c r="F2" s="219"/>
    </row>
    <row r="3" spans="1:34">
      <c r="A3" s="212" t="s">
        <v>143</v>
      </c>
      <c r="B3" s="212"/>
      <c r="C3" s="91" t="str">
        <f>'2025年'!C3</f>
        <v>司机座椅</v>
      </c>
      <c r="D3" s="91" t="str">
        <f>'2025年'!D3</f>
        <v>副司机座椅</v>
      </c>
      <c r="E3" s="91">
        <f>'2025年'!E3</f>
        <v>0</v>
      </c>
      <c r="F3" s="213" t="s">
        <v>51</v>
      </c>
    </row>
    <row r="4" spans="1:34">
      <c r="A4" s="212" t="s">
        <v>144</v>
      </c>
      <c r="B4" s="212"/>
      <c r="C4" s="91" t="str">
        <f>'2025年'!C4</f>
        <v>DZ14251510148</v>
      </c>
      <c r="D4" s="91" t="str">
        <f>'2025年'!D4</f>
        <v>DZ15221512009</v>
      </c>
      <c r="E4" s="91">
        <f>'2025年'!E4</f>
        <v>0</v>
      </c>
      <c r="F4" s="214"/>
    </row>
    <row r="5" spans="1:34" ht="42.75">
      <c r="A5" s="212" t="s">
        <v>145</v>
      </c>
      <c r="B5" s="212"/>
      <c r="C5" s="92" t="str">
        <f>'2025年'!C5</f>
        <v>X5000座椅增加通风、更换面料、扶手改为长扶手</v>
      </c>
      <c r="D5" s="92" t="str">
        <f>'2025年'!D5</f>
        <v>报警锁扣、增加SBR</v>
      </c>
      <c r="E5" s="92">
        <f>'2025年'!E5</f>
        <v>0</v>
      </c>
      <c r="F5" s="215"/>
      <c r="AH5" s="86" t="s">
        <v>52</v>
      </c>
    </row>
    <row r="6" spans="1:34" ht="17.25">
      <c r="A6" s="93" t="s">
        <v>18</v>
      </c>
      <c r="B6" s="94" t="s">
        <v>146</v>
      </c>
      <c r="C6" s="113">
        <f>销量!C10</f>
        <v>500</v>
      </c>
      <c r="D6" s="113">
        <f>销量!D10</f>
        <v>500</v>
      </c>
      <c r="E6" s="113">
        <f>销量!E10</f>
        <v>0</v>
      </c>
      <c r="F6" s="96">
        <f>+SUM(C6:E6)</f>
        <v>1000</v>
      </c>
      <c r="AF6" s="93" t="s">
        <v>18</v>
      </c>
      <c r="AG6" s="94" t="s">
        <v>3</v>
      </c>
      <c r="AH6" s="86" t="s">
        <v>53</v>
      </c>
    </row>
    <row r="7" spans="1:34">
      <c r="A7" s="90">
        <v>1</v>
      </c>
      <c r="B7" s="94" t="s">
        <v>54</v>
      </c>
      <c r="C7" s="96">
        <f>C6*销量!C8</f>
        <v>950000</v>
      </c>
      <c r="D7" s="96">
        <f>D6*销量!D8</f>
        <v>215000</v>
      </c>
      <c r="E7" s="96">
        <f>E6*销量!E8</f>
        <v>0</v>
      </c>
      <c r="F7" s="96">
        <f t="shared" ref="F7:F15" si="0">+SUM(C7:E7)</f>
        <v>1165000</v>
      </c>
      <c r="G7" s="89"/>
      <c r="AF7" s="93" t="s">
        <v>55</v>
      </c>
      <c r="AG7" s="94" t="s">
        <v>54</v>
      </c>
      <c r="AH7" s="86" t="s">
        <v>53</v>
      </c>
    </row>
    <row r="8" spans="1:34">
      <c r="A8" s="90">
        <v>2</v>
      </c>
      <c r="B8" s="90" t="s">
        <v>56</v>
      </c>
      <c r="C8" s="96">
        <f>C7*(1-销量!$K$7)</f>
        <v>47500.000000000044</v>
      </c>
      <c r="D8" s="96">
        <f>D7*(1-销量!$K$7)</f>
        <v>10750.000000000009</v>
      </c>
      <c r="E8" s="96">
        <f>E7*(1-销量!$K$7)</f>
        <v>0</v>
      </c>
      <c r="F8" s="96">
        <f t="shared" si="0"/>
        <v>58250.000000000051</v>
      </c>
      <c r="G8" s="97"/>
      <c r="AF8" s="93" t="s">
        <v>57</v>
      </c>
      <c r="AG8" s="90" t="s">
        <v>58</v>
      </c>
      <c r="AH8" s="86" t="s">
        <v>53</v>
      </c>
    </row>
    <row r="9" spans="1:34">
      <c r="A9" s="90">
        <v>3</v>
      </c>
      <c r="B9" s="94" t="s">
        <v>59</v>
      </c>
      <c r="C9" s="96">
        <f>+C7-C8</f>
        <v>902500</v>
      </c>
      <c r="D9" s="96">
        <f t="shared" ref="D9:E9" si="1">+D7-D8</f>
        <v>204250</v>
      </c>
      <c r="E9" s="96">
        <f t="shared" si="1"/>
        <v>0</v>
      </c>
      <c r="F9" s="96">
        <f t="shared" si="0"/>
        <v>1106750</v>
      </c>
      <c r="AF9" s="93" t="s">
        <v>60</v>
      </c>
      <c r="AG9" s="94" t="s">
        <v>59</v>
      </c>
      <c r="AH9" s="86" t="s">
        <v>61</v>
      </c>
    </row>
    <row r="10" spans="1:34">
      <c r="A10" s="90">
        <v>4</v>
      </c>
      <c r="B10" s="93" t="s">
        <v>63</v>
      </c>
      <c r="C10" s="96">
        <f>C6*C33</f>
        <v>733672.28131870122</v>
      </c>
      <c r="D10" s="96">
        <f t="shared" ref="D10:E10" si="2">D6*D33</f>
        <v>161268.5724</v>
      </c>
      <c r="E10" s="96">
        <f t="shared" si="2"/>
        <v>0</v>
      </c>
      <c r="F10" s="96">
        <f t="shared" si="0"/>
        <v>894940.85371870128</v>
      </c>
      <c r="AF10" s="93" t="s">
        <v>62</v>
      </c>
      <c r="AG10" s="93" t="s">
        <v>63</v>
      </c>
      <c r="AH10" s="86" t="s">
        <v>64</v>
      </c>
    </row>
    <row r="11" spans="1:34">
      <c r="A11" s="90">
        <v>5</v>
      </c>
      <c r="B11" s="93" t="s">
        <v>65</v>
      </c>
      <c r="C11" s="96">
        <f>+C6*C36</f>
        <v>27835</v>
      </c>
      <c r="D11" s="96">
        <f t="shared" ref="D11:E11" si="3">+D6*D36</f>
        <v>6299.5</v>
      </c>
      <c r="E11" s="96">
        <f t="shared" si="3"/>
        <v>0</v>
      </c>
      <c r="F11" s="96">
        <f t="shared" si="0"/>
        <v>34134.5</v>
      </c>
      <c r="AF11" s="93" t="s">
        <v>66</v>
      </c>
      <c r="AG11" s="93" t="s">
        <v>65</v>
      </c>
    </row>
    <row r="12" spans="1:34">
      <c r="A12" s="90">
        <v>6</v>
      </c>
      <c r="B12" s="93" t="s">
        <v>67</v>
      </c>
      <c r="C12" s="96">
        <f>+C6*C37</f>
        <v>8264.9999999999982</v>
      </c>
      <c r="D12" s="96">
        <f t="shared" ref="D12:E12" si="4">+D6*D37</f>
        <v>1870.4999999999998</v>
      </c>
      <c r="E12" s="96">
        <f t="shared" si="4"/>
        <v>0</v>
      </c>
      <c r="F12" s="96">
        <f t="shared" si="0"/>
        <v>10135.499999999998</v>
      </c>
      <c r="AF12" s="93" t="s">
        <v>68</v>
      </c>
      <c r="AG12" s="93" t="s">
        <v>67</v>
      </c>
    </row>
    <row r="13" spans="1:34">
      <c r="A13" s="90">
        <v>7</v>
      </c>
      <c r="B13" s="93" t="s">
        <v>69</v>
      </c>
      <c r="C13" s="96">
        <f>+C6*C38</f>
        <v>39140</v>
      </c>
      <c r="D13" s="96">
        <f t="shared" ref="D13:E13" si="5">+D6*D38</f>
        <v>8858</v>
      </c>
      <c r="E13" s="96">
        <f t="shared" si="5"/>
        <v>0</v>
      </c>
      <c r="F13" s="96">
        <f t="shared" si="0"/>
        <v>47998</v>
      </c>
      <c r="AF13" s="93" t="s">
        <v>70</v>
      </c>
      <c r="AG13" s="93" t="s">
        <v>69</v>
      </c>
      <c r="AH13" s="86" t="s">
        <v>53</v>
      </c>
    </row>
    <row r="14" spans="1:34">
      <c r="A14" s="90">
        <v>8</v>
      </c>
      <c r="B14" s="98" t="s">
        <v>71</v>
      </c>
      <c r="C14" s="96">
        <f>SUM(C11:C13)</f>
        <v>75240</v>
      </c>
      <c r="D14" s="96">
        <f t="shared" ref="D14:E14" si="6">SUM(D11:D13)</f>
        <v>17028</v>
      </c>
      <c r="E14" s="96">
        <f t="shared" si="6"/>
        <v>0</v>
      </c>
      <c r="F14" s="96">
        <f t="shared" si="0"/>
        <v>92268</v>
      </c>
      <c r="AF14" s="93" t="s">
        <v>72</v>
      </c>
      <c r="AG14" s="98" t="s">
        <v>71</v>
      </c>
    </row>
    <row r="15" spans="1:34">
      <c r="A15" s="90">
        <v>9</v>
      </c>
      <c r="B15" s="98" t="s">
        <v>73</v>
      </c>
      <c r="C15" s="96">
        <f>+C9-C10-C14</f>
        <v>93587.718681298778</v>
      </c>
      <c r="D15" s="96">
        <f t="shared" ref="D15:E15" si="7">+D9-D10-D14</f>
        <v>25953.427599999995</v>
      </c>
      <c r="E15" s="96">
        <f t="shared" si="7"/>
        <v>0</v>
      </c>
      <c r="F15" s="96">
        <f t="shared" si="0"/>
        <v>119541.14628129877</v>
      </c>
      <c r="AF15" s="93" t="s">
        <v>74</v>
      </c>
      <c r="AG15" s="98" t="s">
        <v>73</v>
      </c>
    </row>
    <row r="16" spans="1:34">
      <c r="A16" s="90">
        <v>10</v>
      </c>
      <c r="B16" s="93" t="s">
        <v>75</v>
      </c>
      <c r="C16" s="99">
        <f>+C15/C9</f>
        <v>0.10369830324797649</v>
      </c>
      <c r="D16" s="99">
        <f t="shared" ref="D16:E16" si="8">+D15/D9</f>
        <v>0.12706696499388004</v>
      </c>
      <c r="E16" s="99" t="e">
        <f t="shared" si="8"/>
        <v>#DIV/0!</v>
      </c>
      <c r="F16" s="99">
        <f>+F15/F9</f>
        <v>0.10801097472898015</v>
      </c>
      <c r="AF16" s="93" t="s">
        <v>76</v>
      </c>
      <c r="AG16" s="93" t="s">
        <v>75</v>
      </c>
    </row>
    <row r="17" spans="1:34">
      <c r="A17" s="90">
        <v>11</v>
      </c>
      <c r="B17" s="93" t="s">
        <v>77</v>
      </c>
      <c r="C17" s="96">
        <f>C6*C43+C18</f>
        <v>61464.999999999993</v>
      </c>
      <c r="D17" s="96">
        <f t="shared" ref="D17:E17" si="9">D6*D43+D18</f>
        <v>13910.499999999998</v>
      </c>
      <c r="E17" s="96">
        <f t="shared" si="9"/>
        <v>0</v>
      </c>
      <c r="F17" s="96">
        <f>+SUM(C17:E17)</f>
        <v>75375.499999999985</v>
      </c>
      <c r="G17" s="97"/>
      <c r="AF17" s="93" t="s">
        <v>78</v>
      </c>
      <c r="AG17" s="93" t="s">
        <v>77</v>
      </c>
    </row>
    <row r="18" spans="1:34" s="87" customFormat="1">
      <c r="A18" s="90">
        <v>12</v>
      </c>
      <c r="B18" s="101" t="s">
        <v>147</v>
      </c>
      <c r="C18" s="102">
        <f>$F$18/$F$6*C6</f>
        <v>0</v>
      </c>
      <c r="D18" s="102">
        <f t="shared" ref="D18:E18" si="10">$F$18/$F$6*D6</f>
        <v>0</v>
      </c>
      <c r="E18" s="102">
        <f t="shared" si="10"/>
        <v>0</v>
      </c>
      <c r="F18" s="96">
        <f>项目投资!E26</f>
        <v>0</v>
      </c>
      <c r="G18" s="103" t="s">
        <v>148</v>
      </c>
      <c r="H18" s="103"/>
      <c r="I18" s="103"/>
    </row>
    <row r="19" spans="1:34">
      <c r="A19" s="90">
        <v>13</v>
      </c>
      <c r="B19" s="93" t="s">
        <v>79</v>
      </c>
      <c r="C19" s="96">
        <f>C6*C44</f>
        <v>13015</v>
      </c>
      <c r="D19" s="96">
        <f t="shared" ref="D19:E19" si="11">D6*D44</f>
        <v>2945.5</v>
      </c>
      <c r="E19" s="96">
        <f t="shared" si="11"/>
        <v>0</v>
      </c>
      <c r="F19" s="96">
        <f>+SUM(C19:E19)</f>
        <v>15960.5</v>
      </c>
      <c r="G19" s="87"/>
      <c r="AF19" s="93" t="s">
        <v>80</v>
      </c>
      <c r="AG19" s="93" t="s">
        <v>79</v>
      </c>
      <c r="AH19" s="86" t="s">
        <v>53</v>
      </c>
    </row>
    <row r="20" spans="1:34">
      <c r="A20" s="90">
        <v>14</v>
      </c>
      <c r="B20" s="93" t="s">
        <v>81</v>
      </c>
      <c r="C20" s="96">
        <f>C6*C45</f>
        <v>19475</v>
      </c>
      <c r="D20" s="96">
        <f t="shared" ref="D20:E20" si="12">D6*D45</f>
        <v>4407.5</v>
      </c>
      <c r="E20" s="96">
        <f t="shared" si="12"/>
        <v>0</v>
      </c>
      <c r="F20" s="96">
        <f>+SUM(C20:E20)</f>
        <v>23882.5</v>
      </c>
      <c r="AF20" s="93" t="s">
        <v>82</v>
      </c>
      <c r="AG20" s="93" t="s">
        <v>81</v>
      </c>
    </row>
    <row r="21" spans="1:34">
      <c r="A21" s="90">
        <v>15</v>
      </c>
      <c r="B21" s="93" t="s">
        <v>83</v>
      </c>
      <c r="C21" s="104">
        <f>$F$21/$F$6*C6</f>
        <v>260</v>
      </c>
      <c r="D21" s="104">
        <f t="shared" ref="D21:E21" si="13">$F$21/$F$6*D6</f>
        <v>260</v>
      </c>
      <c r="E21" s="104">
        <f t="shared" si="13"/>
        <v>0</v>
      </c>
      <c r="F21" s="96">
        <f>项目投资!E27</f>
        <v>520</v>
      </c>
      <c r="AF21" s="93"/>
      <c r="AG21" s="93"/>
    </row>
    <row r="22" spans="1:34">
      <c r="A22" s="90">
        <v>16</v>
      </c>
      <c r="B22" s="93" t="s">
        <v>84</v>
      </c>
      <c r="C22" s="96">
        <f>C6*C47</f>
        <v>41420</v>
      </c>
      <c r="D22" s="96">
        <f t="shared" ref="D22:E22" si="14">D6*D47</f>
        <v>9374</v>
      </c>
      <c r="E22" s="96">
        <f t="shared" si="14"/>
        <v>0</v>
      </c>
      <c r="F22" s="96">
        <f>+SUM(C22:E22)</f>
        <v>50794</v>
      </c>
      <c r="AF22" s="93" t="s">
        <v>85</v>
      </c>
      <c r="AG22" s="93" t="s">
        <v>84</v>
      </c>
    </row>
    <row r="23" spans="1:34">
      <c r="A23" s="90">
        <v>17</v>
      </c>
      <c r="B23" s="98" t="s">
        <v>86</v>
      </c>
      <c r="C23" s="104">
        <f>+C22+C21+C20+C19+C17</f>
        <v>135635</v>
      </c>
      <c r="D23" s="104">
        <f t="shared" ref="D23:E23" si="15">+D22+D21+D20+D19+D17</f>
        <v>30897.5</v>
      </c>
      <c r="E23" s="104">
        <f t="shared" si="15"/>
        <v>0</v>
      </c>
      <c r="F23" s="104">
        <f>+F22+F21+F20+F19+F17</f>
        <v>166532.5</v>
      </c>
      <c r="AF23" s="93" t="s">
        <v>87</v>
      </c>
      <c r="AG23" s="98" t="s">
        <v>86</v>
      </c>
    </row>
    <row r="24" spans="1:34">
      <c r="A24" s="90">
        <v>18</v>
      </c>
      <c r="B24" s="105" t="s">
        <v>88</v>
      </c>
      <c r="C24" s="104">
        <f>+C15-C23</f>
        <v>-42047.281318701222</v>
      </c>
      <c r="D24" s="104">
        <f t="shared" ref="D24:E24" si="16">+D15-D23</f>
        <v>-4944.0724000000046</v>
      </c>
      <c r="E24" s="104">
        <f t="shared" si="16"/>
        <v>0</v>
      </c>
      <c r="F24" s="104">
        <f>+F15-F23</f>
        <v>-46991.353718701226</v>
      </c>
      <c r="H24" s="106"/>
      <c r="AF24" s="93" t="s">
        <v>89</v>
      </c>
      <c r="AG24" s="93" t="s">
        <v>88</v>
      </c>
    </row>
    <row r="25" spans="1:34">
      <c r="A25" s="90">
        <v>19</v>
      </c>
      <c r="B25" s="93" t="s">
        <v>281</v>
      </c>
      <c r="C25" s="104">
        <f>IF(C24&lt;0,0,C24*0.15)</f>
        <v>0</v>
      </c>
      <c r="D25" s="104">
        <f t="shared" ref="D25:E25" si="17">IF(D24&lt;0,0,D24*0.15)</f>
        <v>0</v>
      </c>
      <c r="E25" s="104">
        <f t="shared" si="17"/>
        <v>0</v>
      </c>
      <c r="F25" s="104">
        <f t="shared" ref="F25" si="18">IF(F24&lt;0,0,F24*0.15)</f>
        <v>0</v>
      </c>
      <c r="G25" s="2"/>
      <c r="H25" s="2"/>
      <c r="I25" s="2"/>
      <c r="AF25" s="93" t="s">
        <v>90</v>
      </c>
      <c r="AG25" s="93" t="s">
        <v>35</v>
      </c>
    </row>
    <row r="26" spans="1:34">
      <c r="A26" s="90">
        <v>20</v>
      </c>
      <c r="B26" s="93" t="s">
        <v>91</v>
      </c>
      <c r="C26" s="104">
        <f>C24-C25</f>
        <v>-42047.281318701222</v>
      </c>
      <c r="D26" s="104">
        <f t="shared" ref="D26:E26" si="19">D24-D25</f>
        <v>-4944.0724000000046</v>
      </c>
      <c r="E26" s="104">
        <f t="shared" si="19"/>
        <v>0</v>
      </c>
      <c r="F26" s="96">
        <f>+SUM(C26:E26)</f>
        <v>-46991.353718701226</v>
      </c>
      <c r="G26" s="2"/>
      <c r="H26" s="2"/>
      <c r="I26" s="2"/>
      <c r="AF26" s="93" t="s">
        <v>92</v>
      </c>
      <c r="AG26" s="93" t="s">
        <v>91</v>
      </c>
    </row>
    <row r="27" spans="1:34">
      <c r="A27" s="90">
        <v>21</v>
      </c>
      <c r="B27" s="93" t="s">
        <v>95</v>
      </c>
      <c r="C27" s="107">
        <f>C26/C7</f>
        <v>-4.4260296124948653E-2</v>
      </c>
      <c r="D27" s="107">
        <f t="shared" ref="D27:E27" si="20">D26/D7</f>
        <v>-2.2995685581395371E-2</v>
      </c>
      <c r="E27" s="107" t="e">
        <f t="shared" si="20"/>
        <v>#DIV/0!</v>
      </c>
      <c r="F27" s="107">
        <f>F26/F7</f>
        <v>-4.0335925938799339E-2</v>
      </c>
      <c r="G27" s="2"/>
      <c r="H27" s="2"/>
      <c r="I27" s="2"/>
      <c r="AF27" s="93" t="s">
        <v>94</v>
      </c>
      <c r="AG27" s="93" t="s">
        <v>95</v>
      </c>
    </row>
    <row r="28" spans="1:34">
      <c r="G28" s="2"/>
      <c r="H28" s="2"/>
      <c r="I28" s="2"/>
    </row>
    <row r="29" spans="1:34">
      <c r="A29" s="86" t="s">
        <v>96</v>
      </c>
      <c r="F29" s="89" t="s">
        <v>149</v>
      </c>
      <c r="G29" s="2"/>
      <c r="H29" s="2"/>
      <c r="I29" s="2"/>
      <c r="AF29" s="86" t="s">
        <v>96</v>
      </c>
    </row>
    <row r="30" spans="1:34">
      <c r="A30" s="93" t="s">
        <v>97</v>
      </c>
      <c r="B30" s="98" t="s">
        <v>98</v>
      </c>
      <c r="C30" s="104"/>
      <c r="D30" s="104"/>
      <c r="E30" s="104"/>
      <c r="F30" s="104"/>
      <c r="G30" s="2"/>
      <c r="H30" s="2"/>
      <c r="I30" s="2"/>
      <c r="K30" s="2"/>
      <c r="AF30" s="93" t="s">
        <v>99</v>
      </c>
      <c r="AG30" s="98" t="s">
        <v>98</v>
      </c>
    </row>
    <row r="31" spans="1:34">
      <c r="A31" s="90">
        <v>1</v>
      </c>
      <c r="B31" s="101" t="s">
        <v>100</v>
      </c>
      <c r="C31" s="108">
        <f>销量!C8</f>
        <v>1900</v>
      </c>
      <c r="D31" s="108">
        <f>销量!D8</f>
        <v>430</v>
      </c>
      <c r="E31" s="108">
        <f>销量!E8</f>
        <v>0</v>
      </c>
      <c r="F31" s="104"/>
      <c r="G31" s="2"/>
      <c r="H31" s="2"/>
      <c r="I31" s="2"/>
      <c r="K31" s="2"/>
      <c r="AF31" s="93" t="s">
        <v>55</v>
      </c>
      <c r="AG31" s="93" t="s">
        <v>100</v>
      </c>
    </row>
    <row r="32" spans="1:34">
      <c r="A32" s="90">
        <v>2</v>
      </c>
      <c r="B32" s="93" t="s">
        <v>150</v>
      </c>
      <c r="C32" s="96">
        <f>C9/C6</f>
        <v>1805</v>
      </c>
      <c r="D32" s="96">
        <f t="shared" ref="D32:E32" si="21">D9/D6</f>
        <v>408.5</v>
      </c>
      <c r="E32" s="96" t="e">
        <f t="shared" si="21"/>
        <v>#DIV/0!</v>
      </c>
      <c r="F32" s="104"/>
      <c r="G32" s="2"/>
      <c r="H32" s="2"/>
      <c r="I32" s="2"/>
      <c r="J32" s="2"/>
      <c r="K32" s="2"/>
      <c r="L32" s="2"/>
      <c r="M32" s="2"/>
      <c r="AF32" s="93"/>
      <c r="AG32" s="93"/>
    </row>
    <row r="33" spans="1:33">
      <c r="A33" s="90">
        <v>3</v>
      </c>
      <c r="B33" s="101" t="s">
        <v>101</v>
      </c>
      <c r="C33" s="96">
        <f>材料成本!D25</f>
        <v>1467.3445626374025</v>
      </c>
      <c r="D33" s="96">
        <f>材料成本!E25</f>
        <v>322.53714480000002</v>
      </c>
      <c r="E33" s="96">
        <f>材料成本!F25</f>
        <v>0</v>
      </c>
      <c r="F33" s="104"/>
      <c r="H33" s="2"/>
      <c r="I33" s="2"/>
      <c r="J33" s="2"/>
      <c r="K33" s="2"/>
      <c r="L33" s="2"/>
      <c r="M33" s="2"/>
      <c r="AF33" s="93" t="s">
        <v>57</v>
      </c>
      <c r="AG33" s="93" t="s">
        <v>101</v>
      </c>
    </row>
    <row r="34" spans="1:33" ht="17.25" customHeight="1">
      <c r="A34" s="90">
        <v>4</v>
      </c>
      <c r="B34" s="93" t="s">
        <v>103</v>
      </c>
      <c r="C34" s="109">
        <f>C32-C33</f>
        <v>337.65543736259747</v>
      </c>
      <c r="D34" s="109">
        <f t="shared" ref="D34:E34" si="22">D32-D33</f>
        <v>85.962855199999979</v>
      </c>
      <c r="E34" s="109" t="e">
        <f t="shared" si="22"/>
        <v>#DIV/0!</v>
      </c>
      <c r="F34" s="104"/>
      <c r="H34" s="2"/>
      <c r="I34" s="2"/>
      <c r="J34" s="2"/>
      <c r="K34" s="2"/>
      <c r="L34" s="2"/>
      <c r="M34" s="2"/>
      <c r="AF34" s="93" t="s">
        <v>102</v>
      </c>
      <c r="AG34" s="93" t="s">
        <v>103</v>
      </c>
    </row>
    <row r="35" spans="1:33">
      <c r="A35" s="93" t="s">
        <v>99</v>
      </c>
      <c r="B35" s="98" t="s">
        <v>9</v>
      </c>
      <c r="C35" s="104"/>
      <c r="D35" s="104"/>
      <c r="E35" s="104"/>
      <c r="F35" s="104"/>
      <c r="G35" s="2"/>
      <c r="H35" s="2"/>
      <c r="I35" s="2"/>
      <c r="J35" s="2"/>
      <c r="K35" s="2"/>
      <c r="L35" s="2"/>
      <c r="M35" s="2"/>
      <c r="N35" s="2"/>
      <c r="O35" s="2"/>
      <c r="P35" s="2"/>
      <c r="AF35" s="93" t="s">
        <v>105</v>
      </c>
      <c r="AG35" s="98" t="s">
        <v>9</v>
      </c>
    </row>
    <row r="36" spans="1:33">
      <c r="A36" s="90">
        <v>1</v>
      </c>
      <c r="B36" s="93" t="s">
        <v>106</v>
      </c>
      <c r="C36" s="102">
        <f>'2025年'!C36</f>
        <v>55.67</v>
      </c>
      <c r="D36" s="102">
        <f>'2025年'!D36</f>
        <v>12.599</v>
      </c>
      <c r="E36" s="102">
        <f>'2025年'!E36</f>
        <v>0</v>
      </c>
      <c r="F36" s="108"/>
      <c r="G36" s="2"/>
      <c r="H36" s="2"/>
      <c r="I36" s="2"/>
      <c r="J36" s="2"/>
      <c r="K36" s="2"/>
      <c r="L36" s="2"/>
      <c r="M36" s="2"/>
      <c r="N36" s="2"/>
      <c r="O36" s="2"/>
      <c r="P36" s="2"/>
      <c r="AF36" s="93" t="s">
        <v>102</v>
      </c>
      <c r="AG36" s="93" t="s">
        <v>106</v>
      </c>
    </row>
    <row r="37" spans="1:33">
      <c r="A37" s="90">
        <v>2</v>
      </c>
      <c r="B37" s="93" t="s">
        <v>107</v>
      </c>
      <c r="C37" s="102">
        <f>'2025年'!C37</f>
        <v>16.529999999999998</v>
      </c>
      <c r="D37" s="102">
        <f>'2025年'!D37</f>
        <v>3.7409999999999997</v>
      </c>
      <c r="E37" s="102">
        <f>'2025年'!E37</f>
        <v>0</v>
      </c>
      <c r="F37" s="108"/>
      <c r="G37" s="2"/>
      <c r="H37" s="2"/>
      <c r="I37" s="2"/>
      <c r="J37" s="2"/>
      <c r="K37" s="2"/>
      <c r="L37" s="2"/>
      <c r="M37" s="2"/>
      <c r="N37" s="2"/>
      <c r="O37" s="2"/>
      <c r="P37" s="2"/>
      <c r="AF37" s="93" t="s">
        <v>60</v>
      </c>
      <c r="AG37" s="93" t="s">
        <v>107</v>
      </c>
    </row>
    <row r="38" spans="1:33">
      <c r="A38" s="90">
        <v>3</v>
      </c>
      <c r="B38" s="93" t="s">
        <v>108</v>
      </c>
      <c r="C38" s="102">
        <f>'2025年'!C38</f>
        <v>78.28</v>
      </c>
      <c r="D38" s="102">
        <f>'2025年'!D38</f>
        <v>17.716000000000001</v>
      </c>
      <c r="E38" s="102">
        <f>'2025年'!E38</f>
        <v>0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AF38" s="93" t="s">
        <v>66</v>
      </c>
      <c r="AG38" s="93" t="s">
        <v>108</v>
      </c>
    </row>
    <row r="39" spans="1:33">
      <c r="A39" s="93" t="s">
        <v>105</v>
      </c>
      <c r="B39" s="98" t="s">
        <v>110</v>
      </c>
      <c r="C39" s="104"/>
      <c r="D39" s="104"/>
      <c r="E39" s="104"/>
      <c r="F39" s="104"/>
      <c r="AF39" s="93" t="s">
        <v>109</v>
      </c>
      <c r="AG39" s="98" t="s">
        <v>110</v>
      </c>
    </row>
    <row r="40" spans="1:33">
      <c r="A40" s="90">
        <v>1</v>
      </c>
      <c r="B40" s="93" t="s">
        <v>111</v>
      </c>
      <c r="C40" s="104">
        <f>C34-C36-C37-C38</f>
        <v>187.17543736259748</v>
      </c>
      <c r="D40" s="104">
        <f t="shared" ref="D40:E40" si="23">D34-D36-D37-D38</f>
        <v>51.906855199999974</v>
      </c>
      <c r="E40" s="104" t="e">
        <f t="shared" si="23"/>
        <v>#DIV/0!</v>
      </c>
      <c r="F40" s="104"/>
      <c r="AF40" s="93" t="s">
        <v>55</v>
      </c>
      <c r="AG40" s="93" t="s">
        <v>111</v>
      </c>
    </row>
    <row r="41" spans="1:33">
      <c r="A41" s="90">
        <v>2</v>
      </c>
      <c r="B41" s="93" t="s">
        <v>112</v>
      </c>
      <c r="C41" s="104"/>
      <c r="D41" s="104"/>
      <c r="E41" s="104"/>
      <c r="F41" s="104"/>
      <c r="AF41" s="93" t="s">
        <v>57</v>
      </c>
      <c r="AG41" s="93" t="s">
        <v>112</v>
      </c>
    </row>
    <row r="42" spans="1:33">
      <c r="A42" s="93" t="s">
        <v>109</v>
      </c>
      <c r="B42" s="98" t="s">
        <v>114</v>
      </c>
      <c r="C42" s="104"/>
      <c r="D42" s="104"/>
      <c r="E42" s="104"/>
      <c r="F42" s="104"/>
      <c r="AF42" s="93" t="s">
        <v>113</v>
      </c>
      <c r="AG42" s="98" t="s">
        <v>114</v>
      </c>
    </row>
    <row r="43" spans="1:33">
      <c r="A43" s="90">
        <v>1</v>
      </c>
      <c r="B43" s="105" t="s">
        <v>115</v>
      </c>
      <c r="C43" s="102">
        <f>'2025年'!C43</f>
        <v>122.92999999999999</v>
      </c>
      <c r="D43" s="102">
        <f>'2025年'!D43</f>
        <v>27.820999999999998</v>
      </c>
      <c r="E43" s="102">
        <f>'2025年'!E43</f>
        <v>0</v>
      </c>
      <c r="F43" s="104"/>
      <c r="AF43" s="93" t="s">
        <v>55</v>
      </c>
      <c r="AG43" s="93" t="s">
        <v>115</v>
      </c>
    </row>
    <row r="44" spans="1:33">
      <c r="A44" s="90">
        <v>2</v>
      </c>
      <c r="B44" s="105" t="s">
        <v>116</v>
      </c>
      <c r="C44" s="102">
        <f>'2025年'!C44</f>
        <v>26.03</v>
      </c>
      <c r="D44" s="102">
        <f>'2025年'!D44</f>
        <v>5.891</v>
      </c>
      <c r="E44" s="102">
        <f>'2025年'!E44</f>
        <v>0</v>
      </c>
      <c r="F44" s="104"/>
      <c r="AF44" s="93" t="s">
        <v>57</v>
      </c>
      <c r="AG44" s="93" t="s">
        <v>116</v>
      </c>
    </row>
    <row r="45" spans="1:33">
      <c r="A45" s="90">
        <v>3</v>
      </c>
      <c r="B45" s="105" t="s">
        <v>117</v>
      </c>
      <c r="C45" s="102">
        <f>'2025年'!C45</f>
        <v>38.950000000000003</v>
      </c>
      <c r="D45" s="102">
        <f>'2025年'!D45</f>
        <v>8.8149999999999995</v>
      </c>
      <c r="E45" s="102">
        <f>'2025年'!E45</f>
        <v>0</v>
      </c>
      <c r="F45" s="104"/>
      <c r="AF45" s="93" t="s">
        <v>102</v>
      </c>
      <c r="AG45" s="93" t="s">
        <v>117</v>
      </c>
    </row>
    <row r="46" spans="1:33" s="88" customFormat="1">
      <c r="A46" s="90">
        <v>4</v>
      </c>
      <c r="B46" s="105" t="s">
        <v>118</v>
      </c>
      <c r="C46" s="110">
        <f>C21/C6</f>
        <v>0.52</v>
      </c>
      <c r="D46" s="110">
        <f t="shared" ref="D46:E46" si="24">D21/D6</f>
        <v>0.52</v>
      </c>
      <c r="E46" s="110" t="e">
        <f t="shared" si="24"/>
        <v>#DIV/0!</v>
      </c>
      <c r="F46" s="110"/>
      <c r="AF46" s="105" t="s">
        <v>62</v>
      </c>
      <c r="AG46" s="105" t="s">
        <v>120</v>
      </c>
    </row>
    <row r="47" spans="1:33" s="88" customFormat="1">
      <c r="A47" s="90">
        <v>5</v>
      </c>
      <c r="B47" s="105" t="s">
        <v>120</v>
      </c>
      <c r="C47" s="102">
        <f>'2025年'!C47</f>
        <v>82.84</v>
      </c>
      <c r="D47" s="102">
        <f>'2025年'!D47</f>
        <v>18.748000000000001</v>
      </c>
      <c r="E47" s="102">
        <f>'2025年'!E47</f>
        <v>0</v>
      </c>
      <c r="F47" s="110"/>
      <c r="AF47" s="105" t="s">
        <v>62</v>
      </c>
      <c r="AG47" s="105" t="s">
        <v>120</v>
      </c>
    </row>
    <row r="48" spans="1:33">
      <c r="A48" s="93" t="s">
        <v>113</v>
      </c>
      <c r="B48" s="98" t="s">
        <v>131</v>
      </c>
      <c r="C48" s="104">
        <f>C40-C43-C44-C45-C47-C46</f>
        <v>-84.094562637402518</v>
      </c>
      <c r="D48" s="104">
        <f t="shared" ref="D48:E48" si="25">D40-D43-D44-D45-D47-D46</f>
        <v>-9.8881448000000223</v>
      </c>
      <c r="E48" s="104" t="e">
        <f t="shared" si="25"/>
        <v>#DIV/0!</v>
      </c>
      <c r="F48" s="104"/>
      <c r="AF48" s="93" t="s">
        <v>130</v>
      </c>
      <c r="AG48" s="98" t="s">
        <v>131</v>
      </c>
    </row>
    <row r="51" spans="2:11">
      <c r="C51" s="111"/>
      <c r="D51" s="111"/>
      <c r="E51" s="111"/>
    </row>
    <row r="54" spans="2:11">
      <c r="B54" s="2"/>
      <c r="C54" s="112"/>
      <c r="D54" s="112"/>
      <c r="E54" s="112"/>
      <c r="F54" s="112"/>
      <c r="G54" s="2"/>
      <c r="H54" s="2"/>
      <c r="I54" s="2"/>
      <c r="J54" s="2"/>
      <c r="K54" s="2"/>
    </row>
    <row r="55" spans="2:11">
      <c r="B55" s="2"/>
      <c r="C55" s="112"/>
      <c r="D55" s="112"/>
      <c r="E55" s="112"/>
      <c r="F55" s="112"/>
      <c r="G55" s="2"/>
      <c r="H55" s="2"/>
      <c r="I55" s="2"/>
      <c r="J55" s="2"/>
      <c r="K55" s="2"/>
    </row>
    <row r="56" spans="2:11">
      <c r="B56" s="2"/>
      <c r="C56" s="112"/>
      <c r="D56" s="112"/>
      <c r="E56" s="112"/>
      <c r="F56" s="112"/>
      <c r="G56" s="2"/>
      <c r="H56" s="2"/>
      <c r="I56" s="2"/>
      <c r="J56" s="2"/>
      <c r="K56" s="2"/>
    </row>
    <row r="57" spans="2:11">
      <c r="B57" s="2"/>
      <c r="C57" s="112"/>
      <c r="D57" s="112"/>
      <c r="E57" s="112"/>
      <c r="F57" s="112"/>
      <c r="G57" s="2"/>
      <c r="H57" s="2"/>
      <c r="I57" s="2"/>
      <c r="J57" s="2"/>
      <c r="K57" s="2"/>
    </row>
    <row r="58" spans="2:11">
      <c r="B58" s="2"/>
      <c r="C58" s="112"/>
      <c r="D58" s="112"/>
      <c r="E58" s="112"/>
      <c r="F58" s="112"/>
      <c r="G58" s="2"/>
      <c r="H58" s="2"/>
      <c r="I58" s="2"/>
      <c r="J58" s="2"/>
      <c r="K58" s="2"/>
    </row>
    <row r="59" spans="2:11">
      <c r="B59" s="2"/>
      <c r="C59" s="112"/>
      <c r="D59" s="112"/>
      <c r="E59" s="112"/>
      <c r="F59" s="112"/>
      <c r="G59" s="2"/>
      <c r="H59" s="2"/>
      <c r="I59" s="2"/>
      <c r="J59" s="2"/>
      <c r="K59" s="2"/>
    </row>
    <row r="60" spans="2:11">
      <c r="B60" s="2"/>
      <c r="C60" s="112"/>
      <c r="D60" s="112"/>
      <c r="E60" s="112"/>
      <c r="F60" s="112"/>
      <c r="G60" s="2"/>
      <c r="H60" s="2"/>
      <c r="I60" s="2"/>
      <c r="J60" s="2"/>
      <c r="K60" s="2"/>
    </row>
    <row r="61" spans="2:11">
      <c r="B61" s="2"/>
      <c r="C61" s="112"/>
      <c r="D61" s="112"/>
      <c r="E61" s="112"/>
      <c r="F61" s="112"/>
      <c r="G61" s="2"/>
      <c r="H61" s="2"/>
      <c r="I61" s="2"/>
      <c r="J61" s="2"/>
      <c r="K61" s="2"/>
    </row>
    <row r="62" spans="2:11">
      <c r="B62" s="2"/>
      <c r="C62" s="112"/>
      <c r="D62" s="112"/>
      <c r="E62" s="112"/>
      <c r="F62" s="112"/>
      <c r="G62" s="2"/>
      <c r="H62" s="2"/>
      <c r="I62" s="2"/>
      <c r="J62" s="2"/>
      <c r="K62" s="2"/>
    </row>
    <row r="63" spans="2:11">
      <c r="B63" s="2"/>
      <c r="C63" s="112"/>
      <c r="D63" s="112"/>
      <c r="E63" s="112"/>
      <c r="F63" s="112"/>
      <c r="G63" s="2"/>
      <c r="H63" s="2"/>
      <c r="I63" s="2"/>
      <c r="J63" s="2"/>
      <c r="K63" s="2"/>
    </row>
    <row r="64" spans="2:11">
      <c r="B64" s="2"/>
      <c r="C64" s="112"/>
      <c r="D64" s="112"/>
      <c r="E64" s="112"/>
      <c r="F64" s="112"/>
      <c r="G64" s="2"/>
      <c r="H64" s="2"/>
      <c r="I64" s="2"/>
      <c r="J64" s="2"/>
      <c r="K64" s="2"/>
    </row>
    <row r="65" spans="2:11">
      <c r="B65" s="2"/>
      <c r="C65" s="112"/>
      <c r="D65" s="112"/>
      <c r="E65" s="112"/>
      <c r="F65" s="112"/>
      <c r="G65" s="2"/>
      <c r="H65" s="2"/>
      <c r="I65" s="2"/>
      <c r="J65" s="2"/>
      <c r="K65" s="2"/>
    </row>
    <row r="66" spans="2:11">
      <c r="B66" s="2"/>
      <c r="C66" s="112"/>
      <c r="D66" s="112"/>
      <c r="E66" s="112"/>
      <c r="F66" s="112"/>
      <c r="G66" s="2"/>
      <c r="H66" s="2"/>
      <c r="I66" s="2"/>
      <c r="J66" s="2"/>
      <c r="K66" s="2"/>
    </row>
    <row r="67" spans="2:11">
      <c r="B67" s="2"/>
      <c r="C67" s="112"/>
      <c r="D67" s="112"/>
      <c r="E67" s="112"/>
      <c r="F67" s="112"/>
      <c r="G67" s="2"/>
    </row>
    <row r="68" spans="2:11">
      <c r="B68" s="2"/>
      <c r="C68" s="112"/>
      <c r="D68" s="112"/>
      <c r="E68" s="112"/>
      <c r="F68" s="112"/>
      <c r="G68" s="2"/>
    </row>
    <row r="69" spans="2:11">
      <c r="B69" s="2"/>
      <c r="C69" s="112"/>
      <c r="D69" s="112"/>
      <c r="E69" s="112"/>
      <c r="F69" s="112"/>
      <c r="G69" s="2"/>
    </row>
    <row r="70" spans="2:11">
      <c r="B70" s="2"/>
      <c r="C70" s="112"/>
      <c r="D70" s="112"/>
      <c r="E70" s="112"/>
      <c r="F70" s="112"/>
      <c r="G70" s="2"/>
    </row>
    <row r="71" spans="2:11">
      <c r="B71" s="2"/>
      <c r="C71" s="112"/>
      <c r="D71" s="112"/>
      <c r="E71" s="112"/>
      <c r="F71" s="112"/>
      <c r="G71" s="2"/>
    </row>
    <row r="72" spans="2:11">
      <c r="B72" s="2"/>
      <c r="C72" s="112"/>
      <c r="D72" s="112"/>
      <c r="E72" s="112"/>
      <c r="F72" s="112"/>
      <c r="G72" s="2"/>
    </row>
    <row r="73" spans="2:11">
      <c r="B73" s="2"/>
      <c r="C73" s="112"/>
      <c r="D73" s="112"/>
      <c r="E73" s="112"/>
      <c r="F73" s="112"/>
      <c r="G73" s="2"/>
    </row>
    <row r="74" spans="2:11">
      <c r="B74" s="2"/>
      <c r="C74" s="112"/>
      <c r="D74" s="112"/>
      <c r="E74" s="112"/>
      <c r="F74" s="112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6" activePane="bottomRight" state="frozen"/>
      <selection pane="topRight"/>
      <selection pane="bottomLeft"/>
      <selection pane="bottomRight" activeCell="C33" sqref="C33:E33"/>
    </sheetView>
  </sheetViews>
  <sheetFormatPr defaultColWidth="9" defaultRowHeight="16.5"/>
  <cols>
    <col min="1" max="1" width="5.125" style="86" customWidth="1"/>
    <col min="2" max="2" width="17.5" style="86" customWidth="1"/>
    <col min="3" max="4" width="15.375" style="89" customWidth="1"/>
    <col min="5" max="5" width="14.375" style="89" customWidth="1"/>
    <col min="6" max="6" width="18.75" style="89" customWidth="1"/>
    <col min="7" max="7" width="12.375" style="86" customWidth="1"/>
    <col min="8" max="8" width="10.125" style="86" customWidth="1"/>
    <col min="9" max="15" width="9" style="86" customWidth="1"/>
    <col min="16" max="31" width="9" style="86"/>
    <col min="32" max="32" width="4.375" style="86" customWidth="1"/>
    <col min="33" max="33" width="13.875" style="86" customWidth="1"/>
    <col min="34" max="16384" width="9" style="86"/>
  </cols>
  <sheetData>
    <row r="1" spans="1:34">
      <c r="A1" s="212" t="s">
        <v>141</v>
      </c>
      <c r="B1" s="212"/>
      <c r="C1" s="216" t="s">
        <v>267</v>
      </c>
      <c r="D1" s="217"/>
      <c r="E1" s="217"/>
      <c r="F1" s="218"/>
    </row>
    <row r="2" spans="1:34">
      <c r="A2" s="212" t="s">
        <v>142</v>
      </c>
      <c r="B2" s="212"/>
      <c r="C2" s="219" t="str">
        <f>'2025年'!$C$2</f>
        <v>陕汽重型汽车有限公司</v>
      </c>
      <c r="D2" s="219"/>
      <c r="E2" s="219"/>
      <c r="F2" s="219"/>
    </row>
    <row r="3" spans="1:34">
      <c r="A3" s="212" t="s">
        <v>143</v>
      </c>
      <c r="B3" s="212"/>
      <c r="C3" s="91" t="str">
        <f>'2025年'!C3</f>
        <v>司机座椅</v>
      </c>
      <c r="D3" s="91" t="str">
        <f>'2025年'!D3</f>
        <v>副司机座椅</v>
      </c>
      <c r="E3" s="91">
        <f>'2025年'!E3</f>
        <v>0</v>
      </c>
      <c r="F3" s="213" t="s">
        <v>51</v>
      </c>
    </row>
    <row r="4" spans="1:34">
      <c r="A4" s="212" t="s">
        <v>144</v>
      </c>
      <c r="B4" s="212"/>
      <c r="C4" s="91" t="str">
        <f>'2025年'!C4</f>
        <v>DZ14251510148</v>
      </c>
      <c r="D4" s="91" t="str">
        <f>'2025年'!D4</f>
        <v>DZ15221512009</v>
      </c>
      <c r="E4" s="91">
        <f>'2025年'!E4</f>
        <v>0</v>
      </c>
      <c r="F4" s="214"/>
    </row>
    <row r="5" spans="1:34" ht="42.75">
      <c r="A5" s="212" t="s">
        <v>145</v>
      </c>
      <c r="B5" s="212"/>
      <c r="C5" s="92" t="str">
        <f>'2025年'!C5</f>
        <v>X5000座椅增加通风、更换面料、扶手改为长扶手</v>
      </c>
      <c r="D5" s="92" t="str">
        <f>'2025年'!D5</f>
        <v>报警锁扣、增加SBR</v>
      </c>
      <c r="E5" s="92">
        <f>'2025年'!E5</f>
        <v>0</v>
      </c>
      <c r="F5" s="215"/>
      <c r="AH5" s="86" t="s">
        <v>52</v>
      </c>
    </row>
    <row r="6" spans="1:34">
      <c r="A6" s="93" t="s">
        <v>18</v>
      </c>
      <c r="B6" s="94" t="s">
        <v>146</v>
      </c>
      <c r="C6" s="95">
        <f>销量!C11</f>
        <v>1000</v>
      </c>
      <c r="D6" s="95">
        <f>销量!D11</f>
        <v>1000</v>
      </c>
      <c r="E6" s="95">
        <f>销量!E11</f>
        <v>0</v>
      </c>
      <c r="F6" s="96">
        <f t="shared" ref="F6:F15" si="0">+SUM(C6:E6)</f>
        <v>2000</v>
      </c>
      <c r="AF6" s="93" t="s">
        <v>18</v>
      </c>
      <c r="AG6" s="94" t="s">
        <v>3</v>
      </c>
      <c r="AH6" s="86" t="s">
        <v>53</v>
      </c>
    </row>
    <row r="7" spans="1:34">
      <c r="A7" s="90">
        <v>1</v>
      </c>
      <c r="B7" s="94" t="s">
        <v>54</v>
      </c>
      <c r="C7" s="96">
        <f>C6*销量!C8</f>
        <v>1900000</v>
      </c>
      <c r="D7" s="96">
        <f>D6*销量!D8</f>
        <v>430000</v>
      </c>
      <c r="E7" s="96">
        <f>E6*销量!E8</f>
        <v>0</v>
      </c>
      <c r="F7" s="96">
        <f t="shared" si="0"/>
        <v>2330000</v>
      </c>
      <c r="G7" s="89"/>
      <c r="AF7" s="93" t="s">
        <v>55</v>
      </c>
      <c r="AG7" s="94" t="s">
        <v>54</v>
      </c>
      <c r="AH7" s="86" t="s">
        <v>53</v>
      </c>
    </row>
    <row r="8" spans="1:34">
      <c r="A8" s="90">
        <v>2</v>
      </c>
      <c r="B8" s="90" t="s">
        <v>56</v>
      </c>
      <c r="C8" s="96">
        <f>C7*(1-销量!$K$8)</f>
        <v>185250.00000000006</v>
      </c>
      <c r="D8" s="96">
        <f>D7*(1-销量!$K$8)</f>
        <v>41925.000000000015</v>
      </c>
      <c r="E8" s="96">
        <f>E7*(1-销量!$K$8)</f>
        <v>0</v>
      </c>
      <c r="F8" s="96">
        <f t="shared" si="0"/>
        <v>227175.00000000006</v>
      </c>
      <c r="G8" s="97"/>
      <c r="AF8" s="93" t="s">
        <v>57</v>
      </c>
      <c r="AG8" s="90" t="s">
        <v>58</v>
      </c>
      <c r="AH8" s="86" t="s">
        <v>53</v>
      </c>
    </row>
    <row r="9" spans="1:34">
      <c r="A9" s="90">
        <v>3</v>
      </c>
      <c r="B9" s="94" t="s">
        <v>59</v>
      </c>
      <c r="C9" s="96">
        <f>+C7-C8</f>
        <v>1714750</v>
      </c>
      <c r="D9" s="96">
        <f t="shared" ref="D9:E9" si="1">+D7-D8</f>
        <v>388075</v>
      </c>
      <c r="E9" s="96">
        <f t="shared" si="1"/>
        <v>0</v>
      </c>
      <c r="F9" s="96">
        <f t="shared" si="0"/>
        <v>2102825</v>
      </c>
      <c r="AF9" s="93" t="s">
        <v>60</v>
      </c>
      <c r="AG9" s="94" t="s">
        <v>59</v>
      </c>
      <c r="AH9" s="86" t="s">
        <v>61</v>
      </c>
    </row>
    <row r="10" spans="1:34">
      <c r="A10" s="90">
        <v>4</v>
      </c>
      <c r="B10" s="93" t="s">
        <v>63</v>
      </c>
      <c r="C10" s="96">
        <f>C6*C33</f>
        <v>1393977.3345055324</v>
      </c>
      <c r="D10" s="96">
        <f t="shared" ref="D10:E10" si="2">D6*D33</f>
        <v>306410.28756000003</v>
      </c>
      <c r="E10" s="96">
        <f t="shared" si="2"/>
        <v>0</v>
      </c>
      <c r="F10" s="96">
        <f t="shared" si="0"/>
        <v>1700387.6220655325</v>
      </c>
      <c r="AF10" s="93" t="s">
        <v>62</v>
      </c>
      <c r="AG10" s="93" t="s">
        <v>63</v>
      </c>
      <c r="AH10" s="86" t="s">
        <v>64</v>
      </c>
    </row>
    <row r="11" spans="1:34">
      <c r="A11" s="90">
        <v>5</v>
      </c>
      <c r="B11" s="93" t="s">
        <v>65</v>
      </c>
      <c r="C11" s="96">
        <f>+C6*C36</f>
        <v>55670</v>
      </c>
      <c r="D11" s="96">
        <f t="shared" ref="D11:E11" si="3">+D6*D36</f>
        <v>12599</v>
      </c>
      <c r="E11" s="96">
        <f t="shared" si="3"/>
        <v>0</v>
      </c>
      <c r="F11" s="96">
        <f t="shared" si="0"/>
        <v>68269</v>
      </c>
      <c r="AF11" s="93" t="s">
        <v>66</v>
      </c>
      <c r="AG11" s="93" t="s">
        <v>65</v>
      </c>
    </row>
    <row r="12" spans="1:34">
      <c r="A12" s="90">
        <v>6</v>
      </c>
      <c r="B12" s="93" t="s">
        <v>67</v>
      </c>
      <c r="C12" s="96">
        <f>+C6*C37</f>
        <v>16529.999999999996</v>
      </c>
      <c r="D12" s="96">
        <f t="shared" ref="D12:E12" si="4">+D6*D37</f>
        <v>3740.9999999999995</v>
      </c>
      <c r="E12" s="96">
        <f t="shared" si="4"/>
        <v>0</v>
      </c>
      <c r="F12" s="96">
        <f t="shared" si="0"/>
        <v>20270.999999999996</v>
      </c>
      <c r="AF12" s="93" t="s">
        <v>68</v>
      </c>
      <c r="AG12" s="93" t="s">
        <v>67</v>
      </c>
    </row>
    <row r="13" spans="1:34">
      <c r="A13" s="90">
        <v>7</v>
      </c>
      <c r="B13" s="93" t="s">
        <v>69</v>
      </c>
      <c r="C13" s="96">
        <f>+C6*C38</f>
        <v>78280</v>
      </c>
      <c r="D13" s="96">
        <f t="shared" ref="D13:E13" si="5">+D6*D38</f>
        <v>17716</v>
      </c>
      <c r="E13" s="96">
        <f t="shared" si="5"/>
        <v>0</v>
      </c>
      <c r="F13" s="96">
        <f t="shared" si="0"/>
        <v>95996</v>
      </c>
      <c r="AF13" s="93" t="s">
        <v>70</v>
      </c>
      <c r="AG13" s="93" t="s">
        <v>69</v>
      </c>
      <c r="AH13" s="86" t="s">
        <v>53</v>
      </c>
    </row>
    <row r="14" spans="1:34">
      <c r="A14" s="90">
        <v>8</v>
      </c>
      <c r="B14" s="98" t="s">
        <v>71</v>
      </c>
      <c r="C14" s="96">
        <f>SUM(C11:C13)</f>
        <v>150480</v>
      </c>
      <c r="D14" s="96">
        <f t="shared" ref="D14:E14" si="6">SUM(D11:D13)</f>
        <v>34056</v>
      </c>
      <c r="E14" s="96">
        <f t="shared" si="6"/>
        <v>0</v>
      </c>
      <c r="F14" s="96">
        <f t="shared" si="0"/>
        <v>184536</v>
      </c>
      <c r="AF14" s="93" t="s">
        <v>72</v>
      </c>
      <c r="AG14" s="98" t="s">
        <v>71</v>
      </c>
    </row>
    <row r="15" spans="1:34">
      <c r="A15" s="90">
        <v>9</v>
      </c>
      <c r="B15" s="98" t="s">
        <v>73</v>
      </c>
      <c r="C15" s="96">
        <f>+C9-C10-C14</f>
        <v>170292.6654944676</v>
      </c>
      <c r="D15" s="96">
        <f t="shared" ref="D15:E15" si="7">+D9-D10-D14</f>
        <v>47608.712439999974</v>
      </c>
      <c r="E15" s="96">
        <f t="shared" si="7"/>
        <v>0</v>
      </c>
      <c r="F15" s="96">
        <f t="shared" si="0"/>
        <v>217901.37793446757</v>
      </c>
      <c r="AF15" s="93" t="s">
        <v>74</v>
      </c>
      <c r="AG15" s="98" t="s">
        <v>73</v>
      </c>
    </row>
    <row r="16" spans="1:34">
      <c r="A16" s="90">
        <v>10</v>
      </c>
      <c r="B16" s="93" t="s">
        <v>75</v>
      </c>
      <c r="C16" s="99">
        <f>+C15/C9</f>
        <v>9.9310491613627414E-2</v>
      </c>
      <c r="D16" s="99">
        <f t="shared" ref="D16:E16" si="8">+D15/D9</f>
        <v>0.12267915335953095</v>
      </c>
      <c r="E16" s="99" t="e">
        <f t="shared" si="8"/>
        <v>#DIV/0!</v>
      </c>
      <c r="F16" s="99">
        <f>+F15/F9</f>
        <v>0.10362316309463107</v>
      </c>
      <c r="AF16" s="93" t="s">
        <v>76</v>
      </c>
      <c r="AG16" s="93" t="s">
        <v>75</v>
      </c>
    </row>
    <row r="17" spans="1:34">
      <c r="A17" s="90">
        <v>11</v>
      </c>
      <c r="B17" s="93" t="s">
        <v>77</v>
      </c>
      <c r="C17" s="96">
        <f>C6*C43+C18</f>
        <v>122929.99999999999</v>
      </c>
      <c r="D17" s="96">
        <f t="shared" ref="D17:E17" si="9">D6*D43+D18</f>
        <v>27820.999999999996</v>
      </c>
      <c r="E17" s="96">
        <f t="shared" si="9"/>
        <v>0</v>
      </c>
      <c r="F17" s="96">
        <f>+SUM(C17:E17)</f>
        <v>150750.99999999997</v>
      </c>
      <c r="G17" s="97"/>
      <c r="AF17" s="93" t="s">
        <v>78</v>
      </c>
      <c r="AG17" s="93" t="s">
        <v>77</v>
      </c>
    </row>
    <row r="18" spans="1:34" s="87" customFormat="1">
      <c r="A18" s="90">
        <v>12</v>
      </c>
      <c r="B18" s="101" t="s">
        <v>147</v>
      </c>
      <c r="C18" s="102">
        <f>$F$18/$F$6*C6</f>
        <v>0</v>
      </c>
      <c r="D18" s="102">
        <f t="shared" ref="D18:E18" si="10">$F$18/$F$6*D6</f>
        <v>0</v>
      </c>
      <c r="E18" s="102">
        <f t="shared" si="10"/>
        <v>0</v>
      </c>
      <c r="F18" s="96">
        <f>项目投资!F26</f>
        <v>0</v>
      </c>
      <c r="G18" s="103" t="s">
        <v>148</v>
      </c>
      <c r="H18" s="103"/>
      <c r="I18" s="103"/>
    </row>
    <row r="19" spans="1:34">
      <c r="A19" s="90">
        <v>13</v>
      </c>
      <c r="B19" s="93" t="s">
        <v>79</v>
      </c>
      <c r="C19" s="96">
        <f>C6*C44</f>
        <v>26030</v>
      </c>
      <c r="D19" s="96">
        <f t="shared" ref="D19:E19" si="11">D6*D44</f>
        <v>5891</v>
      </c>
      <c r="E19" s="96">
        <f t="shared" si="11"/>
        <v>0</v>
      </c>
      <c r="F19" s="96">
        <f>+SUM(C19:E19)</f>
        <v>31921</v>
      </c>
      <c r="G19" s="87"/>
      <c r="AF19" s="93" t="s">
        <v>80</v>
      </c>
      <c r="AG19" s="93" t="s">
        <v>79</v>
      </c>
      <c r="AH19" s="86" t="s">
        <v>53</v>
      </c>
    </row>
    <row r="20" spans="1:34">
      <c r="A20" s="90">
        <v>14</v>
      </c>
      <c r="B20" s="93" t="s">
        <v>81</v>
      </c>
      <c r="C20" s="96">
        <f>C6*C45</f>
        <v>38950</v>
      </c>
      <c r="D20" s="96">
        <f t="shared" ref="D20:E20" si="12">D6*D45</f>
        <v>8815</v>
      </c>
      <c r="E20" s="96">
        <f t="shared" si="12"/>
        <v>0</v>
      </c>
      <c r="F20" s="96">
        <f>+SUM(C20:E20)</f>
        <v>47765</v>
      </c>
      <c r="AF20" s="93" t="s">
        <v>82</v>
      </c>
      <c r="AG20" s="93" t="s">
        <v>81</v>
      </c>
    </row>
    <row r="21" spans="1:34">
      <c r="A21" s="90">
        <v>15</v>
      </c>
      <c r="B21" s="93" t="s">
        <v>83</v>
      </c>
      <c r="C21" s="104">
        <f>$F$21/$F$6*C6</f>
        <v>260</v>
      </c>
      <c r="D21" s="104">
        <f t="shared" ref="D21:E21" si="13">$F$21/$F$6*D6</f>
        <v>260</v>
      </c>
      <c r="E21" s="104">
        <f t="shared" si="13"/>
        <v>0</v>
      </c>
      <c r="F21" s="96">
        <f>项目投资!F27</f>
        <v>520</v>
      </c>
      <c r="AF21" s="93"/>
      <c r="AG21" s="93"/>
    </row>
    <row r="22" spans="1:34">
      <c r="A22" s="90">
        <v>16</v>
      </c>
      <c r="B22" s="93" t="s">
        <v>84</v>
      </c>
      <c r="C22" s="96">
        <f>C6*C47</f>
        <v>82840</v>
      </c>
      <c r="D22" s="96">
        <f t="shared" ref="D22:E22" si="14">D6*D47</f>
        <v>82840</v>
      </c>
      <c r="E22" s="96">
        <f t="shared" si="14"/>
        <v>0</v>
      </c>
      <c r="F22" s="96">
        <f>+SUM(C22:E22)</f>
        <v>165680</v>
      </c>
      <c r="AF22" s="93" t="s">
        <v>85</v>
      </c>
      <c r="AG22" s="93" t="s">
        <v>84</v>
      </c>
    </row>
    <row r="23" spans="1:34">
      <c r="A23" s="90">
        <v>17</v>
      </c>
      <c r="B23" s="98" t="s">
        <v>86</v>
      </c>
      <c r="C23" s="104">
        <f>+C22+C21+C20+C19+C17</f>
        <v>271010</v>
      </c>
      <c r="D23" s="104">
        <f t="shared" ref="D23:E23" si="15">+D22+D21+D20+D19+D17</f>
        <v>125627</v>
      </c>
      <c r="E23" s="104">
        <f t="shared" si="15"/>
        <v>0</v>
      </c>
      <c r="F23" s="104">
        <f>+F22+F21+F20+F19+F17</f>
        <v>396637</v>
      </c>
      <c r="AF23" s="93" t="s">
        <v>87</v>
      </c>
      <c r="AG23" s="98" t="s">
        <v>86</v>
      </c>
    </row>
    <row r="24" spans="1:34">
      <c r="A24" s="90">
        <v>18</v>
      </c>
      <c r="B24" s="105" t="s">
        <v>88</v>
      </c>
      <c r="C24" s="104">
        <f>+C15-C23</f>
        <v>-100717.3345055324</v>
      </c>
      <c r="D24" s="104">
        <f t="shared" ref="D24:E24" si="16">+D15-D23</f>
        <v>-78018.287560000026</v>
      </c>
      <c r="E24" s="104">
        <f t="shared" si="16"/>
        <v>0</v>
      </c>
      <c r="F24" s="104">
        <f>+F15-F23</f>
        <v>-178735.62206553243</v>
      </c>
      <c r="H24" s="106"/>
      <c r="AF24" s="93" t="s">
        <v>89</v>
      </c>
      <c r="AG24" s="93" t="s">
        <v>88</v>
      </c>
    </row>
    <row r="25" spans="1:34">
      <c r="A25" s="90">
        <v>19</v>
      </c>
      <c r="B25" s="93" t="s">
        <v>281</v>
      </c>
      <c r="C25" s="104">
        <f>IF(C24&lt;0,0,C24*0.15)</f>
        <v>0</v>
      </c>
      <c r="D25" s="104">
        <f t="shared" ref="D25:E25" si="17">IF(D24&lt;0,0,D24*0.15)</f>
        <v>0</v>
      </c>
      <c r="E25" s="104">
        <f t="shared" si="17"/>
        <v>0</v>
      </c>
      <c r="F25" s="104">
        <f t="shared" ref="F25" si="18">IF(F24&lt;0,0,F24*0.15)</f>
        <v>0</v>
      </c>
      <c r="G25" s="2"/>
      <c r="H25" s="2"/>
      <c r="I25" s="2"/>
      <c r="AF25" s="93" t="s">
        <v>90</v>
      </c>
      <c r="AG25" s="93" t="s">
        <v>35</v>
      </c>
    </row>
    <row r="26" spans="1:34">
      <c r="A26" s="90">
        <v>20</v>
      </c>
      <c r="B26" s="93" t="s">
        <v>91</v>
      </c>
      <c r="C26" s="104">
        <f>C24-C25</f>
        <v>-100717.3345055324</v>
      </c>
      <c r="D26" s="104">
        <f t="shared" ref="D26:E26" si="19">D24-D25</f>
        <v>-78018.287560000026</v>
      </c>
      <c r="E26" s="104">
        <f t="shared" si="19"/>
        <v>0</v>
      </c>
      <c r="F26" s="96">
        <f>+SUM(C26:E26)</f>
        <v>-178735.62206553243</v>
      </c>
      <c r="G26" s="2"/>
      <c r="H26" s="2"/>
      <c r="I26" s="2"/>
      <c r="AF26" s="93" t="s">
        <v>92</v>
      </c>
      <c r="AG26" s="93" t="s">
        <v>91</v>
      </c>
    </row>
    <row r="27" spans="1:34">
      <c r="A27" s="90">
        <v>21</v>
      </c>
      <c r="B27" s="93" t="s">
        <v>95</v>
      </c>
      <c r="C27" s="107">
        <f>C26/C7</f>
        <v>-5.3009123423964424E-2</v>
      </c>
      <c r="D27" s="107">
        <f t="shared" ref="D27:E27" si="20">D26/D7</f>
        <v>-0.18143787804651168</v>
      </c>
      <c r="E27" s="107" t="e">
        <f t="shared" si="20"/>
        <v>#DIV/0!</v>
      </c>
      <c r="F27" s="107">
        <f>F26/F7</f>
        <v>-7.6710567410099753E-2</v>
      </c>
      <c r="G27" s="2"/>
      <c r="H27" s="2"/>
      <c r="I27" s="2"/>
      <c r="AF27" s="93" t="s">
        <v>94</v>
      </c>
      <c r="AG27" s="93" t="s">
        <v>95</v>
      </c>
    </row>
    <row r="28" spans="1:34">
      <c r="G28" s="2"/>
      <c r="H28" s="2"/>
      <c r="I28" s="2"/>
    </row>
    <row r="29" spans="1:34">
      <c r="A29" s="86" t="s">
        <v>96</v>
      </c>
      <c r="F29" s="89" t="s">
        <v>149</v>
      </c>
      <c r="G29" s="2"/>
      <c r="H29" s="2"/>
      <c r="I29" s="2"/>
      <c r="AF29" s="86" t="s">
        <v>96</v>
      </c>
    </row>
    <row r="30" spans="1:34">
      <c r="A30" s="93" t="s">
        <v>97</v>
      </c>
      <c r="B30" s="98" t="s">
        <v>98</v>
      </c>
      <c r="C30" s="104"/>
      <c r="D30" s="104"/>
      <c r="E30" s="104"/>
      <c r="F30" s="104"/>
      <c r="G30" s="2"/>
      <c r="H30" s="2"/>
      <c r="I30" s="2"/>
      <c r="K30" s="2"/>
      <c r="AF30" s="93" t="s">
        <v>99</v>
      </c>
      <c r="AG30" s="98" t="s">
        <v>98</v>
      </c>
    </row>
    <row r="31" spans="1:34">
      <c r="A31" s="90">
        <v>1</v>
      </c>
      <c r="B31" s="101" t="s">
        <v>100</v>
      </c>
      <c r="C31" s="108">
        <f>销量!C8</f>
        <v>1900</v>
      </c>
      <c r="D31" s="108">
        <f>销量!D8</f>
        <v>430</v>
      </c>
      <c r="E31" s="108">
        <f>销量!E8</f>
        <v>0</v>
      </c>
      <c r="F31" s="104"/>
      <c r="G31" s="2"/>
      <c r="H31" s="2"/>
      <c r="I31" s="2"/>
      <c r="K31" s="2"/>
      <c r="AF31" s="93" t="s">
        <v>55</v>
      </c>
      <c r="AG31" s="93" t="s">
        <v>100</v>
      </c>
    </row>
    <row r="32" spans="1:34">
      <c r="A32" s="90">
        <v>2</v>
      </c>
      <c r="B32" s="93" t="s">
        <v>150</v>
      </c>
      <c r="C32" s="96">
        <f>C9/C6</f>
        <v>1714.75</v>
      </c>
      <c r="D32" s="96">
        <f t="shared" ref="D32:E32" si="21">D9/D6</f>
        <v>388.07499999999999</v>
      </c>
      <c r="E32" s="96" t="e">
        <f t="shared" si="21"/>
        <v>#DIV/0!</v>
      </c>
      <c r="F32" s="104"/>
      <c r="G32" s="2"/>
      <c r="H32" s="2"/>
      <c r="I32" s="2"/>
      <c r="J32" s="2"/>
      <c r="K32" s="2"/>
      <c r="L32" s="2"/>
      <c r="M32" s="2"/>
      <c r="AF32" s="93"/>
      <c r="AG32" s="93"/>
    </row>
    <row r="33" spans="1:33">
      <c r="A33" s="90">
        <v>3</v>
      </c>
      <c r="B33" s="101" t="s">
        <v>101</v>
      </c>
      <c r="C33" s="96">
        <f>材料成本!D26</f>
        <v>1393.9773345055323</v>
      </c>
      <c r="D33" s="96">
        <f>材料成本!E26</f>
        <v>306.41028756000003</v>
      </c>
      <c r="E33" s="96">
        <f>材料成本!F26</f>
        <v>0</v>
      </c>
      <c r="F33" s="104"/>
      <c r="H33" s="2"/>
      <c r="I33" s="2"/>
      <c r="J33" s="2"/>
      <c r="K33" s="2"/>
      <c r="L33" s="2"/>
      <c r="M33" s="2"/>
      <c r="AF33" s="93" t="s">
        <v>57</v>
      </c>
      <c r="AG33" s="93" t="s">
        <v>101</v>
      </c>
    </row>
    <row r="34" spans="1:33" ht="17.25" customHeight="1">
      <c r="A34" s="90">
        <v>4</v>
      </c>
      <c r="B34" s="93" t="s">
        <v>103</v>
      </c>
      <c r="C34" s="109">
        <f>C32-C33</f>
        <v>320.77266549446767</v>
      </c>
      <c r="D34" s="109">
        <f t="shared" ref="D34:E34" si="22">D32-D33</f>
        <v>81.66471243999996</v>
      </c>
      <c r="E34" s="109" t="e">
        <f t="shared" si="22"/>
        <v>#DIV/0!</v>
      </c>
      <c r="F34" s="104"/>
      <c r="H34" s="2"/>
      <c r="I34" s="2"/>
      <c r="J34" s="2"/>
      <c r="K34" s="2"/>
      <c r="L34" s="2"/>
      <c r="M34" s="2"/>
      <c r="AF34" s="93" t="s">
        <v>102</v>
      </c>
      <c r="AG34" s="93" t="s">
        <v>103</v>
      </c>
    </row>
    <row r="35" spans="1:33">
      <c r="A35" s="93" t="s">
        <v>99</v>
      </c>
      <c r="B35" s="98" t="s">
        <v>9</v>
      </c>
      <c r="C35" s="104"/>
      <c r="D35" s="104"/>
      <c r="E35" s="104"/>
      <c r="F35" s="104"/>
      <c r="G35" s="2"/>
      <c r="H35" s="2"/>
      <c r="I35" s="2"/>
      <c r="J35" s="2"/>
      <c r="K35" s="2"/>
      <c r="L35" s="2"/>
      <c r="M35" s="2"/>
      <c r="N35" s="2"/>
      <c r="O35" s="2"/>
      <c r="P35" s="2"/>
      <c r="AF35" s="93" t="s">
        <v>105</v>
      </c>
      <c r="AG35" s="98" t="s">
        <v>9</v>
      </c>
    </row>
    <row r="36" spans="1:33">
      <c r="A36" s="90">
        <v>1</v>
      </c>
      <c r="B36" s="93" t="s">
        <v>106</v>
      </c>
      <c r="C36" s="102">
        <f>'2025年'!C36</f>
        <v>55.67</v>
      </c>
      <c r="D36" s="102">
        <f>'2025年'!D36</f>
        <v>12.599</v>
      </c>
      <c r="E36" s="102">
        <f>'2025年'!E36</f>
        <v>0</v>
      </c>
      <c r="F36" s="108"/>
      <c r="G36" s="2"/>
      <c r="H36" s="2"/>
      <c r="I36" s="2"/>
      <c r="J36" s="2"/>
      <c r="K36" s="2"/>
      <c r="L36" s="2"/>
      <c r="M36" s="2"/>
      <c r="N36" s="2"/>
      <c r="O36" s="2"/>
      <c r="P36" s="2"/>
      <c r="AF36" s="93" t="s">
        <v>102</v>
      </c>
      <c r="AG36" s="93" t="s">
        <v>106</v>
      </c>
    </row>
    <row r="37" spans="1:33">
      <c r="A37" s="90">
        <v>2</v>
      </c>
      <c r="B37" s="93" t="s">
        <v>107</v>
      </c>
      <c r="C37" s="102">
        <f>'2025年'!C37</f>
        <v>16.529999999999998</v>
      </c>
      <c r="D37" s="102">
        <f>'2025年'!D37</f>
        <v>3.7409999999999997</v>
      </c>
      <c r="E37" s="102">
        <f>'2025年'!E37</f>
        <v>0</v>
      </c>
      <c r="F37" s="108"/>
      <c r="G37" s="2"/>
      <c r="H37" s="2"/>
      <c r="I37" s="2"/>
      <c r="J37" s="2"/>
      <c r="K37" s="2"/>
      <c r="L37" s="2"/>
      <c r="M37" s="2"/>
      <c r="N37" s="2"/>
      <c r="O37" s="2"/>
      <c r="P37" s="2"/>
      <c r="AF37" s="93" t="s">
        <v>60</v>
      </c>
      <c r="AG37" s="93" t="s">
        <v>107</v>
      </c>
    </row>
    <row r="38" spans="1:33">
      <c r="A38" s="90">
        <v>3</v>
      </c>
      <c r="B38" s="93" t="s">
        <v>108</v>
      </c>
      <c r="C38" s="102">
        <f>'2025年'!C38</f>
        <v>78.28</v>
      </c>
      <c r="D38" s="102">
        <f>'2025年'!D38</f>
        <v>17.716000000000001</v>
      </c>
      <c r="E38" s="102">
        <f>'2025年'!E38</f>
        <v>0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AF38" s="93" t="s">
        <v>66</v>
      </c>
      <c r="AG38" s="93" t="s">
        <v>108</v>
      </c>
    </row>
    <row r="39" spans="1:33">
      <c r="A39" s="93" t="s">
        <v>105</v>
      </c>
      <c r="B39" s="98" t="s">
        <v>110</v>
      </c>
      <c r="C39" s="104"/>
      <c r="D39" s="104"/>
      <c r="E39" s="104"/>
      <c r="F39" s="104"/>
      <c r="AF39" s="93" t="s">
        <v>109</v>
      </c>
      <c r="AG39" s="98" t="s">
        <v>110</v>
      </c>
    </row>
    <row r="40" spans="1:33">
      <c r="A40" s="90">
        <v>1</v>
      </c>
      <c r="B40" s="93" t="s">
        <v>111</v>
      </c>
      <c r="C40" s="104">
        <f>C34-C36-C37-C38</f>
        <v>170.29266549446766</v>
      </c>
      <c r="D40" s="104">
        <f t="shared" ref="D40:E40" si="23">D34-D36-D37-D38</f>
        <v>47.608712439999955</v>
      </c>
      <c r="E40" s="104" t="e">
        <f t="shared" si="23"/>
        <v>#DIV/0!</v>
      </c>
      <c r="F40" s="104"/>
      <c r="AF40" s="93" t="s">
        <v>55</v>
      </c>
      <c r="AG40" s="93" t="s">
        <v>111</v>
      </c>
    </row>
    <row r="41" spans="1:33">
      <c r="A41" s="90">
        <v>2</v>
      </c>
      <c r="B41" s="93" t="s">
        <v>112</v>
      </c>
      <c r="C41" s="104"/>
      <c r="D41" s="104"/>
      <c r="E41" s="104"/>
      <c r="F41" s="104"/>
      <c r="AF41" s="93" t="s">
        <v>57</v>
      </c>
      <c r="AG41" s="93" t="s">
        <v>112</v>
      </c>
    </row>
    <row r="42" spans="1:33">
      <c r="A42" s="93" t="s">
        <v>109</v>
      </c>
      <c r="B42" s="98" t="s">
        <v>114</v>
      </c>
      <c r="C42" s="104"/>
      <c r="D42" s="104"/>
      <c r="E42" s="104"/>
      <c r="F42" s="104"/>
      <c r="AF42" s="93" t="s">
        <v>113</v>
      </c>
      <c r="AG42" s="98" t="s">
        <v>114</v>
      </c>
    </row>
    <row r="43" spans="1:33">
      <c r="A43" s="90">
        <v>1</v>
      </c>
      <c r="B43" s="105" t="s">
        <v>115</v>
      </c>
      <c r="C43" s="102">
        <f>'2025年'!C43</f>
        <v>122.92999999999999</v>
      </c>
      <c r="D43" s="102">
        <f>'2025年'!D43</f>
        <v>27.820999999999998</v>
      </c>
      <c r="E43" s="102">
        <f>'2025年'!E43</f>
        <v>0</v>
      </c>
      <c r="F43" s="104"/>
      <c r="AF43" s="93" t="s">
        <v>55</v>
      </c>
      <c r="AG43" s="93" t="s">
        <v>115</v>
      </c>
    </row>
    <row r="44" spans="1:33">
      <c r="A44" s="90">
        <v>2</v>
      </c>
      <c r="B44" s="105" t="s">
        <v>116</v>
      </c>
      <c r="C44" s="102">
        <f>'2025年'!C44</f>
        <v>26.03</v>
      </c>
      <c r="D44" s="102">
        <f>'2025年'!D44</f>
        <v>5.891</v>
      </c>
      <c r="E44" s="102">
        <f>'2025年'!E44</f>
        <v>0</v>
      </c>
      <c r="F44" s="104"/>
      <c r="AF44" s="93" t="s">
        <v>57</v>
      </c>
      <c r="AG44" s="93" t="s">
        <v>116</v>
      </c>
    </row>
    <row r="45" spans="1:33">
      <c r="A45" s="90">
        <v>3</v>
      </c>
      <c r="B45" s="105" t="s">
        <v>117</v>
      </c>
      <c r="C45" s="102">
        <f>'2025年'!C45</f>
        <v>38.950000000000003</v>
      </c>
      <c r="D45" s="102">
        <f>'2025年'!D45</f>
        <v>8.8149999999999995</v>
      </c>
      <c r="E45" s="102">
        <f>'2025年'!E45</f>
        <v>0</v>
      </c>
      <c r="F45" s="104"/>
      <c r="AF45" s="93" t="s">
        <v>102</v>
      </c>
      <c r="AG45" s="93" t="s">
        <v>117</v>
      </c>
    </row>
    <row r="46" spans="1:33" s="88" customFormat="1">
      <c r="A46" s="90">
        <v>4</v>
      </c>
      <c r="B46" s="105" t="s">
        <v>118</v>
      </c>
      <c r="C46" s="110">
        <f>C21/C6</f>
        <v>0.26</v>
      </c>
      <c r="D46" s="110">
        <f t="shared" ref="D46:E46" si="24">D21/D6</f>
        <v>0.26</v>
      </c>
      <c r="E46" s="110" t="e">
        <f t="shared" si="24"/>
        <v>#DIV/0!</v>
      </c>
      <c r="F46" s="110"/>
      <c r="AF46" s="105" t="s">
        <v>62</v>
      </c>
      <c r="AG46" s="105" t="s">
        <v>120</v>
      </c>
    </row>
    <row r="47" spans="1:33" s="88" customFormat="1">
      <c r="A47" s="90">
        <v>5</v>
      </c>
      <c r="B47" s="105" t="s">
        <v>120</v>
      </c>
      <c r="C47" s="102">
        <f>'2025年'!$C$47</f>
        <v>82.84</v>
      </c>
      <c r="D47" s="102">
        <f>'2025年'!$C$47</f>
        <v>82.84</v>
      </c>
      <c r="E47" s="102">
        <f>'2025年'!$C$47</f>
        <v>82.84</v>
      </c>
      <c r="F47" s="110"/>
      <c r="AF47" s="105" t="s">
        <v>62</v>
      </c>
      <c r="AG47" s="105" t="s">
        <v>120</v>
      </c>
    </row>
    <row r="48" spans="1:33">
      <c r="A48" s="93" t="s">
        <v>113</v>
      </c>
      <c r="B48" s="98" t="s">
        <v>131</v>
      </c>
      <c r="C48" s="104">
        <f>C40-C43-C44-C45-C47-C46</f>
        <v>-100.71733450553235</v>
      </c>
      <c r="D48" s="104">
        <f t="shared" ref="D48:E48" si="25">D40-D43-D44-D45-D47-D46</f>
        <v>-78.018287560000047</v>
      </c>
      <c r="E48" s="104" t="e">
        <f t="shared" si="25"/>
        <v>#DIV/0!</v>
      </c>
      <c r="F48" s="104"/>
      <c r="AF48" s="93" t="s">
        <v>130</v>
      </c>
      <c r="AG48" s="98" t="s">
        <v>131</v>
      </c>
    </row>
    <row r="51" spans="2:11">
      <c r="C51" s="111"/>
      <c r="D51" s="111"/>
      <c r="E51" s="111"/>
    </row>
    <row r="54" spans="2:11">
      <c r="B54" s="2"/>
      <c r="C54" s="112"/>
      <c r="D54" s="112"/>
      <c r="E54" s="112"/>
      <c r="F54" s="112"/>
      <c r="G54" s="2"/>
      <c r="H54" s="2"/>
      <c r="I54" s="2"/>
      <c r="J54" s="2"/>
      <c r="K54" s="2"/>
    </row>
    <row r="55" spans="2:11">
      <c r="B55" s="2"/>
      <c r="C55" s="112"/>
      <c r="D55" s="112"/>
      <c r="E55" s="112"/>
      <c r="F55" s="112"/>
      <c r="G55" s="2"/>
      <c r="H55" s="2"/>
      <c r="I55" s="2"/>
      <c r="J55" s="2"/>
      <c r="K55" s="2"/>
    </row>
    <row r="56" spans="2:11">
      <c r="B56" s="2"/>
      <c r="C56" s="112"/>
      <c r="D56" s="112"/>
      <c r="E56" s="112"/>
      <c r="F56" s="112"/>
      <c r="G56" s="2"/>
      <c r="H56" s="2"/>
      <c r="I56" s="2"/>
      <c r="J56" s="2"/>
      <c r="K56" s="2"/>
    </row>
    <row r="57" spans="2:11">
      <c r="B57" s="2"/>
      <c r="C57" s="112"/>
      <c r="D57" s="112"/>
      <c r="E57" s="112"/>
      <c r="F57" s="112"/>
      <c r="G57" s="2"/>
      <c r="H57" s="2"/>
      <c r="I57" s="2"/>
      <c r="J57" s="2"/>
      <c r="K57" s="2"/>
    </row>
    <row r="58" spans="2:11">
      <c r="B58" s="2"/>
      <c r="C58" s="112"/>
      <c r="D58" s="112"/>
      <c r="E58" s="112"/>
      <c r="F58" s="112"/>
      <c r="G58" s="2"/>
      <c r="H58" s="2"/>
      <c r="I58" s="2"/>
      <c r="J58" s="2"/>
      <c r="K58" s="2"/>
    </row>
    <row r="59" spans="2:11">
      <c r="B59" s="2"/>
      <c r="C59" s="112"/>
      <c r="D59" s="112"/>
      <c r="E59" s="112"/>
      <c r="F59" s="112"/>
      <c r="G59" s="2"/>
      <c r="H59" s="2"/>
      <c r="I59" s="2"/>
      <c r="J59" s="2"/>
      <c r="K59" s="2"/>
    </row>
    <row r="60" spans="2:11">
      <c r="B60" s="2"/>
      <c r="C60" s="112"/>
      <c r="D60" s="112"/>
      <c r="E60" s="112"/>
      <c r="F60" s="112"/>
      <c r="G60" s="2"/>
      <c r="H60" s="2"/>
      <c r="I60" s="2"/>
      <c r="J60" s="2"/>
      <c r="K60" s="2"/>
    </row>
    <row r="61" spans="2:11">
      <c r="B61" s="2"/>
      <c r="C61" s="112"/>
      <c r="D61" s="112"/>
      <c r="E61" s="112"/>
      <c r="F61" s="112"/>
      <c r="G61" s="2"/>
      <c r="H61" s="2"/>
      <c r="I61" s="2"/>
      <c r="J61" s="2"/>
      <c r="K61" s="2"/>
    </row>
    <row r="62" spans="2:11">
      <c r="B62" s="2"/>
      <c r="C62" s="112"/>
      <c r="D62" s="112"/>
      <c r="E62" s="112"/>
      <c r="F62" s="112"/>
      <c r="G62" s="2"/>
      <c r="H62" s="2"/>
      <c r="I62" s="2"/>
      <c r="J62" s="2"/>
      <c r="K62" s="2"/>
    </row>
    <row r="63" spans="2:11">
      <c r="B63" s="2"/>
      <c r="C63" s="112"/>
      <c r="D63" s="112"/>
      <c r="E63" s="112"/>
      <c r="F63" s="112"/>
      <c r="G63" s="2"/>
      <c r="H63" s="2"/>
      <c r="I63" s="2"/>
      <c r="J63" s="2"/>
      <c r="K63" s="2"/>
    </row>
    <row r="64" spans="2:11">
      <c r="B64" s="2"/>
      <c r="C64" s="112"/>
      <c r="D64" s="112"/>
      <c r="E64" s="112"/>
      <c r="F64" s="112"/>
      <c r="G64" s="2"/>
      <c r="H64" s="2"/>
      <c r="I64" s="2"/>
      <c r="J64" s="2"/>
      <c r="K64" s="2"/>
    </row>
    <row r="65" spans="2:11">
      <c r="B65" s="2"/>
      <c r="C65" s="112"/>
      <c r="D65" s="112"/>
      <c r="E65" s="112"/>
      <c r="F65" s="112"/>
      <c r="G65" s="2"/>
      <c r="H65" s="2"/>
      <c r="I65" s="2"/>
      <c r="J65" s="2"/>
      <c r="K65" s="2"/>
    </row>
    <row r="66" spans="2:11">
      <c r="B66" s="2"/>
      <c r="C66" s="112"/>
      <c r="D66" s="112"/>
      <c r="E66" s="112"/>
      <c r="F66" s="112"/>
      <c r="G66" s="2"/>
      <c r="H66" s="2"/>
      <c r="I66" s="2"/>
      <c r="J66" s="2"/>
      <c r="K66" s="2"/>
    </row>
    <row r="67" spans="2:11">
      <c r="B67" s="2"/>
      <c r="C67" s="112"/>
      <c r="D67" s="112"/>
      <c r="E67" s="112"/>
      <c r="F67" s="112"/>
      <c r="G67" s="2"/>
    </row>
    <row r="68" spans="2:11">
      <c r="B68" s="2"/>
      <c r="C68" s="112"/>
      <c r="D68" s="112"/>
      <c r="E68" s="112"/>
      <c r="F68" s="112"/>
      <c r="G68" s="2"/>
    </row>
    <row r="69" spans="2:11">
      <c r="B69" s="2"/>
      <c r="C69" s="112"/>
      <c r="D69" s="112"/>
      <c r="E69" s="112"/>
      <c r="F69" s="112"/>
      <c r="G69" s="2"/>
    </row>
    <row r="70" spans="2:11">
      <c r="B70" s="2"/>
      <c r="C70" s="112"/>
      <c r="D70" s="112"/>
      <c r="E70" s="112"/>
      <c r="F70" s="112"/>
      <c r="G70" s="2"/>
    </row>
    <row r="71" spans="2:11">
      <c r="B71" s="2"/>
      <c r="C71" s="112"/>
      <c r="D71" s="112"/>
      <c r="E71" s="112"/>
      <c r="F71" s="112"/>
      <c r="G71" s="2"/>
    </row>
    <row r="72" spans="2:11">
      <c r="B72" s="2"/>
      <c r="C72" s="112"/>
      <c r="D72" s="112"/>
      <c r="E72" s="112"/>
      <c r="F72" s="112"/>
      <c r="G72" s="2"/>
    </row>
    <row r="73" spans="2:11">
      <c r="B73" s="2"/>
      <c r="C73" s="112"/>
      <c r="D73" s="112"/>
      <c r="E73" s="112"/>
      <c r="F73" s="112"/>
      <c r="G73" s="2"/>
    </row>
    <row r="74" spans="2:11">
      <c r="B74" s="2"/>
      <c r="C74" s="112"/>
      <c r="D74" s="112"/>
      <c r="E74" s="112"/>
      <c r="F74" s="112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6" activePane="bottomRight" state="frozen"/>
      <selection pane="topRight"/>
      <selection pane="bottomLeft"/>
      <selection pane="bottomRight" activeCell="C33" sqref="C33:E33"/>
    </sheetView>
  </sheetViews>
  <sheetFormatPr defaultColWidth="9" defaultRowHeight="16.5"/>
  <cols>
    <col min="1" max="1" width="5.125" style="86" customWidth="1"/>
    <col min="2" max="2" width="17.5" style="86" customWidth="1"/>
    <col min="3" max="5" width="14.375" style="89" customWidth="1"/>
    <col min="6" max="6" width="18.75" style="89" customWidth="1"/>
    <col min="7" max="7" width="12.375" style="86" customWidth="1"/>
    <col min="8" max="8" width="10.125" style="86" customWidth="1"/>
    <col min="9" max="15" width="9" style="86" customWidth="1"/>
    <col min="16" max="31" width="9" style="86"/>
    <col min="32" max="32" width="4.375" style="86" customWidth="1"/>
    <col min="33" max="33" width="13.875" style="86" customWidth="1"/>
    <col min="34" max="16384" width="9" style="86"/>
  </cols>
  <sheetData>
    <row r="1" spans="1:34">
      <c r="A1" s="212" t="s">
        <v>141</v>
      </c>
      <c r="B1" s="212"/>
      <c r="C1" s="216" t="s">
        <v>266</v>
      </c>
      <c r="D1" s="217"/>
      <c r="E1" s="217"/>
      <c r="F1" s="218"/>
    </row>
    <row r="2" spans="1:34">
      <c r="A2" s="212" t="s">
        <v>142</v>
      </c>
      <c r="B2" s="212"/>
      <c r="C2" s="219" t="str">
        <f>'2025年'!$C$2</f>
        <v>陕汽重型汽车有限公司</v>
      </c>
      <c r="D2" s="219"/>
      <c r="E2" s="219"/>
      <c r="F2" s="219"/>
    </row>
    <row r="3" spans="1:34">
      <c r="A3" s="212" t="s">
        <v>143</v>
      </c>
      <c r="B3" s="212"/>
      <c r="C3" s="91" t="str">
        <f>'2025年'!C3</f>
        <v>司机座椅</v>
      </c>
      <c r="D3" s="91" t="str">
        <f>'2025年'!D3</f>
        <v>副司机座椅</v>
      </c>
      <c r="E3" s="91">
        <f>'2025年'!E3</f>
        <v>0</v>
      </c>
      <c r="F3" s="213" t="s">
        <v>51</v>
      </c>
    </row>
    <row r="4" spans="1:34">
      <c r="A4" s="212" t="s">
        <v>144</v>
      </c>
      <c r="B4" s="212"/>
      <c r="C4" s="91" t="str">
        <f>'2025年'!C4</f>
        <v>DZ14251510148</v>
      </c>
      <c r="D4" s="91" t="str">
        <f>'2025年'!D4</f>
        <v>DZ15221512009</v>
      </c>
      <c r="E4" s="91">
        <f>'2025年'!E4</f>
        <v>0</v>
      </c>
      <c r="F4" s="214"/>
    </row>
    <row r="5" spans="1:34" ht="42.75">
      <c r="A5" s="212" t="s">
        <v>145</v>
      </c>
      <c r="B5" s="212"/>
      <c r="C5" s="92" t="str">
        <f>'2025年'!C5</f>
        <v>X5000座椅增加通风、更换面料、扶手改为长扶手</v>
      </c>
      <c r="D5" s="92" t="str">
        <f>'2025年'!D5</f>
        <v>报警锁扣、增加SBR</v>
      </c>
      <c r="E5" s="92">
        <f>'2025年'!E5</f>
        <v>0</v>
      </c>
      <c r="F5" s="215"/>
      <c r="AH5" s="86" t="s">
        <v>52</v>
      </c>
    </row>
    <row r="6" spans="1:34" ht="17.25">
      <c r="A6" s="93" t="s">
        <v>18</v>
      </c>
      <c r="B6" s="94" t="s">
        <v>146</v>
      </c>
      <c r="C6" s="113">
        <f>销量!C12</f>
        <v>1000</v>
      </c>
      <c r="D6" s="113">
        <f>销量!D12</f>
        <v>1000</v>
      </c>
      <c r="E6" s="113">
        <f>销量!E12</f>
        <v>0</v>
      </c>
      <c r="F6" s="96">
        <f t="shared" ref="F6:F15" si="0">+SUM(C6:E6)</f>
        <v>2000</v>
      </c>
      <c r="AF6" s="93" t="s">
        <v>18</v>
      </c>
      <c r="AG6" s="94" t="s">
        <v>3</v>
      </c>
      <c r="AH6" s="86" t="s">
        <v>53</v>
      </c>
    </row>
    <row r="7" spans="1:34">
      <c r="A7" s="90">
        <v>1</v>
      </c>
      <c r="B7" s="94" t="s">
        <v>54</v>
      </c>
      <c r="C7" s="96">
        <f>C6*销量!C8</f>
        <v>1900000</v>
      </c>
      <c r="D7" s="96">
        <f>D6*销量!D8</f>
        <v>430000</v>
      </c>
      <c r="E7" s="96">
        <f>E6*销量!E8</f>
        <v>0</v>
      </c>
      <c r="F7" s="96">
        <f t="shared" si="0"/>
        <v>2330000</v>
      </c>
      <c r="G7" s="89"/>
      <c r="AF7" s="93" t="s">
        <v>55</v>
      </c>
      <c r="AG7" s="94" t="s">
        <v>54</v>
      </c>
      <c r="AH7" s="86" t="s">
        <v>53</v>
      </c>
    </row>
    <row r="8" spans="1:34">
      <c r="A8" s="90">
        <v>2</v>
      </c>
      <c r="B8" s="90" t="s">
        <v>56</v>
      </c>
      <c r="C8" s="96">
        <f>C7*(1-销量!$K$9)</f>
        <v>270987.5</v>
      </c>
      <c r="D8" s="96">
        <f>D7*(1-销量!$K$9)</f>
        <v>61328.75</v>
      </c>
      <c r="E8" s="96">
        <f>E7*(1-销量!$K$9)</f>
        <v>0</v>
      </c>
      <c r="F8" s="96">
        <f t="shared" si="0"/>
        <v>332316.25</v>
      </c>
      <c r="G8" s="97"/>
      <c r="AF8" s="93" t="s">
        <v>57</v>
      </c>
      <c r="AG8" s="90" t="s">
        <v>58</v>
      </c>
      <c r="AH8" s="86" t="s">
        <v>53</v>
      </c>
    </row>
    <row r="9" spans="1:34">
      <c r="A9" s="90">
        <v>3</v>
      </c>
      <c r="B9" s="94" t="s">
        <v>59</v>
      </c>
      <c r="C9" s="96">
        <f>+C7-C8</f>
        <v>1629012.5</v>
      </c>
      <c r="D9" s="96">
        <f t="shared" ref="D9:E9" si="1">+D7-D8</f>
        <v>368671.25</v>
      </c>
      <c r="E9" s="96">
        <f t="shared" si="1"/>
        <v>0</v>
      </c>
      <c r="F9" s="96">
        <f t="shared" si="0"/>
        <v>1997683.75</v>
      </c>
      <c r="AF9" s="93" t="s">
        <v>60</v>
      </c>
      <c r="AG9" s="94" t="s">
        <v>59</v>
      </c>
      <c r="AH9" s="86" t="s">
        <v>61</v>
      </c>
    </row>
    <row r="10" spans="1:34">
      <c r="A10" s="90">
        <v>4</v>
      </c>
      <c r="B10" s="93" t="s">
        <v>63</v>
      </c>
      <c r="C10" s="96">
        <f>C6*C33</f>
        <v>1324278.4677802557</v>
      </c>
      <c r="D10" s="96">
        <f t="shared" ref="D10:E10" si="2">D6*D33</f>
        <v>291089.77318199998</v>
      </c>
      <c r="E10" s="96">
        <f t="shared" si="2"/>
        <v>0</v>
      </c>
      <c r="F10" s="96">
        <f t="shared" si="0"/>
        <v>1615368.2409622557</v>
      </c>
      <c r="AF10" s="93" t="s">
        <v>62</v>
      </c>
      <c r="AG10" s="93" t="s">
        <v>63</v>
      </c>
      <c r="AH10" s="86" t="s">
        <v>64</v>
      </c>
    </row>
    <row r="11" spans="1:34">
      <c r="A11" s="90">
        <v>5</v>
      </c>
      <c r="B11" s="93" t="s">
        <v>65</v>
      </c>
      <c r="C11" s="96">
        <f>+C6*C36</f>
        <v>55670</v>
      </c>
      <c r="D11" s="96">
        <f t="shared" ref="D11:E11" si="3">+D6*D36</f>
        <v>12599</v>
      </c>
      <c r="E11" s="96">
        <f t="shared" si="3"/>
        <v>0</v>
      </c>
      <c r="F11" s="96">
        <f t="shared" si="0"/>
        <v>68269</v>
      </c>
      <c r="AF11" s="93" t="s">
        <v>66</v>
      </c>
      <c r="AG11" s="93" t="s">
        <v>65</v>
      </c>
    </row>
    <row r="12" spans="1:34">
      <c r="A12" s="90">
        <v>6</v>
      </c>
      <c r="B12" s="93" t="s">
        <v>67</v>
      </c>
      <c r="C12" s="96">
        <f>+C6*C37</f>
        <v>16529.999999999996</v>
      </c>
      <c r="D12" s="96">
        <f t="shared" ref="D12:E12" si="4">+D6*D37</f>
        <v>3740.9999999999995</v>
      </c>
      <c r="E12" s="96">
        <f t="shared" si="4"/>
        <v>0</v>
      </c>
      <c r="F12" s="96">
        <f t="shared" si="0"/>
        <v>20270.999999999996</v>
      </c>
      <c r="AF12" s="93" t="s">
        <v>68</v>
      </c>
      <c r="AG12" s="93" t="s">
        <v>67</v>
      </c>
    </row>
    <row r="13" spans="1:34">
      <c r="A13" s="90">
        <v>7</v>
      </c>
      <c r="B13" s="93" t="s">
        <v>69</v>
      </c>
      <c r="C13" s="96">
        <f>+C6*C38</f>
        <v>78280</v>
      </c>
      <c r="D13" s="96">
        <f t="shared" ref="D13:E13" si="5">+D6*D38</f>
        <v>17716</v>
      </c>
      <c r="E13" s="96">
        <f t="shared" si="5"/>
        <v>0</v>
      </c>
      <c r="F13" s="96">
        <f t="shared" si="0"/>
        <v>95996</v>
      </c>
      <c r="AF13" s="93" t="s">
        <v>70</v>
      </c>
      <c r="AG13" s="93" t="s">
        <v>69</v>
      </c>
      <c r="AH13" s="86" t="s">
        <v>53</v>
      </c>
    </row>
    <row r="14" spans="1:34">
      <c r="A14" s="90">
        <v>8</v>
      </c>
      <c r="B14" s="98" t="s">
        <v>71</v>
      </c>
      <c r="C14" s="96">
        <f>SUM(C11:C13)</f>
        <v>150480</v>
      </c>
      <c r="D14" s="96">
        <f t="shared" ref="D14:E14" si="6">SUM(D11:D13)</f>
        <v>34056</v>
      </c>
      <c r="E14" s="96">
        <f t="shared" si="6"/>
        <v>0</v>
      </c>
      <c r="F14" s="96">
        <f t="shared" si="0"/>
        <v>184536</v>
      </c>
      <c r="AF14" s="93" t="s">
        <v>72</v>
      </c>
      <c r="AG14" s="98" t="s">
        <v>71</v>
      </c>
    </row>
    <row r="15" spans="1:34">
      <c r="A15" s="90">
        <v>9</v>
      </c>
      <c r="B15" s="98" t="s">
        <v>73</v>
      </c>
      <c r="C15" s="96">
        <f>+C9-C10-C14</f>
        <v>154254.03221974429</v>
      </c>
      <c r="D15" s="96">
        <f t="shared" ref="D15:E15" si="7">+D9-D10-D14</f>
        <v>43525.476818000025</v>
      </c>
      <c r="E15" s="96">
        <f t="shared" si="7"/>
        <v>0</v>
      </c>
      <c r="F15" s="96">
        <f t="shared" si="0"/>
        <v>197779.50903774431</v>
      </c>
      <c r="AF15" s="93" t="s">
        <v>74</v>
      </c>
      <c r="AG15" s="98" t="s">
        <v>73</v>
      </c>
    </row>
    <row r="16" spans="1:34">
      <c r="A16" s="90">
        <v>10</v>
      </c>
      <c r="B16" s="93" t="s">
        <v>75</v>
      </c>
      <c r="C16" s="99">
        <f>+C15/C9</f>
        <v>9.4691742524839001E-2</v>
      </c>
      <c r="D16" s="99">
        <f t="shared" ref="D16:E16" si="8">+D15/D9</f>
        <v>0.11806040427074263</v>
      </c>
      <c r="E16" s="99" t="e">
        <f t="shared" si="8"/>
        <v>#DIV/0!</v>
      </c>
      <c r="F16" s="99">
        <f>+F15/F9</f>
        <v>9.9004414005842672E-2</v>
      </c>
      <c r="G16" s="100"/>
      <c r="H16" s="100"/>
      <c r="I16" s="100"/>
      <c r="AF16" s="93" t="s">
        <v>76</v>
      </c>
      <c r="AG16" s="93" t="s">
        <v>75</v>
      </c>
    </row>
    <row r="17" spans="1:34">
      <c r="A17" s="90">
        <v>11</v>
      </c>
      <c r="B17" s="93" t="s">
        <v>77</v>
      </c>
      <c r="C17" s="96">
        <f>C6*C43+C18</f>
        <v>122929.99999999999</v>
      </c>
      <c r="D17" s="96">
        <f t="shared" ref="D17:E17" si="9">D6*D43+D18</f>
        <v>27820.999999999996</v>
      </c>
      <c r="E17" s="96">
        <f t="shared" si="9"/>
        <v>0</v>
      </c>
      <c r="F17" s="96">
        <f>+SUM(C17:E17)</f>
        <v>150750.99999999997</v>
      </c>
      <c r="G17" s="97"/>
      <c r="AF17" s="93" t="s">
        <v>78</v>
      </c>
      <c r="AG17" s="93" t="s">
        <v>77</v>
      </c>
    </row>
    <row r="18" spans="1:34" s="87" customFormat="1">
      <c r="A18" s="90">
        <v>12</v>
      </c>
      <c r="B18" s="101" t="s">
        <v>147</v>
      </c>
      <c r="C18" s="102">
        <f>$F$18/$F$6*C6</f>
        <v>0</v>
      </c>
      <c r="D18" s="102">
        <f t="shared" ref="D18:E18" si="10">$F$18/$F$6*D6</f>
        <v>0</v>
      </c>
      <c r="E18" s="102">
        <f t="shared" si="10"/>
        <v>0</v>
      </c>
      <c r="F18" s="96">
        <f>项目投资!G26</f>
        <v>0</v>
      </c>
      <c r="G18" s="103" t="s">
        <v>148</v>
      </c>
      <c r="H18" s="103"/>
      <c r="I18" s="103"/>
    </row>
    <row r="19" spans="1:34">
      <c r="A19" s="90">
        <v>13</v>
      </c>
      <c r="B19" s="93" t="s">
        <v>79</v>
      </c>
      <c r="C19" s="96">
        <f>C6*C44</f>
        <v>26030</v>
      </c>
      <c r="D19" s="96">
        <f t="shared" ref="D19:E19" si="11">D6*D44</f>
        <v>5891</v>
      </c>
      <c r="E19" s="96">
        <f t="shared" si="11"/>
        <v>0</v>
      </c>
      <c r="F19" s="96">
        <f>+SUM(C19:E19)</f>
        <v>31921</v>
      </c>
      <c r="G19" s="87"/>
      <c r="AF19" s="93" t="s">
        <v>80</v>
      </c>
      <c r="AG19" s="93" t="s">
        <v>79</v>
      </c>
      <c r="AH19" s="86" t="s">
        <v>53</v>
      </c>
    </row>
    <row r="20" spans="1:34">
      <c r="A20" s="90">
        <v>14</v>
      </c>
      <c r="B20" s="93" t="s">
        <v>81</v>
      </c>
      <c r="C20" s="96">
        <f>C6*C45</f>
        <v>38950</v>
      </c>
      <c r="D20" s="96">
        <f t="shared" ref="D20:E20" si="12">D6*D45</f>
        <v>8815</v>
      </c>
      <c r="E20" s="96">
        <f t="shared" si="12"/>
        <v>0</v>
      </c>
      <c r="F20" s="96">
        <f>+SUM(C20:E20)</f>
        <v>47765</v>
      </c>
      <c r="AF20" s="93" t="s">
        <v>82</v>
      </c>
      <c r="AG20" s="93" t="s">
        <v>81</v>
      </c>
    </row>
    <row r="21" spans="1:34">
      <c r="A21" s="90">
        <v>15</v>
      </c>
      <c r="B21" s="93" t="s">
        <v>83</v>
      </c>
      <c r="C21" s="104">
        <f>$F$21/$F$6*C6</f>
        <v>260</v>
      </c>
      <c r="D21" s="104">
        <f t="shared" ref="D21:E21" si="13">$F$21/$F$6*D6</f>
        <v>260</v>
      </c>
      <c r="E21" s="104">
        <f t="shared" si="13"/>
        <v>0</v>
      </c>
      <c r="F21" s="96">
        <f>项目投资!G27</f>
        <v>520</v>
      </c>
      <c r="AF21" s="93"/>
      <c r="AG21" s="93"/>
    </row>
    <row r="22" spans="1:34">
      <c r="A22" s="90">
        <v>16</v>
      </c>
      <c r="B22" s="93" t="s">
        <v>84</v>
      </c>
      <c r="C22" s="96">
        <f>C6*C47</f>
        <v>82840</v>
      </c>
      <c r="D22" s="96">
        <f t="shared" ref="D22:E22" si="14">D6*D47</f>
        <v>82840</v>
      </c>
      <c r="E22" s="96">
        <f t="shared" si="14"/>
        <v>0</v>
      </c>
      <c r="F22" s="96">
        <f>+SUM(C22:E22)</f>
        <v>165680</v>
      </c>
      <c r="AF22" s="93" t="s">
        <v>85</v>
      </c>
      <c r="AG22" s="93" t="s">
        <v>84</v>
      </c>
    </row>
    <row r="23" spans="1:34">
      <c r="A23" s="90">
        <v>17</v>
      </c>
      <c r="B23" s="98" t="s">
        <v>86</v>
      </c>
      <c r="C23" s="104">
        <f>+C22+C21+C20+C19+C17</f>
        <v>271010</v>
      </c>
      <c r="D23" s="104">
        <f t="shared" ref="D23:E23" si="15">+D22+D21+D20+D19+D17</f>
        <v>125627</v>
      </c>
      <c r="E23" s="104">
        <f t="shared" si="15"/>
        <v>0</v>
      </c>
      <c r="F23" s="104">
        <f>+F22+F21+F20+F19+F17</f>
        <v>396637</v>
      </c>
      <c r="AF23" s="93" t="s">
        <v>87</v>
      </c>
      <c r="AG23" s="98" t="s">
        <v>86</v>
      </c>
    </row>
    <row r="24" spans="1:34">
      <c r="A24" s="90">
        <v>18</v>
      </c>
      <c r="B24" s="105" t="s">
        <v>88</v>
      </c>
      <c r="C24" s="104">
        <f>+C15-C23</f>
        <v>-116755.96778025571</v>
      </c>
      <c r="D24" s="104">
        <f t="shared" ref="D24:E24" si="16">+D15-D23</f>
        <v>-82101.523181999975</v>
      </c>
      <c r="E24" s="104">
        <f t="shared" si="16"/>
        <v>0</v>
      </c>
      <c r="F24" s="104">
        <f>+F15-F23</f>
        <v>-198857.49096225569</v>
      </c>
      <c r="H24" s="106"/>
      <c r="AF24" s="93" t="s">
        <v>89</v>
      </c>
      <c r="AG24" s="93" t="s">
        <v>88</v>
      </c>
    </row>
    <row r="25" spans="1:34">
      <c r="A25" s="90">
        <v>19</v>
      </c>
      <c r="B25" s="93" t="s">
        <v>281</v>
      </c>
      <c r="C25" s="104">
        <f>IF(C24&lt;0,0,C24*0.15)</f>
        <v>0</v>
      </c>
      <c r="D25" s="104">
        <f t="shared" ref="D25:E25" si="17">IF(D24&lt;0,0,D24*0.15)</f>
        <v>0</v>
      </c>
      <c r="E25" s="104">
        <f t="shared" si="17"/>
        <v>0</v>
      </c>
      <c r="F25" s="104">
        <f t="shared" ref="F25" si="18">IF(F24&lt;0,0,F24*0.15)</f>
        <v>0</v>
      </c>
      <c r="G25" s="2"/>
      <c r="H25" s="2"/>
      <c r="I25" s="2"/>
      <c r="AF25" s="93" t="s">
        <v>90</v>
      </c>
      <c r="AG25" s="93" t="s">
        <v>35</v>
      </c>
    </row>
    <row r="26" spans="1:34">
      <c r="A26" s="90">
        <v>20</v>
      </c>
      <c r="B26" s="93" t="s">
        <v>91</v>
      </c>
      <c r="C26" s="104">
        <f>C24-C25</f>
        <v>-116755.96778025571</v>
      </c>
      <c r="D26" s="104">
        <f t="shared" ref="D26:E26" si="19">D24-D25</f>
        <v>-82101.523181999975</v>
      </c>
      <c r="E26" s="104">
        <f t="shared" si="19"/>
        <v>0</v>
      </c>
      <c r="F26" s="96">
        <f>+SUM(C26:E26)</f>
        <v>-198857.49096225569</v>
      </c>
      <c r="G26" s="2"/>
      <c r="H26" s="2"/>
      <c r="I26" s="2"/>
      <c r="AF26" s="93" t="s">
        <v>92</v>
      </c>
      <c r="AG26" s="93" t="s">
        <v>91</v>
      </c>
    </row>
    <row r="27" spans="1:34">
      <c r="A27" s="90">
        <v>21</v>
      </c>
      <c r="B27" s="93" t="s">
        <v>95</v>
      </c>
      <c r="C27" s="107">
        <f>C26/C7</f>
        <v>-6.1450509358029322E-2</v>
      </c>
      <c r="D27" s="107">
        <f t="shared" ref="D27:E27" si="20">D26/D7</f>
        <v>-0.19093377484186042</v>
      </c>
      <c r="E27" s="107" t="e">
        <f t="shared" si="20"/>
        <v>#DIV/0!</v>
      </c>
      <c r="F27" s="107">
        <f>F26/F7</f>
        <v>-8.5346562644744925E-2</v>
      </c>
      <c r="G27" s="2"/>
      <c r="H27" s="2"/>
      <c r="I27" s="2"/>
      <c r="AF27" s="93" t="s">
        <v>94</v>
      </c>
      <c r="AG27" s="93" t="s">
        <v>95</v>
      </c>
    </row>
    <row r="28" spans="1:34">
      <c r="G28" s="2"/>
      <c r="H28" s="2"/>
      <c r="I28" s="2"/>
    </row>
    <row r="29" spans="1:34">
      <c r="A29" s="86" t="s">
        <v>96</v>
      </c>
      <c r="F29" s="89" t="s">
        <v>149</v>
      </c>
      <c r="G29" s="2"/>
      <c r="H29" s="2"/>
      <c r="I29" s="2"/>
      <c r="AF29" s="86" t="s">
        <v>96</v>
      </c>
    </row>
    <row r="30" spans="1:34">
      <c r="A30" s="93" t="s">
        <v>97</v>
      </c>
      <c r="B30" s="98" t="s">
        <v>98</v>
      </c>
      <c r="C30" s="104"/>
      <c r="D30" s="104"/>
      <c r="E30" s="104"/>
      <c r="F30" s="104"/>
      <c r="G30" s="2"/>
      <c r="H30" s="2"/>
      <c r="I30" s="2"/>
      <c r="K30" s="2"/>
      <c r="AF30" s="93" t="s">
        <v>99</v>
      </c>
      <c r="AG30" s="98" t="s">
        <v>98</v>
      </c>
    </row>
    <row r="31" spans="1:34">
      <c r="A31" s="90">
        <v>1</v>
      </c>
      <c r="B31" s="101" t="s">
        <v>100</v>
      </c>
      <c r="C31" s="108">
        <f>销量!C8</f>
        <v>1900</v>
      </c>
      <c r="D31" s="108">
        <f>销量!D8</f>
        <v>430</v>
      </c>
      <c r="E31" s="108">
        <f>销量!E8</f>
        <v>0</v>
      </c>
      <c r="F31" s="104"/>
      <c r="G31" s="2"/>
      <c r="H31" s="2"/>
      <c r="I31" s="2"/>
      <c r="K31" s="2"/>
      <c r="AF31" s="93" t="s">
        <v>55</v>
      </c>
      <c r="AG31" s="93" t="s">
        <v>100</v>
      </c>
    </row>
    <row r="32" spans="1:34">
      <c r="A32" s="90">
        <v>2</v>
      </c>
      <c r="B32" s="93" t="s">
        <v>150</v>
      </c>
      <c r="C32" s="96">
        <f>C9/C6</f>
        <v>1629.0125</v>
      </c>
      <c r="D32" s="96">
        <f t="shared" ref="D32:E32" si="21">D9/D6</f>
        <v>368.67124999999999</v>
      </c>
      <c r="E32" s="96" t="e">
        <f t="shared" si="21"/>
        <v>#DIV/0!</v>
      </c>
      <c r="F32" s="104"/>
      <c r="G32" s="2"/>
      <c r="H32" s="2"/>
      <c r="I32" s="2"/>
      <c r="J32" s="2"/>
      <c r="K32" s="2"/>
      <c r="L32" s="2"/>
      <c r="M32" s="2"/>
      <c r="AF32" s="93"/>
      <c r="AG32" s="93"/>
    </row>
    <row r="33" spans="1:33">
      <c r="A33" s="90">
        <v>3</v>
      </c>
      <c r="B33" s="101" t="s">
        <v>101</v>
      </c>
      <c r="C33" s="96">
        <f>材料成本!D27</f>
        <v>1324.2784677802556</v>
      </c>
      <c r="D33" s="96">
        <f>材料成本!E27</f>
        <v>291.08977318199999</v>
      </c>
      <c r="E33" s="96">
        <f>材料成本!F27</f>
        <v>0</v>
      </c>
      <c r="F33" s="104"/>
      <c r="H33" s="2"/>
      <c r="I33" s="2"/>
      <c r="J33" s="2"/>
      <c r="K33" s="2"/>
      <c r="L33" s="2"/>
      <c r="M33" s="2"/>
      <c r="AF33" s="93" t="s">
        <v>57</v>
      </c>
      <c r="AG33" s="93" t="s">
        <v>101</v>
      </c>
    </row>
    <row r="34" spans="1:33" ht="17.25" customHeight="1">
      <c r="A34" s="90">
        <v>4</v>
      </c>
      <c r="B34" s="93" t="s">
        <v>103</v>
      </c>
      <c r="C34" s="109">
        <f>C32-C33</f>
        <v>304.73403221974445</v>
      </c>
      <c r="D34" s="109">
        <f t="shared" ref="D34:E34" si="22">D32-D33</f>
        <v>77.581476817999999</v>
      </c>
      <c r="E34" s="109" t="e">
        <f t="shared" si="22"/>
        <v>#DIV/0!</v>
      </c>
      <c r="F34" s="104"/>
      <c r="H34" s="2"/>
      <c r="I34" s="2"/>
      <c r="J34" s="2"/>
      <c r="K34" s="2"/>
      <c r="L34" s="2"/>
      <c r="M34" s="2"/>
      <c r="AF34" s="93" t="s">
        <v>102</v>
      </c>
      <c r="AG34" s="93" t="s">
        <v>103</v>
      </c>
    </row>
    <row r="35" spans="1:33">
      <c r="A35" s="93" t="s">
        <v>99</v>
      </c>
      <c r="B35" s="98" t="s">
        <v>9</v>
      </c>
      <c r="C35" s="104"/>
      <c r="D35" s="104"/>
      <c r="E35" s="104"/>
      <c r="F35" s="104"/>
      <c r="G35" s="2"/>
      <c r="H35" s="2"/>
      <c r="I35" s="2"/>
      <c r="J35" s="2"/>
      <c r="K35" s="2"/>
      <c r="L35" s="2"/>
      <c r="M35" s="2"/>
      <c r="N35" s="2"/>
      <c r="O35" s="2"/>
      <c r="P35" s="2"/>
      <c r="AF35" s="93" t="s">
        <v>105</v>
      </c>
      <c r="AG35" s="98" t="s">
        <v>9</v>
      </c>
    </row>
    <row r="36" spans="1:33">
      <c r="A36" s="90">
        <v>1</v>
      </c>
      <c r="B36" s="93" t="s">
        <v>106</v>
      </c>
      <c r="C36" s="102">
        <f>'2025年'!C36</f>
        <v>55.67</v>
      </c>
      <c r="D36" s="102">
        <f>'2025年'!D36</f>
        <v>12.599</v>
      </c>
      <c r="E36" s="102">
        <f>'2025年'!E36</f>
        <v>0</v>
      </c>
      <c r="F36" s="108"/>
      <c r="G36" s="2"/>
      <c r="H36" s="2"/>
      <c r="I36" s="2"/>
      <c r="J36" s="2"/>
      <c r="K36" s="2"/>
      <c r="L36" s="2"/>
      <c r="M36" s="2"/>
      <c r="N36" s="2"/>
      <c r="O36" s="2"/>
      <c r="P36" s="2"/>
      <c r="AF36" s="93" t="s">
        <v>102</v>
      </c>
      <c r="AG36" s="93" t="s">
        <v>106</v>
      </c>
    </row>
    <row r="37" spans="1:33">
      <c r="A37" s="90">
        <v>2</v>
      </c>
      <c r="B37" s="93" t="s">
        <v>107</v>
      </c>
      <c r="C37" s="102">
        <f>'2025年'!C37</f>
        <v>16.529999999999998</v>
      </c>
      <c r="D37" s="102">
        <f>'2025年'!D37</f>
        <v>3.7409999999999997</v>
      </c>
      <c r="E37" s="102">
        <f>'2025年'!E37</f>
        <v>0</v>
      </c>
      <c r="F37" s="108"/>
      <c r="G37" s="2"/>
      <c r="H37" s="2"/>
      <c r="I37" s="2"/>
      <c r="J37" s="2"/>
      <c r="K37" s="2"/>
      <c r="L37" s="2"/>
      <c r="M37" s="2"/>
      <c r="N37" s="2"/>
      <c r="O37" s="2"/>
      <c r="P37" s="2"/>
      <c r="AF37" s="93" t="s">
        <v>60</v>
      </c>
      <c r="AG37" s="93" t="s">
        <v>107</v>
      </c>
    </row>
    <row r="38" spans="1:33">
      <c r="A38" s="90">
        <v>3</v>
      </c>
      <c r="B38" s="93" t="s">
        <v>108</v>
      </c>
      <c r="C38" s="102">
        <f>'2025年'!C38</f>
        <v>78.28</v>
      </c>
      <c r="D38" s="102">
        <f>'2025年'!D38</f>
        <v>17.716000000000001</v>
      </c>
      <c r="E38" s="102">
        <f>'2025年'!E38</f>
        <v>0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AF38" s="93" t="s">
        <v>66</v>
      </c>
      <c r="AG38" s="93" t="s">
        <v>108</v>
      </c>
    </row>
    <row r="39" spans="1:33">
      <c r="A39" s="93" t="s">
        <v>105</v>
      </c>
      <c r="B39" s="98" t="s">
        <v>110</v>
      </c>
      <c r="C39" s="104"/>
      <c r="D39" s="104"/>
      <c r="E39" s="104"/>
      <c r="F39" s="104"/>
      <c r="AF39" s="93" t="s">
        <v>109</v>
      </c>
      <c r="AG39" s="98" t="s">
        <v>110</v>
      </c>
    </row>
    <row r="40" spans="1:33">
      <c r="A40" s="90">
        <v>1</v>
      </c>
      <c r="B40" s="93" t="s">
        <v>111</v>
      </c>
      <c r="C40" s="104">
        <f>C34-C36-C37-C38</f>
        <v>154.25403221974443</v>
      </c>
      <c r="D40" s="104">
        <f t="shared" ref="D40:E40" si="23">D34-D36-D37-D38</f>
        <v>43.525476817999994</v>
      </c>
      <c r="E40" s="104" t="e">
        <f t="shared" si="23"/>
        <v>#DIV/0!</v>
      </c>
      <c r="F40" s="104"/>
      <c r="AF40" s="93" t="s">
        <v>55</v>
      </c>
      <c r="AG40" s="93" t="s">
        <v>111</v>
      </c>
    </row>
    <row r="41" spans="1:33">
      <c r="A41" s="90">
        <v>2</v>
      </c>
      <c r="B41" s="93" t="s">
        <v>112</v>
      </c>
      <c r="C41" s="104"/>
      <c r="D41" s="104"/>
      <c r="E41" s="104"/>
      <c r="F41" s="104"/>
      <c r="AF41" s="93" t="s">
        <v>57</v>
      </c>
      <c r="AG41" s="93" t="s">
        <v>112</v>
      </c>
    </row>
    <row r="42" spans="1:33">
      <c r="A42" s="93" t="s">
        <v>109</v>
      </c>
      <c r="B42" s="98" t="s">
        <v>114</v>
      </c>
      <c r="C42" s="104"/>
      <c r="D42" s="104"/>
      <c r="E42" s="104"/>
      <c r="F42" s="104"/>
      <c r="AF42" s="93" t="s">
        <v>113</v>
      </c>
      <c r="AG42" s="98" t="s">
        <v>114</v>
      </c>
    </row>
    <row r="43" spans="1:33">
      <c r="A43" s="90">
        <v>1</v>
      </c>
      <c r="B43" s="105" t="s">
        <v>115</v>
      </c>
      <c r="C43" s="102">
        <f>'2025年'!C43</f>
        <v>122.92999999999999</v>
      </c>
      <c r="D43" s="102">
        <f>'2025年'!D43</f>
        <v>27.820999999999998</v>
      </c>
      <c r="E43" s="102">
        <f>'2025年'!E43</f>
        <v>0</v>
      </c>
      <c r="F43" s="104"/>
      <c r="AF43" s="93" t="s">
        <v>55</v>
      </c>
      <c r="AG43" s="93" t="s">
        <v>115</v>
      </c>
    </row>
    <row r="44" spans="1:33">
      <c r="A44" s="90">
        <v>2</v>
      </c>
      <c r="B44" s="105" t="s">
        <v>116</v>
      </c>
      <c r="C44" s="102">
        <f>'2025年'!C44</f>
        <v>26.03</v>
      </c>
      <c r="D44" s="102">
        <f>'2025年'!D44</f>
        <v>5.891</v>
      </c>
      <c r="E44" s="102">
        <f>'2025年'!E44</f>
        <v>0</v>
      </c>
      <c r="F44" s="104"/>
      <c r="AF44" s="93" t="s">
        <v>57</v>
      </c>
      <c r="AG44" s="93" t="s">
        <v>116</v>
      </c>
    </row>
    <row r="45" spans="1:33">
      <c r="A45" s="90">
        <v>3</v>
      </c>
      <c r="B45" s="105" t="s">
        <v>117</v>
      </c>
      <c r="C45" s="102">
        <f>'2025年'!C45</f>
        <v>38.950000000000003</v>
      </c>
      <c r="D45" s="102">
        <f>'2025年'!D45</f>
        <v>8.8149999999999995</v>
      </c>
      <c r="E45" s="102">
        <f>'2025年'!E45</f>
        <v>0</v>
      </c>
      <c r="F45" s="104"/>
      <c r="AF45" s="93" t="s">
        <v>102</v>
      </c>
      <c r="AG45" s="93" t="s">
        <v>117</v>
      </c>
    </row>
    <row r="46" spans="1:33" s="88" customFormat="1">
      <c r="A46" s="90">
        <v>4</v>
      </c>
      <c r="B46" s="105" t="s">
        <v>118</v>
      </c>
      <c r="C46" s="110">
        <f>C21/C6</f>
        <v>0.26</v>
      </c>
      <c r="D46" s="110">
        <f t="shared" ref="D46:E46" si="24">D21/D6</f>
        <v>0.26</v>
      </c>
      <c r="E46" s="110" t="e">
        <f t="shared" si="24"/>
        <v>#DIV/0!</v>
      </c>
      <c r="F46" s="110"/>
      <c r="AF46" s="105" t="s">
        <v>62</v>
      </c>
      <c r="AG46" s="105" t="s">
        <v>120</v>
      </c>
    </row>
    <row r="47" spans="1:33" s="88" customFormat="1">
      <c r="A47" s="90">
        <v>5</v>
      </c>
      <c r="B47" s="105" t="s">
        <v>120</v>
      </c>
      <c r="C47" s="102">
        <f>'2025年'!$C$47</f>
        <v>82.84</v>
      </c>
      <c r="D47" s="102">
        <f>'2025年'!$C$47</f>
        <v>82.84</v>
      </c>
      <c r="E47" s="102">
        <f>'2025年'!$C$47</f>
        <v>82.84</v>
      </c>
      <c r="F47" s="110"/>
      <c r="AF47" s="105" t="s">
        <v>62</v>
      </c>
      <c r="AG47" s="105" t="s">
        <v>120</v>
      </c>
    </row>
    <row r="48" spans="1:33">
      <c r="A48" s="93" t="s">
        <v>113</v>
      </c>
      <c r="B48" s="98" t="s">
        <v>131</v>
      </c>
      <c r="C48" s="104">
        <f>C40-C43-C44-C45-C47-C46</f>
        <v>-116.75596778025557</v>
      </c>
      <c r="D48" s="104">
        <f t="shared" ref="D48:E48" si="25">D40-D43-D44-D45-D47-D46</f>
        <v>-82.101523182000008</v>
      </c>
      <c r="E48" s="104" t="e">
        <f t="shared" si="25"/>
        <v>#DIV/0!</v>
      </c>
      <c r="F48" s="104"/>
      <c r="AF48" s="93" t="s">
        <v>130</v>
      </c>
      <c r="AG48" s="98" t="s">
        <v>131</v>
      </c>
    </row>
    <row r="51" spans="2:11">
      <c r="C51" s="111"/>
      <c r="D51" s="111"/>
      <c r="E51" s="111"/>
    </row>
    <row r="54" spans="2:11">
      <c r="B54" s="2"/>
      <c r="C54" s="112"/>
      <c r="D54" s="112"/>
      <c r="E54" s="112"/>
      <c r="F54" s="112"/>
      <c r="G54" s="2"/>
      <c r="H54" s="2"/>
      <c r="I54" s="2"/>
      <c r="J54" s="2"/>
      <c r="K54" s="2"/>
    </row>
    <row r="55" spans="2:11">
      <c r="B55" s="2"/>
      <c r="C55" s="112"/>
      <c r="D55" s="112"/>
      <c r="E55" s="112"/>
      <c r="F55" s="112"/>
      <c r="G55" s="2"/>
      <c r="H55" s="2"/>
      <c r="I55" s="2"/>
      <c r="J55" s="2"/>
      <c r="K55" s="2"/>
    </row>
    <row r="56" spans="2:11">
      <c r="B56" s="2"/>
      <c r="C56" s="112"/>
      <c r="D56" s="112"/>
      <c r="E56" s="112"/>
      <c r="F56" s="112"/>
      <c r="G56" s="2"/>
      <c r="H56" s="2"/>
      <c r="I56" s="2"/>
      <c r="J56" s="2"/>
      <c r="K56" s="2"/>
    </row>
    <row r="57" spans="2:11">
      <c r="B57" s="2"/>
      <c r="C57" s="112"/>
      <c r="D57" s="112"/>
      <c r="E57" s="112"/>
      <c r="F57" s="112"/>
      <c r="G57" s="2"/>
      <c r="H57" s="2"/>
      <c r="I57" s="2"/>
      <c r="J57" s="2"/>
      <c r="K57" s="2"/>
    </row>
    <row r="58" spans="2:11">
      <c r="B58" s="2"/>
      <c r="C58" s="112"/>
      <c r="D58" s="112"/>
      <c r="E58" s="112"/>
      <c r="F58" s="112"/>
      <c r="G58" s="2"/>
      <c r="H58" s="2"/>
      <c r="I58" s="2"/>
      <c r="J58" s="2"/>
      <c r="K58" s="2"/>
    </row>
    <row r="59" spans="2:11">
      <c r="B59" s="2"/>
      <c r="C59" s="112"/>
      <c r="D59" s="112"/>
      <c r="E59" s="112"/>
      <c r="F59" s="112"/>
      <c r="G59" s="2"/>
      <c r="H59" s="2"/>
      <c r="I59" s="2"/>
      <c r="J59" s="2"/>
      <c r="K59" s="2"/>
    </row>
    <row r="60" spans="2:11">
      <c r="B60" s="2"/>
      <c r="C60" s="112"/>
      <c r="D60" s="112"/>
      <c r="E60" s="112"/>
      <c r="F60" s="112"/>
      <c r="G60" s="2"/>
      <c r="H60" s="2"/>
      <c r="I60" s="2"/>
      <c r="J60" s="2"/>
      <c r="K60" s="2"/>
    </row>
    <row r="61" spans="2:11">
      <c r="B61" s="2"/>
      <c r="C61" s="112"/>
      <c r="D61" s="112"/>
      <c r="E61" s="112"/>
      <c r="F61" s="112"/>
      <c r="G61" s="2"/>
      <c r="H61" s="2"/>
      <c r="I61" s="2"/>
      <c r="J61" s="2"/>
      <c r="K61" s="2"/>
    </row>
    <row r="62" spans="2:11">
      <c r="B62" s="2"/>
      <c r="C62" s="112"/>
      <c r="D62" s="112"/>
      <c r="E62" s="112"/>
      <c r="F62" s="112"/>
      <c r="G62" s="2"/>
      <c r="H62" s="2"/>
      <c r="I62" s="2"/>
      <c r="J62" s="2"/>
      <c r="K62" s="2"/>
    </row>
    <row r="63" spans="2:11">
      <c r="B63" s="2"/>
      <c r="C63" s="112"/>
      <c r="D63" s="112"/>
      <c r="E63" s="112"/>
      <c r="F63" s="112"/>
      <c r="G63" s="2"/>
      <c r="H63" s="2"/>
      <c r="I63" s="2"/>
      <c r="J63" s="2"/>
      <c r="K63" s="2"/>
    </row>
    <row r="64" spans="2:11">
      <c r="B64" s="2"/>
      <c r="C64" s="112"/>
      <c r="D64" s="112"/>
      <c r="E64" s="112"/>
      <c r="F64" s="112"/>
      <c r="G64" s="2"/>
      <c r="H64" s="2"/>
      <c r="I64" s="2"/>
      <c r="J64" s="2"/>
      <c r="K64" s="2"/>
    </row>
    <row r="65" spans="2:11">
      <c r="B65" s="2"/>
      <c r="C65" s="112"/>
      <c r="D65" s="112"/>
      <c r="E65" s="112"/>
      <c r="F65" s="112"/>
      <c r="G65" s="2"/>
      <c r="H65" s="2"/>
      <c r="I65" s="2"/>
      <c r="J65" s="2"/>
      <c r="K65" s="2"/>
    </row>
    <row r="66" spans="2:11">
      <c r="B66" s="2"/>
      <c r="C66" s="112"/>
      <c r="D66" s="112"/>
      <c r="E66" s="112"/>
      <c r="F66" s="112"/>
      <c r="G66" s="2"/>
      <c r="H66" s="2"/>
      <c r="I66" s="2"/>
      <c r="J66" s="2"/>
      <c r="K66" s="2"/>
    </row>
    <row r="67" spans="2:11">
      <c r="B67" s="2"/>
      <c r="C67" s="112"/>
      <c r="D67" s="112"/>
      <c r="E67" s="112"/>
      <c r="F67" s="112"/>
      <c r="G67" s="2"/>
    </row>
    <row r="68" spans="2:11">
      <c r="B68" s="2"/>
      <c r="C68" s="112"/>
      <c r="D68" s="112"/>
      <c r="E68" s="112"/>
      <c r="F68" s="112"/>
      <c r="G68" s="2"/>
    </row>
    <row r="69" spans="2:11">
      <c r="B69" s="2"/>
      <c r="C69" s="112"/>
      <c r="D69" s="112"/>
      <c r="E69" s="112"/>
      <c r="F69" s="112"/>
      <c r="G69" s="2"/>
    </row>
    <row r="70" spans="2:11">
      <c r="B70" s="2"/>
      <c r="C70" s="112"/>
      <c r="D70" s="112"/>
      <c r="E70" s="112"/>
      <c r="F70" s="112"/>
      <c r="G70" s="2"/>
    </row>
    <row r="71" spans="2:11">
      <c r="B71" s="2"/>
      <c r="C71" s="112"/>
      <c r="D71" s="112"/>
      <c r="E71" s="112"/>
      <c r="F71" s="112"/>
      <c r="G71" s="2"/>
    </row>
    <row r="72" spans="2:11">
      <c r="B72" s="2"/>
      <c r="C72" s="112"/>
      <c r="D72" s="112"/>
      <c r="E72" s="112"/>
      <c r="F72" s="112"/>
      <c r="G72" s="2"/>
    </row>
    <row r="73" spans="2:11">
      <c r="B73" s="2"/>
      <c r="C73" s="112"/>
      <c r="D73" s="112"/>
      <c r="E73" s="112"/>
      <c r="F73" s="112"/>
      <c r="G73" s="2"/>
    </row>
    <row r="74" spans="2:11">
      <c r="B74" s="2"/>
      <c r="C74" s="112"/>
      <c r="D74" s="112"/>
      <c r="E74" s="112"/>
      <c r="F74" s="112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selection activeCell="E37" sqref="E37"/>
    </sheetView>
  </sheetViews>
  <sheetFormatPr defaultColWidth="9" defaultRowHeight="16.5"/>
  <cols>
    <col min="1" max="1" width="5.125" style="86" customWidth="1"/>
    <col min="2" max="2" width="17.5" style="86" customWidth="1"/>
    <col min="3" max="5" width="14.375" style="89" customWidth="1"/>
    <col min="6" max="6" width="18.75" style="89" customWidth="1"/>
    <col min="7" max="7" width="12.375" style="86" customWidth="1"/>
    <col min="8" max="8" width="10.125" style="86" customWidth="1"/>
    <col min="9" max="15" width="9" style="86" customWidth="1"/>
    <col min="16" max="31" width="9" style="86"/>
    <col min="32" max="32" width="4.375" style="86" customWidth="1"/>
    <col min="33" max="33" width="13.875" style="86" customWidth="1"/>
    <col min="34" max="16384" width="9" style="86"/>
  </cols>
  <sheetData>
    <row r="1" spans="1:34">
      <c r="A1" s="212" t="s">
        <v>141</v>
      </c>
      <c r="B1" s="212"/>
      <c r="C1" s="216" t="s">
        <v>265</v>
      </c>
      <c r="D1" s="217"/>
      <c r="E1" s="217"/>
      <c r="F1" s="218"/>
    </row>
    <row r="2" spans="1:34">
      <c r="A2" s="212" t="s">
        <v>142</v>
      </c>
      <c r="B2" s="212"/>
      <c r="C2" s="219" t="str">
        <f>'2025年'!$C$2</f>
        <v>陕汽重型汽车有限公司</v>
      </c>
      <c r="D2" s="219"/>
      <c r="E2" s="219"/>
      <c r="F2" s="219"/>
    </row>
    <row r="3" spans="1:34">
      <c r="A3" s="212" t="s">
        <v>143</v>
      </c>
      <c r="B3" s="212"/>
      <c r="C3" s="91" t="str">
        <f>'2025年'!C3</f>
        <v>司机座椅</v>
      </c>
      <c r="D3" s="91" t="str">
        <f>'2025年'!D3</f>
        <v>副司机座椅</v>
      </c>
      <c r="E3" s="91">
        <f>'2025年'!E3</f>
        <v>0</v>
      </c>
      <c r="F3" s="213" t="s">
        <v>51</v>
      </c>
    </row>
    <row r="4" spans="1:34">
      <c r="A4" s="212" t="s">
        <v>144</v>
      </c>
      <c r="B4" s="212"/>
      <c r="C4" s="91" t="str">
        <f>'2025年'!C4</f>
        <v>DZ14251510148</v>
      </c>
      <c r="D4" s="91" t="str">
        <f>'2025年'!D4</f>
        <v>DZ15221512009</v>
      </c>
      <c r="E4" s="91">
        <f>'2025年'!E4</f>
        <v>0</v>
      </c>
      <c r="F4" s="214"/>
    </row>
    <row r="5" spans="1:34" ht="42.75">
      <c r="A5" s="212" t="s">
        <v>145</v>
      </c>
      <c r="B5" s="212"/>
      <c r="C5" s="92" t="str">
        <f>'2025年'!C5</f>
        <v>X5000座椅增加通风、更换面料、扶手改为长扶手</v>
      </c>
      <c r="D5" s="92" t="str">
        <f>'2025年'!D5</f>
        <v>报警锁扣、增加SBR</v>
      </c>
      <c r="E5" s="92">
        <f>'2025年'!E5</f>
        <v>0</v>
      </c>
      <c r="F5" s="215"/>
      <c r="AH5" s="86" t="s">
        <v>52</v>
      </c>
    </row>
    <row r="6" spans="1:34">
      <c r="A6" s="93" t="s">
        <v>18</v>
      </c>
      <c r="B6" s="94" t="s">
        <v>146</v>
      </c>
      <c r="C6" s="95">
        <f>销量!C13</f>
        <v>1000</v>
      </c>
      <c r="D6" s="95">
        <f>销量!D13</f>
        <v>1000</v>
      </c>
      <c r="E6" s="95">
        <f>销量!E13</f>
        <v>0</v>
      </c>
      <c r="F6" s="96">
        <f>+SUM(C6:E6)</f>
        <v>2000</v>
      </c>
      <c r="AF6" s="93" t="s">
        <v>18</v>
      </c>
      <c r="AG6" s="94" t="s">
        <v>3</v>
      </c>
      <c r="AH6" s="86" t="s">
        <v>53</v>
      </c>
    </row>
    <row r="7" spans="1:34">
      <c r="A7" s="90">
        <v>1</v>
      </c>
      <c r="B7" s="94" t="s">
        <v>54</v>
      </c>
      <c r="C7" s="96">
        <f>C6*销量!C8</f>
        <v>1900000</v>
      </c>
      <c r="D7" s="96">
        <f>D6*销量!D8</f>
        <v>430000</v>
      </c>
      <c r="E7" s="96">
        <f>E6*销量!E8</f>
        <v>0</v>
      </c>
      <c r="F7" s="96">
        <f t="shared" ref="F7:F15" si="0">+SUM(C7:E7)</f>
        <v>2330000</v>
      </c>
      <c r="G7" s="89"/>
      <c r="AF7" s="93" t="s">
        <v>55</v>
      </c>
      <c r="AG7" s="94" t="s">
        <v>54</v>
      </c>
      <c r="AH7" s="86" t="s">
        <v>53</v>
      </c>
    </row>
    <row r="8" spans="1:34">
      <c r="A8" s="90">
        <v>2</v>
      </c>
      <c r="B8" s="90" t="s">
        <v>56</v>
      </c>
      <c r="C8" s="96">
        <f>C7*(1-销量!$K$10)</f>
        <v>352438.125</v>
      </c>
      <c r="D8" s="96">
        <f>D7*(1-销量!$K$10)</f>
        <v>79762.3125</v>
      </c>
      <c r="E8" s="96">
        <f>E7*(1-销量!$K$10)</f>
        <v>0</v>
      </c>
      <c r="F8" s="96">
        <f t="shared" si="0"/>
        <v>432200.4375</v>
      </c>
      <c r="G8" s="97"/>
      <c r="AF8" s="93" t="s">
        <v>57</v>
      </c>
      <c r="AG8" s="90" t="s">
        <v>58</v>
      </c>
      <c r="AH8" s="86" t="s">
        <v>53</v>
      </c>
    </row>
    <row r="9" spans="1:34">
      <c r="A9" s="90">
        <v>3</v>
      </c>
      <c r="B9" s="94" t="s">
        <v>59</v>
      </c>
      <c r="C9" s="96">
        <f>+C7-C8</f>
        <v>1547561.875</v>
      </c>
      <c r="D9" s="96">
        <f t="shared" ref="D9:E9" si="1">+D7-D8</f>
        <v>350237.6875</v>
      </c>
      <c r="E9" s="96">
        <f t="shared" si="1"/>
        <v>0</v>
      </c>
      <c r="F9" s="96">
        <f t="shared" si="0"/>
        <v>1897799.5625</v>
      </c>
      <c r="AF9" s="93" t="s">
        <v>60</v>
      </c>
      <c r="AG9" s="94" t="s">
        <v>59</v>
      </c>
      <c r="AH9" s="86" t="s">
        <v>61</v>
      </c>
    </row>
    <row r="10" spans="1:34">
      <c r="A10" s="90">
        <v>4</v>
      </c>
      <c r="B10" s="93" t="s">
        <v>63</v>
      </c>
      <c r="C10" s="96">
        <f>C6*C33</f>
        <v>1258064.5443912428</v>
      </c>
      <c r="D10" s="96">
        <f t="shared" ref="D10:E10" si="2">D6*D33</f>
        <v>276535.28452290001</v>
      </c>
      <c r="E10" s="96">
        <f t="shared" si="2"/>
        <v>0</v>
      </c>
      <c r="F10" s="96">
        <f t="shared" si="0"/>
        <v>1534599.8289141427</v>
      </c>
      <c r="AF10" s="93" t="s">
        <v>62</v>
      </c>
      <c r="AG10" s="93" t="s">
        <v>63</v>
      </c>
      <c r="AH10" s="86" t="s">
        <v>64</v>
      </c>
    </row>
    <row r="11" spans="1:34">
      <c r="A11" s="90">
        <v>5</v>
      </c>
      <c r="B11" s="93" t="s">
        <v>65</v>
      </c>
      <c r="C11" s="96">
        <f>+C6*C36</f>
        <v>55670</v>
      </c>
      <c r="D11" s="96">
        <f t="shared" ref="D11:E11" si="3">+D6*D36</f>
        <v>12599</v>
      </c>
      <c r="E11" s="96">
        <f t="shared" si="3"/>
        <v>0</v>
      </c>
      <c r="F11" s="96">
        <f t="shared" si="0"/>
        <v>68269</v>
      </c>
      <c r="AF11" s="93" t="s">
        <v>66</v>
      </c>
      <c r="AG11" s="93" t="s">
        <v>65</v>
      </c>
    </row>
    <row r="12" spans="1:34">
      <c r="A12" s="90">
        <v>6</v>
      </c>
      <c r="B12" s="93" t="s">
        <v>67</v>
      </c>
      <c r="C12" s="96">
        <f>+C6*C37</f>
        <v>16529.999999999996</v>
      </c>
      <c r="D12" s="96">
        <f t="shared" ref="D12:E12" si="4">+D6*D37</f>
        <v>3740.9999999999995</v>
      </c>
      <c r="E12" s="96">
        <f t="shared" si="4"/>
        <v>0</v>
      </c>
      <c r="F12" s="96">
        <f t="shared" si="0"/>
        <v>20270.999999999996</v>
      </c>
      <c r="AF12" s="93" t="s">
        <v>68</v>
      </c>
      <c r="AG12" s="93" t="s">
        <v>67</v>
      </c>
    </row>
    <row r="13" spans="1:34">
      <c r="A13" s="90">
        <v>7</v>
      </c>
      <c r="B13" s="93" t="s">
        <v>69</v>
      </c>
      <c r="C13" s="96">
        <f>+C6*C38</f>
        <v>78280</v>
      </c>
      <c r="D13" s="96">
        <f t="shared" ref="D13:E13" si="5">+D6*D38</f>
        <v>17716</v>
      </c>
      <c r="E13" s="96">
        <f t="shared" si="5"/>
        <v>0</v>
      </c>
      <c r="F13" s="96">
        <f t="shared" si="0"/>
        <v>95996</v>
      </c>
      <c r="AF13" s="93" t="s">
        <v>70</v>
      </c>
      <c r="AG13" s="93" t="s">
        <v>69</v>
      </c>
      <c r="AH13" s="86" t="s">
        <v>53</v>
      </c>
    </row>
    <row r="14" spans="1:34">
      <c r="A14" s="90">
        <v>8</v>
      </c>
      <c r="B14" s="98" t="s">
        <v>71</v>
      </c>
      <c r="C14" s="96">
        <f>SUM(C11:C13)</f>
        <v>150480</v>
      </c>
      <c r="D14" s="96">
        <f t="shared" ref="D14:E14" si="6">SUM(D11:D13)</f>
        <v>34056</v>
      </c>
      <c r="E14" s="96">
        <f t="shared" si="6"/>
        <v>0</v>
      </c>
      <c r="F14" s="96">
        <f t="shared" si="0"/>
        <v>184536</v>
      </c>
      <c r="AF14" s="93" t="s">
        <v>72</v>
      </c>
      <c r="AG14" s="98" t="s">
        <v>71</v>
      </c>
    </row>
    <row r="15" spans="1:34">
      <c r="A15" s="90">
        <v>9</v>
      </c>
      <c r="B15" s="98" t="s">
        <v>73</v>
      </c>
      <c r="C15" s="96">
        <f>+C9-C10-C14</f>
        <v>139017.33060875721</v>
      </c>
      <c r="D15" s="96">
        <f t="shared" ref="D15:E15" si="7">+D9-D10-D14</f>
        <v>39646.402977099991</v>
      </c>
      <c r="E15" s="96">
        <f t="shared" si="7"/>
        <v>0</v>
      </c>
      <c r="F15" s="96">
        <f t="shared" si="0"/>
        <v>178663.7335858572</v>
      </c>
      <c r="AF15" s="93" t="s">
        <v>74</v>
      </c>
      <c r="AG15" s="98" t="s">
        <v>73</v>
      </c>
    </row>
    <row r="16" spans="1:34">
      <c r="A16" s="90">
        <v>10</v>
      </c>
      <c r="B16" s="93" t="s">
        <v>75</v>
      </c>
      <c r="C16" s="99">
        <f>+C15/C9</f>
        <v>8.9829901378745983E-2</v>
      </c>
      <c r="D16" s="99">
        <f t="shared" ref="D16:E16" si="8">+D15/D9</f>
        <v>0.11319856312464943</v>
      </c>
      <c r="E16" s="99" t="e">
        <f t="shared" si="8"/>
        <v>#DIV/0!</v>
      </c>
      <c r="F16" s="99">
        <f>+F15/F9</f>
        <v>9.4142572859749626E-2</v>
      </c>
      <c r="G16" s="100"/>
      <c r="H16" s="100"/>
      <c r="I16" s="100"/>
      <c r="AF16" s="93" t="s">
        <v>76</v>
      </c>
      <c r="AG16" s="93" t="s">
        <v>75</v>
      </c>
    </row>
    <row r="17" spans="1:34">
      <c r="A17" s="90">
        <v>11</v>
      </c>
      <c r="B17" s="93" t="s">
        <v>77</v>
      </c>
      <c r="C17" s="96">
        <f>C6*C43+C18</f>
        <v>122929.99999999999</v>
      </c>
      <c r="D17" s="96">
        <f t="shared" ref="D17:E17" si="9">D6*D43+D18</f>
        <v>27820.999999999996</v>
      </c>
      <c r="E17" s="96">
        <f t="shared" si="9"/>
        <v>0</v>
      </c>
      <c r="F17" s="96">
        <f>+SUM(C17:E17)</f>
        <v>150750.99999999997</v>
      </c>
      <c r="G17" s="97"/>
      <c r="AF17" s="93" t="s">
        <v>78</v>
      </c>
      <c r="AG17" s="93" t="s">
        <v>77</v>
      </c>
    </row>
    <row r="18" spans="1:34" s="87" customFormat="1">
      <c r="A18" s="90">
        <v>12</v>
      </c>
      <c r="B18" s="101" t="s">
        <v>147</v>
      </c>
      <c r="C18" s="102">
        <f>$F$18/$F$6*C6</f>
        <v>0</v>
      </c>
      <c r="D18" s="102">
        <f t="shared" ref="D18:E18" si="10">$F$18/$F$6*D6</f>
        <v>0</v>
      </c>
      <c r="E18" s="102">
        <f t="shared" si="10"/>
        <v>0</v>
      </c>
      <c r="F18" s="96">
        <f>项目投资!H26</f>
        <v>0</v>
      </c>
      <c r="G18" s="103" t="s">
        <v>148</v>
      </c>
      <c r="H18" s="103"/>
      <c r="I18" s="103"/>
    </row>
    <row r="19" spans="1:34">
      <c r="A19" s="90">
        <v>13</v>
      </c>
      <c r="B19" s="93" t="s">
        <v>79</v>
      </c>
      <c r="C19" s="96">
        <f>C6*C44</f>
        <v>26030</v>
      </c>
      <c r="D19" s="96">
        <f t="shared" ref="D19:E19" si="11">D6*D44</f>
        <v>5891</v>
      </c>
      <c r="E19" s="96">
        <f t="shared" si="11"/>
        <v>0</v>
      </c>
      <c r="F19" s="96">
        <f>+SUM(C19:E19)</f>
        <v>31921</v>
      </c>
      <c r="G19" s="87"/>
      <c r="AF19" s="93" t="s">
        <v>80</v>
      </c>
      <c r="AG19" s="93" t="s">
        <v>79</v>
      </c>
      <c r="AH19" s="86" t="s">
        <v>53</v>
      </c>
    </row>
    <row r="20" spans="1:34">
      <c r="A20" s="90">
        <v>14</v>
      </c>
      <c r="B20" s="93" t="s">
        <v>81</v>
      </c>
      <c r="C20" s="96">
        <f>C6*C45</f>
        <v>38950</v>
      </c>
      <c r="D20" s="96">
        <f t="shared" ref="D20:E20" si="12">D6*D45</f>
        <v>8815</v>
      </c>
      <c r="E20" s="96">
        <f t="shared" si="12"/>
        <v>0</v>
      </c>
      <c r="F20" s="96">
        <f>+SUM(C20:E20)</f>
        <v>47765</v>
      </c>
      <c r="AF20" s="93" t="s">
        <v>82</v>
      </c>
      <c r="AG20" s="93" t="s">
        <v>81</v>
      </c>
    </row>
    <row r="21" spans="1:34">
      <c r="A21" s="90">
        <v>15</v>
      </c>
      <c r="B21" s="93" t="s">
        <v>83</v>
      </c>
      <c r="C21" s="104">
        <f>$F$21/$F$6*C6</f>
        <v>260</v>
      </c>
      <c r="D21" s="104">
        <f t="shared" ref="D21:E21" si="13">$F$21/$F$6*D6</f>
        <v>260</v>
      </c>
      <c r="E21" s="104">
        <f t="shared" si="13"/>
        <v>0</v>
      </c>
      <c r="F21" s="96">
        <f>项目投资!H27</f>
        <v>520</v>
      </c>
      <c r="AF21" s="93"/>
      <c r="AG21" s="93"/>
    </row>
    <row r="22" spans="1:34">
      <c r="A22" s="90">
        <v>16</v>
      </c>
      <c r="B22" s="93" t="s">
        <v>84</v>
      </c>
      <c r="C22" s="96">
        <f>C6*C47</f>
        <v>82840</v>
      </c>
      <c r="D22" s="96">
        <f t="shared" ref="D22:E22" si="14">D6*D47</f>
        <v>82840</v>
      </c>
      <c r="E22" s="96">
        <f t="shared" si="14"/>
        <v>0</v>
      </c>
      <c r="F22" s="96">
        <f>+SUM(C22:E22)</f>
        <v>165680</v>
      </c>
      <c r="AF22" s="93" t="s">
        <v>85</v>
      </c>
      <c r="AG22" s="93" t="s">
        <v>84</v>
      </c>
    </row>
    <row r="23" spans="1:34">
      <c r="A23" s="90">
        <v>17</v>
      </c>
      <c r="B23" s="98" t="s">
        <v>86</v>
      </c>
      <c r="C23" s="104">
        <f>+C22+C21+C20+C19+C17</f>
        <v>271010</v>
      </c>
      <c r="D23" s="104">
        <f t="shared" ref="D23:E23" si="15">+D22+D21+D20+D19+D17</f>
        <v>125627</v>
      </c>
      <c r="E23" s="104">
        <f t="shared" si="15"/>
        <v>0</v>
      </c>
      <c r="F23" s="104">
        <f>+F22+F21+F20+F19+F17</f>
        <v>396637</v>
      </c>
      <c r="AF23" s="93" t="s">
        <v>87</v>
      </c>
      <c r="AG23" s="98" t="s">
        <v>86</v>
      </c>
    </row>
    <row r="24" spans="1:34">
      <c r="A24" s="90">
        <v>18</v>
      </c>
      <c r="B24" s="105" t="s">
        <v>88</v>
      </c>
      <c r="C24" s="104">
        <f>+C15-C23</f>
        <v>-131992.66939124279</v>
      </c>
      <c r="D24" s="104">
        <f t="shared" ref="D24:E24" si="16">+D15-D23</f>
        <v>-85980.597022900009</v>
      </c>
      <c r="E24" s="104">
        <f t="shared" si="16"/>
        <v>0</v>
      </c>
      <c r="F24" s="104">
        <f>+F15-F23</f>
        <v>-217973.2664141428</v>
      </c>
      <c r="H24" s="106"/>
      <c r="AF24" s="93" t="s">
        <v>89</v>
      </c>
      <c r="AG24" s="93" t="s">
        <v>88</v>
      </c>
    </row>
    <row r="25" spans="1:34">
      <c r="A25" s="90">
        <v>19</v>
      </c>
      <c r="B25" s="93" t="s">
        <v>281</v>
      </c>
      <c r="C25" s="104">
        <f>IF(C24&lt;0,0,C24*0.15)</f>
        <v>0</v>
      </c>
      <c r="D25" s="104">
        <f t="shared" ref="D25:E25" si="17">IF(D24&lt;0,0,D24*0.15)</f>
        <v>0</v>
      </c>
      <c r="E25" s="104">
        <f t="shared" si="17"/>
        <v>0</v>
      </c>
      <c r="F25" s="104">
        <f t="shared" ref="F25" si="18">IF(F24&lt;0,0,F24*0.15)</f>
        <v>0</v>
      </c>
      <c r="G25" s="2"/>
      <c r="H25" s="2"/>
      <c r="I25" s="2"/>
      <c r="AF25" s="93" t="s">
        <v>90</v>
      </c>
      <c r="AG25" s="93" t="s">
        <v>35</v>
      </c>
    </row>
    <row r="26" spans="1:34">
      <c r="A26" s="90">
        <v>20</v>
      </c>
      <c r="B26" s="93" t="s">
        <v>91</v>
      </c>
      <c r="C26" s="104">
        <f>C24-C25</f>
        <v>-131992.66939124279</v>
      </c>
      <c r="D26" s="104">
        <f t="shared" ref="D26:E26" si="19">D24-D25</f>
        <v>-85980.597022900009</v>
      </c>
      <c r="E26" s="104">
        <f t="shared" si="19"/>
        <v>0</v>
      </c>
      <c r="F26" s="96">
        <f>+SUM(C26:E26)</f>
        <v>-217973.2664141428</v>
      </c>
      <c r="G26" s="2"/>
      <c r="H26" s="2"/>
      <c r="I26" s="2"/>
      <c r="AF26" s="93" t="s">
        <v>92</v>
      </c>
      <c r="AG26" s="93" t="s">
        <v>91</v>
      </c>
    </row>
    <row r="27" spans="1:34">
      <c r="A27" s="90">
        <v>21</v>
      </c>
      <c r="B27" s="93" t="s">
        <v>95</v>
      </c>
      <c r="C27" s="107">
        <f>C26/C7</f>
        <v>-6.9469825995390935E-2</v>
      </c>
      <c r="D27" s="107">
        <f t="shared" ref="D27:E27" si="20">D26/D7</f>
        <v>-0.19995487679744189</v>
      </c>
      <c r="E27" s="107" t="e">
        <f t="shared" si="20"/>
        <v>#DIV/0!</v>
      </c>
      <c r="F27" s="107">
        <f>F26/F7</f>
        <v>-9.3550758117657853E-2</v>
      </c>
      <c r="G27" s="2"/>
      <c r="H27" s="2"/>
      <c r="I27" s="2"/>
      <c r="AF27" s="93" t="s">
        <v>94</v>
      </c>
      <c r="AG27" s="93" t="s">
        <v>95</v>
      </c>
    </row>
    <row r="28" spans="1:34">
      <c r="G28" s="2"/>
      <c r="H28" s="2"/>
      <c r="I28" s="2"/>
    </row>
    <row r="29" spans="1:34">
      <c r="A29" s="86" t="s">
        <v>96</v>
      </c>
      <c r="F29" s="89" t="s">
        <v>149</v>
      </c>
      <c r="G29" s="2"/>
      <c r="H29" s="2"/>
      <c r="I29" s="2"/>
      <c r="AF29" s="86" t="s">
        <v>96</v>
      </c>
    </row>
    <row r="30" spans="1:34">
      <c r="A30" s="93" t="s">
        <v>97</v>
      </c>
      <c r="B30" s="98" t="s">
        <v>98</v>
      </c>
      <c r="C30" s="104"/>
      <c r="D30" s="104"/>
      <c r="E30" s="104"/>
      <c r="F30" s="104"/>
      <c r="G30" s="2"/>
      <c r="H30" s="2"/>
      <c r="I30" s="2"/>
      <c r="K30" s="2"/>
      <c r="AF30" s="93" t="s">
        <v>99</v>
      </c>
      <c r="AG30" s="98" t="s">
        <v>98</v>
      </c>
    </row>
    <row r="31" spans="1:34">
      <c r="A31" s="90">
        <v>1</v>
      </c>
      <c r="B31" s="101" t="s">
        <v>100</v>
      </c>
      <c r="C31" s="108">
        <f>销量!C8</f>
        <v>1900</v>
      </c>
      <c r="D31" s="108">
        <f>销量!D8</f>
        <v>430</v>
      </c>
      <c r="E31" s="108">
        <f>销量!E8</f>
        <v>0</v>
      </c>
      <c r="F31" s="104"/>
      <c r="G31" s="2"/>
      <c r="H31" s="2"/>
      <c r="I31" s="2"/>
      <c r="K31" s="2"/>
      <c r="AF31" s="93" t="s">
        <v>55</v>
      </c>
      <c r="AG31" s="93" t="s">
        <v>100</v>
      </c>
    </row>
    <row r="32" spans="1:34">
      <c r="A32" s="90">
        <v>2</v>
      </c>
      <c r="B32" s="93" t="s">
        <v>150</v>
      </c>
      <c r="C32" s="96">
        <f>C9/C6</f>
        <v>1547.5618750000001</v>
      </c>
      <c r="D32" s="96">
        <f t="shared" ref="D32:E32" si="21">D9/D6</f>
        <v>350.23768749999999</v>
      </c>
      <c r="E32" s="96" t="e">
        <f t="shared" si="21"/>
        <v>#DIV/0!</v>
      </c>
      <c r="F32" s="104"/>
      <c r="G32" s="2"/>
      <c r="H32" s="2"/>
      <c r="I32" s="2"/>
      <c r="J32" s="2"/>
      <c r="K32" s="2"/>
      <c r="L32" s="2"/>
      <c r="M32" s="2"/>
      <c r="AF32" s="93"/>
      <c r="AG32" s="93"/>
    </row>
    <row r="33" spans="1:33">
      <c r="A33" s="90">
        <v>3</v>
      </c>
      <c r="B33" s="101" t="s">
        <v>101</v>
      </c>
      <c r="C33" s="96">
        <f>材料成本!D28</f>
        <v>1258.0645443912429</v>
      </c>
      <c r="D33" s="96">
        <f>材料成本!E28</f>
        <v>276.53528452289999</v>
      </c>
      <c r="E33" s="96">
        <f>材料成本!F28</f>
        <v>0</v>
      </c>
      <c r="F33" s="104"/>
      <c r="H33" s="2"/>
      <c r="I33" s="2"/>
      <c r="J33" s="2"/>
      <c r="K33" s="2"/>
      <c r="L33" s="2"/>
      <c r="M33" s="2"/>
      <c r="AF33" s="93" t="s">
        <v>57</v>
      </c>
      <c r="AG33" s="93" t="s">
        <v>101</v>
      </c>
    </row>
    <row r="34" spans="1:33" ht="17.25" customHeight="1">
      <c r="A34" s="90">
        <v>4</v>
      </c>
      <c r="B34" s="93" t="s">
        <v>103</v>
      </c>
      <c r="C34" s="109">
        <f>C32-C33</f>
        <v>289.49733060875724</v>
      </c>
      <c r="D34" s="109">
        <f t="shared" ref="D34:E34" si="22">D32-D33</f>
        <v>73.702402977100007</v>
      </c>
      <c r="E34" s="109" t="e">
        <f t="shared" si="22"/>
        <v>#DIV/0!</v>
      </c>
      <c r="F34" s="104"/>
      <c r="H34" s="2"/>
      <c r="I34" s="2"/>
      <c r="J34" s="2"/>
      <c r="K34" s="2"/>
      <c r="L34" s="2"/>
      <c r="M34" s="2"/>
      <c r="AF34" s="93" t="s">
        <v>102</v>
      </c>
      <c r="AG34" s="93" t="s">
        <v>103</v>
      </c>
    </row>
    <row r="35" spans="1:33">
      <c r="A35" s="93" t="s">
        <v>99</v>
      </c>
      <c r="B35" s="98" t="s">
        <v>9</v>
      </c>
      <c r="C35" s="104"/>
      <c r="D35" s="104"/>
      <c r="E35" s="104"/>
      <c r="F35" s="104"/>
      <c r="G35" s="2"/>
      <c r="H35" s="2"/>
      <c r="I35" s="2"/>
      <c r="J35" s="2"/>
      <c r="K35" s="2"/>
      <c r="L35" s="2"/>
      <c r="M35" s="2"/>
      <c r="N35" s="2"/>
      <c r="O35" s="2"/>
      <c r="P35" s="2"/>
      <c r="AF35" s="93" t="s">
        <v>105</v>
      </c>
      <c r="AG35" s="98" t="s">
        <v>9</v>
      </c>
    </row>
    <row r="36" spans="1:33">
      <c r="A36" s="90">
        <v>1</v>
      </c>
      <c r="B36" s="93" t="s">
        <v>106</v>
      </c>
      <c r="C36" s="102">
        <f>'2025年'!C36</f>
        <v>55.67</v>
      </c>
      <c r="D36" s="102">
        <f>'2025年'!D36</f>
        <v>12.599</v>
      </c>
      <c r="E36" s="102">
        <f>'2025年'!E36</f>
        <v>0</v>
      </c>
      <c r="F36" s="108"/>
      <c r="G36" s="2"/>
      <c r="H36" s="2"/>
      <c r="I36" s="2"/>
      <c r="J36" s="2"/>
      <c r="K36" s="2"/>
      <c r="L36" s="2"/>
      <c r="M36" s="2"/>
      <c r="N36" s="2"/>
      <c r="O36" s="2"/>
      <c r="P36" s="2"/>
      <c r="AF36" s="93" t="s">
        <v>102</v>
      </c>
      <c r="AG36" s="93" t="s">
        <v>106</v>
      </c>
    </row>
    <row r="37" spans="1:33">
      <c r="A37" s="90">
        <v>2</v>
      </c>
      <c r="B37" s="93" t="s">
        <v>107</v>
      </c>
      <c r="C37" s="102">
        <f>'2025年'!C37</f>
        <v>16.529999999999998</v>
      </c>
      <c r="D37" s="102">
        <f>'2025年'!D37</f>
        <v>3.7409999999999997</v>
      </c>
      <c r="E37" s="102">
        <f>'2025年'!E37</f>
        <v>0</v>
      </c>
      <c r="F37" s="108"/>
      <c r="G37" s="2"/>
      <c r="H37" s="2"/>
      <c r="I37" s="2"/>
      <c r="J37" s="2"/>
      <c r="K37" s="2"/>
      <c r="L37" s="2"/>
      <c r="M37" s="2"/>
      <c r="N37" s="2"/>
      <c r="O37" s="2"/>
      <c r="P37" s="2"/>
      <c r="AF37" s="93" t="s">
        <v>60</v>
      </c>
      <c r="AG37" s="93" t="s">
        <v>107</v>
      </c>
    </row>
    <row r="38" spans="1:33">
      <c r="A38" s="90">
        <v>3</v>
      </c>
      <c r="B38" s="93" t="s">
        <v>108</v>
      </c>
      <c r="C38" s="102">
        <f>'2025年'!C38</f>
        <v>78.28</v>
      </c>
      <c r="D38" s="102">
        <f>'2025年'!D38</f>
        <v>17.716000000000001</v>
      </c>
      <c r="E38" s="102">
        <f>'2025年'!E38</f>
        <v>0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AF38" s="93" t="s">
        <v>66</v>
      </c>
      <c r="AG38" s="93" t="s">
        <v>108</v>
      </c>
    </row>
    <row r="39" spans="1:33">
      <c r="A39" s="93" t="s">
        <v>105</v>
      </c>
      <c r="B39" s="98" t="s">
        <v>110</v>
      </c>
      <c r="C39" s="104"/>
      <c r="D39" s="104"/>
      <c r="E39" s="104"/>
      <c r="F39" s="104"/>
      <c r="AF39" s="93" t="s">
        <v>109</v>
      </c>
      <c r="AG39" s="98" t="s">
        <v>110</v>
      </c>
    </row>
    <row r="40" spans="1:33">
      <c r="A40" s="90">
        <v>1</v>
      </c>
      <c r="B40" s="93" t="s">
        <v>111</v>
      </c>
      <c r="C40" s="104">
        <f>C34-C36-C37-C38</f>
        <v>139.01733060875722</v>
      </c>
      <c r="D40" s="104">
        <f t="shared" ref="D40:E40" si="23">D34-D36-D37-D38</f>
        <v>39.646402977100003</v>
      </c>
      <c r="E40" s="104" t="e">
        <f t="shared" si="23"/>
        <v>#DIV/0!</v>
      </c>
      <c r="F40" s="104"/>
      <c r="AF40" s="93" t="s">
        <v>55</v>
      </c>
      <c r="AG40" s="93" t="s">
        <v>111</v>
      </c>
    </row>
    <row r="41" spans="1:33">
      <c r="A41" s="90">
        <v>2</v>
      </c>
      <c r="B41" s="93" t="s">
        <v>112</v>
      </c>
      <c r="C41" s="104"/>
      <c r="D41" s="104"/>
      <c r="E41" s="104"/>
      <c r="F41" s="104"/>
      <c r="AF41" s="93" t="s">
        <v>57</v>
      </c>
      <c r="AG41" s="93" t="s">
        <v>112</v>
      </c>
    </row>
    <row r="42" spans="1:33">
      <c r="A42" s="93" t="s">
        <v>109</v>
      </c>
      <c r="B42" s="98" t="s">
        <v>114</v>
      </c>
      <c r="C42" s="104"/>
      <c r="D42" s="104"/>
      <c r="E42" s="104"/>
      <c r="F42" s="104"/>
      <c r="AF42" s="93" t="s">
        <v>113</v>
      </c>
      <c r="AG42" s="98" t="s">
        <v>114</v>
      </c>
    </row>
    <row r="43" spans="1:33">
      <c r="A43" s="90">
        <v>1</v>
      </c>
      <c r="B43" s="105" t="s">
        <v>115</v>
      </c>
      <c r="C43" s="102">
        <f>'2025年'!C43</f>
        <v>122.92999999999999</v>
      </c>
      <c r="D43" s="102">
        <f>'2025年'!D43</f>
        <v>27.820999999999998</v>
      </c>
      <c r="E43" s="102">
        <f>'2025年'!E43</f>
        <v>0</v>
      </c>
      <c r="F43" s="104"/>
      <c r="AF43" s="93" t="s">
        <v>55</v>
      </c>
      <c r="AG43" s="93" t="s">
        <v>115</v>
      </c>
    </row>
    <row r="44" spans="1:33">
      <c r="A44" s="90">
        <v>2</v>
      </c>
      <c r="B44" s="105" t="s">
        <v>116</v>
      </c>
      <c r="C44" s="102">
        <f>'2025年'!C44</f>
        <v>26.03</v>
      </c>
      <c r="D44" s="102">
        <f>'2025年'!D44</f>
        <v>5.891</v>
      </c>
      <c r="E44" s="102">
        <f>'2025年'!E44</f>
        <v>0</v>
      </c>
      <c r="F44" s="104"/>
      <c r="AF44" s="93" t="s">
        <v>57</v>
      </c>
      <c r="AG44" s="93" t="s">
        <v>116</v>
      </c>
    </row>
    <row r="45" spans="1:33">
      <c r="A45" s="90">
        <v>3</v>
      </c>
      <c r="B45" s="105" t="s">
        <v>117</v>
      </c>
      <c r="C45" s="102">
        <f>'2025年'!C45</f>
        <v>38.950000000000003</v>
      </c>
      <c r="D45" s="102">
        <f>'2025年'!D45</f>
        <v>8.8149999999999995</v>
      </c>
      <c r="E45" s="102">
        <f>'2025年'!E45</f>
        <v>0</v>
      </c>
      <c r="F45" s="104"/>
      <c r="AF45" s="93" t="s">
        <v>102</v>
      </c>
      <c r="AG45" s="93" t="s">
        <v>117</v>
      </c>
    </row>
    <row r="46" spans="1:33" s="88" customFormat="1">
      <c r="A46" s="90">
        <v>4</v>
      </c>
      <c r="B46" s="105" t="s">
        <v>118</v>
      </c>
      <c r="C46" s="110">
        <f>C21/C6</f>
        <v>0.26</v>
      </c>
      <c r="D46" s="110">
        <f t="shared" ref="D46:E46" si="24">D21/D6</f>
        <v>0.26</v>
      </c>
      <c r="E46" s="110" t="e">
        <f t="shared" si="24"/>
        <v>#DIV/0!</v>
      </c>
      <c r="F46" s="110"/>
      <c r="AF46" s="105" t="s">
        <v>62</v>
      </c>
      <c r="AG46" s="105" t="s">
        <v>120</v>
      </c>
    </row>
    <row r="47" spans="1:33" s="88" customFormat="1">
      <c r="A47" s="90">
        <v>5</v>
      </c>
      <c r="B47" s="105" t="s">
        <v>120</v>
      </c>
      <c r="C47" s="102">
        <f>'2025年'!$C$47</f>
        <v>82.84</v>
      </c>
      <c r="D47" s="102">
        <f>'2025年'!$C$47</f>
        <v>82.84</v>
      </c>
      <c r="E47" s="102">
        <f>'2025年'!$C$47</f>
        <v>82.84</v>
      </c>
      <c r="F47" s="110"/>
      <c r="AF47" s="105" t="s">
        <v>62</v>
      </c>
      <c r="AG47" s="105" t="s">
        <v>120</v>
      </c>
    </row>
    <row r="48" spans="1:33">
      <c r="A48" s="93" t="s">
        <v>113</v>
      </c>
      <c r="B48" s="98" t="s">
        <v>131</v>
      </c>
      <c r="C48" s="104">
        <f>C40-C43-C44-C45-C47-C46</f>
        <v>-131.99266939124277</v>
      </c>
      <c r="D48" s="104">
        <f t="shared" ref="D48:E48" si="25">D40-D43-D44-D45-D47-D46</f>
        <v>-85.9805970229</v>
      </c>
      <c r="E48" s="104" t="e">
        <f t="shared" si="25"/>
        <v>#DIV/0!</v>
      </c>
      <c r="F48" s="104"/>
      <c r="AF48" s="93" t="s">
        <v>130</v>
      </c>
      <c r="AG48" s="98" t="s">
        <v>131</v>
      </c>
    </row>
    <row r="51" spans="2:11">
      <c r="C51" s="111"/>
      <c r="D51" s="111"/>
      <c r="E51" s="111"/>
    </row>
    <row r="54" spans="2:11">
      <c r="B54" s="2"/>
      <c r="C54" s="112"/>
      <c r="D54" s="112"/>
      <c r="E54" s="112"/>
      <c r="F54" s="112"/>
      <c r="G54" s="2"/>
      <c r="H54" s="2"/>
      <c r="I54" s="2"/>
      <c r="J54" s="2"/>
      <c r="K54" s="2"/>
    </row>
    <row r="55" spans="2:11">
      <c r="B55" s="2"/>
      <c r="C55" s="112"/>
      <c r="D55" s="112"/>
      <c r="E55" s="112"/>
      <c r="F55" s="112"/>
      <c r="G55" s="2"/>
      <c r="H55" s="2"/>
      <c r="I55" s="2"/>
      <c r="J55" s="2"/>
      <c r="K55" s="2"/>
    </row>
    <row r="56" spans="2:11">
      <c r="B56" s="2"/>
      <c r="C56" s="112"/>
      <c r="D56" s="112"/>
      <c r="E56" s="112"/>
      <c r="F56" s="112"/>
      <c r="G56" s="2"/>
      <c r="H56" s="2"/>
      <c r="I56" s="2"/>
      <c r="J56" s="2"/>
      <c r="K56" s="2"/>
    </row>
    <row r="57" spans="2:11">
      <c r="B57" s="2"/>
      <c r="C57" s="112"/>
      <c r="D57" s="112"/>
      <c r="E57" s="112"/>
      <c r="F57" s="112"/>
      <c r="G57" s="2"/>
      <c r="H57" s="2"/>
      <c r="I57" s="2"/>
      <c r="J57" s="2"/>
      <c r="K57" s="2"/>
    </row>
    <row r="58" spans="2:11">
      <c r="B58" s="2"/>
      <c r="C58" s="112"/>
      <c r="D58" s="112"/>
      <c r="E58" s="112"/>
      <c r="F58" s="112"/>
      <c r="G58" s="2"/>
      <c r="H58" s="2"/>
      <c r="I58" s="2"/>
      <c r="J58" s="2"/>
      <c r="K58" s="2"/>
    </row>
    <row r="59" spans="2:11">
      <c r="B59" s="2"/>
      <c r="C59" s="112"/>
      <c r="D59" s="112"/>
      <c r="E59" s="112"/>
      <c r="F59" s="112"/>
      <c r="G59" s="2"/>
      <c r="H59" s="2"/>
      <c r="I59" s="2"/>
      <c r="J59" s="2"/>
      <c r="K59" s="2"/>
    </row>
    <row r="60" spans="2:11">
      <c r="B60" s="2"/>
      <c r="C60" s="112"/>
      <c r="D60" s="112"/>
      <c r="E60" s="112"/>
      <c r="F60" s="112"/>
      <c r="G60" s="2"/>
      <c r="H60" s="2"/>
      <c r="I60" s="2"/>
      <c r="J60" s="2"/>
      <c r="K60" s="2"/>
    </row>
    <row r="61" spans="2:11">
      <c r="B61" s="2"/>
      <c r="C61" s="112"/>
      <c r="D61" s="112"/>
      <c r="E61" s="112"/>
      <c r="F61" s="112"/>
      <c r="G61" s="2"/>
      <c r="H61" s="2"/>
      <c r="I61" s="2"/>
      <c r="J61" s="2"/>
      <c r="K61" s="2"/>
    </row>
    <row r="62" spans="2:11">
      <c r="B62" s="2"/>
      <c r="C62" s="112"/>
      <c r="D62" s="112"/>
      <c r="E62" s="112"/>
      <c r="F62" s="112"/>
      <c r="G62" s="2"/>
      <c r="H62" s="2"/>
      <c r="I62" s="2"/>
      <c r="J62" s="2"/>
      <c r="K62" s="2"/>
    </row>
    <row r="63" spans="2:11">
      <c r="B63" s="2"/>
      <c r="C63" s="112"/>
      <c r="D63" s="112"/>
      <c r="E63" s="112"/>
      <c r="F63" s="112"/>
      <c r="G63" s="2"/>
      <c r="H63" s="2"/>
      <c r="I63" s="2"/>
      <c r="J63" s="2"/>
      <c r="K63" s="2"/>
    </row>
    <row r="64" spans="2:11">
      <c r="B64" s="2"/>
      <c r="C64" s="112"/>
      <c r="D64" s="112"/>
      <c r="E64" s="112"/>
      <c r="F64" s="112"/>
      <c r="G64" s="2"/>
      <c r="H64" s="2"/>
      <c r="I64" s="2"/>
      <c r="J64" s="2"/>
      <c r="K64" s="2"/>
    </row>
    <row r="65" spans="2:11">
      <c r="B65" s="2"/>
      <c r="C65" s="112"/>
      <c r="D65" s="112"/>
      <c r="E65" s="112"/>
      <c r="F65" s="112"/>
      <c r="G65" s="2"/>
      <c r="H65" s="2"/>
      <c r="I65" s="2"/>
      <c r="J65" s="2"/>
      <c r="K65" s="2"/>
    </row>
    <row r="66" spans="2:11">
      <c r="B66" s="2"/>
      <c r="C66" s="112"/>
      <c r="D66" s="112"/>
      <c r="E66" s="112"/>
      <c r="F66" s="112"/>
      <c r="G66" s="2"/>
      <c r="H66" s="2"/>
      <c r="I66" s="2"/>
      <c r="J66" s="2"/>
      <c r="K66" s="2"/>
    </row>
    <row r="67" spans="2:11">
      <c r="B67" s="2"/>
      <c r="C67" s="112"/>
      <c r="D67" s="112"/>
      <c r="E67" s="112"/>
      <c r="F67" s="112"/>
      <c r="G67" s="2"/>
    </row>
    <row r="68" spans="2:11">
      <c r="B68" s="2"/>
      <c r="C68" s="112"/>
      <c r="D68" s="112"/>
      <c r="E68" s="112"/>
      <c r="F68" s="112"/>
      <c r="G68" s="2"/>
    </row>
    <row r="69" spans="2:11">
      <c r="B69" s="2"/>
      <c r="C69" s="112"/>
      <c r="D69" s="112"/>
      <c r="E69" s="112"/>
      <c r="F69" s="112"/>
      <c r="G69" s="2"/>
    </row>
    <row r="70" spans="2:11">
      <c r="B70" s="2"/>
      <c r="C70" s="112"/>
      <c r="D70" s="112"/>
      <c r="E70" s="112"/>
      <c r="F70" s="112"/>
      <c r="G70" s="2"/>
    </row>
    <row r="71" spans="2:11">
      <c r="B71" s="2"/>
      <c r="C71" s="112"/>
      <c r="D71" s="112"/>
      <c r="E71" s="112"/>
      <c r="F71" s="112"/>
      <c r="G71" s="2"/>
    </row>
    <row r="72" spans="2:11">
      <c r="B72" s="2"/>
      <c r="C72" s="112"/>
      <c r="D72" s="112"/>
      <c r="E72" s="112"/>
      <c r="F72" s="112"/>
      <c r="G72" s="2"/>
    </row>
    <row r="73" spans="2:11">
      <c r="B73" s="2"/>
      <c r="C73" s="112"/>
      <c r="D73" s="112"/>
      <c r="E73" s="112"/>
      <c r="F73" s="112"/>
      <c r="G73" s="2"/>
    </row>
    <row r="74" spans="2:11">
      <c r="B74" s="2"/>
      <c r="C74" s="112"/>
      <c r="D74" s="112"/>
      <c r="E74" s="112"/>
      <c r="F74" s="112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3" activePane="bottomRight" state="frozen"/>
      <selection pane="topRight"/>
      <selection pane="bottomLeft"/>
      <selection pane="bottomRight" activeCell="D19" sqref="D19"/>
    </sheetView>
  </sheetViews>
  <sheetFormatPr defaultColWidth="9" defaultRowHeight="13.5"/>
  <cols>
    <col min="1" max="1" width="19.5" customWidth="1"/>
    <col min="2" max="2" width="14.875" style="59" customWidth="1"/>
    <col min="3" max="3" width="9.25" customWidth="1"/>
    <col min="4" max="4" width="15.5" customWidth="1"/>
    <col min="5" max="5" width="19.25" customWidth="1"/>
    <col min="6" max="6" width="15.5" customWidth="1"/>
    <col min="7" max="7" width="15.125" customWidth="1"/>
    <col min="8" max="8" width="13" customWidth="1"/>
    <col min="9" max="9" width="17.75" customWidth="1"/>
    <col min="10" max="10" width="13" customWidth="1"/>
    <col min="11" max="11" width="15.625"/>
    <col min="12" max="12" width="12.5"/>
  </cols>
  <sheetData>
    <row r="1" spans="1:10" ht="20.25">
      <c r="A1" s="220" t="s">
        <v>306</v>
      </c>
      <c r="B1" s="220"/>
      <c r="C1" s="220"/>
      <c r="E1" s="221" t="s">
        <v>260</v>
      </c>
      <c r="F1" s="222"/>
      <c r="G1" s="222"/>
      <c r="H1" s="223"/>
    </row>
    <row r="2" spans="1:10" ht="23.45" customHeight="1">
      <c r="A2" s="60" t="s">
        <v>1</v>
      </c>
      <c r="B2" s="61" t="s">
        <v>151</v>
      </c>
      <c r="C2" s="62" t="s">
        <v>152</v>
      </c>
      <c r="E2" s="63" t="s">
        <v>153</v>
      </c>
      <c r="F2" s="63" t="s">
        <v>1</v>
      </c>
      <c r="G2" s="64" t="s">
        <v>154</v>
      </c>
      <c r="H2" s="63" t="s">
        <v>152</v>
      </c>
    </row>
    <row r="3" spans="1:10" ht="15.75" customHeight="1">
      <c r="A3" s="65" t="s">
        <v>155</v>
      </c>
      <c r="B3" s="66"/>
      <c r="C3" s="67"/>
      <c r="E3" s="228" t="s">
        <v>156</v>
      </c>
      <c r="F3" s="68" t="s">
        <v>157</v>
      </c>
      <c r="G3" s="69"/>
      <c r="H3" s="68"/>
    </row>
    <row r="4" spans="1:10" ht="15.75" customHeight="1">
      <c r="A4" s="65" t="s">
        <v>158</v>
      </c>
      <c r="B4" s="66"/>
      <c r="C4" s="70"/>
      <c r="E4" s="229"/>
      <c r="F4" s="68" t="s">
        <v>159</v>
      </c>
      <c r="G4" s="69"/>
      <c r="H4" s="68"/>
    </row>
    <row r="5" spans="1:10" ht="15.75" customHeight="1">
      <c r="A5" s="65" t="s">
        <v>160</v>
      </c>
      <c r="B5" s="71">
        <f>SUM(G3:G4)</f>
        <v>0</v>
      </c>
      <c r="C5" s="67"/>
      <c r="E5" s="230" t="s">
        <v>161</v>
      </c>
      <c r="F5" s="72" t="s">
        <v>162</v>
      </c>
      <c r="G5" s="69"/>
      <c r="H5" s="72"/>
    </row>
    <row r="6" spans="1:10" ht="15.75" customHeight="1">
      <c r="A6" s="65" t="s">
        <v>163</v>
      </c>
      <c r="B6" s="66"/>
      <c r="C6" s="67"/>
      <c r="E6" s="231"/>
      <c r="F6" s="72" t="s">
        <v>164</v>
      </c>
      <c r="G6" s="69"/>
      <c r="H6" s="188"/>
      <c r="J6">
        <v>10000</v>
      </c>
    </row>
    <row r="7" spans="1:10" ht="15.75" customHeight="1">
      <c r="A7" s="73" t="s">
        <v>165</v>
      </c>
      <c r="B7" s="71">
        <f>SUM(B3:B6)</f>
        <v>0</v>
      </c>
      <c r="C7" s="67"/>
      <c r="E7" s="231"/>
      <c r="F7" s="72" t="s">
        <v>166</v>
      </c>
      <c r="G7" s="69"/>
      <c r="H7" s="188"/>
    </row>
    <row r="8" spans="1:10" ht="15.75" customHeight="1">
      <c r="A8" s="74" t="s">
        <v>167</v>
      </c>
      <c r="B8" s="71">
        <f>SUM(G5:G12)</f>
        <v>0</v>
      </c>
      <c r="C8" s="75"/>
      <c r="E8" s="231"/>
      <c r="F8" s="72" t="s">
        <v>168</v>
      </c>
      <c r="G8" s="69"/>
      <c r="H8" s="188"/>
    </row>
    <row r="9" spans="1:10" ht="15.75" customHeight="1">
      <c r="A9" s="65" t="s">
        <v>169</v>
      </c>
      <c r="B9" s="71">
        <f>SUM(G13:G21)</f>
        <v>0.26</v>
      </c>
      <c r="C9" s="67"/>
      <c r="E9" s="231"/>
      <c r="F9" s="68" t="s">
        <v>170</v>
      </c>
      <c r="G9" s="69"/>
      <c r="H9" s="189"/>
    </row>
    <row r="10" spans="1:10" ht="15.75" customHeight="1">
      <c r="A10" s="70" t="s">
        <v>51</v>
      </c>
      <c r="B10" s="71">
        <f>B7+B8+B9</f>
        <v>0.26</v>
      </c>
      <c r="C10" s="67"/>
      <c r="E10" s="231"/>
      <c r="F10" s="68" t="s">
        <v>171</v>
      </c>
      <c r="G10" s="76"/>
      <c r="H10" s="189"/>
    </row>
    <row r="11" spans="1:10" ht="15.75" customHeight="1">
      <c r="E11" s="231"/>
      <c r="F11" s="68" t="s">
        <v>172</v>
      </c>
      <c r="G11" s="76"/>
      <c r="H11" s="189"/>
    </row>
    <row r="12" spans="1:10" ht="15.75" customHeight="1">
      <c r="E12" s="232"/>
      <c r="F12" s="68" t="s">
        <v>173</v>
      </c>
      <c r="G12" s="69"/>
      <c r="H12" s="189"/>
    </row>
    <row r="13" spans="1:10" ht="15.75" customHeight="1">
      <c r="E13" s="228" t="s">
        <v>83</v>
      </c>
      <c r="F13" s="68" t="s">
        <v>174</v>
      </c>
      <c r="G13" s="69"/>
      <c r="H13" s="189"/>
    </row>
    <row r="14" spans="1:10" ht="15.75" customHeight="1">
      <c r="E14" s="229"/>
      <c r="F14" s="68" t="s">
        <v>175</v>
      </c>
      <c r="G14" s="69"/>
      <c r="H14" s="191"/>
    </row>
    <row r="15" spans="1:10" ht="15.75" customHeight="1">
      <c r="E15" s="229"/>
      <c r="F15" s="68" t="s">
        <v>176</v>
      </c>
      <c r="G15" s="69"/>
      <c r="H15" s="191"/>
    </row>
    <row r="16" spans="1:10" ht="15.75" customHeight="1">
      <c r="E16" s="229"/>
      <c r="F16" s="68" t="s">
        <v>177</v>
      </c>
      <c r="G16" s="69"/>
      <c r="H16" s="191"/>
    </row>
    <row r="17" spans="1:12" ht="15.75" customHeight="1">
      <c r="E17" s="229"/>
      <c r="F17" s="68" t="s">
        <v>178</v>
      </c>
      <c r="G17" s="69"/>
      <c r="H17" s="189"/>
    </row>
    <row r="18" spans="1:12" ht="15.75" customHeight="1">
      <c r="E18" s="229"/>
      <c r="F18" s="68" t="s">
        <v>179</v>
      </c>
      <c r="G18" s="69"/>
      <c r="H18" s="190"/>
    </row>
    <row r="19" spans="1:12" ht="45.75" customHeight="1">
      <c r="E19" s="229"/>
      <c r="F19" s="68" t="s">
        <v>180</v>
      </c>
      <c r="G19" s="69">
        <v>0.26</v>
      </c>
      <c r="H19" s="190"/>
      <c r="I19" s="269" t="s">
        <v>305</v>
      </c>
    </row>
    <row r="20" spans="1:12" ht="15.75" customHeight="1">
      <c r="E20" s="229"/>
      <c r="F20" s="68" t="s">
        <v>181</v>
      </c>
      <c r="G20" s="69"/>
      <c r="H20" s="68"/>
    </row>
    <row r="21" spans="1:12" ht="15.75" customHeight="1">
      <c r="E21" s="233"/>
      <c r="F21" s="68" t="s">
        <v>36</v>
      </c>
      <c r="G21" s="69">
        <v>0</v>
      </c>
      <c r="H21" s="68"/>
    </row>
    <row r="22" spans="1:12">
      <c r="E22" s="63" t="s">
        <v>51</v>
      </c>
      <c r="F22" s="68"/>
      <c r="G22" s="64">
        <f>SUM(G3:G21)</f>
        <v>0.26</v>
      </c>
      <c r="H22" s="77"/>
    </row>
    <row r="23" spans="1:12" ht="30.75" customHeight="1">
      <c r="E23" s="224" t="s">
        <v>182</v>
      </c>
      <c r="F23" s="224"/>
      <c r="G23" s="224"/>
      <c r="H23" s="224"/>
    </row>
    <row r="25" spans="1:12" ht="17.25">
      <c r="A25" s="78" t="s">
        <v>1</v>
      </c>
      <c r="B25" s="78" t="s">
        <v>151</v>
      </c>
      <c r="C25" s="78" t="s">
        <v>183</v>
      </c>
      <c r="D25" s="79" t="s">
        <v>279</v>
      </c>
      <c r="E25" s="79" t="s">
        <v>49</v>
      </c>
      <c r="F25" s="79" t="s">
        <v>50</v>
      </c>
      <c r="G25" s="79" t="s">
        <v>184</v>
      </c>
      <c r="H25" s="79" t="s">
        <v>185</v>
      </c>
      <c r="I25" s="79" t="s">
        <v>186</v>
      </c>
      <c r="J25" s="79" t="s">
        <v>262</v>
      </c>
      <c r="K25" s="79" t="s">
        <v>51</v>
      </c>
      <c r="L25" s="84" t="s">
        <v>187</v>
      </c>
    </row>
    <row r="26" spans="1:12" ht="16.5">
      <c r="A26" s="80" t="s">
        <v>147</v>
      </c>
      <c r="B26" s="81">
        <f>(B5+B8)*10000</f>
        <v>0</v>
      </c>
      <c r="C26" s="82">
        <v>0.05</v>
      </c>
      <c r="D26" s="83">
        <f>B26*(1-C26)/5</f>
        <v>0</v>
      </c>
      <c r="E26" s="83">
        <f t="shared" ref="E26:H26" si="0">D26</f>
        <v>0</v>
      </c>
      <c r="F26" s="83">
        <f t="shared" si="0"/>
        <v>0</v>
      </c>
      <c r="G26" s="83">
        <f t="shared" si="0"/>
        <v>0</v>
      </c>
      <c r="H26" s="83">
        <f t="shared" si="0"/>
        <v>0</v>
      </c>
      <c r="I26" s="83"/>
      <c r="J26" s="83"/>
      <c r="K26" s="83">
        <f>SUM(D26:J26)</f>
        <v>0</v>
      </c>
      <c r="L26" s="83">
        <f>B26*0.05</f>
        <v>0</v>
      </c>
    </row>
    <row r="27" spans="1:12" ht="16.5">
      <c r="A27" s="80" t="s">
        <v>188</v>
      </c>
      <c r="B27" s="81">
        <f>B9*10000</f>
        <v>2600</v>
      </c>
      <c r="C27" s="83"/>
      <c r="D27" s="83">
        <f>B27/5</f>
        <v>520</v>
      </c>
      <c r="E27" s="83">
        <f t="shared" ref="E27:F27" si="1">D27</f>
        <v>520</v>
      </c>
      <c r="F27" s="83">
        <f t="shared" si="1"/>
        <v>520</v>
      </c>
      <c r="G27" s="83">
        <f>F27</f>
        <v>520</v>
      </c>
      <c r="H27" s="83">
        <f>G27</f>
        <v>520</v>
      </c>
      <c r="I27" s="83"/>
      <c r="J27" s="83"/>
      <c r="K27" s="83">
        <f>SUM(D27:J27)</f>
        <v>2600</v>
      </c>
      <c r="L27" s="83"/>
    </row>
    <row r="28" spans="1:12" ht="16.5">
      <c r="A28" s="225" t="s">
        <v>139</v>
      </c>
      <c r="B28" s="226"/>
      <c r="C28" s="227"/>
      <c r="D28" s="83">
        <f>SUM(D26:D27)</f>
        <v>520</v>
      </c>
      <c r="E28" s="83">
        <f t="shared" ref="E28:K28" si="2">SUM(E26:E27)</f>
        <v>520</v>
      </c>
      <c r="F28" s="83">
        <f t="shared" si="2"/>
        <v>520</v>
      </c>
      <c r="G28" s="83">
        <f t="shared" si="2"/>
        <v>520</v>
      </c>
      <c r="H28" s="83">
        <f t="shared" si="2"/>
        <v>520</v>
      </c>
      <c r="I28" s="83">
        <f t="shared" si="2"/>
        <v>0</v>
      </c>
      <c r="J28" s="83">
        <f t="shared" si="2"/>
        <v>0</v>
      </c>
      <c r="K28" s="83">
        <f t="shared" si="2"/>
        <v>2600</v>
      </c>
      <c r="L28" s="8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2025-06-19T07:18:18Z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