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ghrc\Desktop\福田戴姆勒左舵出口座椅立项\"/>
    </mc:Choice>
  </mc:AlternateContent>
  <bookViews>
    <workbookView xWindow="0" yWindow="0" windowWidth="20745" windowHeight="10200" tabRatio="862" activeTab="2"/>
  </bookViews>
  <sheets>
    <sheet name="假设条件" sheetId="34" r:id="rId1"/>
    <sheet name="现金" sheetId="36" state="hidden" r:id="rId2"/>
    <sheet name="损益表" sheetId="56" r:id="rId3"/>
    <sheet name="2025年" sheetId="61" r:id="rId4"/>
    <sheet name="2026年" sheetId="43" r:id="rId5"/>
    <sheet name="2027年" sheetId="57" r:id="rId6"/>
    <sheet name="2028年" sheetId="58" r:id="rId7"/>
    <sheet name="2029年" sheetId="59" r:id="rId8"/>
    <sheet name="项目投资" sheetId="51" r:id="rId9"/>
    <sheet name="销量" sheetId="55" r:id="rId10"/>
    <sheet name="材料成本" sheetId="53" r:id="rId11"/>
    <sheet name="其他" sheetId="54" r:id="rId12"/>
    <sheet name="标准成本" sheetId="50" r:id="rId13"/>
  </sheets>
  <externalReferences>
    <externalReference r:id="rId14"/>
    <externalReference r:id="rId15"/>
  </externalReferences>
  <definedNames>
    <definedName name="_xlnm.Print_Area" localSheetId="4">'2026年'!$A$1:$T$48</definedName>
    <definedName name="_xlnm.Print_Area" localSheetId="5">'2027年'!$A$1:$T$48</definedName>
    <definedName name="_xlnm.Print_Area" localSheetId="6">'2028年'!$A$1:$T$48</definedName>
    <definedName name="_xlnm.Print_Area" localSheetId="8">项目投资!$A$1:$C$35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51" l="1"/>
  <c r="D26" i="51"/>
  <c r="R31" i="59"/>
  <c r="S31" i="59"/>
  <c r="R32" i="59"/>
  <c r="R34" i="59" s="1"/>
  <c r="R40" i="59" s="1"/>
  <c r="S32" i="59"/>
  <c r="R33" i="59"/>
  <c r="S33" i="59"/>
  <c r="S34" i="59" s="1"/>
  <c r="S40" i="59" s="1"/>
  <c r="R36" i="59"/>
  <c r="R11" i="59" s="1"/>
  <c r="S36" i="59"/>
  <c r="R37" i="59"/>
  <c r="S37" i="59"/>
  <c r="S12" i="59" s="1"/>
  <c r="R38" i="59"/>
  <c r="S38" i="59"/>
  <c r="R43" i="59"/>
  <c r="S43" i="59"/>
  <c r="R44" i="59"/>
  <c r="S44" i="59"/>
  <c r="R45" i="59"/>
  <c r="R20" i="59" s="1"/>
  <c r="S45" i="59"/>
  <c r="R47" i="59"/>
  <c r="S47" i="59"/>
  <c r="S22" i="59" s="1"/>
  <c r="R3" i="59"/>
  <c r="S3" i="59"/>
  <c r="R4" i="59"/>
  <c r="S4" i="59"/>
  <c r="R5" i="59"/>
  <c r="S5" i="59"/>
  <c r="R6" i="59"/>
  <c r="S6" i="59"/>
  <c r="S7" i="59" s="1"/>
  <c r="R7" i="59"/>
  <c r="R10" i="59"/>
  <c r="S10" i="59"/>
  <c r="S11" i="59"/>
  <c r="S14" i="59" s="1"/>
  <c r="R12" i="59"/>
  <c r="R13" i="59"/>
  <c r="S13" i="59"/>
  <c r="R19" i="59"/>
  <c r="S19" i="59"/>
  <c r="S20" i="59"/>
  <c r="R22" i="59"/>
  <c r="R31" i="58"/>
  <c r="S31" i="58"/>
  <c r="R32" i="58"/>
  <c r="R34" i="58" s="1"/>
  <c r="R40" i="58" s="1"/>
  <c r="S32" i="58"/>
  <c r="S34" i="58" s="1"/>
  <c r="S40" i="58" s="1"/>
  <c r="R33" i="58"/>
  <c r="S33" i="58"/>
  <c r="R36" i="58"/>
  <c r="R11" i="58" s="1"/>
  <c r="S36" i="58"/>
  <c r="R37" i="58"/>
  <c r="S37" i="58"/>
  <c r="S12" i="58" s="1"/>
  <c r="S14" i="58" s="1"/>
  <c r="R38" i="58"/>
  <c r="S38" i="58"/>
  <c r="R43" i="58"/>
  <c r="S43" i="58"/>
  <c r="R44" i="58"/>
  <c r="S44" i="58"/>
  <c r="R45" i="58"/>
  <c r="R20" i="58" s="1"/>
  <c r="S45" i="58"/>
  <c r="R47" i="58"/>
  <c r="S47" i="58"/>
  <c r="R3" i="58"/>
  <c r="S3" i="58"/>
  <c r="R4" i="58"/>
  <c r="S4" i="58"/>
  <c r="R5" i="58"/>
  <c r="S5" i="58"/>
  <c r="R6" i="58"/>
  <c r="R7" i="58" s="1"/>
  <c r="S6" i="58"/>
  <c r="S7" i="58"/>
  <c r="R10" i="58"/>
  <c r="S10" i="58"/>
  <c r="S11" i="58"/>
  <c r="R12" i="58"/>
  <c r="R13" i="58"/>
  <c r="S13" i="58"/>
  <c r="R19" i="58"/>
  <c r="S19" i="58"/>
  <c r="S20" i="58"/>
  <c r="R22" i="58"/>
  <c r="S22" i="58"/>
  <c r="R31" i="57"/>
  <c r="S31" i="57"/>
  <c r="R32" i="57"/>
  <c r="R34" i="57" s="1"/>
  <c r="R40" i="57" s="1"/>
  <c r="S32" i="57"/>
  <c r="R33" i="57"/>
  <c r="S33" i="57"/>
  <c r="S34" i="57" s="1"/>
  <c r="S40" i="57" s="1"/>
  <c r="R36" i="57"/>
  <c r="S36" i="57"/>
  <c r="R37" i="57"/>
  <c r="S37" i="57"/>
  <c r="R38" i="57"/>
  <c r="S38" i="57"/>
  <c r="R43" i="57"/>
  <c r="S43" i="57"/>
  <c r="R44" i="57"/>
  <c r="S44" i="57"/>
  <c r="R45" i="57"/>
  <c r="S45" i="57"/>
  <c r="R47" i="57"/>
  <c r="S47" i="57"/>
  <c r="R3" i="57"/>
  <c r="S3" i="57"/>
  <c r="R4" i="57"/>
  <c r="S4" i="57"/>
  <c r="R5" i="57"/>
  <c r="S5" i="57"/>
  <c r="R6" i="57"/>
  <c r="S6" i="57"/>
  <c r="S7" i="57" s="1"/>
  <c r="R7" i="57"/>
  <c r="R10" i="57"/>
  <c r="R11" i="57"/>
  <c r="S11" i="57"/>
  <c r="R12" i="57"/>
  <c r="S12" i="57"/>
  <c r="R13" i="57"/>
  <c r="R19" i="57"/>
  <c r="R20" i="57"/>
  <c r="S20" i="57"/>
  <c r="R22" i="57"/>
  <c r="S31" i="43"/>
  <c r="S32" i="43"/>
  <c r="S34" i="43" s="1"/>
  <c r="S40" i="43" s="1"/>
  <c r="S33" i="43"/>
  <c r="S36" i="43"/>
  <c r="S37" i="43"/>
  <c r="S38" i="43"/>
  <c r="S43" i="43"/>
  <c r="S44" i="43"/>
  <c r="S45" i="43"/>
  <c r="S20" i="43" s="1"/>
  <c r="S47" i="43"/>
  <c r="R31" i="43"/>
  <c r="R32" i="43"/>
  <c r="R33" i="43"/>
  <c r="R34" i="43" s="1"/>
  <c r="R40" i="43" s="1"/>
  <c r="R36" i="43"/>
  <c r="R37" i="43"/>
  <c r="R38" i="43"/>
  <c r="R43" i="43"/>
  <c r="R44" i="43"/>
  <c r="R45" i="43"/>
  <c r="R47" i="43"/>
  <c r="S11" i="43"/>
  <c r="S12" i="43"/>
  <c r="R3" i="43"/>
  <c r="S3" i="43"/>
  <c r="R4" i="43"/>
  <c r="S4" i="43"/>
  <c r="R5" i="43"/>
  <c r="S5" i="43"/>
  <c r="R6" i="43"/>
  <c r="S6" i="43"/>
  <c r="S7" i="43"/>
  <c r="R12" i="43"/>
  <c r="S13" i="43"/>
  <c r="S19" i="43"/>
  <c r="S22" i="43"/>
  <c r="S47" i="61"/>
  <c r="S45" i="61"/>
  <c r="S44" i="61"/>
  <c r="S43" i="61"/>
  <c r="S38" i="61"/>
  <c r="S37" i="61"/>
  <c r="S36" i="61"/>
  <c r="R47" i="61"/>
  <c r="R45" i="61"/>
  <c r="R44" i="61"/>
  <c r="R43" i="61"/>
  <c r="R40" i="61"/>
  <c r="S40" i="61"/>
  <c r="R38" i="61"/>
  <c r="R13" i="61" s="1"/>
  <c r="R37" i="61"/>
  <c r="R12" i="61" s="1"/>
  <c r="R36" i="61"/>
  <c r="R11" i="61" s="1"/>
  <c r="R34" i="61"/>
  <c r="S34" i="61"/>
  <c r="R33" i="61"/>
  <c r="S33" i="61"/>
  <c r="R32" i="61"/>
  <c r="S32" i="61"/>
  <c r="S31" i="61"/>
  <c r="R31" i="61"/>
  <c r="S3" i="61"/>
  <c r="S4" i="61"/>
  <c r="S5" i="61"/>
  <c r="S6" i="61"/>
  <c r="S7" i="61" s="1"/>
  <c r="S9" i="61" s="1"/>
  <c r="S10" i="61"/>
  <c r="S13" i="61"/>
  <c r="S19" i="61"/>
  <c r="S22" i="61"/>
  <c r="R3" i="61"/>
  <c r="R4" i="61"/>
  <c r="R5" i="61"/>
  <c r="R6" i="61"/>
  <c r="R7" i="61"/>
  <c r="R9" i="61"/>
  <c r="R10" i="61"/>
  <c r="R19" i="61"/>
  <c r="R20" i="61"/>
  <c r="R22" i="61"/>
  <c r="E212" i="50"/>
  <c r="E213" i="50"/>
  <c r="E214" i="50"/>
  <c r="E215" i="50"/>
  <c r="E216" i="50"/>
  <c r="E217" i="50"/>
  <c r="E218" i="50"/>
  <c r="E211" i="50"/>
  <c r="I210" i="50"/>
  <c r="I208" i="50"/>
  <c r="H218" i="50"/>
  <c r="H217" i="50"/>
  <c r="H216" i="50"/>
  <c r="H215" i="50"/>
  <c r="H214" i="50"/>
  <c r="H213" i="50"/>
  <c r="H212" i="50"/>
  <c r="H211" i="50"/>
  <c r="C209" i="50"/>
  <c r="T20" i="55"/>
  <c r="T19" i="55"/>
  <c r="T18" i="55"/>
  <c r="T16" i="55"/>
  <c r="T10" i="55"/>
  <c r="T11" i="55"/>
  <c r="T12" i="55"/>
  <c r="T13" i="55"/>
  <c r="T14" i="55"/>
  <c r="T15" i="55"/>
  <c r="T9" i="55"/>
  <c r="T8" i="55"/>
  <c r="S18" i="55"/>
  <c r="S19" i="55" s="1"/>
  <c r="S20" i="55" s="1"/>
  <c r="T24" i="53"/>
  <c r="T25" i="53"/>
  <c r="T26" i="53"/>
  <c r="T4" i="53"/>
  <c r="T5" i="53"/>
  <c r="R14" i="59" l="1"/>
  <c r="S8" i="59"/>
  <c r="S9" i="59" s="1"/>
  <c r="S15" i="59" s="1"/>
  <c r="R9" i="59"/>
  <c r="R15" i="59" s="1"/>
  <c r="R8" i="59"/>
  <c r="R14" i="58"/>
  <c r="R8" i="58"/>
  <c r="R9" i="58" s="1"/>
  <c r="R15" i="58" s="1"/>
  <c r="S8" i="58"/>
  <c r="S9" i="58" s="1"/>
  <c r="S15" i="58" s="1"/>
  <c r="R14" i="57"/>
  <c r="S8" i="57"/>
  <c r="S9" i="57" s="1"/>
  <c r="R9" i="57"/>
  <c r="R15" i="57" s="1"/>
  <c r="R8" i="57"/>
  <c r="S22" i="57"/>
  <c r="S19" i="57"/>
  <c r="S13" i="57"/>
  <c r="S14" i="57" s="1"/>
  <c r="S10" i="57"/>
  <c r="S14" i="43"/>
  <c r="S10" i="43"/>
  <c r="R11" i="43"/>
  <c r="R22" i="43"/>
  <c r="R19" i="43"/>
  <c r="R13" i="43"/>
  <c r="R14" i="43" s="1"/>
  <c r="R10" i="43"/>
  <c r="S8" i="43"/>
  <c r="S9" i="43" s="1"/>
  <c r="R7" i="43"/>
  <c r="R20" i="43"/>
  <c r="R14" i="61"/>
  <c r="R15" i="61" s="1"/>
  <c r="S12" i="61"/>
  <c r="S20" i="61"/>
  <c r="S11" i="61"/>
  <c r="R16" i="61"/>
  <c r="S16" i="59" l="1"/>
  <c r="R16" i="59"/>
  <c r="S16" i="58"/>
  <c r="R16" i="58"/>
  <c r="S15" i="57"/>
  <c r="S16" i="57"/>
  <c r="R16" i="57"/>
  <c r="S15" i="43"/>
  <c r="S16" i="43"/>
  <c r="R8" i="43"/>
  <c r="R9" i="43" s="1"/>
  <c r="R15" i="43" s="1"/>
  <c r="S14" i="61"/>
  <c r="S15" i="61" s="1"/>
  <c r="S16" i="61" s="1"/>
  <c r="R16" i="43" l="1"/>
  <c r="J5" i="53" l="1"/>
  <c r="G6" i="59" l="1"/>
  <c r="H6" i="59"/>
  <c r="I6" i="59"/>
  <c r="J6" i="59"/>
  <c r="K6" i="59"/>
  <c r="L6" i="59"/>
  <c r="M6" i="59"/>
  <c r="N6" i="59"/>
  <c r="O6" i="59"/>
  <c r="P6" i="59"/>
  <c r="Q6" i="59"/>
  <c r="G7" i="59"/>
  <c r="H7" i="59"/>
  <c r="I7" i="59"/>
  <c r="J7" i="59"/>
  <c r="K7" i="59"/>
  <c r="L7" i="59"/>
  <c r="M7" i="59"/>
  <c r="N7" i="59"/>
  <c r="O7" i="59"/>
  <c r="P7" i="59"/>
  <c r="Q7" i="59"/>
  <c r="G31" i="59"/>
  <c r="H31" i="59"/>
  <c r="I31" i="59"/>
  <c r="J31" i="59"/>
  <c r="K31" i="59"/>
  <c r="L31" i="59"/>
  <c r="M31" i="59"/>
  <c r="N31" i="59"/>
  <c r="O31" i="59"/>
  <c r="P31" i="59"/>
  <c r="Q31" i="59"/>
  <c r="G6" i="58"/>
  <c r="H6" i="58"/>
  <c r="I6" i="58"/>
  <c r="J6" i="58"/>
  <c r="K6" i="58"/>
  <c r="L6" i="58"/>
  <c r="M6" i="58"/>
  <c r="N6" i="58"/>
  <c r="O6" i="58"/>
  <c r="P6" i="58"/>
  <c r="Q6" i="58"/>
  <c r="G7" i="58"/>
  <c r="H7" i="58"/>
  <c r="I7" i="58"/>
  <c r="J7" i="58"/>
  <c r="K7" i="58"/>
  <c r="L7" i="58"/>
  <c r="M7" i="58"/>
  <c r="N7" i="58"/>
  <c r="O7" i="58"/>
  <c r="P7" i="58"/>
  <c r="Q7" i="58"/>
  <c r="G31" i="58"/>
  <c r="H31" i="58"/>
  <c r="I31" i="58"/>
  <c r="J31" i="58"/>
  <c r="K31" i="58"/>
  <c r="L31" i="58"/>
  <c r="M31" i="58"/>
  <c r="N31" i="58"/>
  <c r="O31" i="58"/>
  <c r="P31" i="58"/>
  <c r="Q31" i="58"/>
  <c r="G6" i="57"/>
  <c r="H6" i="57"/>
  <c r="I6" i="57"/>
  <c r="J6" i="57"/>
  <c r="K6" i="57"/>
  <c r="L6" i="57"/>
  <c r="M6" i="57"/>
  <c r="N6" i="57"/>
  <c r="O6" i="57"/>
  <c r="P6" i="57"/>
  <c r="Q6" i="57"/>
  <c r="G7" i="57"/>
  <c r="H7" i="57"/>
  <c r="I7" i="57"/>
  <c r="J7" i="57"/>
  <c r="K7" i="57"/>
  <c r="L7" i="57"/>
  <c r="M7" i="57"/>
  <c r="N7" i="57"/>
  <c r="O7" i="57"/>
  <c r="P7" i="57"/>
  <c r="Q7" i="57"/>
  <c r="G31" i="57"/>
  <c r="H31" i="57"/>
  <c r="I31" i="57"/>
  <c r="J31" i="57"/>
  <c r="K31" i="57"/>
  <c r="L31" i="57"/>
  <c r="M31" i="57"/>
  <c r="N31" i="57"/>
  <c r="O31" i="57"/>
  <c r="P31" i="57"/>
  <c r="Q31" i="57"/>
  <c r="G6" i="43"/>
  <c r="H6" i="43"/>
  <c r="I6" i="43"/>
  <c r="J6" i="43"/>
  <c r="K6" i="43"/>
  <c r="L6" i="43"/>
  <c r="M6" i="43"/>
  <c r="N6" i="43"/>
  <c r="O6" i="43"/>
  <c r="P6" i="43"/>
  <c r="Q6" i="43"/>
  <c r="G7" i="43"/>
  <c r="H7" i="43"/>
  <c r="I7" i="43"/>
  <c r="J7" i="43"/>
  <c r="K7" i="43"/>
  <c r="L7" i="43"/>
  <c r="M7" i="43"/>
  <c r="N7" i="43"/>
  <c r="O7" i="43"/>
  <c r="P7" i="43"/>
  <c r="Q7" i="43"/>
  <c r="G31" i="43"/>
  <c r="H31" i="43"/>
  <c r="I31" i="43"/>
  <c r="J31" i="43"/>
  <c r="K31" i="43"/>
  <c r="L31" i="43"/>
  <c r="M31" i="43"/>
  <c r="N31" i="43"/>
  <c r="O31" i="43"/>
  <c r="P31" i="43"/>
  <c r="Q31" i="43"/>
  <c r="D31" i="61" l="1"/>
  <c r="E31" i="61"/>
  <c r="F31" i="61"/>
  <c r="G31" i="61"/>
  <c r="H31" i="61"/>
  <c r="I31" i="61"/>
  <c r="J31" i="61"/>
  <c r="K31" i="61"/>
  <c r="L31" i="61"/>
  <c r="M31" i="61"/>
  <c r="N31" i="61"/>
  <c r="O31" i="61"/>
  <c r="P31" i="61"/>
  <c r="Q31" i="61"/>
  <c r="D3" i="61"/>
  <c r="E3" i="61"/>
  <c r="F3" i="61"/>
  <c r="G3" i="61"/>
  <c r="H3" i="61"/>
  <c r="I3" i="61"/>
  <c r="J3" i="61"/>
  <c r="K3" i="61"/>
  <c r="L3" i="61"/>
  <c r="M3" i="61"/>
  <c r="N3" i="61"/>
  <c r="O3" i="61"/>
  <c r="P3" i="61"/>
  <c r="Q3" i="61"/>
  <c r="D4" i="61"/>
  <c r="E4" i="61"/>
  <c r="F4" i="61"/>
  <c r="G4" i="61"/>
  <c r="H4" i="61"/>
  <c r="I4" i="61"/>
  <c r="J4" i="61"/>
  <c r="K4" i="61"/>
  <c r="L4" i="61"/>
  <c r="M4" i="61"/>
  <c r="N4" i="61"/>
  <c r="O4" i="61"/>
  <c r="P4" i="61"/>
  <c r="Q4" i="61"/>
  <c r="D5" i="61"/>
  <c r="E5" i="61"/>
  <c r="F5" i="61"/>
  <c r="G5" i="61"/>
  <c r="H5" i="61"/>
  <c r="I5" i="61"/>
  <c r="J5" i="61"/>
  <c r="K5" i="61"/>
  <c r="L5" i="61"/>
  <c r="M5" i="61"/>
  <c r="N5" i="61"/>
  <c r="O5" i="61"/>
  <c r="P5" i="61"/>
  <c r="Q5" i="61"/>
  <c r="D6" i="61"/>
  <c r="E6" i="61"/>
  <c r="E7" i="61" s="1"/>
  <c r="E9" i="61" s="1"/>
  <c r="E32" i="61" s="1"/>
  <c r="F6" i="61"/>
  <c r="F7" i="61" s="1"/>
  <c r="F9" i="61" s="1"/>
  <c r="F32" i="61" s="1"/>
  <c r="G6" i="61"/>
  <c r="G7" i="61" s="1"/>
  <c r="G9" i="61" s="1"/>
  <c r="G32" i="61" s="1"/>
  <c r="H6" i="61"/>
  <c r="I6" i="61"/>
  <c r="J6" i="61"/>
  <c r="J7" i="61" s="1"/>
  <c r="J9" i="61" s="1"/>
  <c r="J32" i="61" s="1"/>
  <c r="K6" i="61"/>
  <c r="K7" i="61" s="1"/>
  <c r="K9" i="61" s="1"/>
  <c r="K32" i="61" s="1"/>
  <c r="L6" i="61"/>
  <c r="L7" i="61" s="1"/>
  <c r="L9" i="61" s="1"/>
  <c r="L32" i="61" s="1"/>
  <c r="M6" i="61"/>
  <c r="M7" i="61" s="1"/>
  <c r="M9" i="61" s="1"/>
  <c r="M32" i="61" s="1"/>
  <c r="N6" i="61"/>
  <c r="N7" i="61" s="1"/>
  <c r="N9" i="61" s="1"/>
  <c r="N32" i="61" s="1"/>
  <c r="O6" i="61"/>
  <c r="O7" i="61" s="1"/>
  <c r="O9" i="61" s="1"/>
  <c r="O32" i="61" s="1"/>
  <c r="P6" i="61"/>
  <c r="P7" i="61" s="1"/>
  <c r="P9" i="61" s="1"/>
  <c r="P32" i="61" s="1"/>
  <c r="Q6" i="61"/>
  <c r="Q7" i="61" s="1"/>
  <c r="Q9" i="61" s="1"/>
  <c r="Q32" i="61" s="1"/>
  <c r="D7" i="61"/>
  <c r="D9" i="61" s="1"/>
  <c r="D32" i="61" s="1"/>
  <c r="H7" i="61"/>
  <c r="H9" i="61" s="1"/>
  <c r="H32" i="61" s="1"/>
  <c r="I7" i="61"/>
  <c r="I9" i="61" s="1"/>
  <c r="I32" i="61" s="1"/>
  <c r="C196" i="50"/>
  <c r="C183" i="50"/>
  <c r="C170" i="50"/>
  <c r="C157" i="50"/>
  <c r="C144" i="50"/>
  <c r="C131" i="50"/>
  <c r="C118" i="50"/>
  <c r="C105" i="50"/>
  <c r="C92" i="50"/>
  <c r="C79" i="50"/>
  <c r="C66" i="50"/>
  <c r="I197" i="50"/>
  <c r="E200" i="50" s="1"/>
  <c r="I195" i="50"/>
  <c r="H205" i="50"/>
  <c r="H204" i="50"/>
  <c r="H203" i="50"/>
  <c r="H202" i="50"/>
  <c r="H201" i="50"/>
  <c r="H200" i="50"/>
  <c r="H199" i="50"/>
  <c r="H198" i="50"/>
  <c r="I184" i="50"/>
  <c r="E187" i="50" s="1"/>
  <c r="Q37" i="61" s="1"/>
  <c r="I182" i="50"/>
  <c r="H192" i="50"/>
  <c r="H191" i="50"/>
  <c r="H190" i="50"/>
  <c r="H189" i="50"/>
  <c r="H188" i="50"/>
  <c r="H187" i="50"/>
  <c r="H186" i="50"/>
  <c r="H185" i="50"/>
  <c r="I171" i="50"/>
  <c r="E174" i="50" s="1"/>
  <c r="P37" i="61" s="1"/>
  <c r="I169" i="50"/>
  <c r="H179" i="50"/>
  <c r="H178" i="50"/>
  <c r="H177" i="50"/>
  <c r="H176" i="50"/>
  <c r="H175" i="50"/>
  <c r="H174" i="50"/>
  <c r="H173" i="50"/>
  <c r="H172" i="50"/>
  <c r="I158" i="50"/>
  <c r="E161" i="50" s="1"/>
  <c r="O37" i="61" s="1"/>
  <c r="I156" i="50"/>
  <c r="H166" i="50"/>
  <c r="H165" i="50"/>
  <c r="H164" i="50"/>
  <c r="H163" i="50"/>
  <c r="H162" i="50"/>
  <c r="H161" i="50"/>
  <c r="H160" i="50"/>
  <c r="H159" i="50"/>
  <c r="I145" i="50"/>
  <c r="E147" i="50" s="1"/>
  <c r="N43" i="61" s="1"/>
  <c r="I143" i="50"/>
  <c r="H153" i="50"/>
  <c r="H152" i="50"/>
  <c r="H151" i="50"/>
  <c r="H150" i="50"/>
  <c r="H149" i="50"/>
  <c r="H148" i="50"/>
  <c r="H147" i="50"/>
  <c r="H146" i="50"/>
  <c r="I132" i="50"/>
  <c r="E135" i="50" s="1"/>
  <c r="M37" i="61" s="1"/>
  <c r="I130" i="50"/>
  <c r="H140" i="50"/>
  <c r="H139" i="50"/>
  <c r="H138" i="50"/>
  <c r="H137" i="50"/>
  <c r="H136" i="50"/>
  <c r="H135" i="50"/>
  <c r="H134" i="50"/>
  <c r="H133" i="50"/>
  <c r="I119" i="50"/>
  <c r="E122" i="50" s="1"/>
  <c r="L37" i="61" s="1"/>
  <c r="I117" i="50"/>
  <c r="H127" i="50"/>
  <c r="H126" i="50"/>
  <c r="H125" i="50"/>
  <c r="H124" i="50"/>
  <c r="H123" i="50"/>
  <c r="H122" i="50"/>
  <c r="H121" i="50"/>
  <c r="H120" i="50"/>
  <c r="I106" i="50"/>
  <c r="E110" i="50" s="1"/>
  <c r="I104" i="50"/>
  <c r="H114" i="50"/>
  <c r="H113" i="50"/>
  <c r="H112" i="50"/>
  <c r="H111" i="50"/>
  <c r="H110" i="50"/>
  <c r="H109" i="50"/>
  <c r="H108" i="50"/>
  <c r="H107" i="50"/>
  <c r="I93" i="50"/>
  <c r="E97" i="50" s="1"/>
  <c r="I91" i="50"/>
  <c r="H101" i="50"/>
  <c r="H100" i="50"/>
  <c r="H99" i="50"/>
  <c r="H98" i="50"/>
  <c r="H97" i="50"/>
  <c r="H96" i="50"/>
  <c r="H95" i="50"/>
  <c r="H94" i="50"/>
  <c r="I80" i="50"/>
  <c r="E84" i="50" s="1"/>
  <c r="I78" i="50"/>
  <c r="I67" i="50"/>
  <c r="E70" i="50" s="1"/>
  <c r="H37" i="61" s="1"/>
  <c r="I54" i="50"/>
  <c r="E57" i="50" s="1"/>
  <c r="G37" i="61" s="1"/>
  <c r="I28" i="50"/>
  <c r="I41" i="50"/>
  <c r="E42" i="50" s="1"/>
  <c r="E56" i="50"/>
  <c r="G43" i="61" s="1"/>
  <c r="H88" i="50"/>
  <c r="H87" i="50"/>
  <c r="H86" i="50"/>
  <c r="H85" i="50"/>
  <c r="H84" i="50"/>
  <c r="H83" i="50"/>
  <c r="H82" i="50"/>
  <c r="H81" i="50"/>
  <c r="I65" i="50"/>
  <c r="H68" i="50"/>
  <c r="H69" i="50"/>
  <c r="H70" i="50"/>
  <c r="H71" i="50"/>
  <c r="H72" i="50"/>
  <c r="H73" i="50"/>
  <c r="H74" i="50"/>
  <c r="H75" i="50"/>
  <c r="I52" i="50"/>
  <c r="E75" i="50" l="1"/>
  <c r="H47" i="61" s="1"/>
  <c r="E166" i="50"/>
  <c r="O47" i="61" s="1"/>
  <c r="O22" i="61" s="1"/>
  <c r="E205" i="50"/>
  <c r="E114" i="50"/>
  <c r="K47" i="61" s="1"/>
  <c r="K47" i="57" s="1"/>
  <c r="K22" i="57" s="1"/>
  <c r="E69" i="50"/>
  <c r="H43" i="61" s="1"/>
  <c r="H43" i="57" s="1"/>
  <c r="E96" i="50"/>
  <c r="J37" i="61" s="1"/>
  <c r="J37" i="58" s="1"/>
  <c r="J12" i="58" s="1"/>
  <c r="E149" i="50"/>
  <c r="E163" i="50"/>
  <c r="O45" i="61" s="1"/>
  <c r="O45" i="57" s="1"/>
  <c r="O20" i="57" s="1"/>
  <c r="E189" i="50"/>
  <c r="Q45" i="61" s="1"/>
  <c r="Q45" i="57" s="1"/>
  <c r="Q20" i="57" s="1"/>
  <c r="E202" i="50"/>
  <c r="E173" i="50"/>
  <c r="P43" i="61" s="1"/>
  <c r="P43" i="58" s="1"/>
  <c r="E111" i="50"/>
  <c r="K45" i="61" s="1"/>
  <c r="K45" i="43" s="1"/>
  <c r="K20" i="43" s="1"/>
  <c r="E140" i="50"/>
  <c r="M47" i="61" s="1"/>
  <c r="M47" i="58" s="1"/>
  <c r="M22" i="58" s="1"/>
  <c r="E146" i="50"/>
  <c r="N36" i="61" s="1"/>
  <c r="N36" i="59" s="1"/>
  <c r="N11" i="59" s="1"/>
  <c r="E179" i="50"/>
  <c r="P47" i="61" s="1"/>
  <c r="P47" i="59" s="1"/>
  <c r="P22" i="59" s="1"/>
  <c r="E186" i="50"/>
  <c r="Q43" i="61" s="1"/>
  <c r="Q43" i="57" s="1"/>
  <c r="E134" i="50"/>
  <c r="M43" i="61" s="1"/>
  <c r="M43" i="57" s="1"/>
  <c r="N11" i="61"/>
  <c r="E62" i="50"/>
  <c r="G47" i="61" s="1"/>
  <c r="G47" i="43" s="1"/>
  <c r="G22" i="43" s="1"/>
  <c r="E72" i="50"/>
  <c r="H45" i="61" s="1"/>
  <c r="H45" i="59" s="1"/>
  <c r="H20" i="59" s="1"/>
  <c r="E59" i="50"/>
  <c r="G45" i="61" s="1"/>
  <c r="G45" i="57" s="1"/>
  <c r="G20" i="57" s="1"/>
  <c r="E101" i="50"/>
  <c r="J47" i="61" s="1"/>
  <c r="J22" i="61" s="1"/>
  <c r="E107" i="50"/>
  <c r="K36" i="61" s="1"/>
  <c r="K11" i="61" s="1"/>
  <c r="E137" i="50"/>
  <c r="M45" i="61" s="1"/>
  <c r="M45" i="59" s="1"/>
  <c r="M20" i="59" s="1"/>
  <c r="E152" i="50"/>
  <c r="N38" i="61" s="1"/>
  <c r="N38" i="59" s="1"/>
  <c r="N13" i="59" s="1"/>
  <c r="E160" i="50"/>
  <c r="O43" i="61" s="1"/>
  <c r="O43" i="58" s="1"/>
  <c r="E176" i="50"/>
  <c r="P45" i="61" s="1"/>
  <c r="P45" i="58" s="1"/>
  <c r="P20" i="58" s="1"/>
  <c r="E192" i="50"/>
  <c r="Q47" i="61" s="1"/>
  <c r="Q22" i="61" s="1"/>
  <c r="E199" i="50"/>
  <c r="N43" i="59"/>
  <c r="N43" i="58"/>
  <c r="N43" i="57"/>
  <c r="N43" i="43"/>
  <c r="Q37" i="59"/>
  <c r="Q12" i="59" s="1"/>
  <c r="Q37" i="58"/>
  <c r="Q12" i="58" s="1"/>
  <c r="Q37" i="57"/>
  <c r="Q12" i="57" s="1"/>
  <c r="Q37" i="43"/>
  <c r="Q12" i="43" s="1"/>
  <c r="O37" i="59"/>
  <c r="O12" i="59" s="1"/>
  <c r="O37" i="58"/>
  <c r="O12" i="58" s="1"/>
  <c r="O37" i="57"/>
  <c r="O12" i="57" s="1"/>
  <c r="O37" i="43"/>
  <c r="O12" i="43" s="1"/>
  <c r="O12" i="61"/>
  <c r="M37" i="59"/>
  <c r="M12" i="59" s="1"/>
  <c r="M37" i="58"/>
  <c r="M12" i="58" s="1"/>
  <c r="M37" i="57"/>
  <c r="M12" i="57" s="1"/>
  <c r="M37" i="43"/>
  <c r="M12" i="43" s="1"/>
  <c r="M12" i="61"/>
  <c r="P37" i="59"/>
  <c r="P12" i="59" s="1"/>
  <c r="P37" i="58"/>
  <c r="P12" i="58" s="1"/>
  <c r="P37" i="57"/>
  <c r="P12" i="57" s="1"/>
  <c r="P37" i="43"/>
  <c r="P12" i="43" s="1"/>
  <c r="P12" i="61"/>
  <c r="E86" i="50"/>
  <c r="I44" i="61" s="1"/>
  <c r="I44" i="58" s="1"/>
  <c r="I19" i="58" s="1"/>
  <c r="E82" i="50"/>
  <c r="I43" i="61" s="1"/>
  <c r="I43" i="59" s="1"/>
  <c r="E120" i="50"/>
  <c r="L36" i="61" s="1"/>
  <c r="L11" i="61" s="1"/>
  <c r="M47" i="59"/>
  <c r="M22" i="59" s="1"/>
  <c r="M43" i="59"/>
  <c r="M43" i="58"/>
  <c r="N38" i="57"/>
  <c r="N13" i="57" s="1"/>
  <c r="N36" i="58"/>
  <c r="N11" i="58" s="1"/>
  <c r="O45" i="59"/>
  <c r="O20" i="59" s="1"/>
  <c r="Q5" i="59"/>
  <c r="Q5" i="43"/>
  <c r="Q5" i="58"/>
  <c r="Q5" i="57"/>
  <c r="K5" i="59"/>
  <c r="K5" i="58"/>
  <c r="K5" i="57"/>
  <c r="K5" i="43"/>
  <c r="Q4" i="59"/>
  <c r="Q4" i="58"/>
  <c r="Q4" i="57"/>
  <c r="Q4" i="43"/>
  <c r="K4" i="59"/>
  <c r="K4" i="58"/>
  <c r="K4" i="57"/>
  <c r="K4" i="43"/>
  <c r="N3" i="58"/>
  <c r="N3" i="57"/>
  <c r="N3" i="43"/>
  <c r="N3" i="59"/>
  <c r="E81" i="50"/>
  <c r="I36" i="61" s="1"/>
  <c r="I11" i="61" s="1"/>
  <c r="E85" i="50"/>
  <c r="I45" i="61" s="1"/>
  <c r="I45" i="59" s="1"/>
  <c r="I20" i="59" s="1"/>
  <c r="E99" i="50"/>
  <c r="J44" i="61" s="1"/>
  <c r="J19" i="61" s="1"/>
  <c r="E95" i="50"/>
  <c r="J43" i="61" s="1"/>
  <c r="J43" i="43" s="1"/>
  <c r="E109" i="50"/>
  <c r="K37" i="61" s="1"/>
  <c r="K12" i="61" s="1"/>
  <c r="E127" i="50"/>
  <c r="L47" i="61" s="1"/>
  <c r="L47" i="59" s="1"/>
  <c r="L22" i="59" s="1"/>
  <c r="E123" i="50"/>
  <c r="E139" i="50"/>
  <c r="M38" i="61" s="1"/>
  <c r="E136" i="50"/>
  <c r="E151" i="50"/>
  <c r="N44" i="61" s="1"/>
  <c r="E148" i="50"/>
  <c r="N37" i="61" s="1"/>
  <c r="N12" i="61" s="1"/>
  <c r="E165" i="50"/>
  <c r="O38" i="61" s="1"/>
  <c r="E162" i="50"/>
  <c r="E178" i="50"/>
  <c r="P38" i="61" s="1"/>
  <c r="E175" i="50"/>
  <c r="E191" i="50"/>
  <c r="Q38" i="61" s="1"/>
  <c r="Q13" i="61" s="1"/>
  <c r="E188" i="50"/>
  <c r="E204" i="50"/>
  <c r="E201" i="50"/>
  <c r="O20" i="61"/>
  <c r="P5" i="59"/>
  <c r="P5" i="58"/>
  <c r="P5" i="57"/>
  <c r="P5" i="43"/>
  <c r="M5" i="59"/>
  <c r="M5" i="58"/>
  <c r="M5" i="43"/>
  <c r="M5" i="57"/>
  <c r="J5" i="59"/>
  <c r="J5" i="58"/>
  <c r="J5" i="57"/>
  <c r="J5" i="43"/>
  <c r="P4" i="58"/>
  <c r="P4" i="57"/>
  <c r="P4" i="43"/>
  <c r="P4" i="59"/>
  <c r="M4" i="58"/>
  <c r="M4" i="57"/>
  <c r="M4" i="43"/>
  <c r="M4" i="59"/>
  <c r="J4" i="58"/>
  <c r="J4" i="57"/>
  <c r="J4" i="59"/>
  <c r="J4" i="43"/>
  <c r="P3" i="59"/>
  <c r="P3" i="57"/>
  <c r="P3" i="58"/>
  <c r="P3" i="43"/>
  <c r="M3" i="59"/>
  <c r="M3" i="58"/>
  <c r="M3" i="57"/>
  <c r="M3" i="43"/>
  <c r="J3" i="59"/>
  <c r="J3" i="43"/>
  <c r="J3" i="58"/>
  <c r="J3" i="57"/>
  <c r="E124" i="50"/>
  <c r="L45" i="61" s="1"/>
  <c r="L45" i="57" s="1"/>
  <c r="L20" i="57" s="1"/>
  <c r="O47" i="59"/>
  <c r="O22" i="59" s="1"/>
  <c r="O47" i="58"/>
  <c r="O22" i="58" s="1"/>
  <c r="P43" i="59"/>
  <c r="N5" i="59"/>
  <c r="N5" i="57"/>
  <c r="N5" i="58"/>
  <c r="N5" i="43"/>
  <c r="N4" i="59"/>
  <c r="N4" i="58"/>
  <c r="N4" i="43"/>
  <c r="N4" i="57"/>
  <c r="Q3" i="58"/>
  <c r="Q3" i="57"/>
  <c r="Q3" i="43"/>
  <c r="Q3" i="59"/>
  <c r="K3" i="58"/>
  <c r="K3" i="57"/>
  <c r="K3" i="59"/>
  <c r="K3" i="43"/>
  <c r="E88" i="50"/>
  <c r="I47" i="61" s="1"/>
  <c r="I47" i="58" s="1"/>
  <c r="I22" i="58" s="1"/>
  <c r="E83" i="50"/>
  <c r="I37" i="61" s="1"/>
  <c r="I12" i="61" s="1"/>
  <c r="E94" i="50"/>
  <c r="J36" i="61" s="1"/>
  <c r="J36" i="57" s="1"/>
  <c r="J11" i="57" s="1"/>
  <c r="E98" i="50"/>
  <c r="J45" i="61" s="1"/>
  <c r="J20" i="61" s="1"/>
  <c r="E112" i="50"/>
  <c r="K44" i="61" s="1"/>
  <c r="K44" i="58" s="1"/>
  <c r="K19" i="58" s="1"/>
  <c r="E108" i="50"/>
  <c r="K43" i="61" s="1"/>
  <c r="K43" i="58" s="1"/>
  <c r="E126" i="50"/>
  <c r="L38" i="61" s="1"/>
  <c r="L13" i="61" s="1"/>
  <c r="E121" i="50"/>
  <c r="L43" i="61" s="1"/>
  <c r="L43" i="59" s="1"/>
  <c r="E133" i="50"/>
  <c r="M36" i="61" s="1"/>
  <c r="E138" i="50"/>
  <c r="M44" i="61" s="1"/>
  <c r="E153" i="50"/>
  <c r="N47" i="61" s="1"/>
  <c r="E150" i="50"/>
  <c r="N45" i="61" s="1"/>
  <c r="E159" i="50"/>
  <c r="O36" i="61" s="1"/>
  <c r="E164" i="50"/>
  <c r="O44" i="61" s="1"/>
  <c r="E172" i="50"/>
  <c r="P36" i="61" s="1"/>
  <c r="E177" i="50"/>
  <c r="P44" i="61" s="1"/>
  <c r="E185" i="50"/>
  <c r="Q36" i="61" s="1"/>
  <c r="E190" i="50"/>
  <c r="Q44" i="61" s="1"/>
  <c r="E198" i="50"/>
  <c r="E203" i="50"/>
  <c r="N20" i="61"/>
  <c r="Q12" i="61"/>
  <c r="O5" i="58"/>
  <c r="O5" i="57"/>
  <c r="O5" i="43"/>
  <c r="O5" i="59"/>
  <c r="L5" i="58"/>
  <c r="L5" i="57"/>
  <c r="L5" i="43"/>
  <c r="L5" i="59"/>
  <c r="I5" i="58"/>
  <c r="I5" i="57"/>
  <c r="I5" i="59"/>
  <c r="I5" i="43"/>
  <c r="O4" i="59"/>
  <c r="O4" i="57"/>
  <c r="O4" i="58"/>
  <c r="O4" i="43"/>
  <c r="L4" i="59"/>
  <c r="L4" i="58"/>
  <c r="L4" i="57"/>
  <c r="L4" i="43"/>
  <c r="I4" i="59"/>
  <c r="I4" i="58"/>
  <c r="I4" i="43"/>
  <c r="I4" i="57"/>
  <c r="O3" i="59"/>
  <c r="O3" i="58"/>
  <c r="O3" i="43"/>
  <c r="O3" i="57"/>
  <c r="L3" i="59"/>
  <c r="L3" i="58"/>
  <c r="L3" i="57"/>
  <c r="L3" i="43"/>
  <c r="I3" i="59"/>
  <c r="I3" i="58"/>
  <c r="I3" i="57"/>
  <c r="I3" i="43"/>
  <c r="G37" i="59"/>
  <c r="G12" i="59" s="1"/>
  <c r="G37" i="58"/>
  <c r="G12" i="58" s="1"/>
  <c r="G37" i="57"/>
  <c r="G12" i="57" s="1"/>
  <c r="G37" i="43"/>
  <c r="G12" i="43" s="1"/>
  <c r="G12" i="61"/>
  <c r="H45" i="58"/>
  <c r="H20" i="58" s="1"/>
  <c r="G47" i="57"/>
  <c r="G22" i="57" s="1"/>
  <c r="G43" i="58"/>
  <c r="G43" i="57"/>
  <c r="G43" i="43"/>
  <c r="G43" i="59"/>
  <c r="H47" i="58"/>
  <c r="H22" i="58" s="1"/>
  <c r="H47" i="57"/>
  <c r="H22" i="57" s="1"/>
  <c r="H47" i="43"/>
  <c r="H22" i="43" s="1"/>
  <c r="H47" i="59"/>
  <c r="H22" i="59" s="1"/>
  <c r="H43" i="43"/>
  <c r="E61" i="50"/>
  <c r="G38" i="61" s="1"/>
  <c r="E58" i="50"/>
  <c r="H37" i="58"/>
  <c r="H12" i="58" s="1"/>
  <c r="H37" i="57"/>
  <c r="H12" i="57" s="1"/>
  <c r="H37" i="43"/>
  <c r="H12" i="43" s="1"/>
  <c r="H37" i="59"/>
  <c r="H12" i="59" s="1"/>
  <c r="H22" i="61"/>
  <c r="H20" i="61"/>
  <c r="H12" i="61"/>
  <c r="H5" i="57"/>
  <c r="H5" i="43"/>
  <c r="H5" i="59"/>
  <c r="H5" i="58"/>
  <c r="H4" i="57"/>
  <c r="H4" i="43"/>
  <c r="H4" i="59"/>
  <c r="H4" i="58"/>
  <c r="H3" i="57"/>
  <c r="H3" i="43"/>
  <c r="H3" i="59"/>
  <c r="H3" i="58"/>
  <c r="E74" i="50"/>
  <c r="H38" i="61" s="1"/>
  <c r="E55" i="50"/>
  <c r="G36" i="61" s="1"/>
  <c r="E60" i="50"/>
  <c r="G44" i="61" s="1"/>
  <c r="G5" i="59"/>
  <c r="G5" i="58"/>
  <c r="G5" i="57"/>
  <c r="G5" i="43"/>
  <c r="G4" i="59"/>
  <c r="G4" i="58"/>
  <c r="G4" i="57"/>
  <c r="G4" i="43"/>
  <c r="G3" i="59"/>
  <c r="G3" i="58"/>
  <c r="G3" i="57"/>
  <c r="G3" i="43"/>
  <c r="L37" i="57"/>
  <c r="L12" i="57" s="1"/>
  <c r="L37" i="43"/>
  <c r="L12" i="43" s="1"/>
  <c r="L37" i="59"/>
  <c r="L12" i="59" s="1"/>
  <c r="L37" i="58"/>
  <c r="L12" i="58" s="1"/>
  <c r="L12" i="61"/>
  <c r="J36" i="43"/>
  <c r="J11" i="43" s="1"/>
  <c r="I45" i="43"/>
  <c r="I20" i="43" s="1"/>
  <c r="L20" i="61"/>
  <c r="K37" i="59"/>
  <c r="K12" i="59" s="1"/>
  <c r="K37" i="43"/>
  <c r="K12" i="43" s="1"/>
  <c r="I43" i="43"/>
  <c r="K47" i="58"/>
  <c r="K22" i="58" s="1"/>
  <c r="E87" i="50"/>
  <c r="I38" i="61" s="1"/>
  <c r="E100" i="50"/>
  <c r="J38" i="61" s="1"/>
  <c r="E113" i="50"/>
  <c r="K38" i="61" s="1"/>
  <c r="E125" i="50"/>
  <c r="L44" i="61" s="1"/>
  <c r="L19" i="61" s="1"/>
  <c r="E71" i="50"/>
  <c r="E68" i="50"/>
  <c r="H36" i="61" s="1"/>
  <c r="E73" i="50"/>
  <c r="H44" i="61" s="1"/>
  <c r="L36" i="57" l="1"/>
  <c r="L11" i="57" s="1"/>
  <c r="L47" i="58"/>
  <c r="L22" i="58" s="1"/>
  <c r="I43" i="57"/>
  <c r="J44" i="58"/>
  <c r="J19" i="58" s="1"/>
  <c r="K45" i="58"/>
  <c r="K20" i="58" s="1"/>
  <c r="H43" i="59"/>
  <c r="O43" i="57"/>
  <c r="J44" i="59"/>
  <c r="J19" i="59" s="1"/>
  <c r="L38" i="57"/>
  <c r="L13" i="57" s="1"/>
  <c r="L14" i="57" s="1"/>
  <c r="L47" i="43"/>
  <c r="L22" i="43" s="1"/>
  <c r="G45" i="58"/>
  <c r="G20" i="58" s="1"/>
  <c r="Q45" i="58"/>
  <c r="Q20" i="58" s="1"/>
  <c r="P45" i="43"/>
  <c r="P20" i="43" s="1"/>
  <c r="J45" i="57"/>
  <c r="J20" i="57" s="1"/>
  <c r="I47" i="57"/>
  <c r="I22" i="57" s="1"/>
  <c r="K36" i="57"/>
  <c r="K11" i="57" s="1"/>
  <c r="K43" i="57"/>
  <c r="I45" i="57"/>
  <c r="I20" i="57" s="1"/>
  <c r="J37" i="59"/>
  <c r="J12" i="59" s="1"/>
  <c r="P43" i="57"/>
  <c r="O43" i="59"/>
  <c r="P20" i="61"/>
  <c r="O45" i="58"/>
  <c r="O20" i="58" s="1"/>
  <c r="I47" i="43"/>
  <c r="I22" i="43" s="1"/>
  <c r="L45" i="59"/>
  <c r="L20" i="59" s="1"/>
  <c r="I22" i="61"/>
  <c r="L38" i="43"/>
  <c r="L13" i="43" s="1"/>
  <c r="J37" i="43"/>
  <c r="J12" i="43" s="1"/>
  <c r="P47" i="43"/>
  <c r="P22" i="43" s="1"/>
  <c r="P45" i="59"/>
  <c r="P20" i="59" s="1"/>
  <c r="J45" i="59"/>
  <c r="J20" i="59" s="1"/>
  <c r="I43" i="58"/>
  <c r="I47" i="59"/>
  <c r="I22" i="59" s="1"/>
  <c r="K36" i="58"/>
  <c r="K11" i="58" s="1"/>
  <c r="J44" i="43"/>
  <c r="J19" i="43" s="1"/>
  <c r="L36" i="58"/>
  <c r="L11" i="58" s="1"/>
  <c r="L38" i="59"/>
  <c r="L13" i="59" s="1"/>
  <c r="K43" i="59"/>
  <c r="L47" i="57"/>
  <c r="L22" i="57" s="1"/>
  <c r="J36" i="58"/>
  <c r="J11" i="58" s="1"/>
  <c r="H43" i="58"/>
  <c r="G45" i="59"/>
  <c r="G20" i="59" s="1"/>
  <c r="H45" i="43"/>
  <c r="H20" i="43" s="1"/>
  <c r="M20" i="61"/>
  <c r="Q45" i="43"/>
  <c r="Q20" i="43" s="1"/>
  <c r="P43" i="43"/>
  <c r="O43" i="43"/>
  <c r="O47" i="43"/>
  <c r="O22" i="43" s="1"/>
  <c r="M45" i="43"/>
  <c r="M20" i="43" s="1"/>
  <c r="O45" i="43"/>
  <c r="O20" i="43" s="1"/>
  <c r="N36" i="57"/>
  <c r="N11" i="57" s="1"/>
  <c r="M43" i="43"/>
  <c r="L14" i="61"/>
  <c r="J12" i="61"/>
  <c r="L45" i="43"/>
  <c r="L20" i="43" s="1"/>
  <c r="I37" i="59"/>
  <c r="I12" i="59" s="1"/>
  <c r="L36" i="59"/>
  <c r="L11" i="59" s="1"/>
  <c r="K45" i="57"/>
  <c r="K20" i="57" s="1"/>
  <c r="K45" i="59"/>
  <c r="K20" i="59" s="1"/>
  <c r="J37" i="57"/>
  <c r="J12" i="57" s="1"/>
  <c r="G45" i="43"/>
  <c r="G20" i="43" s="1"/>
  <c r="Q20" i="61"/>
  <c r="Q45" i="59"/>
  <c r="Q20" i="59" s="1"/>
  <c r="P47" i="57"/>
  <c r="P22" i="57" s="1"/>
  <c r="M45" i="57"/>
  <c r="M20" i="57" s="1"/>
  <c r="P45" i="57"/>
  <c r="P20" i="57" s="1"/>
  <c r="K20" i="61"/>
  <c r="J45" i="58"/>
  <c r="J20" i="58" s="1"/>
  <c r="J45" i="43"/>
  <c r="J20" i="43" s="1"/>
  <c r="L45" i="58"/>
  <c r="L20" i="58" s="1"/>
  <c r="K36" i="43"/>
  <c r="K11" i="43" s="1"/>
  <c r="K36" i="59"/>
  <c r="K11" i="59" s="1"/>
  <c r="J44" i="57"/>
  <c r="J19" i="57" s="1"/>
  <c r="I36" i="59"/>
  <c r="I11" i="59" s="1"/>
  <c r="L22" i="61"/>
  <c r="L36" i="43"/>
  <c r="L11" i="43" s="1"/>
  <c r="L38" i="58"/>
  <c r="L13" i="58" s="1"/>
  <c r="K44" i="43"/>
  <c r="K19" i="43" s="1"/>
  <c r="G20" i="61"/>
  <c r="H45" i="57"/>
  <c r="H20" i="57" s="1"/>
  <c r="P22" i="61"/>
  <c r="P47" i="58"/>
  <c r="P22" i="58" s="1"/>
  <c r="O47" i="57"/>
  <c r="O22" i="57" s="1"/>
  <c r="M45" i="58"/>
  <c r="M20" i="58" s="1"/>
  <c r="N36" i="43"/>
  <c r="N11" i="43" s="1"/>
  <c r="K37" i="57"/>
  <c r="K12" i="57" s="1"/>
  <c r="I45" i="58"/>
  <c r="I20" i="58" s="1"/>
  <c r="L43" i="43"/>
  <c r="K44" i="59"/>
  <c r="K19" i="59" s="1"/>
  <c r="Q47" i="59"/>
  <c r="Q22" i="59" s="1"/>
  <c r="Q43" i="43"/>
  <c r="K47" i="43"/>
  <c r="K22" i="43" s="1"/>
  <c r="K47" i="59"/>
  <c r="K22" i="59" s="1"/>
  <c r="K22" i="61"/>
  <c r="K37" i="58"/>
  <c r="K12" i="58" s="1"/>
  <c r="I20" i="61"/>
  <c r="J47" i="59"/>
  <c r="J22" i="59" s="1"/>
  <c r="Q43" i="58"/>
  <c r="M47" i="43"/>
  <c r="M22" i="43" s="1"/>
  <c r="I37" i="43"/>
  <c r="I12" i="43" s="1"/>
  <c r="J43" i="59"/>
  <c r="J47" i="57"/>
  <c r="J22" i="57" s="1"/>
  <c r="L43" i="58"/>
  <c r="L43" i="57"/>
  <c r="K44" i="57"/>
  <c r="K19" i="57" s="1"/>
  <c r="I44" i="59"/>
  <c r="I19" i="59" s="1"/>
  <c r="G47" i="59"/>
  <c r="G22" i="59" s="1"/>
  <c r="G47" i="58"/>
  <c r="G22" i="58" s="1"/>
  <c r="M22" i="61"/>
  <c r="Q47" i="43"/>
  <c r="Q22" i="43" s="1"/>
  <c r="Q47" i="58"/>
  <c r="Q22" i="58" s="1"/>
  <c r="Q43" i="59"/>
  <c r="N38" i="43"/>
  <c r="N13" i="43" s="1"/>
  <c r="N38" i="58"/>
  <c r="N13" i="58" s="1"/>
  <c r="M47" i="57"/>
  <c r="M22" i="57" s="1"/>
  <c r="K19" i="61"/>
  <c r="I37" i="58"/>
  <c r="I12" i="58" s="1"/>
  <c r="I37" i="57"/>
  <c r="I12" i="57" s="1"/>
  <c r="J47" i="58"/>
  <c r="J22" i="58" s="1"/>
  <c r="J47" i="43"/>
  <c r="J22" i="43" s="1"/>
  <c r="G22" i="61"/>
  <c r="I19" i="61"/>
  <c r="Q47" i="57"/>
  <c r="Q22" i="57" s="1"/>
  <c r="N13" i="61"/>
  <c r="N14" i="61" s="1"/>
  <c r="P36" i="59"/>
  <c r="P11" i="59" s="1"/>
  <c r="P36" i="43"/>
  <c r="P11" i="43" s="1"/>
  <c r="P36" i="57"/>
  <c r="P11" i="57" s="1"/>
  <c r="P36" i="58"/>
  <c r="P11" i="58" s="1"/>
  <c r="P11" i="61"/>
  <c r="M36" i="59"/>
  <c r="M11" i="59" s="1"/>
  <c r="M36" i="58"/>
  <c r="M11" i="58" s="1"/>
  <c r="M36" i="57"/>
  <c r="M11" i="57" s="1"/>
  <c r="M36" i="43"/>
  <c r="M11" i="43" s="1"/>
  <c r="M11" i="61"/>
  <c r="N44" i="59"/>
  <c r="N19" i="59" s="1"/>
  <c r="N44" i="57"/>
  <c r="N19" i="57" s="1"/>
  <c r="N44" i="58"/>
  <c r="N19" i="58" s="1"/>
  <c r="N44" i="43"/>
  <c r="N19" i="43" s="1"/>
  <c r="N19" i="61"/>
  <c r="J36" i="59"/>
  <c r="J11" i="59" s="1"/>
  <c r="I44" i="43"/>
  <c r="I19" i="43" s="1"/>
  <c r="I44" i="57"/>
  <c r="I19" i="57" s="1"/>
  <c r="Q36" i="58"/>
  <c r="Q11" i="58" s="1"/>
  <c r="Q36" i="57"/>
  <c r="Q11" i="57" s="1"/>
  <c r="Q36" i="59"/>
  <c r="Q11" i="59" s="1"/>
  <c r="Q36" i="43"/>
  <c r="Q11" i="43" s="1"/>
  <c r="O44" i="59"/>
  <c r="O19" i="59" s="1"/>
  <c r="O44" i="58"/>
  <c r="O19" i="58" s="1"/>
  <c r="O44" i="57"/>
  <c r="O19" i="57" s="1"/>
  <c r="O44" i="43"/>
  <c r="O19" i="43" s="1"/>
  <c r="O19" i="61"/>
  <c r="N47" i="59"/>
  <c r="N22" i="59" s="1"/>
  <c r="N47" i="58"/>
  <c r="N22" i="58" s="1"/>
  <c r="N47" i="43"/>
  <c r="N22" i="43" s="1"/>
  <c r="N47" i="57"/>
  <c r="N22" i="57" s="1"/>
  <c r="N22" i="61"/>
  <c r="O38" i="59"/>
  <c r="O13" i="59" s="1"/>
  <c r="O38" i="58"/>
  <c r="O13" i="58" s="1"/>
  <c r="O38" i="57"/>
  <c r="O13" i="57" s="1"/>
  <c r="O38" i="43"/>
  <c r="O13" i="43" s="1"/>
  <c r="O13" i="61"/>
  <c r="Q11" i="61"/>
  <c r="Q14" i="61" s="1"/>
  <c r="Q44" i="59"/>
  <c r="Q19" i="59" s="1"/>
  <c r="Q44" i="58"/>
  <c r="Q19" i="58" s="1"/>
  <c r="Q44" i="43"/>
  <c r="Q19" i="43" s="1"/>
  <c r="Q44" i="57"/>
  <c r="Q19" i="57" s="1"/>
  <c r="Q19" i="61"/>
  <c r="N45" i="58"/>
  <c r="N20" i="58" s="1"/>
  <c r="N45" i="59"/>
  <c r="N20" i="59" s="1"/>
  <c r="N45" i="57"/>
  <c r="N20" i="57" s="1"/>
  <c r="N45" i="43"/>
  <c r="N20" i="43" s="1"/>
  <c r="Q38" i="57"/>
  <c r="Q13" i="57" s="1"/>
  <c r="Q38" i="43"/>
  <c r="Q13" i="43" s="1"/>
  <c r="Q38" i="59"/>
  <c r="Q13" i="59" s="1"/>
  <c r="Q38" i="58"/>
  <c r="Q13" i="58" s="1"/>
  <c r="I36" i="43"/>
  <c r="I11" i="43" s="1"/>
  <c r="K43" i="43"/>
  <c r="J43" i="57"/>
  <c r="J11" i="61"/>
  <c r="I36" i="58"/>
  <c r="I11" i="58" s="1"/>
  <c r="I36" i="57"/>
  <c r="I11" i="57" s="1"/>
  <c r="J43" i="58"/>
  <c r="P44" i="59"/>
  <c r="P19" i="59" s="1"/>
  <c r="P44" i="58"/>
  <c r="P19" i="58" s="1"/>
  <c r="P44" i="57"/>
  <c r="P19" i="57" s="1"/>
  <c r="P44" i="43"/>
  <c r="P19" i="43" s="1"/>
  <c r="P19" i="61"/>
  <c r="O36" i="59"/>
  <c r="O11" i="59" s="1"/>
  <c r="O36" i="58"/>
  <c r="O11" i="58" s="1"/>
  <c r="O36" i="57"/>
  <c r="O11" i="57" s="1"/>
  <c r="O36" i="43"/>
  <c r="O11" i="43" s="1"/>
  <c r="O11" i="61"/>
  <c r="M44" i="59"/>
  <c r="M19" i="59" s="1"/>
  <c r="M44" i="58"/>
  <c r="M19" i="58" s="1"/>
  <c r="M44" i="57"/>
  <c r="M19" i="57" s="1"/>
  <c r="M44" i="43"/>
  <c r="M19" i="43" s="1"/>
  <c r="M19" i="61"/>
  <c r="P38" i="59"/>
  <c r="P13" i="59" s="1"/>
  <c r="P38" i="58"/>
  <c r="P13" i="58" s="1"/>
  <c r="P38" i="57"/>
  <c r="P13" i="57" s="1"/>
  <c r="P38" i="43"/>
  <c r="P13" i="43" s="1"/>
  <c r="P13" i="61"/>
  <c r="N37" i="58"/>
  <c r="N12" i="58" s="1"/>
  <c r="N37" i="57"/>
  <c r="N12" i="57" s="1"/>
  <c r="N37" i="59"/>
  <c r="N12" i="59" s="1"/>
  <c r="N14" i="59" s="1"/>
  <c r="N37" i="43"/>
  <c r="N12" i="43" s="1"/>
  <c r="M38" i="59"/>
  <c r="M13" i="59" s="1"/>
  <c r="M38" i="43"/>
  <c r="M13" i="43" s="1"/>
  <c r="M38" i="57"/>
  <c r="M13" i="57" s="1"/>
  <c r="M38" i="58"/>
  <c r="M13" i="58" s="1"/>
  <c r="M13" i="61"/>
  <c r="G44" i="59"/>
  <c r="G19" i="59" s="1"/>
  <c r="G44" i="58"/>
  <c r="G19" i="58" s="1"/>
  <c r="G44" i="57"/>
  <c r="G19" i="57" s="1"/>
  <c r="G44" i="43"/>
  <c r="G19" i="43" s="1"/>
  <c r="G19" i="61"/>
  <c r="G38" i="58"/>
  <c r="G13" i="58" s="1"/>
  <c r="G38" i="57"/>
  <c r="G13" i="57" s="1"/>
  <c r="G38" i="43"/>
  <c r="G13" i="43" s="1"/>
  <c r="G38" i="59"/>
  <c r="G13" i="59" s="1"/>
  <c r="G13" i="61"/>
  <c r="H44" i="58"/>
  <c r="H19" i="58" s="1"/>
  <c r="H44" i="57"/>
  <c r="H19" i="57" s="1"/>
  <c r="H44" i="43"/>
  <c r="H19" i="43" s="1"/>
  <c r="H44" i="59"/>
  <c r="H19" i="59" s="1"/>
  <c r="H19" i="61"/>
  <c r="G36" i="58"/>
  <c r="G11" i="58" s="1"/>
  <c r="G36" i="57"/>
  <c r="G11" i="57" s="1"/>
  <c r="G36" i="43"/>
  <c r="G11" i="43" s="1"/>
  <c r="G36" i="59"/>
  <c r="G11" i="59" s="1"/>
  <c r="G11" i="61"/>
  <c r="H36" i="58"/>
  <c r="H11" i="58" s="1"/>
  <c r="H36" i="57"/>
  <c r="H11" i="57" s="1"/>
  <c r="H36" i="43"/>
  <c r="H11" i="43" s="1"/>
  <c r="H36" i="59"/>
  <c r="H11" i="59" s="1"/>
  <c r="H11" i="61"/>
  <c r="H38" i="59"/>
  <c r="H13" i="59" s="1"/>
  <c r="H38" i="58"/>
  <c r="H13" i="58" s="1"/>
  <c r="H38" i="57"/>
  <c r="H13" i="57" s="1"/>
  <c r="H38" i="43"/>
  <c r="H13" i="43" s="1"/>
  <c r="H13" i="61"/>
  <c r="I38" i="57"/>
  <c r="I13" i="57" s="1"/>
  <c r="I38" i="43"/>
  <c r="I13" i="43" s="1"/>
  <c r="I38" i="59"/>
  <c r="I13" i="59" s="1"/>
  <c r="I38" i="58"/>
  <c r="I13" i="58" s="1"/>
  <c r="I13" i="61"/>
  <c r="I14" i="61" s="1"/>
  <c r="L44" i="57"/>
  <c r="L19" i="57" s="1"/>
  <c r="L44" i="43"/>
  <c r="L19" i="43" s="1"/>
  <c r="L44" i="59"/>
  <c r="L19" i="59" s="1"/>
  <c r="L44" i="58"/>
  <c r="L19" i="58" s="1"/>
  <c r="K38" i="59"/>
  <c r="K13" i="59" s="1"/>
  <c r="K38" i="58"/>
  <c r="K13" i="58" s="1"/>
  <c r="K38" i="57"/>
  <c r="K13" i="57" s="1"/>
  <c r="K38" i="43"/>
  <c r="K13" i="43" s="1"/>
  <c r="K13" i="61"/>
  <c r="K14" i="61" s="1"/>
  <c r="L14" i="59"/>
  <c r="J38" i="43"/>
  <c r="J13" i="43" s="1"/>
  <c r="J38" i="58"/>
  <c r="J13" i="58" s="1"/>
  <c r="J14" i="58" s="1"/>
  <c r="J38" i="57"/>
  <c r="J13" i="57" s="1"/>
  <c r="J14" i="57" s="1"/>
  <c r="J38" i="59"/>
  <c r="J13" i="59" s="1"/>
  <c r="J13" i="61"/>
  <c r="K14" i="57"/>
  <c r="E24" i="53"/>
  <c r="D33" i="61" s="1"/>
  <c r="F24" i="53"/>
  <c r="G24" i="53"/>
  <c r="H24" i="53"/>
  <c r="G33" i="61" s="1"/>
  <c r="I24" i="53"/>
  <c r="H33" i="61" s="1"/>
  <c r="J24" i="53"/>
  <c r="I33" i="61" s="1"/>
  <c r="K24" i="53"/>
  <c r="J33" i="61" s="1"/>
  <c r="L24" i="53"/>
  <c r="K33" i="61" s="1"/>
  <c r="M24" i="53"/>
  <c r="L33" i="61" s="1"/>
  <c r="N24" i="53"/>
  <c r="M33" i="61" s="1"/>
  <c r="O24" i="53"/>
  <c r="N33" i="61" s="1"/>
  <c r="P24" i="53"/>
  <c r="O33" i="61" s="1"/>
  <c r="Q24" i="53"/>
  <c r="P33" i="61" s="1"/>
  <c r="R24" i="53"/>
  <c r="Q33" i="61" s="1"/>
  <c r="S24" i="53"/>
  <c r="E25" i="53"/>
  <c r="E26" i="53" s="1"/>
  <c r="K25" i="53"/>
  <c r="J33" i="43" s="1"/>
  <c r="L25" i="53"/>
  <c r="K33" i="43" s="1"/>
  <c r="N25" i="53"/>
  <c r="K26" i="53"/>
  <c r="J33" i="57" s="1"/>
  <c r="G16" i="55"/>
  <c r="H16" i="55"/>
  <c r="I16" i="55"/>
  <c r="J16" i="55"/>
  <c r="K16" i="55"/>
  <c r="L16" i="55"/>
  <c r="M16" i="55"/>
  <c r="N16" i="55"/>
  <c r="O16" i="55"/>
  <c r="P16" i="55"/>
  <c r="Q16" i="55"/>
  <c r="R16" i="55"/>
  <c r="J18" i="55"/>
  <c r="J19" i="55" s="1"/>
  <c r="J20" i="55" s="1"/>
  <c r="K18" i="55"/>
  <c r="K19" i="55" s="1"/>
  <c r="K20" i="55" s="1"/>
  <c r="H4" i="53"/>
  <c r="I4" i="53"/>
  <c r="J4" i="53"/>
  <c r="K4" i="53"/>
  <c r="L4" i="53"/>
  <c r="M4" i="53"/>
  <c r="N4" i="53"/>
  <c r="O4" i="53"/>
  <c r="P4" i="53"/>
  <c r="Q4" i="53"/>
  <c r="R4" i="53"/>
  <c r="S4" i="53"/>
  <c r="H5" i="53"/>
  <c r="I5" i="53"/>
  <c r="K5" i="53"/>
  <c r="L5" i="53"/>
  <c r="M5" i="53"/>
  <c r="N5" i="53"/>
  <c r="O5" i="53"/>
  <c r="P5" i="53"/>
  <c r="Q5" i="53"/>
  <c r="R5" i="53"/>
  <c r="S5" i="53"/>
  <c r="J7" i="50"/>
  <c r="K7" i="50"/>
  <c r="J14" i="43" l="1"/>
  <c r="L14" i="58"/>
  <c r="K14" i="43"/>
  <c r="I14" i="57"/>
  <c r="L14" i="43"/>
  <c r="K14" i="58"/>
  <c r="I14" i="43"/>
  <c r="G14" i="61"/>
  <c r="G14" i="57"/>
  <c r="N14" i="57"/>
  <c r="O14" i="61"/>
  <c r="O14" i="58"/>
  <c r="K14" i="59"/>
  <c r="I14" i="59"/>
  <c r="E33" i="61"/>
  <c r="E34" i="61" s="1"/>
  <c r="E18" i="55"/>
  <c r="F33" i="61"/>
  <c r="F18" i="55"/>
  <c r="N14" i="43"/>
  <c r="J14" i="61"/>
  <c r="O14" i="57"/>
  <c r="N14" i="58"/>
  <c r="I14" i="58"/>
  <c r="M14" i="43"/>
  <c r="P14" i="57"/>
  <c r="J14" i="59"/>
  <c r="H14" i="59"/>
  <c r="G14" i="43"/>
  <c r="O14" i="43"/>
  <c r="O14" i="59"/>
  <c r="Q14" i="59"/>
  <c r="M14" i="59"/>
  <c r="Q14" i="57"/>
  <c r="M14" i="57"/>
  <c r="P14" i="61"/>
  <c r="P14" i="43"/>
  <c r="Q14" i="43"/>
  <c r="Q14" i="58"/>
  <c r="M14" i="61"/>
  <c r="M14" i="58"/>
  <c r="P14" i="58"/>
  <c r="P14" i="59"/>
  <c r="H14" i="58"/>
  <c r="H14" i="43"/>
  <c r="H14" i="61"/>
  <c r="H14" i="57"/>
  <c r="G14" i="59"/>
  <c r="G14" i="58"/>
  <c r="P18" i="55"/>
  <c r="P19" i="55" s="1"/>
  <c r="P20" i="55" s="1"/>
  <c r="R25" i="53"/>
  <c r="M18" i="55"/>
  <c r="M19" i="55" s="1"/>
  <c r="M20" i="55" s="1"/>
  <c r="N18" i="55"/>
  <c r="N19" i="55" s="1"/>
  <c r="N20" i="55" s="1"/>
  <c r="Q25" i="53"/>
  <c r="P33" i="43" s="1"/>
  <c r="Q18" i="55"/>
  <c r="Q19" i="55" s="1"/>
  <c r="Q20" i="55" s="1"/>
  <c r="R26" i="53"/>
  <c r="Q33" i="43"/>
  <c r="N26" i="53"/>
  <c r="M33" i="43"/>
  <c r="K10" i="43"/>
  <c r="J10" i="43"/>
  <c r="K34" i="61"/>
  <c r="K40" i="61" s="1"/>
  <c r="K10" i="61"/>
  <c r="K15" i="61" s="1"/>
  <c r="K16" i="61" s="1"/>
  <c r="J10" i="57"/>
  <c r="L34" i="61"/>
  <c r="L40" i="61" s="1"/>
  <c r="L10" i="61"/>
  <c r="L15" i="61" s="1"/>
  <c r="L16" i="61" s="1"/>
  <c r="L18" i="55"/>
  <c r="L19" i="55" s="1"/>
  <c r="L20" i="55" s="1"/>
  <c r="L26" i="53"/>
  <c r="M25" i="53"/>
  <c r="J34" i="61"/>
  <c r="J40" i="61" s="1"/>
  <c r="J10" i="61"/>
  <c r="I18" i="55"/>
  <c r="I19" i="55" s="1"/>
  <c r="I20" i="55" s="1"/>
  <c r="J25" i="53"/>
  <c r="I34" i="61"/>
  <c r="I40" i="61" s="1"/>
  <c r="I10" i="61"/>
  <c r="I15" i="61" s="1"/>
  <c r="I16" i="61" s="1"/>
  <c r="R18" i="55"/>
  <c r="R19" i="55" s="1"/>
  <c r="R20" i="55" s="1"/>
  <c r="S25" i="53"/>
  <c r="Q34" i="61"/>
  <c r="Q40" i="61" s="1"/>
  <c r="Q10" i="61"/>
  <c r="Q15" i="61" s="1"/>
  <c r="Q16" i="61" s="1"/>
  <c r="P34" i="61"/>
  <c r="P40" i="61" s="1"/>
  <c r="P10" i="61"/>
  <c r="O18" i="55"/>
  <c r="O19" i="55" s="1"/>
  <c r="O20" i="55" s="1"/>
  <c r="O34" i="61"/>
  <c r="O40" i="61" s="1"/>
  <c r="O10" i="61"/>
  <c r="P25" i="53"/>
  <c r="N34" i="61"/>
  <c r="N40" i="61" s="1"/>
  <c r="N10" i="61"/>
  <c r="N15" i="61" s="1"/>
  <c r="N16" i="61" s="1"/>
  <c r="O25" i="53"/>
  <c r="M34" i="61"/>
  <c r="M40" i="61" s="1"/>
  <c r="M10" i="61"/>
  <c r="I25" i="53"/>
  <c r="H10" i="61"/>
  <c r="H34" i="61"/>
  <c r="H40" i="61" s="1"/>
  <c r="H18" i="55"/>
  <c r="H19" i="55" s="1"/>
  <c r="H20" i="55" s="1"/>
  <c r="G18" i="55"/>
  <c r="G19" i="55" s="1"/>
  <c r="G20" i="55" s="1"/>
  <c r="H25" i="53"/>
  <c r="G34" i="61"/>
  <c r="G40" i="61" s="1"/>
  <c r="G10" i="61"/>
  <c r="G15" i="61" s="1"/>
  <c r="G16" i="61" s="1"/>
  <c r="F34" i="61"/>
  <c r="F10" i="61"/>
  <c r="G25" i="53"/>
  <c r="G26" i="53" s="1"/>
  <c r="F25" i="53"/>
  <c r="F26" i="53" s="1"/>
  <c r="D34" i="61"/>
  <c r="D10" i="61"/>
  <c r="H7" i="50"/>
  <c r="L7" i="50"/>
  <c r="O15" i="61" l="1"/>
  <c r="O16" i="61" s="1"/>
  <c r="J15" i="61"/>
  <c r="J16" i="61" s="1"/>
  <c r="E10" i="61"/>
  <c r="M15" i="61"/>
  <c r="M16" i="61" s="1"/>
  <c r="P15" i="61"/>
  <c r="P16" i="61" s="1"/>
  <c r="H15" i="61"/>
  <c r="H16" i="61" s="1"/>
  <c r="Q26" i="53"/>
  <c r="P33" i="57" s="1"/>
  <c r="M10" i="43"/>
  <c r="I26" i="53"/>
  <c r="H33" i="43"/>
  <c r="O26" i="53"/>
  <c r="N33" i="43"/>
  <c r="P26" i="53"/>
  <c r="O33" i="43"/>
  <c r="M33" i="57"/>
  <c r="Q10" i="43"/>
  <c r="H26" i="53"/>
  <c r="G33" i="43"/>
  <c r="S26" i="53"/>
  <c r="P10" i="43"/>
  <c r="Q33" i="57"/>
  <c r="J33" i="58"/>
  <c r="J33" i="59"/>
  <c r="L33" i="43"/>
  <c r="M26" i="53"/>
  <c r="K33" i="57"/>
  <c r="I33" i="43"/>
  <c r="J26" i="53"/>
  <c r="F33" i="59"/>
  <c r="F33" i="58"/>
  <c r="F33" i="57"/>
  <c r="G33" i="57" l="1"/>
  <c r="O33" i="57"/>
  <c r="H10" i="43"/>
  <c r="P33" i="59"/>
  <c r="P33" i="58"/>
  <c r="M33" i="59"/>
  <c r="M33" i="58"/>
  <c r="N10" i="43"/>
  <c r="H33" i="57"/>
  <c r="Q33" i="59"/>
  <c r="Q33" i="58"/>
  <c r="M10" i="57"/>
  <c r="Q10" i="57"/>
  <c r="G10" i="43"/>
  <c r="O10" i="43"/>
  <c r="N33" i="57"/>
  <c r="P10" i="57"/>
  <c r="J10" i="59"/>
  <c r="K33" i="58"/>
  <c r="K33" i="59"/>
  <c r="L10" i="43"/>
  <c r="K10" i="57"/>
  <c r="L33" i="57"/>
  <c r="J10" i="58"/>
  <c r="I33" i="57"/>
  <c r="I10" i="43"/>
  <c r="E31" i="59"/>
  <c r="F31" i="59"/>
  <c r="E31" i="58"/>
  <c r="F31" i="58"/>
  <c r="E31" i="57"/>
  <c r="F31" i="57"/>
  <c r="D31" i="43"/>
  <c r="E31" i="43"/>
  <c r="F31" i="43"/>
  <c r="T8" i="61"/>
  <c r="I39" i="50"/>
  <c r="I26" i="50"/>
  <c r="E6" i="59"/>
  <c r="E7" i="59" s="1"/>
  <c r="F6" i="59"/>
  <c r="F7" i="59" s="1"/>
  <c r="E6" i="58"/>
  <c r="E7" i="58" s="1"/>
  <c r="F6" i="58"/>
  <c r="F7" i="58" s="1"/>
  <c r="E6" i="57"/>
  <c r="E7" i="57" s="1"/>
  <c r="F6" i="57"/>
  <c r="F7" i="57" s="1"/>
  <c r="E6" i="43"/>
  <c r="E7" i="43" s="1"/>
  <c r="F6" i="43"/>
  <c r="F7" i="43" s="1"/>
  <c r="F4" i="53"/>
  <c r="G4" i="53"/>
  <c r="F5" i="53"/>
  <c r="G5" i="53"/>
  <c r="E3" i="59"/>
  <c r="F3" i="59"/>
  <c r="E4" i="59"/>
  <c r="F4" i="57"/>
  <c r="E5" i="59"/>
  <c r="F5" i="59"/>
  <c r="N10" i="57" l="1"/>
  <c r="H10" i="57"/>
  <c r="P10" i="59"/>
  <c r="O10" i="57"/>
  <c r="G33" i="59"/>
  <c r="G33" i="58"/>
  <c r="N33" i="59"/>
  <c r="N33" i="58"/>
  <c r="Q10" i="58"/>
  <c r="H33" i="59"/>
  <c r="H33" i="58"/>
  <c r="M10" i="58"/>
  <c r="O33" i="59"/>
  <c r="O33" i="58"/>
  <c r="Q10" i="59"/>
  <c r="M10" i="59"/>
  <c r="P10" i="58"/>
  <c r="G10" i="57"/>
  <c r="L10" i="57"/>
  <c r="K10" i="58"/>
  <c r="L33" i="58"/>
  <c r="L33" i="59"/>
  <c r="K10" i="59"/>
  <c r="I33" i="58"/>
  <c r="I33" i="59"/>
  <c r="I10" i="57"/>
  <c r="F4" i="43"/>
  <c r="F4" i="59"/>
  <c r="F4" i="58"/>
  <c r="F5" i="43"/>
  <c r="F5" i="57"/>
  <c r="F5" i="58"/>
  <c r="F3" i="43"/>
  <c r="F3" i="57"/>
  <c r="F3" i="58"/>
  <c r="E5" i="43"/>
  <c r="E4" i="43"/>
  <c r="E3" i="43"/>
  <c r="E5" i="57"/>
  <c r="E4" i="57"/>
  <c r="E3" i="57"/>
  <c r="E5" i="58"/>
  <c r="E4" i="58"/>
  <c r="E3" i="58"/>
  <c r="D28" i="56"/>
  <c r="E28" i="56"/>
  <c r="F28" i="56"/>
  <c r="G28" i="56"/>
  <c r="C28" i="56"/>
  <c r="D4" i="53"/>
  <c r="E4" i="53"/>
  <c r="D5" i="53"/>
  <c r="E5" i="53"/>
  <c r="C2" i="59"/>
  <c r="C2" i="58"/>
  <c r="C2" i="57"/>
  <c r="C2" i="43"/>
  <c r="C3" i="61"/>
  <c r="D3" i="59"/>
  <c r="C4" i="61"/>
  <c r="C5" i="61"/>
  <c r="D5" i="59"/>
  <c r="O10" i="58" l="1"/>
  <c r="H10" i="58"/>
  <c r="G10" i="58"/>
  <c r="O10" i="59"/>
  <c r="H10" i="59"/>
  <c r="N10" i="58"/>
  <c r="G10" i="59"/>
  <c r="N10" i="59"/>
  <c r="L10" i="58"/>
  <c r="L10" i="59"/>
  <c r="I10" i="59"/>
  <c r="I10" i="58"/>
  <c r="C3" i="57"/>
  <c r="C3" i="59"/>
  <c r="C3" i="43"/>
  <c r="C3" i="58"/>
  <c r="D3" i="58"/>
  <c r="D3" i="57"/>
  <c r="D3" i="43"/>
  <c r="D4" i="43"/>
  <c r="D4" i="57"/>
  <c r="D4" i="58"/>
  <c r="D4" i="59"/>
  <c r="D5" i="57"/>
  <c r="D5" i="58"/>
  <c r="D5" i="43"/>
  <c r="C5" i="43"/>
  <c r="C5" i="59"/>
  <c r="C5" i="58"/>
  <c r="C5" i="57"/>
  <c r="C4" i="43"/>
  <c r="C4" i="57"/>
  <c r="C4" i="58"/>
  <c r="C4" i="59"/>
  <c r="C53" i="50"/>
  <c r="C40" i="50"/>
  <c r="C27" i="50"/>
  <c r="C14" i="50"/>
  <c r="H55" i="50"/>
  <c r="H56" i="50"/>
  <c r="H57" i="50"/>
  <c r="H59" i="50"/>
  <c r="H60" i="50"/>
  <c r="H61" i="50"/>
  <c r="H62" i="50"/>
  <c r="H42" i="50"/>
  <c r="H43" i="50"/>
  <c r="H44" i="50"/>
  <c r="H46" i="50"/>
  <c r="H47" i="50"/>
  <c r="H48" i="50"/>
  <c r="H49" i="50"/>
  <c r="H29" i="50"/>
  <c r="H30" i="50"/>
  <c r="H31" i="50"/>
  <c r="H33" i="50"/>
  <c r="H34" i="50"/>
  <c r="H35" i="50"/>
  <c r="H36" i="50"/>
  <c r="H16" i="50"/>
  <c r="H17" i="50"/>
  <c r="H18" i="50"/>
  <c r="H20" i="50"/>
  <c r="H21" i="50"/>
  <c r="H22" i="50"/>
  <c r="H23" i="50"/>
  <c r="I15" i="50"/>
  <c r="I13" i="50"/>
  <c r="H58" i="50"/>
  <c r="I3" i="50"/>
  <c r="E4" i="50" s="1"/>
  <c r="I1" i="50"/>
  <c r="D24" i="53"/>
  <c r="D25" i="53" s="1"/>
  <c r="D26" i="53" s="1"/>
  <c r="F19" i="55"/>
  <c r="F20" i="55" s="1"/>
  <c r="F16" i="55"/>
  <c r="E16" i="55"/>
  <c r="D16" i="55"/>
  <c r="C16" i="55"/>
  <c r="S15" i="55"/>
  <c r="S14" i="55"/>
  <c r="S13" i="55"/>
  <c r="S12" i="55"/>
  <c r="V7" i="55"/>
  <c r="V8" i="55" s="1"/>
  <c r="G22" i="51"/>
  <c r="B9" i="51"/>
  <c r="B27" i="51" s="1"/>
  <c r="B8" i="51"/>
  <c r="B26" i="51" s="1"/>
  <c r="B7" i="51"/>
  <c r="B5" i="51"/>
  <c r="D31" i="59"/>
  <c r="C31" i="59"/>
  <c r="D6" i="59"/>
  <c r="C6" i="59"/>
  <c r="D31" i="58"/>
  <c r="C31" i="58"/>
  <c r="D6" i="58"/>
  <c r="C6" i="58"/>
  <c r="D31" i="57"/>
  <c r="C31" i="57"/>
  <c r="D6" i="57"/>
  <c r="C6" i="57"/>
  <c r="C31" i="43"/>
  <c r="D6" i="43"/>
  <c r="C6" i="43"/>
  <c r="C31" i="61"/>
  <c r="C6" i="61"/>
  <c r="H61" i="56"/>
  <c r="D61" i="56"/>
  <c r="H16" i="56"/>
  <c r="C6" i="56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C13" i="36"/>
  <c r="L12" i="36"/>
  <c r="K12" i="36"/>
  <c r="J12" i="36"/>
  <c r="I12" i="36"/>
  <c r="H12" i="36"/>
  <c r="G12" i="36"/>
  <c r="F12" i="36"/>
  <c r="E12" i="36"/>
  <c r="D12" i="36"/>
  <c r="C12" i="36"/>
  <c r="L11" i="36"/>
  <c r="K11" i="36"/>
  <c r="J11" i="36"/>
  <c r="I11" i="36"/>
  <c r="H11" i="36"/>
  <c r="G11" i="36"/>
  <c r="F11" i="36"/>
  <c r="E11" i="36"/>
  <c r="D11" i="36"/>
  <c r="C11" i="36"/>
  <c r="M9" i="36"/>
  <c r="M8" i="36"/>
  <c r="L7" i="36"/>
  <c r="K7" i="36"/>
  <c r="J7" i="36"/>
  <c r="I7" i="36"/>
  <c r="H7" i="36"/>
  <c r="G7" i="36"/>
  <c r="F7" i="36"/>
  <c r="E7" i="36"/>
  <c r="M6" i="36"/>
  <c r="L6" i="36"/>
  <c r="K6" i="36"/>
  <c r="J6" i="36"/>
  <c r="I6" i="36"/>
  <c r="H6" i="36"/>
  <c r="G6" i="36"/>
  <c r="F6" i="36"/>
  <c r="E6" i="36"/>
  <c r="L5" i="36"/>
  <c r="K5" i="36"/>
  <c r="J5" i="36"/>
  <c r="I5" i="36"/>
  <c r="H5" i="36"/>
  <c r="G5" i="36"/>
  <c r="F5" i="36"/>
  <c r="E5" i="36"/>
  <c r="D5" i="36"/>
  <c r="C5" i="36"/>
  <c r="L4" i="36"/>
  <c r="K4" i="36"/>
  <c r="J4" i="36"/>
  <c r="I4" i="36"/>
  <c r="H4" i="36"/>
  <c r="G4" i="36"/>
  <c r="F4" i="36"/>
  <c r="E4" i="36"/>
  <c r="D4" i="36"/>
  <c r="T18" i="61" l="1"/>
  <c r="T21" i="61"/>
  <c r="T6" i="43"/>
  <c r="T6" i="57"/>
  <c r="E33" i="57"/>
  <c r="C18" i="55"/>
  <c r="C33" i="57"/>
  <c r="D33" i="57"/>
  <c r="D10" i="57" s="1"/>
  <c r="J10" i="36"/>
  <c r="M15" i="36"/>
  <c r="D10" i="36"/>
  <c r="D17" i="36" s="1"/>
  <c r="D19" i="36" s="1"/>
  <c r="G10" i="36"/>
  <c r="M12" i="36"/>
  <c r="T6" i="59"/>
  <c r="W7" i="55"/>
  <c r="T6" i="61"/>
  <c r="T6" i="58"/>
  <c r="D33" i="43"/>
  <c r="D10" i="43" s="1"/>
  <c r="C33" i="43"/>
  <c r="E30" i="50"/>
  <c r="E43" i="61" s="1"/>
  <c r="E31" i="50"/>
  <c r="E37" i="61" s="1"/>
  <c r="E12" i="61" s="1"/>
  <c r="E34" i="50"/>
  <c r="E44" i="61" s="1"/>
  <c r="E19" i="61" s="1"/>
  <c r="E29" i="50"/>
  <c r="E36" i="61" s="1"/>
  <c r="E11" i="61" s="1"/>
  <c r="E35" i="50"/>
  <c r="E38" i="61" s="1"/>
  <c r="E13" i="61" s="1"/>
  <c r="E33" i="50"/>
  <c r="E45" i="61" s="1"/>
  <c r="E20" i="61" s="1"/>
  <c r="E36" i="50"/>
  <c r="E47" i="61" s="1"/>
  <c r="E22" i="61" s="1"/>
  <c r="E48" i="50"/>
  <c r="F38" i="61" s="1"/>
  <c r="F13" i="61" s="1"/>
  <c r="E43" i="50"/>
  <c r="F43" i="61" s="1"/>
  <c r="E47" i="50"/>
  <c r="F44" i="61" s="1"/>
  <c r="F19" i="61" s="1"/>
  <c r="E44" i="50"/>
  <c r="F37" i="61" s="1"/>
  <c r="F12" i="61" s="1"/>
  <c r="E49" i="50"/>
  <c r="F47" i="61" s="1"/>
  <c r="F22" i="61" s="1"/>
  <c r="F36" i="61"/>
  <c r="F11" i="61" s="1"/>
  <c r="E46" i="50"/>
  <c r="F45" i="61" s="1"/>
  <c r="F20" i="61" s="1"/>
  <c r="V9" i="55"/>
  <c r="W8" i="55"/>
  <c r="E6" i="50"/>
  <c r="C37" i="61" s="1"/>
  <c r="E5" i="50"/>
  <c r="J17" i="36"/>
  <c r="J19" i="36" s="1"/>
  <c r="E10" i="36"/>
  <c r="E17" i="36" s="1"/>
  <c r="E19" i="36" s="1"/>
  <c r="H10" i="36"/>
  <c r="H17" i="36" s="1"/>
  <c r="H19" i="36" s="1"/>
  <c r="M11" i="36"/>
  <c r="F10" i="36"/>
  <c r="F17" i="36" s="1"/>
  <c r="F19" i="36" s="1"/>
  <c r="I10" i="36"/>
  <c r="I17" i="36" s="1"/>
  <c r="I19" i="36" s="1"/>
  <c r="L10" i="36"/>
  <c r="L17" i="36" s="1"/>
  <c r="L19" i="36" s="1"/>
  <c r="M13" i="36"/>
  <c r="E20" i="50"/>
  <c r="D45" i="61" s="1"/>
  <c r="D20" i="61" s="1"/>
  <c r="H45" i="50"/>
  <c r="E45" i="50" s="1"/>
  <c r="H32" i="50"/>
  <c r="E32" i="50" s="1"/>
  <c r="H19" i="50"/>
  <c r="E19" i="50" s="1"/>
  <c r="E22" i="50"/>
  <c r="D38" i="61" s="1"/>
  <c r="D13" i="61" s="1"/>
  <c r="D18" i="55"/>
  <c r="S16" i="55"/>
  <c r="C33" i="61"/>
  <c r="C10" i="61" s="1"/>
  <c r="M14" i="36"/>
  <c r="G17" i="36"/>
  <c r="G19" i="36" s="1"/>
  <c r="M7" i="36"/>
  <c r="K10" i="36"/>
  <c r="K17" i="36" s="1"/>
  <c r="K19" i="36" s="1"/>
  <c r="M5" i="36"/>
  <c r="C10" i="36"/>
  <c r="E19" i="55"/>
  <c r="E20" i="55" s="1"/>
  <c r="E11" i="50"/>
  <c r="E8" i="50"/>
  <c r="C45" i="61" s="1"/>
  <c r="E10" i="50"/>
  <c r="C38" i="61" s="1"/>
  <c r="E7" i="50"/>
  <c r="E16" i="50"/>
  <c r="E21" i="50"/>
  <c r="E17" i="50"/>
  <c r="E18" i="50"/>
  <c r="D37" i="61" s="1"/>
  <c r="D12" i="61" s="1"/>
  <c r="E9" i="50"/>
  <c r="E23" i="50"/>
  <c r="C58" i="56"/>
  <c r="L26" i="51"/>
  <c r="C57" i="56"/>
  <c r="B10" i="51"/>
  <c r="C7" i="61"/>
  <c r="D7" i="59"/>
  <c r="C7" i="59"/>
  <c r="C7" i="58"/>
  <c r="D7" i="58"/>
  <c r="C7" i="57"/>
  <c r="D7" i="57"/>
  <c r="D7" i="43"/>
  <c r="C7" i="43"/>
  <c r="S18" i="61" l="1"/>
  <c r="S17" i="61" s="1"/>
  <c r="S21" i="61"/>
  <c r="R18" i="61"/>
  <c r="R17" i="61" s="1"/>
  <c r="R21" i="61"/>
  <c r="R46" i="61" s="1"/>
  <c r="R48" i="61" s="1"/>
  <c r="D19" i="55"/>
  <c r="D20" i="55" s="1"/>
  <c r="C19" i="55"/>
  <c r="C20" i="55" s="1"/>
  <c r="H8" i="43"/>
  <c r="H9" i="43" s="1"/>
  <c r="K8" i="43"/>
  <c r="K9" i="43" s="1"/>
  <c r="N8" i="43"/>
  <c r="N9" i="43" s="1"/>
  <c r="Q8" i="43"/>
  <c r="Q9" i="43" s="1"/>
  <c r="J8" i="43"/>
  <c r="J9" i="43" s="1"/>
  <c r="P8" i="43"/>
  <c r="P9" i="43" s="1"/>
  <c r="I8" i="43"/>
  <c r="I9" i="43" s="1"/>
  <c r="L8" i="43"/>
  <c r="L9" i="43" s="1"/>
  <c r="O8" i="43"/>
  <c r="O9" i="43" s="1"/>
  <c r="G8" i="43"/>
  <c r="G9" i="43" s="1"/>
  <c r="M8" i="43"/>
  <c r="M9" i="43" s="1"/>
  <c r="H8" i="57"/>
  <c r="H9" i="57" s="1"/>
  <c r="K8" i="57"/>
  <c r="K9" i="57" s="1"/>
  <c r="N8" i="57"/>
  <c r="N9" i="57" s="1"/>
  <c r="Q8" i="57"/>
  <c r="Q9" i="57" s="1"/>
  <c r="J8" i="57"/>
  <c r="J9" i="57" s="1"/>
  <c r="P8" i="57"/>
  <c r="P9" i="57" s="1"/>
  <c r="I8" i="57"/>
  <c r="I9" i="57" s="1"/>
  <c r="L8" i="57"/>
  <c r="L9" i="57" s="1"/>
  <c r="O8" i="57"/>
  <c r="O9" i="57" s="1"/>
  <c r="G8" i="57"/>
  <c r="G9" i="57" s="1"/>
  <c r="M8" i="57"/>
  <c r="M9" i="57" s="1"/>
  <c r="F14" i="61"/>
  <c r="F15" i="61" s="1"/>
  <c r="F16" i="61" s="1"/>
  <c r="E14" i="61"/>
  <c r="E15" i="61" s="1"/>
  <c r="E16" i="61" s="1"/>
  <c r="T7" i="43"/>
  <c r="D5" i="56" s="1"/>
  <c r="G4" i="56"/>
  <c r="F4" i="56"/>
  <c r="E4" i="56"/>
  <c r="D4" i="56"/>
  <c r="C4" i="56"/>
  <c r="D18" i="61"/>
  <c r="G18" i="61"/>
  <c r="G17" i="61" s="1"/>
  <c r="J18" i="61"/>
  <c r="J17" i="61" s="1"/>
  <c r="M18" i="61"/>
  <c r="M17" i="61" s="1"/>
  <c r="P18" i="61"/>
  <c r="P17" i="61" s="1"/>
  <c r="D21" i="61"/>
  <c r="G21" i="61"/>
  <c r="G46" i="61" s="1"/>
  <c r="G48" i="61" s="1"/>
  <c r="J21" i="61"/>
  <c r="J46" i="61" s="1"/>
  <c r="J48" i="61" s="1"/>
  <c r="M21" i="61"/>
  <c r="M46" i="61" s="1"/>
  <c r="M48" i="61" s="1"/>
  <c r="P21" i="61"/>
  <c r="P46" i="61" s="1"/>
  <c r="P48" i="61" s="1"/>
  <c r="F18" i="61"/>
  <c r="F17" i="61" s="1"/>
  <c r="I18" i="61"/>
  <c r="I17" i="61" s="1"/>
  <c r="L18" i="61"/>
  <c r="L17" i="61" s="1"/>
  <c r="O18" i="61"/>
  <c r="O17" i="61" s="1"/>
  <c r="E18" i="61"/>
  <c r="E17" i="61" s="1"/>
  <c r="H18" i="61"/>
  <c r="H17" i="61" s="1"/>
  <c r="K18" i="61"/>
  <c r="K17" i="61" s="1"/>
  <c r="N18" i="61"/>
  <c r="N17" i="61" s="1"/>
  <c r="Q18" i="61"/>
  <c r="Q17" i="61" s="1"/>
  <c r="E21" i="61"/>
  <c r="H21" i="61"/>
  <c r="H46" i="61" s="1"/>
  <c r="H48" i="61" s="1"/>
  <c r="K21" i="61"/>
  <c r="N21" i="61"/>
  <c r="N46" i="61" s="1"/>
  <c r="N48" i="61" s="1"/>
  <c r="Q21" i="61"/>
  <c r="Q46" i="61" s="1"/>
  <c r="Q48" i="61" s="1"/>
  <c r="F21" i="61"/>
  <c r="I21" i="61"/>
  <c r="L21" i="61"/>
  <c r="O21" i="61"/>
  <c r="E33" i="59"/>
  <c r="E33" i="58"/>
  <c r="C33" i="59"/>
  <c r="C10" i="59" s="1"/>
  <c r="C33" i="58"/>
  <c r="C10" i="58" s="1"/>
  <c r="D33" i="59"/>
  <c r="D33" i="58"/>
  <c r="T7" i="59"/>
  <c r="G5" i="56" s="1"/>
  <c r="E8" i="43"/>
  <c r="E9" i="43" s="1"/>
  <c r="E32" i="43" s="1"/>
  <c r="F8" i="43"/>
  <c r="F9" i="43" s="1"/>
  <c r="F32" i="43" s="1"/>
  <c r="E8" i="57"/>
  <c r="E9" i="57" s="1"/>
  <c r="E32" i="57" s="1"/>
  <c r="F8" i="57"/>
  <c r="F9" i="57" s="1"/>
  <c r="F32" i="57" s="1"/>
  <c r="T7" i="57"/>
  <c r="E5" i="56" s="1"/>
  <c r="T7" i="58"/>
  <c r="T7" i="61"/>
  <c r="C5" i="56" s="1"/>
  <c r="C10" i="43"/>
  <c r="E40" i="61"/>
  <c r="F33" i="43"/>
  <c r="E33" i="43"/>
  <c r="F45" i="57"/>
  <c r="F20" i="57" s="1"/>
  <c r="F45" i="59"/>
  <c r="F20" i="59" s="1"/>
  <c r="F45" i="43"/>
  <c r="F20" i="43" s="1"/>
  <c r="F45" i="58"/>
  <c r="F20" i="58" s="1"/>
  <c r="F37" i="59"/>
  <c r="F12" i="59" s="1"/>
  <c r="F37" i="58"/>
  <c r="F12" i="58" s="1"/>
  <c r="F37" i="57"/>
  <c r="F12" i="57" s="1"/>
  <c r="F37" i="43"/>
  <c r="F12" i="43" s="1"/>
  <c r="F38" i="59"/>
  <c r="F13" i="59" s="1"/>
  <c r="F38" i="58"/>
  <c r="F13" i="58" s="1"/>
  <c r="F38" i="57"/>
  <c r="F13" i="57" s="1"/>
  <c r="F38" i="43"/>
  <c r="F13" i="43" s="1"/>
  <c r="E45" i="59"/>
  <c r="E20" i="59" s="1"/>
  <c r="E45" i="43"/>
  <c r="E20" i="43" s="1"/>
  <c r="E45" i="58"/>
  <c r="E20" i="58" s="1"/>
  <c r="E45" i="57"/>
  <c r="E20" i="57" s="1"/>
  <c r="E36" i="57"/>
  <c r="E36" i="59"/>
  <c r="E36" i="58"/>
  <c r="E36" i="43"/>
  <c r="E43" i="59"/>
  <c r="E43" i="43"/>
  <c r="E43" i="58"/>
  <c r="E43" i="57"/>
  <c r="F36" i="57"/>
  <c r="F36" i="43"/>
  <c r="F36" i="59"/>
  <c r="F36" i="58"/>
  <c r="F40" i="61"/>
  <c r="F44" i="57"/>
  <c r="F19" i="57" s="1"/>
  <c r="F44" i="58"/>
  <c r="F19" i="58" s="1"/>
  <c r="F44" i="59"/>
  <c r="F19" i="59" s="1"/>
  <c r="F44" i="43"/>
  <c r="F19" i="43" s="1"/>
  <c r="E38" i="57"/>
  <c r="E13" i="57" s="1"/>
  <c r="E38" i="43"/>
  <c r="E13" i="43" s="1"/>
  <c r="E38" i="59"/>
  <c r="E13" i="59" s="1"/>
  <c r="E38" i="58"/>
  <c r="E13" i="58" s="1"/>
  <c r="E44" i="59"/>
  <c r="E19" i="59" s="1"/>
  <c r="E44" i="43"/>
  <c r="E19" i="43" s="1"/>
  <c r="E44" i="57"/>
  <c r="E19" i="57" s="1"/>
  <c r="E44" i="58"/>
  <c r="E19" i="58" s="1"/>
  <c r="F47" i="59"/>
  <c r="F22" i="59" s="1"/>
  <c r="F47" i="43"/>
  <c r="F22" i="43" s="1"/>
  <c r="F47" i="58"/>
  <c r="F22" i="58" s="1"/>
  <c r="F47" i="57"/>
  <c r="F22" i="57" s="1"/>
  <c r="F43" i="57"/>
  <c r="F43" i="59"/>
  <c r="F43" i="43"/>
  <c r="F43" i="58"/>
  <c r="E47" i="59"/>
  <c r="E22" i="59" s="1"/>
  <c r="E47" i="57"/>
  <c r="E22" i="57" s="1"/>
  <c r="E47" i="43"/>
  <c r="E22" i="43" s="1"/>
  <c r="E47" i="58"/>
  <c r="E22" i="58" s="1"/>
  <c r="E37" i="57"/>
  <c r="E12" i="57" s="1"/>
  <c r="E37" i="59"/>
  <c r="E12" i="59" s="1"/>
  <c r="E37" i="58"/>
  <c r="E12" i="58" s="1"/>
  <c r="E37" i="43"/>
  <c r="E12" i="43" s="1"/>
  <c r="V10" i="55"/>
  <c r="W9" i="55"/>
  <c r="C13" i="61"/>
  <c r="C38" i="59"/>
  <c r="C13" i="59" s="1"/>
  <c r="C38" i="58"/>
  <c r="C13" i="58" s="1"/>
  <c r="C38" i="57"/>
  <c r="C13" i="57" s="1"/>
  <c r="C38" i="43"/>
  <c r="C13" i="43" s="1"/>
  <c r="C12" i="61"/>
  <c r="C37" i="59"/>
  <c r="C12" i="59" s="1"/>
  <c r="C37" i="58"/>
  <c r="C12" i="58" s="1"/>
  <c r="C37" i="57"/>
  <c r="C12" i="57" s="1"/>
  <c r="C37" i="43"/>
  <c r="C12" i="43" s="1"/>
  <c r="D38" i="59"/>
  <c r="D13" i="59" s="1"/>
  <c r="D38" i="58"/>
  <c r="D13" i="58" s="1"/>
  <c r="D38" i="57"/>
  <c r="D13" i="57" s="1"/>
  <c r="D38" i="43"/>
  <c r="D13" i="43" s="1"/>
  <c r="D37" i="59"/>
  <c r="D12" i="59" s="1"/>
  <c r="D37" i="58"/>
  <c r="D12" i="58" s="1"/>
  <c r="D37" i="57"/>
  <c r="D12" i="57" s="1"/>
  <c r="D37" i="43"/>
  <c r="D12" i="43" s="1"/>
  <c r="C20" i="61"/>
  <c r="C45" i="59"/>
  <c r="C20" i="59" s="1"/>
  <c r="C45" i="58"/>
  <c r="C20" i="58" s="1"/>
  <c r="C45" i="57"/>
  <c r="C20" i="57" s="1"/>
  <c r="C45" i="43"/>
  <c r="C20" i="43" s="1"/>
  <c r="D45" i="59"/>
  <c r="D20" i="59" s="1"/>
  <c r="D45" i="58"/>
  <c r="D20" i="58" s="1"/>
  <c r="D45" i="57"/>
  <c r="D20" i="57" s="1"/>
  <c r="D45" i="43"/>
  <c r="D20" i="43" s="1"/>
  <c r="C10" i="57"/>
  <c r="C17" i="36"/>
  <c r="M10" i="36"/>
  <c r="C47" i="61"/>
  <c r="D47" i="61"/>
  <c r="D22" i="61" s="1"/>
  <c r="D43" i="61"/>
  <c r="C44" i="61"/>
  <c r="D44" i="61"/>
  <c r="D19" i="61" s="1"/>
  <c r="C43" i="61"/>
  <c r="D36" i="61"/>
  <c r="D11" i="61" s="1"/>
  <c r="D14" i="61" s="1"/>
  <c r="D15" i="61" s="1"/>
  <c r="D16" i="61" s="1"/>
  <c r="C56" i="56"/>
  <c r="E26" i="51"/>
  <c r="T18" i="43" s="1"/>
  <c r="M18" i="43" s="1"/>
  <c r="M17" i="43" s="1"/>
  <c r="D28" i="51"/>
  <c r="E27" i="51"/>
  <c r="T21" i="43" s="1"/>
  <c r="J21" i="43" s="1"/>
  <c r="C9" i="61"/>
  <c r="C8" i="57"/>
  <c r="D8" i="57"/>
  <c r="D9" i="57" s="1"/>
  <c r="D32" i="57" s="1"/>
  <c r="D34" i="57" s="1"/>
  <c r="C8" i="43"/>
  <c r="D8" i="43"/>
  <c r="D9" i="43" s="1"/>
  <c r="D32" i="43" s="1"/>
  <c r="D34" i="43" s="1"/>
  <c r="S23" i="61" l="1"/>
  <c r="S24" i="61" s="1"/>
  <c r="S25" i="61" s="1"/>
  <c r="S26" i="61" s="1"/>
  <c r="S27" i="61" s="1"/>
  <c r="S46" i="61"/>
  <c r="S48" i="61" s="1"/>
  <c r="R18" i="43"/>
  <c r="R17" i="43" s="1"/>
  <c r="F23" i="61"/>
  <c r="F24" i="61" s="1"/>
  <c r="F25" i="61" s="1"/>
  <c r="F26" i="61" s="1"/>
  <c r="F27" i="61" s="1"/>
  <c r="S21" i="43"/>
  <c r="S46" i="43" s="1"/>
  <c r="S48" i="43" s="1"/>
  <c r="R21" i="43"/>
  <c r="R46" i="43" s="1"/>
  <c r="R48" i="43" s="1"/>
  <c r="S18" i="43"/>
  <c r="S17" i="43" s="1"/>
  <c r="S23" i="43"/>
  <c r="S24" i="43" s="1"/>
  <c r="R23" i="61"/>
  <c r="R24" i="61" s="1"/>
  <c r="R25" i="61" s="1"/>
  <c r="M32" i="57"/>
  <c r="M34" i="57" s="1"/>
  <c r="M40" i="57" s="1"/>
  <c r="M15" i="57"/>
  <c r="M16" i="57" s="1"/>
  <c r="O32" i="57"/>
  <c r="O34" i="57" s="1"/>
  <c r="O40" i="57" s="1"/>
  <c r="O15" i="57"/>
  <c r="O16" i="57" s="1"/>
  <c r="P32" i="57"/>
  <c r="P34" i="57" s="1"/>
  <c r="P40" i="57" s="1"/>
  <c r="P15" i="57"/>
  <c r="P16" i="57" s="1"/>
  <c r="N32" i="57"/>
  <c r="N34" i="57" s="1"/>
  <c r="N40" i="57" s="1"/>
  <c r="N15" i="57"/>
  <c r="N16" i="57" s="1"/>
  <c r="M32" i="43"/>
  <c r="M34" i="43" s="1"/>
  <c r="M40" i="43" s="1"/>
  <c r="M15" i="43"/>
  <c r="M16" i="43" s="1"/>
  <c r="O32" i="43"/>
  <c r="O34" i="43" s="1"/>
  <c r="O40" i="43" s="1"/>
  <c r="O15" i="43"/>
  <c r="O16" i="43" s="1"/>
  <c r="P32" i="43"/>
  <c r="P34" i="43" s="1"/>
  <c r="P40" i="43" s="1"/>
  <c r="P15" i="43"/>
  <c r="P16" i="43" s="1"/>
  <c r="I8" i="58"/>
  <c r="I9" i="58" s="1"/>
  <c r="G8" i="58"/>
  <c r="G9" i="58" s="1"/>
  <c r="H8" i="58"/>
  <c r="H9" i="58" s="1"/>
  <c r="O8" i="58"/>
  <c r="O9" i="58" s="1"/>
  <c r="J8" i="58"/>
  <c r="J9" i="58" s="1"/>
  <c r="L8" i="58"/>
  <c r="L9" i="58" s="1"/>
  <c r="N8" i="58"/>
  <c r="N9" i="58" s="1"/>
  <c r="P8" i="58"/>
  <c r="P9" i="58" s="1"/>
  <c r="Q8" i="58"/>
  <c r="Q9" i="58" s="1"/>
  <c r="M8" i="58"/>
  <c r="M9" i="58" s="1"/>
  <c r="K8" i="58"/>
  <c r="K9" i="58" s="1"/>
  <c r="G32" i="57"/>
  <c r="G34" i="57" s="1"/>
  <c r="G40" i="57" s="1"/>
  <c r="G15" i="57"/>
  <c r="G16" i="57" s="1"/>
  <c r="L32" i="57"/>
  <c r="L34" i="57" s="1"/>
  <c r="L40" i="57" s="1"/>
  <c r="L15" i="57"/>
  <c r="L16" i="57" s="1"/>
  <c r="J32" i="57"/>
  <c r="J34" i="57" s="1"/>
  <c r="J40" i="57" s="1"/>
  <c r="J15" i="57"/>
  <c r="J16" i="57" s="1"/>
  <c r="K32" i="57"/>
  <c r="K34" i="57" s="1"/>
  <c r="K40" i="57" s="1"/>
  <c r="K15" i="57"/>
  <c r="K16" i="57" s="1"/>
  <c r="G32" i="43"/>
  <c r="G34" i="43" s="1"/>
  <c r="G40" i="43" s="1"/>
  <c r="G15" i="43"/>
  <c r="G16" i="43" s="1"/>
  <c r="L32" i="43"/>
  <c r="L34" i="43" s="1"/>
  <c r="L40" i="43" s="1"/>
  <c r="L15" i="43"/>
  <c r="L16" i="43" s="1"/>
  <c r="J32" i="43"/>
  <c r="J34" i="43" s="1"/>
  <c r="J40" i="43" s="1"/>
  <c r="J15" i="43"/>
  <c r="J16" i="43" s="1"/>
  <c r="K32" i="43"/>
  <c r="K34" i="43" s="1"/>
  <c r="K40" i="43" s="1"/>
  <c r="K15" i="43"/>
  <c r="K16" i="43" s="1"/>
  <c r="N32" i="43"/>
  <c r="N34" i="43" s="1"/>
  <c r="N40" i="43" s="1"/>
  <c r="N15" i="43"/>
  <c r="N16" i="43" s="1"/>
  <c r="I32" i="57"/>
  <c r="I34" i="57" s="1"/>
  <c r="I40" i="57" s="1"/>
  <c r="I15" i="57"/>
  <c r="I16" i="57" s="1"/>
  <c r="Q32" i="57"/>
  <c r="Q34" i="57" s="1"/>
  <c r="Q40" i="57" s="1"/>
  <c r="Q15" i="57"/>
  <c r="Q16" i="57" s="1"/>
  <c r="H32" i="57"/>
  <c r="H34" i="57" s="1"/>
  <c r="H40" i="57" s="1"/>
  <c r="H15" i="57"/>
  <c r="H16" i="57" s="1"/>
  <c r="I32" i="43"/>
  <c r="I34" i="43" s="1"/>
  <c r="I40" i="43" s="1"/>
  <c r="I15" i="43"/>
  <c r="I16" i="43" s="1"/>
  <c r="Q32" i="43"/>
  <c r="Q34" i="43" s="1"/>
  <c r="Q40" i="43" s="1"/>
  <c r="Q15" i="43"/>
  <c r="Q16" i="43" s="1"/>
  <c r="H32" i="43"/>
  <c r="H34" i="43" s="1"/>
  <c r="H40" i="43" s="1"/>
  <c r="H15" i="43"/>
  <c r="H16" i="43" s="1"/>
  <c r="D17" i="61"/>
  <c r="D23" i="61" s="1"/>
  <c r="D24" i="61" s="1"/>
  <c r="D25" i="61" s="1"/>
  <c r="D26" i="61" s="1"/>
  <c r="D27" i="61" s="1"/>
  <c r="I18" i="43"/>
  <c r="I17" i="43" s="1"/>
  <c r="O18" i="43"/>
  <c r="O17" i="43" s="1"/>
  <c r="K21" i="43"/>
  <c r="K46" i="43" s="1"/>
  <c r="K48" i="43" s="1"/>
  <c r="N18" i="43"/>
  <c r="N17" i="43" s="1"/>
  <c r="P21" i="43"/>
  <c r="P46" i="43" s="1"/>
  <c r="P48" i="43" s="1"/>
  <c r="G21" i="43"/>
  <c r="G46" i="43" s="1"/>
  <c r="G48" i="43" s="1"/>
  <c r="J18" i="43"/>
  <c r="J17" i="43" s="1"/>
  <c r="J23" i="43" s="1"/>
  <c r="I21" i="43"/>
  <c r="I46" i="43" s="1"/>
  <c r="I48" i="43" s="1"/>
  <c r="L18" i="43"/>
  <c r="L17" i="43" s="1"/>
  <c r="Q21" i="43"/>
  <c r="Q46" i="43" s="1"/>
  <c r="Q48" i="43" s="1"/>
  <c r="H21" i="43"/>
  <c r="H46" i="43" s="1"/>
  <c r="K18" i="43"/>
  <c r="K17" i="43" s="1"/>
  <c r="M21" i="43"/>
  <c r="M23" i="43" s="1"/>
  <c r="P18" i="43"/>
  <c r="P17" i="43" s="1"/>
  <c r="G18" i="43"/>
  <c r="G17" i="43" s="1"/>
  <c r="L21" i="43"/>
  <c r="L46" i="43" s="1"/>
  <c r="O21" i="43"/>
  <c r="O46" i="43" s="1"/>
  <c r="O48" i="43" s="1"/>
  <c r="N21" i="43"/>
  <c r="N46" i="43" s="1"/>
  <c r="Q18" i="43"/>
  <c r="Q17" i="43" s="1"/>
  <c r="H18" i="43"/>
  <c r="H17" i="43" s="1"/>
  <c r="I23" i="61"/>
  <c r="I24" i="61" s="1"/>
  <c r="I25" i="61" s="1"/>
  <c r="I26" i="61" s="1"/>
  <c r="I27" i="61" s="1"/>
  <c r="I46" i="61"/>
  <c r="I48" i="61" s="1"/>
  <c r="E23" i="61"/>
  <c r="E24" i="61" s="1"/>
  <c r="E25" i="61" s="1"/>
  <c r="E26" i="61" s="1"/>
  <c r="E27" i="61" s="1"/>
  <c r="L23" i="61"/>
  <c r="L24" i="61" s="1"/>
  <c r="L25" i="61" s="1"/>
  <c r="L26" i="61" s="1"/>
  <c r="L27" i="61" s="1"/>
  <c r="L46" i="61"/>
  <c r="L48" i="61" s="1"/>
  <c r="O23" i="61"/>
  <c r="O24" i="61" s="1"/>
  <c r="O25" i="61" s="1"/>
  <c r="O26" i="61" s="1"/>
  <c r="O27" i="61" s="1"/>
  <c r="O46" i="61"/>
  <c r="O48" i="61" s="1"/>
  <c r="K23" i="61"/>
  <c r="K24" i="61" s="1"/>
  <c r="K25" i="61" s="1"/>
  <c r="K26" i="61" s="1"/>
  <c r="K27" i="61" s="1"/>
  <c r="K46" i="61"/>
  <c r="K48" i="61" s="1"/>
  <c r="H4" i="56"/>
  <c r="J46" i="43"/>
  <c r="N23" i="61"/>
  <c r="N24" i="61" s="1"/>
  <c r="N25" i="61" s="1"/>
  <c r="N26" i="61" s="1"/>
  <c r="N27" i="61" s="1"/>
  <c r="M23" i="61"/>
  <c r="M24" i="61" s="1"/>
  <c r="M25" i="61" s="1"/>
  <c r="M26" i="61" s="1"/>
  <c r="M27" i="61" s="1"/>
  <c r="J23" i="61"/>
  <c r="J24" i="61" s="1"/>
  <c r="J25" i="61" s="1"/>
  <c r="J26" i="61" s="1"/>
  <c r="J27" i="61" s="1"/>
  <c r="Q23" i="61"/>
  <c r="Q24" i="61" s="1"/>
  <c r="H23" i="61"/>
  <c r="H24" i="61" s="1"/>
  <c r="P23" i="61"/>
  <c r="P24" i="61" s="1"/>
  <c r="G23" i="61"/>
  <c r="G24" i="61" s="1"/>
  <c r="T8" i="43"/>
  <c r="D6" i="56" s="1"/>
  <c r="D7" i="56" s="1"/>
  <c r="E8" i="58"/>
  <c r="E9" i="58" s="1"/>
  <c r="E32" i="58" s="1"/>
  <c r="F8" i="58"/>
  <c r="F9" i="58" s="1"/>
  <c r="F32" i="58" s="1"/>
  <c r="D8" i="58"/>
  <c r="D9" i="58" s="1"/>
  <c r="D32" i="58" s="1"/>
  <c r="D34" i="58" s="1"/>
  <c r="C8" i="58"/>
  <c r="C9" i="57"/>
  <c r="T8" i="57"/>
  <c r="E6" i="56" s="1"/>
  <c r="F5" i="56"/>
  <c r="H5" i="56" s="1"/>
  <c r="C32" i="61"/>
  <c r="C34" i="61" s="1"/>
  <c r="T9" i="61"/>
  <c r="C7" i="56" s="1"/>
  <c r="E18" i="43"/>
  <c r="E17" i="43" s="1"/>
  <c r="F18" i="43"/>
  <c r="F17" i="43" s="1"/>
  <c r="E21" i="43"/>
  <c r="E46" i="43" s="1"/>
  <c r="F21" i="43"/>
  <c r="F46" i="43" s="1"/>
  <c r="T20" i="59"/>
  <c r="G18" i="56" s="1"/>
  <c r="G44" i="56" s="1"/>
  <c r="T10" i="61"/>
  <c r="C8" i="56" s="1"/>
  <c r="C31" i="56" s="1"/>
  <c r="F10" i="57"/>
  <c r="F34" i="57"/>
  <c r="F40" i="57" s="1"/>
  <c r="T13" i="61"/>
  <c r="C11" i="56" s="1"/>
  <c r="C37" i="56" s="1"/>
  <c r="E34" i="57"/>
  <c r="E40" i="57" s="1"/>
  <c r="E10" i="57"/>
  <c r="T12" i="57"/>
  <c r="E10" i="56" s="1"/>
  <c r="E36" i="56" s="1"/>
  <c r="T12" i="59"/>
  <c r="G10" i="56" s="1"/>
  <c r="G36" i="56" s="1"/>
  <c r="T13" i="43"/>
  <c r="D11" i="56" s="1"/>
  <c r="D37" i="56" s="1"/>
  <c r="E10" i="43"/>
  <c r="E34" i="43"/>
  <c r="E40" i="43" s="1"/>
  <c r="F10" i="43"/>
  <c r="F34" i="43"/>
  <c r="F40" i="43" s="1"/>
  <c r="T12" i="58"/>
  <c r="F11" i="43"/>
  <c r="F14" i="43" s="1"/>
  <c r="E11" i="58"/>
  <c r="T12" i="61"/>
  <c r="C10" i="56" s="1"/>
  <c r="C36" i="56" s="1"/>
  <c r="T13" i="58"/>
  <c r="F11" i="56" s="1"/>
  <c r="F37" i="56" s="1"/>
  <c r="F11" i="58"/>
  <c r="F14" i="58" s="1"/>
  <c r="F11" i="57"/>
  <c r="T13" i="57"/>
  <c r="E11" i="56" s="1"/>
  <c r="E37" i="56" s="1"/>
  <c r="E11" i="43"/>
  <c r="E11" i="59"/>
  <c r="T20" i="61"/>
  <c r="C18" i="56" s="1"/>
  <c r="C44" i="56" s="1"/>
  <c r="T20" i="58"/>
  <c r="F18" i="56" s="1"/>
  <c r="F44" i="56" s="1"/>
  <c r="T20" i="57"/>
  <c r="E18" i="56" s="1"/>
  <c r="E44" i="56" s="1"/>
  <c r="T12" i="43"/>
  <c r="D10" i="56" s="1"/>
  <c r="D36" i="56" s="1"/>
  <c r="T13" i="59"/>
  <c r="G11" i="56" s="1"/>
  <c r="G37" i="56" s="1"/>
  <c r="F11" i="59"/>
  <c r="F14" i="59" s="1"/>
  <c r="E11" i="57"/>
  <c r="E14" i="57" s="1"/>
  <c r="T20" i="43"/>
  <c r="D18" i="56" s="1"/>
  <c r="D44" i="56" s="1"/>
  <c r="V11" i="55"/>
  <c r="W10" i="55"/>
  <c r="D36" i="59"/>
  <c r="D36" i="58"/>
  <c r="D11" i="58" s="1"/>
  <c r="D14" i="58" s="1"/>
  <c r="D36" i="57"/>
  <c r="D11" i="57" s="1"/>
  <c r="D14" i="57" s="1"/>
  <c r="D15" i="57" s="1"/>
  <c r="D16" i="57" s="1"/>
  <c r="D36" i="43"/>
  <c r="D11" i="43" s="1"/>
  <c r="D14" i="43" s="1"/>
  <c r="D15" i="43" s="1"/>
  <c r="D16" i="43" s="1"/>
  <c r="C43" i="58"/>
  <c r="C43" i="57"/>
  <c r="C43" i="59"/>
  <c r="C43" i="43"/>
  <c r="D43" i="59"/>
  <c r="D43" i="43"/>
  <c r="D43" i="58"/>
  <c r="D43" i="57"/>
  <c r="D44" i="58"/>
  <c r="D19" i="58" s="1"/>
  <c r="D44" i="57"/>
  <c r="D19" i="57" s="1"/>
  <c r="D44" i="59"/>
  <c r="D19" i="59" s="1"/>
  <c r="D44" i="43"/>
  <c r="D19" i="43" s="1"/>
  <c r="C19" i="61"/>
  <c r="C44" i="57"/>
  <c r="C19" i="57" s="1"/>
  <c r="C44" i="59"/>
  <c r="C19" i="59" s="1"/>
  <c r="C44" i="43"/>
  <c r="C19" i="43" s="1"/>
  <c r="C44" i="58"/>
  <c r="C19" i="58" s="1"/>
  <c r="C22" i="61"/>
  <c r="C47" i="59"/>
  <c r="C22" i="59" s="1"/>
  <c r="C47" i="57"/>
  <c r="C22" i="57" s="1"/>
  <c r="C47" i="58"/>
  <c r="C22" i="58" s="1"/>
  <c r="C47" i="43"/>
  <c r="C22" i="43" s="1"/>
  <c r="D47" i="59"/>
  <c r="D22" i="59" s="1"/>
  <c r="D47" i="43"/>
  <c r="D22" i="43" s="1"/>
  <c r="D47" i="57"/>
  <c r="D22" i="57" s="1"/>
  <c r="D47" i="58"/>
  <c r="D22" i="58" s="1"/>
  <c r="E23" i="36"/>
  <c r="C18" i="36"/>
  <c r="D18" i="36" s="1"/>
  <c r="E18" i="36" s="1"/>
  <c r="F18" i="36" s="1"/>
  <c r="G18" i="36" s="1"/>
  <c r="H18" i="36" s="1"/>
  <c r="M17" i="36"/>
  <c r="E22" i="36"/>
  <c r="C19" i="36"/>
  <c r="D10" i="58"/>
  <c r="D10" i="59"/>
  <c r="D40" i="61"/>
  <c r="D18" i="43"/>
  <c r="C18" i="43"/>
  <c r="F26" i="51"/>
  <c r="F27" i="51"/>
  <c r="E28" i="51"/>
  <c r="C21" i="43"/>
  <c r="D21" i="43"/>
  <c r="D19" i="56"/>
  <c r="D45" i="56" s="1"/>
  <c r="C9" i="58"/>
  <c r="C32" i="58" s="1"/>
  <c r="C34" i="58" s="1"/>
  <c r="C9" i="43"/>
  <c r="R23" i="43" l="1"/>
  <c r="R24" i="43" s="1"/>
  <c r="R25" i="43" s="1"/>
  <c r="R26" i="43" s="1"/>
  <c r="R27" i="43" s="1"/>
  <c r="T21" i="57"/>
  <c r="T18" i="57"/>
  <c r="S25" i="43"/>
  <c r="S26" i="43" s="1"/>
  <c r="S27" i="43" s="1"/>
  <c r="R26" i="61"/>
  <c r="R27" i="61" s="1"/>
  <c r="G23" i="43"/>
  <c r="N48" i="43"/>
  <c r="L48" i="43"/>
  <c r="M24" i="43"/>
  <c r="M25" i="43" s="1"/>
  <c r="M26" i="43" s="1"/>
  <c r="M27" i="43" s="1"/>
  <c r="J24" i="43"/>
  <c r="J25" i="43" s="1"/>
  <c r="J26" i="43" s="1"/>
  <c r="J27" i="43" s="1"/>
  <c r="K23" i="43"/>
  <c r="H48" i="43"/>
  <c r="D40" i="58"/>
  <c r="P23" i="43"/>
  <c r="P24" i="43" s="1"/>
  <c r="P25" i="43" s="1"/>
  <c r="P26" i="43" s="1"/>
  <c r="P27" i="43" s="1"/>
  <c r="H23" i="43"/>
  <c r="H24" i="43" s="1"/>
  <c r="H25" i="43" s="1"/>
  <c r="H26" i="43" s="1"/>
  <c r="H27" i="43" s="1"/>
  <c r="J48" i="43"/>
  <c r="K32" i="58"/>
  <c r="K34" i="58" s="1"/>
  <c r="K40" i="58" s="1"/>
  <c r="K15" i="58"/>
  <c r="K16" i="58" s="1"/>
  <c r="P32" i="58"/>
  <c r="P34" i="58" s="1"/>
  <c r="P40" i="58" s="1"/>
  <c r="P15" i="58"/>
  <c r="P16" i="58" s="1"/>
  <c r="J32" i="58"/>
  <c r="J34" i="58" s="1"/>
  <c r="J40" i="58" s="1"/>
  <c r="J15" i="58"/>
  <c r="J16" i="58" s="1"/>
  <c r="G32" i="58"/>
  <c r="G34" i="58" s="1"/>
  <c r="G40" i="58" s="1"/>
  <c r="G15" i="58"/>
  <c r="G16" i="58" s="1"/>
  <c r="G8" i="59"/>
  <c r="G9" i="59" s="1"/>
  <c r="J8" i="59"/>
  <c r="J9" i="59" s="1"/>
  <c r="M8" i="59"/>
  <c r="M9" i="59" s="1"/>
  <c r="P8" i="59"/>
  <c r="P9" i="59" s="1"/>
  <c r="H8" i="59"/>
  <c r="H9" i="59" s="1"/>
  <c r="K8" i="59"/>
  <c r="K9" i="59" s="1"/>
  <c r="N8" i="59"/>
  <c r="N9" i="59" s="1"/>
  <c r="Q8" i="59"/>
  <c r="Q9" i="59" s="1"/>
  <c r="I8" i="59"/>
  <c r="I9" i="59" s="1"/>
  <c r="L8" i="59"/>
  <c r="L9" i="59" s="1"/>
  <c r="O8" i="59"/>
  <c r="O9" i="59" s="1"/>
  <c r="Q32" i="58"/>
  <c r="Q34" i="58" s="1"/>
  <c r="Q40" i="58" s="1"/>
  <c r="Q15" i="58"/>
  <c r="Q16" i="58" s="1"/>
  <c r="L32" i="58"/>
  <c r="L34" i="58" s="1"/>
  <c r="L40" i="58" s="1"/>
  <c r="L15" i="58"/>
  <c r="L16" i="58" s="1"/>
  <c r="H32" i="58"/>
  <c r="H34" i="58" s="1"/>
  <c r="H40" i="58" s="1"/>
  <c r="H15" i="58"/>
  <c r="H16" i="58" s="1"/>
  <c r="I32" i="58"/>
  <c r="I34" i="58" s="1"/>
  <c r="I40" i="58" s="1"/>
  <c r="I15" i="58"/>
  <c r="I16" i="58" s="1"/>
  <c r="L23" i="43"/>
  <c r="L24" i="43" s="1"/>
  <c r="L25" i="43" s="1"/>
  <c r="L26" i="43" s="1"/>
  <c r="L27" i="43" s="1"/>
  <c r="G24" i="43"/>
  <c r="G25" i="43" s="1"/>
  <c r="G26" i="43" s="1"/>
  <c r="G27" i="43" s="1"/>
  <c r="K24" i="43"/>
  <c r="K25" i="43" s="1"/>
  <c r="K26" i="43" s="1"/>
  <c r="K27" i="43" s="1"/>
  <c r="M32" i="58"/>
  <c r="M34" i="58" s="1"/>
  <c r="M40" i="58" s="1"/>
  <c r="M15" i="58"/>
  <c r="M16" i="58" s="1"/>
  <c r="N32" i="58"/>
  <c r="N34" i="58" s="1"/>
  <c r="N40" i="58" s="1"/>
  <c r="N15" i="58"/>
  <c r="N16" i="58" s="1"/>
  <c r="O32" i="58"/>
  <c r="O34" i="58" s="1"/>
  <c r="O40" i="58" s="1"/>
  <c r="O15" i="58"/>
  <c r="O16" i="58" s="1"/>
  <c r="N23" i="43"/>
  <c r="N24" i="43" s="1"/>
  <c r="N25" i="43" s="1"/>
  <c r="N26" i="43" s="1"/>
  <c r="N27" i="43" s="1"/>
  <c r="M46" i="43"/>
  <c r="M48" i="43" s="1"/>
  <c r="Q23" i="43"/>
  <c r="Q24" i="43" s="1"/>
  <c r="Q25" i="43" s="1"/>
  <c r="Q26" i="43" s="1"/>
  <c r="Q27" i="43" s="1"/>
  <c r="O23" i="43"/>
  <c r="O24" i="43" s="1"/>
  <c r="O25" i="43" s="1"/>
  <c r="O26" i="43" s="1"/>
  <c r="O27" i="43" s="1"/>
  <c r="G18" i="57"/>
  <c r="G17" i="57" s="1"/>
  <c r="P18" i="57"/>
  <c r="P17" i="57" s="1"/>
  <c r="K18" i="57"/>
  <c r="K17" i="57" s="1"/>
  <c r="L18" i="57"/>
  <c r="L17" i="57" s="1"/>
  <c r="J18" i="57"/>
  <c r="J17" i="57" s="1"/>
  <c r="N18" i="57"/>
  <c r="N17" i="57" s="1"/>
  <c r="O18" i="57"/>
  <c r="O17" i="57" s="1"/>
  <c r="M18" i="57"/>
  <c r="M17" i="57" s="1"/>
  <c r="H18" i="57"/>
  <c r="H17" i="57" s="1"/>
  <c r="Q18" i="57"/>
  <c r="Q17" i="57" s="1"/>
  <c r="I18" i="57"/>
  <c r="I17" i="57" s="1"/>
  <c r="I23" i="43"/>
  <c r="I24" i="43" s="1"/>
  <c r="I25" i="43" s="1"/>
  <c r="I26" i="43" s="1"/>
  <c r="I27" i="43" s="1"/>
  <c r="M21" i="57"/>
  <c r="H21" i="57"/>
  <c r="Q21" i="57"/>
  <c r="G21" i="57"/>
  <c r="P21" i="57"/>
  <c r="K21" i="57"/>
  <c r="L21" i="57"/>
  <c r="I21" i="57"/>
  <c r="J21" i="57"/>
  <c r="N21" i="57"/>
  <c r="O21" i="57"/>
  <c r="G25" i="61"/>
  <c r="G26" i="61" s="1"/>
  <c r="G27" i="61" s="1"/>
  <c r="Q25" i="61"/>
  <c r="Q26" i="61" s="1"/>
  <c r="Q27" i="61" s="1"/>
  <c r="P25" i="61"/>
  <c r="P26" i="61" s="1"/>
  <c r="P27" i="61" s="1"/>
  <c r="H25" i="61"/>
  <c r="H26" i="61" s="1"/>
  <c r="H27" i="61" s="1"/>
  <c r="T22" i="61"/>
  <c r="C20" i="56" s="1"/>
  <c r="C46" i="56" s="1"/>
  <c r="T19" i="59"/>
  <c r="G17" i="56" s="1"/>
  <c r="G43" i="56" s="1"/>
  <c r="T22" i="59"/>
  <c r="G20" i="56" s="1"/>
  <c r="G46" i="56" s="1"/>
  <c r="T19" i="43"/>
  <c r="D17" i="56" s="1"/>
  <c r="D43" i="56" s="1"/>
  <c r="T19" i="61"/>
  <c r="C17" i="56" s="1"/>
  <c r="C43" i="56" s="1"/>
  <c r="E15" i="57"/>
  <c r="E16" i="57" s="1"/>
  <c r="F15" i="43"/>
  <c r="F16" i="43" s="1"/>
  <c r="T10" i="57"/>
  <c r="E8" i="56" s="1"/>
  <c r="E31" i="56" s="1"/>
  <c r="E8" i="59"/>
  <c r="E9" i="59" s="1"/>
  <c r="E32" i="59" s="1"/>
  <c r="E34" i="59" s="1"/>
  <c r="E40" i="59" s="1"/>
  <c r="F8" i="59"/>
  <c r="F9" i="59" s="1"/>
  <c r="F32" i="59" s="1"/>
  <c r="F34" i="59" s="1"/>
  <c r="F40" i="59" s="1"/>
  <c r="T8" i="58"/>
  <c r="T10" i="43"/>
  <c r="T9" i="57"/>
  <c r="E7" i="56" s="1"/>
  <c r="E50" i="56" s="1"/>
  <c r="C32" i="57"/>
  <c r="C34" i="57" s="1"/>
  <c r="T9" i="43"/>
  <c r="C32" i="43"/>
  <c r="C34" i="43" s="1"/>
  <c r="T22" i="43"/>
  <c r="D20" i="56" s="1"/>
  <c r="D46" i="56" s="1"/>
  <c r="T22" i="58"/>
  <c r="F20" i="56" s="1"/>
  <c r="F46" i="56" s="1"/>
  <c r="T22" i="57"/>
  <c r="E20" i="56" s="1"/>
  <c r="F23" i="43"/>
  <c r="F48" i="43"/>
  <c r="E18" i="57"/>
  <c r="E17" i="57" s="1"/>
  <c r="F18" i="57"/>
  <c r="F17" i="57" s="1"/>
  <c r="E23" i="43"/>
  <c r="E48" i="43"/>
  <c r="F21" i="57"/>
  <c r="E21" i="57"/>
  <c r="T19" i="57"/>
  <c r="E17" i="56" s="1"/>
  <c r="E43" i="56" s="1"/>
  <c r="D17" i="43"/>
  <c r="D23" i="43" s="1"/>
  <c r="D24" i="43" s="1"/>
  <c r="T19" i="58"/>
  <c r="F17" i="56" s="1"/>
  <c r="F43" i="56" s="1"/>
  <c r="D40" i="43"/>
  <c r="E34" i="58"/>
  <c r="E40" i="58" s="1"/>
  <c r="E10" i="58"/>
  <c r="F34" i="58"/>
  <c r="F40" i="58" s="1"/>
  <c r="F10" i="58"/>
  <c r="F15" i="58" s="1"/>
  <c r="F16" i="58" s="1"/>
  <c r="E10" i="59"/>
  <c r="F10" i="59"/>
  <c r="F15" i="59" s="1"/>
  <c r="E14" i="59"/>
  <c r="E14" i="58"/>
  <c r="F10" i="56"/>
  <c r="F36" i="56" s="1"/>
  <c r="E14" i="43"/>
  <c r="E15" i="43" s="1"/>
  <c r="F14" i="57"/>
  <c r="F15" i="57" s="1"/>
  <c r="F16" i="57" s="1"/>
  <c r="H18" i="56"/>
  <c r="H44" i="56" s="1"/>
  <c r="D8" i="59"/>
  <c r="D9" i="59" s="1"/>
  <c r="D32" i="59" s="1"/>
  <c r="D34" i="59" s="1"/>
  <c r="D40" i="59" s="1"/>
  <c r="C8" i="59"/>
  <c r="V12" i="55"/>
  <c r="W12" i="55" s="1"/>
  <c r="W11" i="55"/>
  <c r="D40" i="57"/>
  <c r="C17" i="43"/>
  <c r="D11" i="59"/>
  <c r="D14" i="59" s="1"/>
  <c r="H11" i="56"/>
  <c r="H37" i="56" s="1"/>
  <c r="C20" i="36"/>
  <c r="D20" i="36" s="1"/>
  <c r="E20" i="36" s="1"/>
  <c r="F20" i="36" s="1"/>
  <c r="G20" i="36" s="1"/>
  <c r="H20" i="36" s="1"/>
  <c r="M19" i="36"/>
  <c r="I23" i="36"/>
  <c r="I22" i="36"/>
  <c r="E24" i="36"/>
  <c r="I18" i="36"/>
  <c r="J18" i="36" s="1"/>
  <c r="K18" i="36" s="1"/>
  <c r="L18" i="36" s="1"/>
  <c r="D15" i="58"/>
  <c r="D16" i="58" s="1"/>
  <c r="C18" i="57"/>
  <c r="C17" i="57" s="1"/>
  <c r="D18" i="57"/>
  <c r="D17" i="57" s="1"/>
  <c r="D46" i="43"/>
  <c r="C46" i="43"/>
  <c r="E19" i="56"/>
  <c r="E45" i="56" s="1"/>
  <c r="D21" i="57"/>
  <c r="C21" i="57"/>
  <c r="T21" i="58"/>
  <c r="F28" i="51"/>
  <c r="C30" i="56"/>
  <c r="C32" i="56" s="1"/>
  <c r="C33" i="56" s="1"/>
  <c r="C50" i="56"/>
  <c r="D30" i="56"/>
  <c r="D51" i="56"/>
  <c r="D50" i="56"/>
  <c r="S21" i="58" l="1"/>
  <c r="R21" i="58"/>
  <c r="S18" i="57"/>
  <c r="S17" i="57" s="1"/>
  <c r="R18" i="57"/>
  <c r="R17" i="57" s="1"/>
  <c r="R21" i="57"/>
  <c r="S21" i="57"/>
  <c r="J21" i="58"/>
  <c r="J46" i="58" s="1"/>
  <c r="J48" i="58" s="1"/>
  <c r="H21" i="58"/>
  <c r="H46" i="58" s="1"/>
  <c r="Q21" i="58"/>
  <c r="Q46" i="58" s="1"/>
  <c r="Q48" i="58" s="1"/>
  <c r="O21" i="58"/>
  <c r="O46" i="58" s="1"/>
  <c r="P21" i="58"/>
  <c r="P46" i="58" s="1"/>
  <c r="P48" i="58" s="1"/>
  <c r="M21" i="58"/>
  <c r="M46" i="58" s="1"/>
  <c r="K21" i="58"/>
  <c r="K46" i="58" s="1"/>
  <c r="K48" i="58" s="1"/>
  <c r="I21" i="58"/>
  <c r="I46" i="58" s="1"/>
  <c r="I48" i="58" s="1"/>
  <c r="L21" i="58"/>
  <c r="L46" i="58" s="1"/>
  <c r="L48" i="58" s="1"/>
  <c r="G21" i="58"/>
  <c r="G46" i="58" s="1"/>
  <c r="G48" i="58" s="1"/>
  <c r="N21" i="58"/>
  <c r="N46" i="58" s="1"/>
  <c r="N48" i="58" s="1"/>
  <c r="M48" i="58"/>
  <c r="O48" i="58"/>
  <c r="H48" i="58"/>
  <c r="I32" i="59"/>
  <c r="I34" i="59" s="1"/>
  <c r="I40" i="59" s="1"/>
  <c r="I15" i="59"/>
  <c r="M32" i="59"/>
  <c r="M34" i="59" s="1"/>
  <c r="M40" i="59" s="1"/>
  <c r="M15" i="59"/>
  <c r="O32" i="59"/>
  <c r="O34" i="59" s="1"/>
  <c r="O40" i="59" s="1"/>
  <c r="O15" i="59"/>
  <c r="Q32" i="59"/>
  <c r="Q34" i="59" s="1"/>
  <c r="Q40" i="59" s="1"/>
  <c r="Q15" i="59"/>
  <c r="H32" i="59"/>
  <c r="H34" i="59" s="1"/>
  <c r="H40" i="59" s="1"/>
  <c r="H15" i="59"/>
  <c r="J32" i="59"/>
  <c r="J34" i="59" s="1"/>
  <c r="J40" i="59" s="1"/>
  <c r="J15" i="59"/>
  <c r="K32" i="59"/>
  <c r="K34" i="59" s="1"/>
  <c r="K40" i="59" s="1"/>
  <c r="K15" i="59"/>
  <c r="L32" i="59"/>
  <c r="L34" i="59" s="1"/>
  <c r="L40" i="59" s="1"/>
  <c r="L15" i="59"/>
  <c r="N32" i="59"/>
  <c r="N34" i="59" s="1"/>
  <c r="N40" i="59" s="1"/>
  <c r="N15" i="59"/>
  <c r="P32" i="59"/>
  <c r="P34" i="59" s="1"/>
  <c r="P40" i="59" s="1"/>
  <c r="P15" i="59"/>
  <c r="G32" i="59"/>
  <c r="G34" i="59" s="1"/>
  <c r="G40" i="59" s="1"/>
  <c r="G15" i="59"/>
  <c r="N46" i="57"/>
  <c r="N48" i="57" s="1"/>
  <c r="N23" i="57"/>
  <c r="N24" i="57" s="1"/>
  <c r="N25" i="57" s="1"/>
  <c r="N26" i="57" s="1"/>
  <c r="N27" i="57" s="1"/>
  <c r="L23" i="57"/>
  <c r="L24" i="57" s="1"/>
  <c r="L25" i="57" s="1"/>
  <c r="L26" i="57" s="1"/>
  <c r="L27" i="57" s="1"/>
  <c r="L46" i="57"/>
  <c r="L48" i="57" s="1"/>
  <c r="G23" i="57"/>
  <c r="G24" i="57" s="1"/>
  <c r="G25" i="57" s="1"/>
  <c r="G26" i="57" s="1"/>
  <c r="G27" i="57" s="1"/>
  <c r="G46" i="57"/>
  <c r="G48" i="57" s="1"/>
  <c r="M46" i="57"/>
  <c r="M48" i="57" s="1"/>
  <c r="M23" i="57"/>
  <c r="M24" i="57" s="1"/>
  <c r="M25" i="57" s="1"/>
  <c r="M26" i="57" s="1"/>
  <c r="M27" i="57" s="1"/>
  <c r="O23" i="57"/>
  <c r="O24" i="57" s="1"/>
  <c r="O25" i="57" s="1"/>
  <c r="O26" i="57" s="1"/>
  <c r="O27" i="57" s="1"/>
  <c r="O46" i="57"/>
  <c r="O48" i="57" s="1"/>
  <c r="I23" i="57"/>
  <c r="I24" i="57" s="1"/>
  <c r="I25" i="57" s="1"/>
  <c r="I26" i="57" s="1"/>
  <c r="I27" i="57" s="1"/>
  <c r="I46" i="57"/>
  <c r="I48" i="57" s="1"/>
  <c r="P23" i="57"/>
  <c r="P24" i="57" s="1"/>
  <c r="P25" i="57" s="1"/>
  <c r="P26" i="57" s="1"/>
  <c r="P27" i="57" s="1"/>
  <c r="P46" i="57"/>
  <c r="P48" i="57" s="1"/>
  <c r="H23" i="57"/>
  <c r="H24" i="57" s="1"/>
  <c r="H25" i="57" s="1"/>
  <c r="H26" i="57" s="1"/>
  <c r="H27" i="57" s="1"/>
  <c r="H46" i="57"/>
  <c r="H48" i="57" s="1"/>
  <c r="J46" i="57"/>
  <c r="J48" i="57" s="1"/>
  <c r="J23" i="57"/>
  <c r="J24" i="57" s="1"/>
  <c r="J25" i="57" s="1"/>
  <c r="J26" i="57" s="1"/>
  <c r="J27" i="57" s="1"/>
  <c r="K46" i="57"/>
  <c r="K48" i="57" s="1"/>
  <c r="K23" i="57"/>
  <c r="K24" i="57" s="1"/>
  <c r="Q46" i="57"/>
  <c r="Q48" i="57" s="1"/>
  <c r="Q23" i="57"/>
  <c r="Q24" i="57" s="1"/>
  <c r="Q25" i="57" s="1"/>
  <c r="Q26" i="57" s="1"/>
  <c r="Q27" i="57" s="1"/>
  <c r="E30" i="56"/>
  <c r="F24" i="43"/>
  <c r="F25" i="43" s="1"/>
  <c r="F26" i="43" s="1"/>
  <c r="F27" i="43" s="1"/>
  <c r="D8" i="56"/>
  <c r="D31" i="56" s="1"/>
  <c r="D32" i="56" s="1"/>
  <c r="D33" i="56" s="1"/>
  <c r="E32" i="56"/>
  <c r="E33" i="56" s="1"/>
  <c r="D15" i="59"/>
  <c r="D16" i="59" s="1"/>
  <c r="T9" i="58"/>
  <c r="F7" i="56" s="1"/>
  <c r="F48" i="56" s="1"/>
  <c r="F6" i="56"/>
  <c r="E52" i="56"/>
  <c r="E15" i="59"/>
  <c r="E16" i="59" s="1"/>
  <c r="C52" i="56"/>
  <c r="T10" i="58"/>
  <c r="F8" i="56" s="1"/>
  <c r="D48" i="56"/>
  <c r="T8" i="59"/>
  <c r="T9" i="59" s="1"/>
  <c r="T17" i="43"/>
  <c r="T23" i="43" s="1"/>
  <c r="E21" i="58"/>
  <c r="F21" i="58"/>
  <c r="T18" i="59"/>
  <c r="T18" i="58"/>
  <c r="C18" i="58" s="1"/>
  <c r="C17" i="58" s="1"/>
  <c r="F46" i="57"/>
  <c r="F48" i="57" s="1"/>
  <c r="F23" i="57"/>
  <c r="F24" i="57" s="1"/>
  <c r="F25" i="57" s="1"/>
  <c r="F26" i="57" s="1"/>
  <c r="F27" i="57" s="1"/>
  <c r="E46" i="57"/>
  <c r="E48" i="57" s="1"/>
  <c r="E23" i="57"/>
  <c r="E24" i="57" s="1"/>
  <c r="E25" i="57" s="1"/>
  <c r="E26" i="57" s="1"/>
  <c r="E27" i="57" s="1"/>
  <c r="C48" i="56"/>
  <c r="D48" i="43"/>
  <c r="T17" i="57"/>
  <c r="D52" i="56"/>
  <c r="F16" i="59"/>
  <c r="T10" i="59"/>
  <c r="G8" i="56" s="1"/>
  <c r="G31" i="56" s="1"/>
  <c r="E15" i="58"/>
  <c r="E16" i="58" s="1"/>
  <c r="H10" i="56"/>
  <c r="H36" i="56" s="1"/>
  <c r="E16" i="43"/>
  <c r="E24" i="43"/>
  <c r="E25" i="43" s="1"/>
  <c r="E26" i="43" s="1"/>
  <c r="E27" i="43" s="1"/>
  <c r="C23" i="43"/>
  <c r="C9" i="59"/>
  <c r="E48" i="56"/>
  <c r="H17" i="56"/>
  <c r="H43" i="56" s="1"/>
  <c r="E46" i="56"/>
  <c r="H20" i="56"/>
  <c r="H46" i="56" s="1"/>
  <c r="D25" i="43"/>
  <c r="D26" i="43" s="1"/>
  <c r="D27" i="43" s="1"/>
  <c r="I20" i="36"/>
  <c r="J20" i="36" s="1"/>
  <c r="K20" i="36" s="1"/>
  <c r="L20" i="36" s="1"/>
  <c r="I24" i="36"/>
  <c r="K26" i="51"/>
  <c r="E51" i="56"/>
  <c r="F19" i="56"/>
  <c r="D21" i="58"/>
  <c r="C21" i="58"/>
  <c r="C46" i="57"/>
  <c r="C23" i="57"/>
  <c r="G28" i="51"/>
  <c r="T21" i="59"/>
  <c r="D46" i="57"/>
  <c r="D48" i="57" s="1"/>
  <c r="D23" i="57"/>
  <c r="D24" i="57" s="1"/>
  <c r="D25" i="57" s="1"/>
  <c r="C18" i="59" l="1"/>
  <c r="C17" i="59" s="1"/>
  <c r="R18" i="59"/>
  <c r="R17" i="59" s="1"/>
  <c r="S18" i="59"/>
  <c r="S17" i="59" s="1"/>
  <c r="S46" i="57"/>
  <c r="S48" i="57" s="1"/>
  <c r="S23" i="57"/>
  <c r="S24" i="57" s="1"/>
  <c r="S25" i="57" s="1"/>
  <c r="S26" i="57" s="1"/>
  <c r="S27" i="57" s="1"/>
  <c r="R46" i="57"/>
  <c r="R48" i="57" s="1"/>
  <c r="R23" i="57"/>
  <c r="R24" i="57" s="1"/>
  <c r="R25" i="57" s="1"/>
  <c r="R26" i="57" s="1"/>
  <c r="R27" i="57" s="1"/>
  <c r="R46" i="58"/>
  <c r="R48" i="58" s="1"/>
  <c r="S21" i="59"/>
  <c r="R21" i="59"/>
  <c r="S18" i="58"/>
  <c r="S17" i="58" s="1"/>
  <c r="R18" i="58"/>
  <c r="R17" i="58" s="1"/>
  <c r="R23" i="58" s="1"/>
  <c r="R24" i="58" s="1"/>
  <c r="R25" i="58" s="1"/>
  <c r="R26" i="58" s="1"/>
  <c r="R27" i="58" s="1"/>
  <c r="S46" i="58"/>
  <c r="S48" i="58" s="1"/>
  <c r="S23" i="58"/>
  <c r="S24" i="58" s="1"/>
  <c r="S25" i="58" s="1"/>
  <c r="S26" i="58" s="1"/>
  <c r="S27" i="58" s="1"/>
  <c r="D21" i="59"/>
  <c r="D46" i="59" s="1"/>
  <c r="D48" i="59" s="1"/>
  <c r="M21" i="59"/>
  <c r="M46" i="59" s="1"/>
  <c r="M48" i="59" s="1"/>
  <c r="K21" i="59"/>
  <c r="K46" i="59" s="1"/>
  <c r="K48" i="59" s="1"/>
  <c r="O21" i="59"/>
  <c r="O46" i="59" s="1"/>
  <c r="H21" i="59"/>
  <c r="H46" i="59" s="1"/>
  <c r="H48" i="59" s="1"/>
  <c r="I21" i="59"/>
  <c r="I46" i="59" s="1"/>
  <c r="G21" i="59"/>
  <c r="G46" i="59" s="1"/>
  <c r="G48" i="59" s="1"/>
  <c r="P21" i="59"/>
  <c r="P46" i="59" s="1"/>
  <c r="P48" i="59" s="1"/>
  <c r="N21" i="59"/>
  <c r="N46" i="59" s="1"/>
  <c r="L21" i="59"/>
  <c r="L46" i="59" s="1"/>
  <c r="L48" i="59" s="1"/>
  <c r="J21" i="59"/>
  <c r="J46" i="59" s="1"/>
  <c r="J48" i="59" s="1"/>
  <c r="Q21" i="59"/>
  <c r="Q46" i="59" s="1"/>
  <c r="N48" i="59"/>
  <c r="Q48" i="59"/>
  <c r="I48" i="59"/>
  <c r="O48" i="59"/>
  <c r="D18" i="59"/>
  <c r="D17" i="59" s="1"/>
  <c r="D23" i="59" s="1"/>
  <c r="D24" i="59" s="1"/>
  <c r="D25" i="59" s="1"/>
  <c r="M18" i="59"/>
  <c r="M17" i="59" s="1"/>
  <c r="H18" i="59"/>
  <c r="H17" i="59" s="1"/>
  <c r="Q18" i="59"/>
  <c r="Q17" i="59" s="1"/>
  <c r="Q23" i="59" s="1"/>
  <c r="Q24" i="59" s="1"/>
  <c r="Q25" i="59" s="1"/>
  <c r="Q26" i="59" s="1"/>
  <c r="Q27" i="59" s="1"/>
  <c r="L18" i="59"/>
  <c r="L17" i="59" s="1"/>
  <c r="G18" i="59"/>
  <c r="G17" i="59" s="1"/>
  <c r="P18" i="59"/>
  <c r="P17" i="59" s="1"/>
  <c r="K18" i="59"/>
  <c r="K17" i="59" s="1"/>
  <c r="J18" i="59"/>
  <c r="J17" i="59" s="1"/>
  <c r="N18" i="59"/>
  <c r="N17" i="59" s="1"/>
  <c r="N23" i="59" s="1"/>
  <c r="N24" i="59" s="1"/>
  <c r="N25" i="59" s="1"/>
  <c r="N26" i="59" s="1"/>
  <c r="N27" i="59" s="1"/>
  <c r="O18" i="59"/>
  <c r="O17" i="59" s="1"/>
  <c r="I18" i="59"/>
  <c r="I17" i="59" s="1"/>
  <c r="I23" i="59" s="1"/>
  <c r="I24" i="59" s="1"/>
  <c r="I25" i="59" s="1"/>
  <c r="I26" i="59" s="1"/>
  <c r="I27" i="59" s="1"/>
  <c r="D18" i="58"/>
  <c r="D17" i="58" s="1"/>
  <c r="D23" i="58" s="1"/>
  <c r="D24" i="58" s="1"/>
  <c r="J18" i="58"/>
  <c r="J17" i="58" s="1"/>
  <c r="J23" i="58" s="1"/>
  <c r="J24" i="58" s="1"/>
  <c r="J25" i="58" s="1"/>
  <c r="J26" i="58" s="1"/>
  <c r="J27" i="58" s="1"/>
  <c r="N18" i="58"/>
  <c r="N17" i="58" s="1"/>
  <c r="N23" i="58" s="1"/>
  <c r="N24" i="58" s="1"/>
  <c r="N25" i="58" s="1"/>
  <c r="N26" i="58" s="1"/>
  <c r="N27" i="58" s="1"/>
  <c r="I18" i="58"/>
  <c r="I17" i="58" s="1"/>
  <c r="I23" i="58" s="1"/>
  <c r="I24" i="58" s="1"/>
  <c r="I25" i="58" s="1"/>
  <c r="I26" i="58" s="1"/>
  <c r="I27" i="58" s="1"/>
  <c r="L18" i="58"/>
  <c r="L17" i="58" s="1"/>
  <c r="L23" i="58" s="1"/>
  <c r="L24" i="58" s="1"/>
  <c r="L25" i="58" s="1"/>
  <c r="L26" i="58" s="1"/>
  <c r="L27" i="58" s="1"/>
  <c r="M18" i="58"/>
  <c r="M17" i="58" s="1"/>
  <c r="M23" i="58" s="1"/>
  <c r="M24" i="58" s="1"/>
  <c r="M25" i="58" s="1"/>
  <c r="M26" i="58" s="1"/>
  <c r="M27" i="58" s="1"/>
  <c r="H18" i="58"/>
  <c r="H17" i="58" s="1"/>
  <c r="H23" i="58" s="1"/>
  <c r="H24" i="58" s="1"/>
  <c r="H25" i="58" s="1"/>
  <c r="H26" i="58" s="1"/>
  <c r="H27" i="58" s="1"/>
  <c r="Q18" i="58"/>
  <c r="Q17" i="58" s="1"/>
  <c r="Q23" i="58" s="1"/>
  <c r="Q24" i="58" s="1"/>
  <c r="Q25" i="58" s="1"/>
  <c r="Q26" i="58" s="1"/>
  <c r="Q27" i="58" s="1"/>
  <c r="O18" i="58"/>
  <c r="O17" i="58" s="1"/>
  <c r="O23" i="58" s="1"/>
  <c r="O24" i="58" s="1"/>
  <c r="O25" i="58" s="1"/>
  <c r="O26" i="58" s="1"/>
  <c r="O27" i="58" s="1"/>
  <c r="G18" i="58"/>
  <c r="G17" i="58" s="1"/>
  <c r="G23" i="58" s="1"/>
  <c r="G24" i="58" s="1"/>
  <c r="G25" i="58" s="1"/>
  <c r="G26" i="58" s="1"/>
  <c r="G27" i="58" s="1"/>
  <c r="P18" i="58"/>
  <c r="P17" i="58" s="1"/>
  <c r="P23" i="58" s="1"/>
  <c r="P24" i="58" s="1"/>
  <c r="P25" i="58" s="1"/>
  <c r="P26" i="58" s="1"/>
  <c r="P27" i="58" s="1"/>
  <c r="K18" i="58"/>
  <c r="K17" i="58" s="1"/>
  <c r="K23" i="58" s="1"/>
  <c r="K24" i="58" s="1"/>
  <c r="K25" i="58" s="1"/>
  <c r="K26" i="58" s="1"/>
  <c r="K27" i="58" s="1"/>
  <c r="G16" i="59"/>
  <c r="O16" i="59"/>
  <c r="N16" i="59"/>
  <c r="Q16" i="59"/>
  <c r="I16" i="59"/>
  <c r="L16" i="59"/>
  <c r="J16" i="59"/>
  <c r="P16" i="59"/>
  <c r="K16" i="59"/>
  <c r="H16" i="59"/>
  <c r="M16" i="59"/>
  <c r="F50" i="56"/>
  <c r="K25" i="57"/>
  <c r="K26" i="57" s="1"/>
  <c r="K27" i="57" s="1"/>
  <c r="F52" i="56"/>
  <c r="F30" i="56"/>
  <c r="D15" i="56"/>
  <c r="D42" i="56" s="1"/>
  <c r="G6" i="56"/>
  <c r="H6" i="56" s="1"/>
  <c r="G7" i="56"/>
  <c r="G52" i="56" s="1"/>
  <c r="C32" i="59"/>
  <c r="C34" i="59" s="1"/>
  <c r="C21" i="59"/>
  <c r="C46" i="59" s="1"/>
  <c r="F46" i="58"/>
  <c r="F48" i="58" s="1"/>
  <c r="E18" i="58"/>
  <c r="E17" i="58" s="1"/>
  <c r="E23" i="58" s="1"/>
  <c r="E24" i="58" s="1"/>
  <c r="E25" i="58" s="1"/>
  <c r="E26" i="58" s="1"/>
  <c r="E27" i="58" s="1"/>
  <c r="F18" i="58"/>
  <c r="F17" i="58" s="1"/>
  <c r="F23" i="58" s="1"/>
  <c r="F24" i="58" s="1"/>
  <c r="F25" i="58" s="1"/>
  <c r="F26" i="58" s="1"/>
  <c r="F27" i="58" s="1"/>
  <c r="E46" i="58"/>
  <c r="E48" i="58" s="1"/>
  <c r="E21" i="59"/>
  <c r="F21" i="59"/>
  <c r="G19" i="56"/>
  <c r="G51" i="56" s="1"/>
  <c r="E18" i="59"/>
  <c r="E17" i="59" s="1"/>
  <c r="F18" i="59"/>
  <c r="F17" i="59" s="1"/>
  <c r="F31" i="56"/>
  <c r="F32" i="56" s="1"/>
  <c r="F33" i="56" s="1"/>
  <c r="H8" i="56"/>
  <c r="H31" i="56" s="1"/>
  <c r="G50" i="56"/>
  <c r="F51" i="56"/>
  <c r="E15" i="56"/>
  <c r="H28" i="51"/>
  <c r="D46" i="58"/>
  <c r="D48" i="58" s="1"/>
  <c r="F45" i="56"/>
  <c r="D26" i="57"/>
  <c r="D27" i="57" s="1"/>
  <c r="C46" i="58"/>
  <c r="C23" i="58"/>
  <c r="O23" i="59" l="1"/>
  <c r="O24" i="59" s="1"/>
  <c r="O25" i="59" s="1"/>
  <c r="O26" i="59" s="1"/>
  <c r="O27" i="59" s="1"/>
  <c r="M23" i="59"/>
  <c r="M24" i="59" s="1"/>
  <c r="M25" i="59" s="1"/>
  <c r="M26" i="59" s="1"/>
  <c r="M27" i="59" s="1"/>
  <c r="T23" i="57"/>
  <c r="R46" i="59"/>
  <c r="R48" i="59" s="1"/>
  <c r="R23" i="59"/>
  <c r="R24" i="59" s="1"/>
  <c r="R25" i="59" s="1"/>
  <c r="R26" i="59" s="1"/>
  <c r="R27" i="59" s="1"/>
  <c r="S46" i="59"/>
  <c r="S48" i="59" s="1"/>
  <c r="S23" i="59"/>
  <c r="S24" i="59" s="1"/>
  <c r="S25" i="59" s="1"/>
  <c r="S26" i="59" s="1"/>
  <c r="S27" i="59" s="1"/>
  <c r="G23" i="59"/>
  <c r="G24" i="59" s="1"/>
  <c r="G25" i="59" s="1"/>
  <c r="G26" i="59" s="1"/>
  <c r="G27" i="59" s="1"/>
  <c r="L23" i="59"/>
  <c r="L24" i="59" s="1"/>
  <c r="L25" i="59" s="1"/>
  <c r="L26" i="59" s="1"/>
  <c r="L27" i="59" s="1"/>
  <c r="P23" i="59"/>
  <c r="P24" i="59" s="1"/>
  <c r="P25" i="59" s="1"/>
  <c r="P26" i="59" s="1"/>
  <c r="P27" i="59" s="1"/>
  <c r="J23" i="59"/>
  <c r="J24" i="59" s="1"/>
  <c r="J25" i="59" s="1"/>
  <c r="J26" i="59" s="1"/>
  <c r="J27" i="59" s="1"/>
  <c r="K23" i="59"/>
  <c r="K24" i="59" s="1"/>
  <c r="K25" i="59" s="1"/>
  <c r="K26" i="59" s="1"/>
  <c r="K27" i="59" s="1"/>
  <c r="H23" i="59"/>
  <c r="H24" i="59" s="1"/>
  <c r="H25" i="59" s="1"/>
  <c r="H26" i="59" s="1"/>
  <c r="H27" i="59" s="1"/>
  <c r="D21" i="56"/>
  <c r="G45" i="56"/>
  <c r="G48" i="56"/>
  <c r="H7" i="56"/>
  <c r="H52" i="56" s="1"/>
  <c r="G30" i="56"/>
  <c r="G32" i="56" s="1"/>
  <c r="G33" i="56" s="1"/>
  <c r="T17" i="59"/>
  <c r="T17" i="58"/>
  <c r="C23" i="59"/>
  <c r="F46" i="59"/>
  <c r="F48" i="59" s="1"/>
  <c r="F23" i="59"/>
  <c r="F24" i="59" s="1"/>
  <c r="F25" i="59" s="1"/>
  <c r="F26" i="59" s="1"/>
  <c r="F27" i="59" s="1"/>
  <c r="E46" i="59"/>
  <c r="E48" i="59" s="1"/>
  <c r="E23" i="59"/>
  <c r="E24" i="59" s="1"/>
  <c r="E25" i="59" s="1"/>
  <c r="E26" i="59" s="1"/>
  <c r="E27" i="59" s="1"/>
  <c r="D25" i="58"/>
  <c r="D26" i="58" s="1"/>
  <c r="D27" i="58" s="1"/>
  <c r="E42" i="56"/>
  <c r="E21" i="56"/>
  <c r="D26" i="59"/>
  <c r="D27" i="59" s="1"/>
  <c r="I28" i="51"/>
  <c r="T23" i="58" l="1"/>
  <c r="H30" i="56"/>
  <c r="H32" i="56" s="1"/>
  <c r="H33" i="56" s="1"/>
  <c r="H48" i="56"/>
  <c r="H50" i="56"/>
  <c r="T23" i="59"/>
  <c r="F42" i="56"/>
  <c r="F21" i="56"/>
  <c r="G42" i="56"/>
  <c r="G21" i="56"/>
  <c r="J28" i="51"/>
  <c r="K27" i="51"/>
  <c r="K28" i="51" s="1"/>
  <c r="C36" i="61" l="1"/>
  <c r="C40" i="61" l="1"/>
  <c r="C36" i="59"/>
  <c r="C11" i="59" s="1"/>
  <c r="C36" i="58"/>
  <c r="C11" i="58" s="1"/>
  <c r="T11" i="58" s="1"/>
  <c r="T14" i="58" s="1"/>
  <c r="T15" i="58" s="1"/>
  <c r="C36" i="57"/>
  <c r="C40" i="57" s="1"/>
  <c r="C48" i="57" s="1"/>
  <c r="C36" i="43"/>
  <c r="C11" i="43" s="1"/>
  <c r="C11" i="61"/>
  <c r="C11" i="57"/>
  <c r="T11" i="57" s="1"/>
  <c r="T14" i="57" s="1"/>
  <c r="T15" i="57" s="1"/>
  <c r="C40" i="59" l="1"/>
  <c r="C48" i="59" s="1"/>
  <c r="T11" i="43"/>
  <c r="T14" i="43" s="1"/>
  <c r="T15" i="43" s="1"/>
  <c r="C40" i="43"/>
  <c r="C48" i="43" s="1"/>
  <c r="C14" i="59"/>
  <c r="C15" i="59" s="1"/>
  <c r="C16" i="59" s="1"/>
  <c r="T11" i="59"/>
  <c r="T14" i="59" s="1"/>
  <c r="T15" i="59" s="1"/>
  <c r="C14" i="61"/>
  <c r="C15" i="61" s="1"/>
  <c r="T11" i="61"/>
  <c r="T14" i="61" s="1"/>
  <c r="T15" i="61" s="1"/>
  <c r="C40" i="58"/>
  <c r="C48" i="58" s="1"/>
  <c r="C14" i="43"/>
  <c r="C15" i="43" s="1"/>
  <c r="C16" i="43" s="1"/>
  <c r="F9" i="56"/>
  <c r="C14" i="58"/>
  <c r="C14" i="57"/>
  <c r="E9" i="56"/>
  <c r="C9" i="56" l="1"/>
  <c r="C12" i="56" s="1"/>
  <c r="G9" i="56"/>
  <c r="G12" i="56" s="1"/>
  <c r="D9" i="56"/>
  <c r="C24" i="59"/>
  <c r="C25" i="59" s="1"/>
  <c r="G35" i="56"/>
  <c r="T24" i="43"/>
  <c r="C24" i="43"/>
  <c r="C25" i="43" s="1"/>
  <c r="C15" i="57"/>
  <c r="C15" i="58"/>
  <c r="C16" i="61"/>
  <c r="F35" i="56"/>
  <c r="F49" i="56"/>
  <c r="F12" i="56"/>
  <c r="G13" i="56"/>
  <c r="G14" i="56" s="1"/>
  <c r="T16" i="59"/>
  <c r="T24" i="59"/>
  <c r="D13" i="56"/>
  <c r="D14" i="56" s="1"/>
  <c r="E35" i="56"/>
  <c r="E49" i="56"/>
  <c r="E12" i="56"/>
  <c r="C35" i="56" l="1"/>
  <c r="G49" i="56"/>
  <c r="H9" i="56"/>
  <c r="H35" i="56" s="1"/>
  <c r="C26" i="59"/>
  <c r="C27" i="59" s="1"/>
  <c r="D49" i="56"/>
  <c r="D12" i="56"/>
  <c r="D35" i="56"/>
  <c r="T25" i="59"/>
  <c r="T26" i="59" s="1"/>
  <c r="T27" i="59" s="1"/>
  <c r="T25" i="43"/>
  <c r="T26" i="43" s="1"/>
  <c r="T27" i="43" s="1"/>
  <c r="C26" i="43"/>
  <c r="C27" i="43" s="1"/>
  <c r="T16" i="43"/>
  <c r="G54" i="56"/>
  <c r="D22" i="56"/>
  <c r="D54" i="56" s="1"/>
  <c r="C24" i="57"/>
  <c r="C25" i="57" s="1"/>
  <c r="C16" i="57"/>
  <c r="T16" i="61"/>
  <c r="C13" i="56"/>
  <c r="C14" i="56" s="1"/>
  <c r="D39" i="56"/>
  <c r="D40" i="56" s="1"/>
  <c r="G39" i="56"/>
  <c r="G40" i="56" s="1"/>
  <c r="C24" i="58"/>
  <c r="C25" i="58" s="1"/>
  <c r="C16" i="58"/>
  <c r="H12" i="56" l="1"/>
  <c r="G23" i="56"/>
  <c r="D23" i="56"/>
  <c r="C26" i="57"/>
  <c r="C27" i="57" s="1"/>
  <c r="G24" i="56"/>
  <c r="G25" i="56" s="1"/>
  <c r="D24" i="56"/>
  <c r="D25" i="56" s="1"/>
  <c r="T24" i="58"/>
  <c r="F13" i="56"/>
  <c r="T16" i="58"/>
  <c r="C26" i="58"/>
  <c r="C27" i="58" s="1"/>
  <c r="C39" i="56"/>
  <c r="T16" i="57"/>
  <c r="T24" i="57"/>
  <c r="E13" i="56"/>
  <c r="T25" i="58" l="1"/>
  <c r="T26" i="58" s="1"/>
  <c r="T27" i="58" s="1"/>
  <c r="T25" i="57"/>
  <c r="T26" i="57" s="1"/>
  <c r="T27" i="57" s="1"/>
  <c r="E14" i="56"/>
  <c r="E39" i="56"/>
  <c r="E40" i="56" s="1"/>
  <c r="H13" i="56"/>
  <c r="F14" i="56"/>
  <c r="F39" i="56"/>
  <c r="F40" i="56" s="1"/>
  <c r="E22" i="56"/>
  <c r="E54" i="56" s="1"/>
  <c r="F54" i="56"/>
  <c r="G53" i="56"/>
  <c r="G60" i="56"/>
  <c r="G59" i="56" s="1"/>
  <c r="D60" i="56"/>
  <c r="D59" i="56" s="1"/>
  <c r="D53" i="56"/>
  <c r="F23" i="56" l="1"/>
  <c r="E23" i="56"/>
  <c r="H14" i="56"/>
  <c r="H39" i="56"/>
  <c r="F24" i="56"/>
  <c r="F25" i="56" s="1"/>
  <c r="E24" i="56"/>
  <c r="E25" i="56" s="1"/>
  <c r="E53" i="56" l="1"/>
  <c r="E60" i="56"/>
  <c r="E59" i="56" s="1"/>
  <c r="F53" i="56"/>
  <c r="F60" i="56"/>
  <c r="F59" i="56" s="1"/>
  <c r="F46" i="61" l="1"/>
  <c r="F48" i="61" s="1"/>
  <c r="E46" i="61"/>
  <c r="E48" i="61" s="1"/>
  <c r="D46" i="61"/>
  <c r="D48" i="61" s="1"/>
  <c r="C21" i="61"/>
  <c r="C46" i="61" s="1"/>
  <c r="C48" i="61" s="1"/>
  <c r="C19" i="56"/>
  <c r="C45" i="56" s="1"/>
  <c r="H19" i="56" l="1"/>
  <c r="H51" i="56" s="1"/>
  <c r="C51" i="56"/>
  <c r="C18" i="61"/>
  <c r="C17" i="61" s="1"/>
  <c r="H45" i="56" l="1"/>
  <c r="T17" i="61"/>
  <c r="C23" i="61"/>
  <c r="C24" i="61" s="1"/>
  <c r="C15" i="56" l="1"/>
  <c r="T23" i="61"/>
  <c r="T24" i="61" s="1"/>
  <c r="C25" i="61"/>
  <c r="C26" i="61" s="1"/>
  <c r="T26" i="61" l="1"/>
  <c r="T27" i="61" s="1"/>
  <c r="C27" i="61"/>
  <c r="C22" i="56"/>
  <c r="T25" i="61"/>
  <c r="C23" i="56" s="1"/>
  <c r="C42" i="56"/>
  <c r="C49" i="56"/>
  <c r="C21" i="56"/>
  <c r="C40" i="56" s="1"/>
  <c r="H15" i="56"/>
  <c r="H22" i="56" l="1"/>
  <c r="C54" i="56"/>
  <c r="H42" i="56"/>
  <c r="H21" i="56"/>
  <c r="H40" i="56" s="1"/>
  <c r="H49" i="56"/>
  <c r="C24" i="56"/>
  <c r="C25" i="56" s="1"/>
  <c r="C53" i="56" l="1"/>
  <c r="C60" i="56"/>
  <c r="C59" i="56" s="1"/>
  <c r="H54" i="56"/>
  <c r="H23" i="56"/>
  <c r="H24" i="56" s="1"/>
  <c r="H25" i="56" s="1"/>
  <c r="H53" i="56" l="1"/>
  <c r="H60" i="56"/>
  <c r="H59" i="56" s="1"/>
</calcChain>
</file>

<file path=xl/comments1.xml><?xml version="1.0" encoding="utf-8"?>
<comments xmlns="http://schemas.openxmlformats.org/spreadsheetml/2006/main">
  <authors>
    <author>作者</author>
  </authors>
  <commentList>
    <comment ref="U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ghrc</author>
  </authors>
  <commentList>
    <comment ref="N9" authorId="0" shapeId="0">
      <text>
        <r>
          <rPr>
            <b/>
            <sz val="9"/>
            <color indexed="81"/>
            <rFont val="宋体"/>
            <family val="3"/>
            <charset val="134"/>
          </rPr>
          <t>ghrc:</t>
        </r>
        <r>
          <rPr>
            <sz val="9"/>
            <color indexed="81"/>
            <rFont val="宋体"/>
            <family val="3"/>
            <charset val="134"/>
          </rPr>
          <t xml:space="preserve">
集团</t>
        </r>
      </text>
    </comment>
    <comment ref="O9" authorId="0" shapeId="0">
      <text>
        <r>
          <rPr>
            <b/>
            <sz val="9"/>
            <color indexed="81"/>
            <rFont val="宋体"/>
            <family val="3"/>
            <charset val="134"/>
          </rPr>
          <t>ghrc:</t>
        </r>
        <r>
          <rPr>
            <sz val="9"/>
            <color indexed="81"/>
            <rFont val="宋体"/>
            <family val="3"/>
            <charset val="134"/>
          </rPr>
          <t xml:space="preserve">
含集团</t>
        </r>
      </text>
    </comment>
    <comment ref="J11" authorId="0" shapeId="0">
      <text>
        <r>
          <rPr>
            <b/>
            <sz val="9"/>
            <color indexed="81"/>
            <rFont val="宋体"/>
            <family val="3"/>
            <charset val="134"/>
          </rPr>
          <t>ghrc:</t>
        </r>
        <r>
          <rPr>
            <sz val="9"/>
            <color indexed="81"/>
            <rFont val="宋体"/>
            <family val="3"/>
            <charset val="134"/>
          </rPr>
          <t xml:space="preserve">
按河北</t>
        </r>
      </text>
    </comment>
  </commentList>
</comments>
</file>

<file path=xl/sharedStrings.xml><?xml version="1.0" encoding="utf-8"?>
<sst xmlns="http://schemas.openxmlformats.org/spreadsheetml/2006/main" count="1507" uniqueCount="335">
  <si>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</si>
  <si>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</si>
  <si>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</si>
  <si>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</si>
  <si>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</si>
  <si>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</si>
  <si>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</si>
  <si>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</si>
  <si>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成本预估由项目经理提供。供应商年度降价与销价降价同步。</t>
  </si>
  <si>
    <t>变动费用</t>
  </si>
  <si>
    <t>固定费用</t>
  </si>
  <si>
    <t>预测工厂产能满足客户订单。</t>
  </si>
  <si>
    <t>研发费用按照产销量摊销。</t>
  </si>
  <si>
    <t>如有产线改造按照产销量摊销，无净残值。</t>
  </si>
  <si>
    <t>投资回收期</t>
  </si>
  <si>
    <t>投资仅指此项目研发费用及模夹检具工装、生产地产线改造投入。</t>
  </si>
  <si>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</si>
  <si>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</si>
  <si>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</si>
  <si>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</si>
  <si>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</si>
  <si>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</si>
  <si>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</si>
  <si>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</si>
  <si>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</si>
  <si>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</si>
  <si>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</si>
  <si>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</si>
  <si>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</si>
  <si>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</si>
  <si>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</si>
  <si>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</si>
  <si>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</si>
  <si>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</si>
  <si>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</si>
  <si>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</si>
  <si>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</si>
  <si>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</si>
  <si>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</si>
  <si>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</si>
  <si>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</si>
  <si>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</si>
  <si>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</si>
  <si>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</si>
  <si>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</si>
  <si>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</si>
  <si>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</si>
  <si>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</si>
  <si>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2025年</t>
  </si>
  <si>
    <t>2026年</t>
  </si>
  <si>
    <t>2027年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</si>
  <si>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</si>
  <si>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</si>
  <si>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</si>
  <si>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</si>
  <si>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</si>
  <si>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</si>
  <si>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</si>
  <si>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</si>
  <si>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</si>
  <si>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</si>
  <si>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</si>
  <si>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5、</t>
  </si>
  <si>
    <t>直接材料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</si>
  <si>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</si>
  <si>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</si>
  <si>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</si>
  <si>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</si>
  <si>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</si>
  <si>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</si>
  <si>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</si>
  <si>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</si>
  <si>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</si>
  <si>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</si>
  <si>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</si>
  <si>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</si>
  <si>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</si>
  <si>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</si>
  <si>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</si>
  <si>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</si>
  <si>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</si>
  <si>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</si>
  <si>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</si>
  <si>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</si>
  <si>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</si>
  <si>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</si>
  <si>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</si>
  <si>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</si>
  <si>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</si>
  <si>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</si>
  <si>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</si>
  <si>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</si>
  <si>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</si>
  <si>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</si>
  <si>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</si>
  <si>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</si>
  <si>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</si>
  <si>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</si>
  <si>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</si>
  <si>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</si>
  <si>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</si>
  <si>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</si>
  <si>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</si>
  <si>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</si>
  <si>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</si>
  <si>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</si>
  <si>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</si>
  <si>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</si>
  <si>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</si>
  <si>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</si>
  <si>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</si>
  <si>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</si>
  <si>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</si>
  <si>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</si>
  <si>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</si>
  <si>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</si>
  <si>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</si>
  <si>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</si>
  <si>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</si>
  <si>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</si>
  <si>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</si>
  <si>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</si>
  <si>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</si>
  <si>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</si>
  <si>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</si>
  <si>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</si>
  <si>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</si>
  <si>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</si>
  <si>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</si>
  <si>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</si>
  <si>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</si>
  <si>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</si>
  <si>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</si>
  <si>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</si>
  <si>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</si>
  <si>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</si>
  <si>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</si>
  <si>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</si>
  <si>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</si>
  <si>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</si>
  <si>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</si>
  <si>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</si>
  <si>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</si>
  <si>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</si>
  <si>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</si>
  <si>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</si>
  <si>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</si>
  <si>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</si>
  <si>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</si>
  <si>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单位：元</t>
  </si>
  <si>
    <t>单件销售收入净额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</si>
  <si>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</si>
  <si>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</si>
  <si>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</si>
  <si>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</si>
  <si>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</si>
  <si>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</si>
  <si>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</si>
  <si>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</si>
  <si>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</si>
  <si>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</si>
  <si>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</si>
  <si>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</si>
  <si>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</si>
  <si>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</si>
  <si>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</si>
  <si>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</si>
  <si>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</si>
  <si>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</si>
  <si>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</si>
  <si>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</si>
  <si>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</si>
  <si>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</si>
  <si>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</si>
  <si>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</si>
  <si>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</si>
  <si>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</si>
  <si>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</si>
  <si>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</si>
  <si>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</si>
  <si>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</si>
  <si>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</si>
  <si>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</si>
  <si>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</si>
  <si>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</si>
  <si>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2028年</t>
  </si>
  <si>
    <t>2029年</t>
  </si>
  <si>
    <t>2030年</t>
  </si>
  <si>
    <t>预计净残值</t>
  </si>
  <si>
    <t>研发费用分摊</t>
  </si>
  <si>
    <t>产品量价规划</t>
  </si>
  <si>
    <t>一、销量、售价</t>
  </si>
  <si>
    <t>预计销价年降</t>
  </si>
  <si>
    <t xml:space="preserve">  年</t>
  </si>
  <si>
    <t>新开发产品</t>
  </si>
  <si>
    <t>配置</t>
  </si>
  <si>
    <t xml:space="preserve">销售价格
（元，未税）  </t>
  </si>
  <si>
    <t>销量（件）</t>
  </si>
  <si>
    <t>原材料成本</t>
  </si>
  <si>
    <t>附加值率</t>
  </si>
  <si>
    <t>预估原材料成本（单位：元，未税）</t>
  </si>
  <si>
    <t>模块</t>
  </si>
  <si>
    <t>项目名称</t>
  </si>
  <si>
    <t>项目编号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</si>
  <si>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</si>
  <si>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</si>
  <si>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</si>
  <si>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</si>
  <si>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</si>
  <si>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</si>
  <si>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</si>
  <si>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</si>
  <si>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</si>
  <si>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</si>
  <si>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标准件</t>
  </si>
  <si>
    <t>包装膜</t>
  </si>
  <si>
    <t>通风加热</t>
  </si>
  <si>
    <t>安全带</t>
  </si>
  <si>
    <t>SBR</t>
  </si>
  <si>
    <t>喷涂</t>
  </si>
  <si>
    <t>预计材料成本</t>
  </si>
  <si>
    <t>汇总</t>
  </si>
  <si>
    <t>项    目</t>
  </si>
  <si>
    <t>内容</t>
  </si>
  <si>
    <t>说明</t>
  </si>
  <si>
    <t>生产地点</t>
  </si>
  <si>
    <t>客户地点</t>
  </si>
  <si>
    <t>送货地点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</si>
  <si>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</si>
  <si>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</si>
  <si>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</si>
  <si>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</si>
  <si>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</si>
  <si>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</si>
  <si>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</si>
  <si>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</si>
  <si>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</si>
  <si>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</si>
  <si>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</si>
  <si>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产品应用场景</t>
  </si>
  <si>
    <t>三包周期</t>
  </si>
  <si>
    <t>涂红色处为必填项</t>
  </si>
  <si>
    <t>单位：元、%、未税</t>
  </si>
  <si>
    <t>科目</t>
  </si>
  <si>
    <t>预计</t>
  </si>
  <si>
    <t>座椅单件金额</t>
  </si>
  <si>
    <t>后视镜单件金额</t>
  </si>
  <si>
    <t>综合单件金额</t>
  </si>
  <si>
    <t>座椅占收入比率</t>
  </si>
  <si>
    <t>后视镜占收入比率</t>
  </si>
  <si>
    <t>综合占收入比率</t>
  </si>
  <si>
    <t>人工成本</t>
  </si>
  <si>
    <t>制造费用</t>
  </si>
  <si>
    <t>固定</t>
  </si>
  <si>
    <t>变动</t>
  </si>
  <si>
    <t>标准成本小计</t>
  </si>
  <si>
    <t>销售费用</t>
  </si>
  <si>
    <t xml:space="preserve">座椅项目研发费用预算表 </t>
    <phoneticPr fontId="45" type="noConversion"/>
  </si>
  <si>
    <r>
      <rPr>
        <sz val="11"/>
        <color theme="1"/>
        <rFont val="宋体"/>
        <family val="3"/>
        <charset val="134"/>
        <scheme val="minor"/>
      </rPr>
      <t>2024</t>
    </r>
    <r>
      <rPr>
        <sz val="11"/>
        <color theme="1"/>
        <rFont val="宋体"/>
        <family val="3"/>
        <charset val="134"/>
        <scheme val="minor"/>
      </rPr>
      <t>占收入比率</t>
    </r>
    <phoneticPr fontId="45" type="noConversion"/>
  </si>
  <si>
    <t>2031年</t>
  </si>
  <si>
    <t xml:space="preserve">2029年  </t>
    <phoneticPr fontId="45" type="noConversion"/>
  </si>
  <si>
    <t xml:space="preserve">2028年  </t>
    <phoneticPr fontId="45" type="noConversion"/>
  </si>
  <si>
    <t xml:space="preserve">2027年  </t>
    <phoneticPr fontId="45" type="noConversion"/>
  </si>
  <si>
    <t xml:space="preserve">2026年  </t>
    <phoneticPr fontId="45" type="noConversion"/>
  </si>
  <si>
    <t xml:space="preserve">2025年  </t>
    <phoneticPr fontId="45" type="noConversion"/>
  </si>
  <si>
    <r>
      <t>2025</t>
    </r>
    <r>
      <rPr>
        <b/>
        <sz val="10"/>
        <rFont val="宋体"/>
        <family val="3"/>
        <charset val="134"/>
      </rPr>
      <t>年</t>
    </r>
    <phoneticPr fontId="45" type="noConversion"/>
  </si>
  <si>
    <r>
      <t>2026年</t>
    </r>
    <r>
      <rPr>
        <b/>
        <sz val="10"/>
        <rFont val="宋体"/>
        <family val="3"/>
        <charset val="134"/>
      </rPr>
      <t/>
    </r>
  </si>
  <si>
    <r>
      <t>2027年</t>
    </r>
    <r>
      <rPr>
        <b/>
        <sz val="10"/>
        <rFont val="宋体"/>
        <family val="3"/>
        <charset val="134"/>
      </rPr>
      <t/>
    </r>
  </si>
  <si>
    <r>
      <t>2028年</t>
    </r>
    <r>
      <rPr>
        <b/>
        <sz val="10"/>
        <rFont val="宋体"/>
        <family val="3"/>
        <charset val="134"/>
      </rPr>
      <t/>
    </r>
  </si>
  <si>
    <r>
      <t>2029年</t>
    </r>
    <r>
      <rPr>
        <b/>
        <sz val="10"/>
        <rFont val="宋体"/>
        <family val="3"/>
        <charset val="134"/>
      </rPr>
      <t/>
    </r>
  </si>
  <si>
    <t>单位：未税、元</t>
    <phoneticPr fontId="45" type="noConversion"/>
  </si>
  <si>
    <t>直接材料</t>
    <phoneticPr fontId="45" type="noConversion"/>
  </si>
  <si>
    <t>2025年</t>
    <phoneticPr fontId="45" type="noConversion"/>
  </si>
  <si>
    <t>单件边际贡献</t>
    <phoneticPr fontId="45" type="noConversion"/>
  </si>
  <si>
    <t>所得税(税率15%）</t>
    <phoneticPr fontId="45" type="noConversion"/>
  </si>
  <si>
    <t>西安数据</t>
    <phoneticPr fontId="45" type="noConversion"/>
  </si>
  <si>
    <t>财务费用按综合数据。</t>
    <phoneticPr fontId="45" type="noConversion"/>
  </si>
  <si>
    <t>供应商年降：       年5 %</t>
    <phoneticPr fontId="45" type="noConversion"/>
  </si>
  <si>
    <t>河北工厂平均值</t>
    <phoneticPr fontId="45" type="noConversion"/>
  </si>
  <si>
    <t>经营数据</t>
    <phoneticPr fontId="45" type="noConversion"/>
  </si>
  <si>
    <t>含研发</t>
    <phoneticPr fontId="45" type="noConversion"/>
  </si>
  <si>
    <t>2024年河北座椅</t>
    <phoneticPr fontId="45" type="noConversion"/>
  </si>
  <si>
    <t>长春数据</t>
    <phoneticPr fontId="45" type="noConversion"/>
  </si>
  <si>
    <t>北汽福田戴姆勒</t>
    <phoneticPr fontId="45" type="noConversion"/>
  </si>
  <si>
    <t>单台材料成本为未税价格，骨架、底支架、面套自制。</t>
    <phoneticPr fontId="45" type="noConversion"/>
  </si>
  <si>
    <t>变动费用参考河北工厂2024年实际暂估。</t>
    <phoneticPr fontId="45" type="noConversion"/>
  </si>
  <si>
    <t>河北光华荣昌</t>
  </si>
  <si>
    <t>怀柔</t>
    <phoneticPr fontId="23" type="noConversion"/>
  </si>
  <si>
    <t>承兑</t>
    <phoneticPr fontId="23" type="noConversion"/>
  </si>
  <si>
    <t>/</t>
    <phoneticPr fontId="23" type="noConversion"/>
  </si>
  <si>
    <t>/</t>
    <phoneticPr fontId="23" type="noConversion"/>
  </si>
  <si>
    <t>围板箱、工装器具</t>
    <phoneticPr fontId="23" type="noConversion"/>
  </si>
  <si>
    <t>有</t>
    <phoneticPr fontId="23" type="noConversion"/>
  </si>
  <si>
    <t>公路、工程</t>
    <phoneticPr fontId="23" type="noConversion"/>
  </si>
  <si>
    <t>9个月</t>
    <phoneticPr fontId="23" type="noConversion"/>
  </si>
  <si>
    <t>不含模摊</t>
    <phoneticPr fontId="45" type="noConversion"/>
  </si>
  <si>
    <t>A6福田戴姆勒左舵出口座椅项目投资收益分析</t>
    <phoneticPr fontId="45" type="noConversion"/>
  </si>
  <si>
    <t>A6福田戴姆勒左舵出口座椅项目</t>
    <phoneticPr fontId="45" type="noConversion"/>
  </si>
  <si>
    <t>A668100000203</t>
  </si>
  <si>
    <t>A668100000205</t>
  </si>
  <si>
    <t>A668100000206</t>
  </si>
  <si>
    <t>A668100000207</t>
  </si>
  <si>
    <t>A668100000208</t>
  </si>
  <si>
    <t>A668100000209</t>
  </si>
  <si>
    <t>A668100000210</t>
  </si>
  <si>
    <t>A668100000216</t>
  </si>
  <si>
    <t>A668100000218</t>
  </si>
  <si>
    <t>A668100000219</t>
  </si>
  <si>
    <t>A668100000220</t>
  </si>
  <si>
    <t>A668100000221</t>
  </si>
  <si>
    <t>A668100000222</t>
  </si>
  <si>
    <t>A668100000223</t>
  </si>
  <si>
    <t>A668100000204</t>
    <phoneticPr fontId="23" type="noConversion"/>
  </si>
  <si>
    <t>A668100000215</t>
    <phoneticPr fontId="23" type="noConversion"/>
  </si>
  <si>
    <t>A668100000217</t>
    <phoneticPr fontId="23" type="noConversion"/>
  </si>
  <si>
    <t>驾驶员座椅总成</t>
  </si>
  <si>
    <t>副驾驶员座椅总成</t>
  </si>
  <si>
    <t>在A668100000010基础上去除头枕部位的福田模压LOGO</t>
    <phoneticPr fontId="23" type="noConversion"/>
  </si>
  <si>
    <t>在A668100000108基础上去除头枕部位的福田模压LOGO</t>
    <phoneticPr fontId="23" type="noConversion"/>
  </si>
  <si>
    <t>在A668100000004基础上去除头枕部位的福田模压LOGO</t>
    <phoneticPr fontId="23" type="noConversion"/>
  </si>
  <si>
    <t>在A668100000023基础上去除头枕部位的福田模压LOGO</t>
    <phoneticPr fontId="23" type="noConversion"/>
  </si>
  <si>
    <t>在A668100000099基础上去除头枕部位的福田模压LOGO</t>
    <phoneticPr fontId="23" type="noConversion"/>
  </si>
  <si>
    <t>在A668100000101基础上去除头枕部位的福田模压LOGO</t>
    <phoneticPr fontId="23" type="noConversion"/>
  </si>
  <si>
    <t>在A668100000026基础上去除头枕部位的福田模压LOGO</t>
    <phoneticPr fontId="23" type="noConversion"/>
  </si>
  <si>
    <t>在A668100000158基础上去除头枕部位的福田模压LOGO； 有安全带未系提醒</t>
    <phoneticPr fontId="23" type="noConversion"/>
  </si>
  <si>
    <t>在A668100000011基础上去除头枕部位的福田模压LOGO； 有安全带未系提醒</t>
    <phoneticPr fontId="23" type="noConversion"/>
  </si>
  <si>
    <t>在A668100000006基础上去除头枕部位的福田模压LOGO； 有安全带未系提醒</t>
    <phoneticPr fontId="23" type="noConversion"/>
  </si>
  <si>
    <t>在A668100000112基础上去除头枕部位的福田模压LOGO； 有安全带未系提醒</t>
    <phoneticPr fontId="23" type="noConversion"/>
  </si>
  <si>
    <t>在A668100000110基础上去除头枕部位的福田模压LOGO； 有安全带未系提醒</t>
    <phoneticPr fontId="23" type="noConversion"/>
  </si>
  <si>
    <t>在A668100000100基础上去除头枕部位的福田模压LOGO； 有安全带未系提醒</t>
    <phoneticPr fontId="23" type="noConversion"/>
  </si>
  <si>
    <t>在A668100000025基础上去除头枕部位的福田模压LOGO； 有安全带未系提醒</t>
    <phoneticPr fontId="23" type="noConversion"/>
  </si>
  <si>
    <t>在A668100000107基础上去除头枕部位的福田模压LOGO</t>
    <phoneticPr fontId="23" type="noConversion"/>
  </si>
  <si>
    <t>在A668100000154基础上去除头枕部位的福田模压LOGO； 有安全带未系提醒</t>
    <phoneticPr fontId="23" type="noConversion"/>
  </si>
  <si>
    <t>在A668100000109基础上去除头枕部位的福田模压LOGO； 有安全带未系提醒</t>
    <phoneticPr fontId="23" type="noConversion"/>
  </si>
  <si>
    <t>合计</t>
    <phoneticPr fontId="4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</si>
</sst>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6" formatCode="#,##0.00_ "/>
    <numFmt numFmtId="177" formatCode="_ * #,##0_ ;_ * \-#,##0_ ;_ * &quot;-&quot;??_ ;_ @_ "/>
    <numFmt numFmtId="178" formatCode="0.0%"/>
    <numFmt numFmtId="179" formatCode="0_ "/>
    <numFmt numFmtId="180" formatCode="0.00_ "/>
    <numFmt numFmtId="181" formatCode="&quot;$&quot;#,##0.00_);[Red]\(&quot;$&quot;#,##0.00\)"/>
  </numFmts>
  <fonts count="57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b/>
      <sz val="9"/>
      <name val="微软雅黑"/>
      <family val="2"/>
      <charset val="134"/>
    </font>
    <font>
      <sz val="11"/>
      <name val="微软雅黑"/>
      <family val="2"/>
      <charset val="134"/>
    </font>
    <font>
      <sz val="9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1"/>
      <color rgb="FFFF0000"/>
      <name val="宋体"/>
      <family val="3"/>
      <charset val="134"/>
    </font>
    <font>
      <sz val="10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9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4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9"/>
      <name val="Arial"/>
      <family val="2"/>
    </font>
    <font>
      <sz val="12"/>
      <name val="宋体"/>
      <family val="3"/>
      <charset val="134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rgb="FFFF0000"/>
      <name val="微软雅黑"/>
      <family val="2"/>
      <charset val="134"/>
    </font>
    <font>
      <sz val="16"/>
      <color theme="1"/>
      <name val="微软雅黑"/>
      <family val="2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6"/>
      <color theme="1"/>
      <name val="微软雅黑"/>
      <family val="2"/>
      <charset val="134"/>
    </font>
    <font>
      <b/>
      <sz val="16"/>
      <color theme="1"/>
      <name val="宋体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i/>
      <sz val="11"/>
      <color theme="1"/>
      <name val="宋体"/>
      <family val="3"/>
      <charset val="134"/>
      <scheme val="minor"/>
    </font>
    <font>
      <sz val="8"/>
      <color theme="1"/>
      <name val="微软雅黑"/>
      <family val="2"/>
      <charset val="134"/>
    </font>
    <font>
      <sz val="11"/>
      <color indexed="0"/>
      <name val="宋体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2">
    <xf numFmtId="0" fontId="0" fillId="0" borderId="0">
      <alignment vertical="center"/>
    </xf>
    <xf numFmtId="43" fontId="44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0" fontId="36" fillId="0" borderId="0"/>
    <xf numFmtId="0" fontId="37" fillId="0" borderId="2" applyNumberFormat="0" applyFill="0" applyBorder="0" applyAlignment="0" applyProtection="0">
      <alignment vertical="center"/>
    </xf>
    <xf numFmtId="0" fontId="44" fillId="0" borderId="0">
      <alignment vertical="center"/>
    </xf>
    <xf numFmtId="0" fontId="38" fillId="0" borderId="0"/>
    <xf numFmtId="0" fontId="39" fillId="0" borderId="0"/>
    <xf numFmtId="1" fontId="40" fillId="0" borderId="2" applyBorder="0"/>
    <xf numFmtId="43" fontId="41" fillId="0" borderId="0" applyFont="0" applyFill="0" applyBorder="0" applyAlignment="0" applyProtection="0">
      <alignment vertical="center"/>
    </xf>
    <xf numFmtId="0" fontId="38" fillId="0" borderId="0"/>
    <xf numFmtId="0" fontId="38" fillId="0" borderId="0"/>
  </cellStyleXfs>
  <cellXfs count="28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0" fontId="0" fillId="0" borderId="0" xfId="2" applyNumberFormat="1" applyFont="1" applyFill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>
      <alignment vertical="center"/>
    </xf>
    <xf numFmtId="43" fontId="0" fillId="0" borderId="2" xfId="1" applyFont="1" applyFill="1" applyBorder="1">
      <alignment vertical="center"/>
    </xf>
    <xf numFmtId="43" fontId="0" fillId="0" borderId="2" xfId="0" applyNumberFormat="1" applyFill="1" applyBorder="1" applyAlignment="1">
      <alignment horizontal="center" vertical="center"/>
    </xf>
    <xf numFmtId="10" fontId="0" fillId="0" borderId="2" xfId="0" applyNumberForma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43" fontId="1" fillId="0" borderId="2" xfId="1" applyFont="1" applyFill="1" applyBorder="1">
      <alignment vertical="center"/>
    </xf>
    <xf numFmtId="10" fontId="0" fillId="0" borderId="2" xfId="2" applyNumberFormat="1" applyFont="1" applyFill="1" applyBorder="1" applyAlignment="1">
      <alignment horizontal="center" vertical="center"/>
    </xf>
    <xf numFmtId="43" fontId="0" fillId="0" borderId="0" xfId="1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43" fontId="5" fillId="4" borderId="2" xfId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3" fontId="10" fillId="4" borderId="2" xfId="1" applyFont="1" applyFill="1" applyBorder="1" applyAlignment="1">
      <alignment horizontal="center" vertical="center" wrapText="1"/>
    </xf>
    <xf numFmtId="43" fontId="5" fillId="5" borderId="2" xfId="1" applyFont="1" applyFill="1" applyBorder="1" applyAlignment="1">
      <alignment horizontal="center" vertical="center" wrapText="1"/>
    </xf>
    <xf numFmtId="43" fontId="10" fillId="0" borderId="2" xfId="1" applyFont="1" applyBorder="1" applyAlignment="1">
      <alignment vertical="center" wrapText="1"/>
    </xf>
    <xf numFmtId="43" fontId="5" fillId="0" borderId="0" xfId="0" applyNumberFormat="1" applyFont="1" applyAlignment="1">
      <alignment horizontal="center" vertical="center" wrapText="1"/>
    </xf>
    <xf numFmtId="43" fontId="2" fillId="0" borderId="0" xfId="0" applyNumberFormat="1" applyFont="1" applyBorder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43" fontId="0" fillId="0" borderId="0" xfId="1" applyFont="1">
      <alignment vertical="center"/>
    </xf>
    <xf numFmtId="179" fontId="15" fillId="7" borderId="2" xfId="7" applyNumberFormat="1" applyFont="1" applyFill="1" applyBorder="1" applyAlignment="1">
      <alignment horizontal="center" vertical="center" wrapText="1"/>
    </xf>
    <xf numFmtId="43" fontId="15" fillId="7" borderId="2" xfId="1" applyFont="1" applyFill="1" applyBorder="1" applyAlignment="1">
      <alignment horizontal="center" vertical="center" wrapText="1"/>
    </xf>
    <xf numFmtId="0" fontId="15" fillId="7" borderId="2" xfId="3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179" fontId="16" fillId="0" borderId="2" xfId="7" applyNumberFormat="1" applyFont="1" applyFill="1" applyBorder="1" applyAlignment="1">
      <alignment horizontal="left" vertical="center"/>
    </xf>
    <xf numFmtId="43" fontId="16" fillId="4" borderId="2" xfId="1" applyFont="1" applyFill="1" applyBorder="1" applyAlignment="1">
      <alignment horizontal="center" vertical="center"/>
    </xf>
    <xf numFmtId="0" fontId="17" fillId="6" borderId="2" xfId="3" applyNumberFormat="1" applyFont="1" applyFill="1" applyBorder="1" applyAlignment="1" applyProtection="1">
      <alignment horizontal="center" vertical="center"/>
    </xf>
    <xf numFmtId="0" fontId="0" fillId="0" borderId="2" xfId="0" applyBorder="1">
      <alignment vertical="center"/>
    </xf>
    <xf numFmtId="43" fontId="3" fillId="3" borderId="2" xfId="1" applyFont="1" applyFill="1" applyBorder="1" applyAlignment="1" applyProtection="1">
      <alignment horizontal="center" vertical="center"/>
    </xf>
    <xf numFmtId="0" fontId="18" fillId="6" borderId="2" xfId="3" applyNumberFormat="1" applyFont="1" applyFill="1" applyBorder="1" applyAlignment="1" applyProtection="1">
      <alignment horizontal="center" vertical="center"/>
    </xf>
    <xf numFmtId="43" fontId="16" fillId="0" borderId="2" xfId="1" applyFont="1" applyFill="1" applyBorder="1" applyAlignment="1">
      <alignment horizontal="center" vertical="center"/>
    </xf>
    <xf numFmtId="0" fontId="0" fillId="8" borderId="2" xfId="0" applyFill="1" applyBorder="1">
      <alignment vertical="center"/>
    </xf>
    <xf numFmtId="179" fontId="16" fillId="0" borderId="3" xfId="7" applyNumberFormat="1" applyFont="1" applyFill="1" applyBorder="1" applyAlignment="1">
      <alignment horizontal="center" vertical="center"/>
    </xf>
    <xf numFmtId="179" fontId="16" fillId="0" borderId="3" xfId="7" applyNumberFormat="1" applyFont="1" applyFill="1" applyBorder="1" applyAlignment="1">
      <alignment horizontal="left" vertical="center" wrapText="1"/>
    </xf>
    <xf numFmtId="0" fontId="17" fillId="6" borderId="2" xfId="3" applyNumberFormat="1" applyFont="1" applyFill="1" applyBorder="1" applyAlignment="1" applyProtection="1">
      <alignment horizontal="center" vertical="center" wrapText="1"/>
    </xf>
    <xf numFmtId="43" fontId="16" fillId="3" borderId="2" xfId="1" applyFont="1" applyFill="1" applyBorder="1" applyAlignment="1" applyProtection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readingOrder="1"/>
    </xf>
    <xf numFmtId="43" fontId="9" fillId="0" borderId="2" xfId="0" applyNumberFormat="1" applyFont="1" applyBorder="1">
      <alignment vertical="center"/>
    </xf>
    <xf numFmtId="43" fontId="9" fillId="0" borderId="2" xfId="1" applyNumberFormat="1" applyFont="1" applyBorder="1">
      <alignment vertical="center"/>
    </xf>
    <xf numFmtId="43" fontId="9" fillId="0" borderId="2" xfId="1" applyFont="1" applyBorder="1">
      <alignment vertical="center"/>
    </xf>
    <xf numFmtId="0" fontId="2" fillId="0" borderId="6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20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2" fillId="0" borderId="0" xfId="0" applyFont="1" applyFill="1">
      <alignment vertical="center"/>
    </xf>
    <xf numFmtId="43" fontId="20" fillId="0" borderId="0" xfId="1" applyFont="1" applyFill="1">
      <alignment vertical="center"/>
    </xf>
    <xf numFmtId="0" fontId="20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>
      <alignment vertical="center"/>
    </xf>
    <xf numFmtId="0" fontId="26" fillId="0" borderId="2" xfId="0" applyFont="1" applyFill="1" applyBorder="1" applyAlignment="1">
      <alignment horizontal="center" vertical="center"/>
    </xf>
    <xf numFmtId="0" fontId="27" fillId="4" borderId="2" xfId="0" applyFont="1" applyFill="1" applyBorder="1" applyAlignment="1">
      <alignment horizontal="center" vertical="center" wrapText="1" readingOrder="1"/>
    </xf>
    <xf numFmtId="43" fontId="20" fillId="0" borderId="2" xfId="1" applyFont="1" applyFill="1" applyBorder="1" applyAlignment="1">
      <alignment horizontal="center" vertical="center"/>
    </xf>
    <xf numFmtId="43" fontId="20" fillId="0" borderId="0" xfId="0" applyNumberFormat="1" applyFont="1" applyFill="1">
      <alignment vertical="center"/>
    </xf>
    <xf numFmtId="0" fontId="26" fillId="0" borderId="2" xfId="0" applyFont="1" applyFill="1" applyBorder="1">
      <alignment vertical="center"/>
    </xf>
    <xf numFmtId="10" fontId="20" fillId="0" borderId="2" xfId="2" applyNumberFormat="1" applyFont="1" applyFill="1" applyBorder="1" applyAlignment="1">
      <alignment horizontal="center" vertical="center"/>
    </xf>
    <xf numFmtId="10" fontId="20" fillId="0" borderId="0" xfId="0" applyNumberFormat="1" applyFont="1" applyFill="1">
      <alignment vertical="center"/>
    </xf>
    <xf numFmtId="0" fontId="21" fillId="0" borderId="2" xfId="0" applyFont="1" applyFill="1" applyBorder="1">
      <alignment vertical="center"/>
    </xf>
    <xf numFmtId="43" fontId="21" fillId="0" borderId="2" xfId="1" applyFont="1" applyFill="1" applyBorder="1">
      <alignment vertical="center"/>
    </xf>
    <xf numFmtId="0" fontId="28" fillId="0" borderId="0" xfId="0" applyFont="1" applyFill="1">
      <alignment vertical="center"/>
    </xf>
    <xf numFmtId="43" fontId="20" fillId="0" borderId="2" xfId="1" applyFont="1" applyFill="1" applyBorder="1">
      <alignment vertical="center"/>
    </xf>
    <xf numFmtId="0" fontId="22" fillId="0" borderId="2" xfId="0" applyFont="1" applyFill="1" applyBorder="1">
      <alignment vertical="center"/>
    </xf>
    <xf numFmtId="180" fontId="20" fillId="0" borderId="0" xfId="0" applyNumberFormat="1" applyFont="1" applyFill="1">
      <alignment vertical="center"/>
    </xf>
    <xf numFmtId="10" fontId="20" fillId="0" borderId="2" xfId="2" applyNumberFormat="1" applyFont="1" applyFill="1" applyBorder="1">
      <alignment vertical="center"/>
    </xf>
    <xf numFmtId="43" fontId="21" fillId="0" borderId="2" xfId="1" applyFont="1" applyFill="1" applyBorder="1" applyAlignment="1">
      <alignment horizontal="center" vertical="center"/>
    </xf>
    <xf numFmtId="43" fontId="20" fillId="0" borderId="2" xfId="0" applyNumberFormat="1" applyFont="1" applyFill="1" applyBorder="1">
      <alignment vertical="center"/>
    </xf>
    <xf numFmtId="43" fontId="22" fillId="0" borderId="2" xfId="1" applyFont="1" applyFill="1" applyBorder="1">
      <alignment vertical="center"/>
    </xf>
    <xf numFmtId="43" fontId="20" fillId="0" borderId="0" xfId="1" applyFont="1" applyFill="1" applyAlignment="1">
      <alignment horizontal="center" vertical="center"/>
    </xf>
    <xf numFmtId="43" fontId="0" fillId="0" borderId="0" xfId="1" applyFont="1" applyFill="1">
      <alignment vertical="center"/>
    </xf>
    <xf numFmtId="0" fontId="12" fillId="4" borderId="2" xfId="0" applyFont="1" applyFill="1" applyBorder="1" applyAlignment="1">
      <alignment horizontal="center" vertical="center" wrapText="1" readingOrder="1"/>
    </xf>
    <xf numFmtId="0" fontId="22" fillId="0" borderId="0" xfId="0" applyFont="1">
      <alignment vertical="center"/>
    </xf>
    <xf numFmtId="0" fontId="20" fillId="0" borderId="0" xfId="0" applyFont="1" applyBorder="1">
      <alignment vertical="center"/>
    </xf>
    <xf numFmtId="0" fontId="20" fillId="0" borderId="0" xfId="0" applyFont="1">
      <alignment vertical="center"/>
    </xf>
    <xf numFmtId="43" fontId="20" fillId="0" borderId="0" xfId="1" applyFont="1">
      <alignment vertical="center"/>
    </xf>
    <xf numFmtId="43" fontId="29" fillId="0" borderId="2" xfId="1" applyFont="1" applyFill="1" applyBorder="1" applyAlignment="1">
      <alignment horizontal="center" vertical="center" wrapText="1"/>
    </xf>
    <xf numFmtId="177" fontId="20" fillId="0" borderId="2" xfId="1" applyNumberFormat="1" applyFont="1" applyFill="1" applyBorder="1" applyAlignment="1">
      <alignment horizontal="center" vertical="center"/>
    </xf>
    <xf numFmtId="177" fontId="22" fillId="0" borderId="2" xfId="1" applyNumberFormat="1" applyFont="1" applyFill="1" applyBorder="1" applyAlignment="1">
      <alignment horizontal="center" vertical="center"/>
    </xf>
    <xf numFmtId="0" fontId="26" fillId="9" borderId="2" xfId="0" applyFont="1" applyFill="1" applyBorder="1">
      <alignment vertical="center"/>
    </xf>
    <xf numFmtId="177" fontId="22" fillId="9" borderId="2" xfId="1" applyNumberFormat="1" applyFont="1" applyFill="1" applyBorder="1" applyAlignment="1">
      <alignment horizontal="center" vertical="center"/>
    </xf>
    <xf numFmtId="0" fontId="30" fillId="0" borderId="2" xfId="0" applyFont="1" applyFill="1" applyBorder="1">
      <alignment vertical="center"/>
    </xf>
    <xf numFmtId="0" fontId="20" fillId="0" borderId="2" xfId="0" applyFont="1" applyBorder="1">
      <alignment vertical="center"/>
    </xf>
    <xf numFmtId="10" fontId="22" fillId="0" borderId="2" xfId="2" applyNumberFormat="1" applyFont="1" applyBorder="1" applyAlignment="1">
      <alignment vertical="center"/>
    </xf>
    <xf numFmtId="177" fontId="22" fillId="0" borderId="2" xfId="1" applyNumberFormat="1" applyFont="1" applyBorder="1" applyAlignment="1">
      <alignment horizontal="center" vertical="center"/>
    </xf>
    <xf numFmtId="177" fontId="20" fillId="0" borderId="2" xfId="1" applyNumberFormat="1" applyFont="1" applyFill="1" applyBorder="1">
      <alignment vertical="center"/>
    </xf>
    <xf numFmtId="0" fontId="30" fillId="9" borderId="2" xfId="0" applyFont="1" applyFill="1" applyBorder="1">
      <alignment vertical="center"/>
    </xf>
    <xf numFmtId="177" fontId="20" fillId="0" borderId="2" xfId="1" applyNumberFormat="1" applyFont="1" applyBorder="1" applyAlignment="1">
      <alignment horizontal="center" vertical="center"/>
    </xf>
    <xf numFmtId="10" fontId="20" fillId="0" borderId="2" xfId="2" applyNumberFormat="1" applyFont="1" applyBorder="1">
      <alignment vertical="center"/>
    </xf>
    <xf numFmtId="10" fontId="20" fillId="0" borderId="0" xfId="2" applyNumberFormat="1" applyFont="1" applyBorder="1">
      <alignment vertical="center"/>
    </xf>
    <xf numFmtId="43" fontId="20" fillId="0" borderId="0" xfId="1" applyFont="1" applyBorder="1">
      <alignment vertical="center"/>
    </xf>
    <xf numFmtId="0" fontId="26" fillId="0" borderId="2" xfId="0" applyFont="1" applyFill="1" applyBorder="1" applyAlignment="1">
      <alignment vertical="center" wrapText="1"/>
    </xf>
    <xf numFmtId="0" fontId="20" fillId="0" borderId="2" xfId="0" applyFont="1" applyFill="1" applyBorder="1" applyAlignment="1">
      <alignment vertical="center" wrapText="1"/>
    </xf>
    <xf numFmtId="43" fontId="20" fillId="0" borderId="2" xfId="1" applyFont="1" applyBorder="1">
      <alignment vertical="center"/>
    </xf>
    <xf numFmtId="177" fontId="20" fillId="0" borderId="2" xfId="1" applyNumberFormat="1" applyFont="1" applyBorder="1">
      <alignment vertical="center"/>
    </xf>
    <xf numFmtId="43" fontId="24" fillId="0" borderId="2" xfId="1" applyFont="1" applyFill="1" applyBorder="1" applyAlignment="1">
      <alignment horizontal="center" vertical="center" wrapText="1"/>
    </xf>
    <xf numFmtId="0" fontId="22" fillId="0" borderId="2" xfId="0" applyFont="1" applyBorder="1">
      <alignment vertical="center"/>
    </xf>
    <xf numFmtId="0" fontId="30" fillId="0" borderId="2" xfId="0" applyFont="1" applyBorder="1">
      <alignment vertical="center"/>
    </xf>
    <xf numFmtId="0" fontId="20" fillId="0" borderId="6" xfId="0" applyFont="1" applyBorder="1">
      <alignment vertical="center"/>
    </xf>
    <xf numFmtId="1" fontId="16" fillId="6" borderId="0" xfId="3" applyNumberFormat="1" applyFont="1" applyFill="1" applyProtection="1"/>
    <xf numFmtId="0" fontId="16" fillId="6" borderId="0" xfId="3" applyFont="1" applyFill="1" applyProtection="1"/>
    <xf numFmtId="0" fontId="31" fillId="6" borderId="0" xfId="3" applyFont="1" applyFill="1" applyAlignment="1" applyProtection="1">
      <alignment horizontal="centerContinuous"/>
    </xf>
    <xf numFmtId="0" fontId="16" fillId="6" borderId="0" xfId="3" applyFont="1" applyFill="1" applyAlignment="1">
      <alignment horizontal="centerContinuous"/>
    </xf>
    <xf numFmtId="0" fontId="16" fillId="6" borderId="0" xfId="3" applyFont="1" applyFill="1" applyAlignment="1" applyProtection="1">
      <alignment horizontal="centerContinuous"/>
    </xf>
    <xf numFmtId="9" fontId="16" fillId="6" borderId="0" xfId="3" applyNumberFormat="1" applyFont="1" applyFill="1" applyProtection="1"/>
    <xf numFmtId="0" fontId="16" fillId="6" borderId="6" xfId="3" applyFont="1" applyFill="1" applyBorder="1" applyAlignment="1" applyProtection="1">
      <alignment horizontal="center"/>
    </xf>
    <xf numFmtId="0" fontId="18" fillId="6" borderId="2" xfId="3" applyFont="1" applyFill="1" applyBorder="1" applyAlignment="1" applyProtection="1">
      <alignment horizontal="center"/>
    </xf>
    <xf numFmtId="0" fontId="18" fillId="6" borderId="4" xfId="3" applyFont="1" applyFill="1" applyBorder="1" applyAlignment="1" applyProtection="1">
      <alignment horizontal="center"/>
    </xf>
    <xf numFmtId="1" fontId="18" fillId="6" borderId="4" xfId="8" applyFont="1" applyFill="1" applyBorder="1"/>
    <xf numFmtId="1" fontId="16" fillId="6" borderId="4" xfId="8" applyFont="1" applyFill="1" applyBorder="1"/>
    <xf numFmtId="0" fontId="16" fillId="6" borderId="7" xfId="3" applyFont="1" applyFill="1" applyBorder="1" applyProtection="1"/>
    <xf numFmtId="0" fontId="16" fillId="6" borderId="2" xfId="3" applyFont="1" applyFill="1" applyBorder="1" applyAlignment="1" applyProtection="1">
      <alignment horizontal="center"/>
    </xf>
    <xf numFmtId="0" fontId="16" fillId="6" borderId="2" xfId="3" applyFont="1" applyFill="1" applyBorder="1" applyAlignment="1" applyProtection="1">
      <alignment horizontal="left"/>
    </xf>
    <xf numFmtId="0" fontId="16" fillId="9" borderId="2" xfId="3" applyFont="1" applyFill="1" applyBorder="1" applyProtection="1"/>
    <xf numFmtId="177" fontId="16" fillId="9" borderId="2" xfId="1" applyNumberFormat="1" applyFont="1" applyFill="1" applyBorder="1" applyAlignment="1" applyProtection="1"/>
    <xf numFmtId="0" fontId="16" fillId="6" borderId="2" xfId="3" applyFont="1" applyFill="1" applyBorder="1" applyProtection="1"/>
    <xf numFmtId="177" fontId="16" fillId="6" borderId="2" xfId="1" applyNumberFormat="1" applyFont="1" applyFill="1" applyBorder="1" applyAlignment="1" applyProtection="1"/>
    <xf numFmtId="0" fontId="16" fillId="6" borderId="2" xfId="3" applyNumberFormat="1" applyFont="1" applyFill="1" applyBorder="1" applyAlignment="1" applyProtection="1">
      <alignment horizontal="left"/>
    </xf>
    <xf numFmtId="1" fontId="16" fillId="6" borderId="2" xfId="3" applyNumberFormat="1" applyFont="1" applyFill="1" applyBorder="1" applyProtection="1"/>
    <xf numFmtId="1" fontId="16" fillId="6" borderId="2" xfId="3" applyNumberFormat="1" applyFont="1" applyFill="1" applyBorder="1" applyAlignment="1" applyProtection="1">
      <alignment horizontal="left"/>
    </xf>
    <xf numFmtId="0" fontId="16" fillId="6" borderId="8" xfId="3" applyFont="1" applyFill="1" applyBorder="1" applyProtection="1"/>
    <xf numFmtId="0" fontId="16" fillId="6" borderId="11" xfId="3" applyFont="1" applyFill="1" applyBorder="1" applyProtection="1"/>
    <xf numFmtId="0" fontId="16" fillId="6" borderId="12" xfId="3" applyFont="1" applyFill="1" applyBorder="1" applyProtection="1"/>
    <xf numFmtId="0" fontId="16" fillId="6" borderId="0" xfId="3" applyFont="1" applyFill="1" applyBorder="1" applyProtection="1"/>
    <xf numFmtId="181" fontId="16" fillId="6" borderId="0" xfId="3" applyNumberFormat="1" applyFont="1" applyFill="1" applyBorder="1" applyProtection="1"/>
    <xf numFmtId="10" fontId="16" fillId="6" borderId="0" xfId="3" applyNumberFormat="1" applyFont="1" applyFill="1" applyBorder="1" applyProtection="1"/>
    <xf numFmtId="1" fontId="16" fillId="6" borderId="0" xfId="3" applyNumberFormat="1" applyFont="1" applyFill="1" applyBorder="1" applyProtection="1"/>
    <xf numFmtId="0" fontId="16" fillId="6" borderId="13" xfId="3" applyFont="1" applyFill="1" applyBorder="1" applyProtection="1"/>
    <xf numFmtId="0" fontId="16" fillId="6" borderId="1" xfId="3" applyFont="1" applyFill="1" applyBorder="1" applyProtection="1"/>
    <xf numFmtId="2" fontId="16" fillId="6" borderId="1" xfId="3" applyNumberFormat="1" applyFont="1" applyFill="1" applyBorder="1" applyProtection="1"/>
    <xf numFmtId="0" fontId="16" fillId="6" borderId="5" xfId="3" applyFont="1" applyFill="1" applyBorder="1"/>
    <xf numFmtId="1" fontId="16" fillId="6" borderId="7" xfId="8" applyFont="1" applyFill="1" applyBorder="1" applyAlignment="1">
      <alignment horizontal="center"/>
    </xf>
    <xf numFmtId="0" fontId="16" fillId="6" borderId="9" xfId="3" applyFont="1" applyFill="1" applyBorder="1" applyProtection="1"/>
    <xf numFmtId="0" fontId="16" fillId="6" borderId="14" xfId="3" applyFont="1" applyFill="1" applyBorder="1" applyProtection="1"/>
    <xf numFmtId="0" fontId="16" fillId="6" borderId="15" xfId="3" applyFont="1" applyFill="1" applyBorder="1" applyProtection="1"/>
    <xf numFmtId="0" fontId="32" fillId="0" borderId="0" xfId="0" applyFont="1">
      <alignment vertical="center"/>
    </xf>
    <xf numFmtId="0" fontId="33" fillId="0" borderId="2" xfId="0" applyFont="1" applyBorder="1" applyAlignment="1">
      <alignment horizontal="center" vertical="center" wrapText="1" readingOrder="1"/>
    </xf>
    <xf numFmtId="0" fontId="32" fillId="0" borderId="0" xfId="0" applyFont="1" applyFill="1">
      <alignment vertical="center"/>
    </xf>
    <xf numFmtId="0" fontId="12" fillId="0" borderId="2" xfId="0" applyFont="1" applyBorder="1" applyAlignment="1">
      <alignment horizontal="center" vertical="center" wrapText="1" readingOrder="1"/>
    </xf>
    <xf numFmtId="0" fontId="34" fillId="0" borderId="2" xfId="0" applyFont="1" applyBorder="1" applyAlignment="1">
      <alignment horizontal="left" vertical="center" wrapText="1" readingOrder="1"/>
    </xf>
    <xf numFmtId="0" fontId="34" fillId="0" borderId="2" xfId="0" applyFont="1" applyFill="1" applyBorder="1" applyAlignment="1">
      <alignment horizontal="left" vertical="center" wrapText="1" readingOrder="1"/>
    </xf>
    <xf numFmtId="0" fontId="34" fillId="0" borderId="2" xfId="0" applyFont="1" applyBorder="1" applyAlignment="1">
      <alignment horizontal="center" vertical="center" wrapText="1" readingOrder="1"/>
    </xf>
    <xf numFmtId="0" fontId="34" fillId="0" borderId="0" xfId="0" applyFont="1" applyFill="1" applyBorder="1" applyAlignment="1">
      <alignment horizontal="left" vertical="center" wrapText="1" readingOrder="1"/>
    </xf>
    <xf numFmtId="0" fontId="35" fillId="0" borderId="2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vertical="center"/>
    </xf>
    <xf numFmtId="0" fontId="26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9" fillId="0" borderId="2" xfId="0" applyFont="1" applyBorder="1" applyAlignment="1">
      <alignment horizontal="center" vertical="center" wrapText="1"/>
    </xf>
    <xf numFmtId="0" fontId="48" fillId="0" borderId="2" xfId="0" applyFont="1" applyBorder="1" applyAlignment="1">
      <alignment horizontal="center" vertical="center" wrapText="1"/>
    </xf>
    <xf numFmtId="0" fontId="28" fillId="0" borderId="0" xfId="0" applyFont="1">
      <alignment vertical="center"/>
    </xf>
    <xf numFmtId="0" fontId="35" fillId="0" borderId="0" xfId="0" applyFont="1" applyFill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177" fontId="2" fillId="0" borderId="0" xfId="1" applyNumberFormat="1" applyFont="1" applyFill="1" applyAlignment="1">
      <alignment vertical="center"/>
    </xf>
    <xf numFmtId="10" fontId="2" fillId="0" borderId="0" xfId="0" applyNumberFormat="1" applyFont="1" applyFill="1" applyAlignment="1">
      <alignment vertical="center"/>
    </xf>
    <xf numFmtId="177" fontId="12" fillId="0" borderId="2" xfId="1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46" fillId="0" borderId="2" xfId="0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43" fontId="2" fillId="0" borderId="0" xfId="1" applyFont="1" applyFill="1" applyAlignment="1">
      <alignment vertical="center"/>
    </xf>
    <xf numFmtId="0" fontId="2" fillId="0" borderId="2" xfId="0" applyFont="1" applyFill="1" applyBorder="1" applyAlignment="1">
      <alignment vertical="center"/>
    </xf>
    <xf numFmtId="43" fontId="2" fillId="0" borderId="2" xfId="0" applyNumberFormat="1" applyFont="1" applyFill="1" applyBorder="1" applyAlignment="1">
      <alignment vertical="center"/>
    </xf>
    <xf numFmtId="43" fontId="2" fillId="0" borderId="2" xfId="1" applyFont="1" applyFill="1" applyBorder="1" applyAlignment="1">
      <alignment vertical="center"/>
    </xf>
    <xf numFmtId="178" fontId="2" fillId="0" borderId="2" xfId="2" applyNumberFormat="1" applyFont="1" applyFill="1" applyBorder="1" applyAlignment="1">
      <alignment vertical="center"/>
    </xf>
    <xf numFmtId="0" fontId="0" fillId="0" borderId="2" xfId="0" applyFill="1" applyBorder="1" applyAlignment="1">
      <alignment horizontal="left" vertical="center"/>
    </xf>
    <xf numFmtId="10" fontId="35" fillId="0" borderId="0" xfId="2" applyNumberFormat="1" applyFont="1" applyFill="1">
      <alignment vertical="center"/>
    </xf>
    <xf numFmtId="10" fontId="0" fillId="0" borderId="0" xfId="2" applyNumberFormat="1" applyFont="1" applyFill="1">
      <alignment vertical="center"/>
    </xf>
    <xf numFmtId="10" fontId="54" fillId="0" borderId="2" xfId="2" applyNumberFormat="1" applyFont="1" applyFill="1" applyBorder="1" applyAlignment="1">
      <alignment horizontal="center" vertical="center"/>
    </xf>
    <xf numFmtId="10" fontId="0" fillId="5" borderId="0" xfId="2" applyNumberFormat="1" applyFont="1" applyFill="1">
      <alignment vertical="center"/>
    </xf>
    <xf numFmtId="10" fontId="0" fillId="5" borderId="0" xfId="0" applyNumberFormat="1" applyFill="1">
      <alignment vertical="center"/>
    </xf>
    <xf numFmtId="0" fontId="0" fillId="5" borderId="0" xfId="0" applyFill="1">
      <alignment vertical="center"/>
    </xf>
    <xf numFmtId="0" fontId="2" fillId="0" borderId="0" xfId="0" applyFont="1" applyFill="1" applyAlignment="1">
      <alignment vertical="center" wrapText="1"/>
    </xf>
    <xf numFmtId="176" fontId="2" fillId="0" borderId="0" xfId="0" applyNumberFormat="1" applyFont="1" applyFill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 readingOrder="1"/>
    </xf>
    <xf numFmtId="0" fontId="50" fillId="0" borderId="0" xfId="0" applyFont="1" applyFill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56" fillId="10" borderId="2" xfId="6" applyFont="1" applyFill="1" applyBorder="1" applyAlignment="1">
      <alignment vertical="top"/>
    </xf>
    <xf numFmtId="0" fontId="56" fillId="0" borderId="2" xfId="6" applyFont="1" applyBorder="1" applyAlignment="1">
      <alignment vertical="top"/>
    </xf>
    <xf numFmtId="0" fontId="55" fillId="0" borderId="2" xfId="6" applyFont="1" applyBorder="1" applyAlignment="1">
      <alignment horizontal="left" vertical="center" wrapText="1"/>
    </xf>
    <xf numFmtId="0" fontId="55" fillId="0" borderId="2" xfId="6" applyFont="1" applyBorder="1" applyAlignment="1">
      <alignment horizontal="left" vertical="top" wrapText="1"/>
    </xf>
    <xf numFmtId="43" fontId="56" fillId="0" borderId="2" xfId="1" applyFont="1" applyFill="1" applyBorder="1" applyAlignment="1">
      <alignment vertical="top"/>
    </xf>
    <xf numFmtId="0" fontId="55" fillId="0" borderId="2" xfId="0" applyFont="1" applyBorder="1" applyAlignment="1">
      <alignment horizontal="center" vertical="center" wrapText="1" readingOrder="1"/>
    </xf>
    <xf numFmtId="43" fontId="55" fillId="0" borderId="2" xfId="1" applyFont="1" applyBorder="1" applyAlignment="1">
      <alignment vertical="center" wrapText="1"/>
    </xf>
    <xf numFmtId="43" fontId="55" fillId="11" borderId="2" xfId="1" applyFont="1" applyFill="1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 readingOrder="1"/>
    </xf>
    <xf numFmtId="0" fontId="12" fillId="0" borderId="10" xfId="0" applyFont="1" applyBorder="1" applyAlignment="1">
      <alignment horizontal="center" vertical="center" wrapText="1" readingOrder="1"/>
    </xf>
    <xf numFmtId="0" fontId="18" fillId="6" borderId="2" xfId="3" applyFont="1" applyFill="1" applyBorder="1" applyAlignment="1" applyProtection="1">
      <alignment horizontal="center"/>
    </xf>
    <xf numFmtId="0" fontId="26" fillId="0" borderId="6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43" fontId="24" fillId="0" borderId="6" xfId="1" applyFont="1" applyFill="1" applyBorder="1" applyAlignment="1">
      <alignment horizontal="center" vertical="center" wrapText="1"/>
    </xf>
    <xf numFmtId="43" fontId="24" fillId="0" borderId="10" xfId="1" applyFont="1" applyFill="1" applyBorder="1" applyAlignment="1">
      <alignment horizontal="center" vertical="center" wrapText="1"/>
    </xf>
    <xf numFmtId="43" fontId="24" fillId="0" borderId="7" xfId="1" applyFont="1" applyFill="1" applyBorder="1" applyAlignment="1">
      <alignment horizontal="center" vertical="center" wrapText="1"/>
    </xf>
    <xf numFmtId="43" fontId="20" fillId="0" borderId="3" xfId="1" applyFont="1" applyFill="1" applyBorder="1" applyAlignment="1">
      <alignment horizontal="center" vertical="center"/>
    </xf>
    <xf numFmtId="43" fontId="20" fillId="0" borderId="4" xfId="1" applyFont="1" applyFill="1" applyBorder="1" applyAlignment="1">
      <alignment horizontal="center" vertical="center"/>
    </xf>
    <xf numFmtId="43" fontId="20" fillId="0" borderId="5" xfId="1" applyFont="1" applyFill="1" applyBorder="1" applyAlignment="1">
      <alignment horizontal="center" vertical="center"/>
    </xf>
    <xf numFmtId="43" fontId="20" fillId="4" borderId="2" xfId="1" applyFont="1" applyFill="1" applyBorder="1" applyAlignment="1">
      <alignment horizontal="center" vertical="center"/>
    </xf>
    <xf numFmtId="0" fontId="14" fillId="6" borderId="1" xfId="3" applyNumberFormat="1" applyFont="1" applyFill="1" applyBorder="1" applyAlignment="1" applyProtection="1">
      <alignment horizontal="center" vertical="center"/>
    </xf>
    <xf numFmtId="0" fontId="51" fillId="0" borderId="3" xfId="0" applyFont="1" applyBorder="1" applyAlignment="1">
      <alignment horizontal="center" vertical="center"/>
    </xf>
    <xf numFmtId="0" fontId="51" fillId="0" borderId="4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56" fillId="0" borderId="6" xfId="6" applyFont="1" applyBorder="1" applyAlignment="1">
      <alignment horizontal="center" vertical="center"/>
    </xf>
    <xf numFmtId="0" fontId="56" fillId="0" borderId="10" xfId="6" applyFont="1" applyBorder="1" applyAlignment="1">
      <alignment horizontal="center" vertical="center"/>
    </xf>
    <xf numFmtId="0" fontId="56" fillId="0" borderId="7" xfId="6" applyFont="1" applyBorder="1" applyAlignment="1">
      <alignment horizontal="center" vertical="center"/>
    </xf>
    <xf numFmtId="0" fontId="50" fillId="0" borderId="0" xfId="0" applyFont="1" applyFill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8" fillId="4" borderId="6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43" fontId="5" fillId="0" borderId="6" xfId="0" applyNumberFormat="1" applyFont="1" applyBorder="1" applyAlignment="1">
      <alignment horizontal="center" vertical="center" wrapText="1"/>
    </xf>
    <xf numFmtId="43" fontId="5" fillId="0" borderId="10" xfId="0" applyNumberFormat="1" applyFont="1" applyBorder="1" applyAlignment="1">
      <alignment horizontal="center" vertical="center" wrapText="1"/>
    </xf>
    <xf numFmtId="43" fontId="5" fillId="0" borderId="7" xfId="0" applyNumberFormat="1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</cellXfs>
  <cellStyles count="12">
    <cellStyle name="_x000a_mouse.drv=lm" xfId="3"/>
    <cellStyle name="BOM_Level_Below3" xfId="4"/>
    <cellStyle name="百分比" xfId="2" builtinId="5"/>
    <cellStyle name="常规" xfId="0" builtinId="0"/>
    <cellStyle name="常规 11 2" xfId="5"/>
    <cellStyle name="常规 2" xfId="6"/>
    <cellStyle name="常规_20061221C2项目损益分析（概念稿）" xfId="7"/>
    <cellStyle name="普通_销售收入.XLS" xfId="8"/>
    <cellStyle name="千位分隔" xfId="1" builtinId="3"/>
    <cellStyle name="千位分隔 2 25" xfId="9"/>
    <cellStyle name="样式 1" xfId="10"/>
    <cellStyle name="样式 1 3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87;&#34892;&#24615;&#20998;&#26512;/&#36731;&#21345;/&#19968;&#27773;&#39046;&#36884;&#36731;&#21345;&#24231;&#26885;&#39033;&#30446;&#25237;&#36164;&#25910;&#30410;&#20998;&#26512;2022.11.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假设条件"/>
      <sheetName val="损益表"/>
      <sheetName val="现金"/>
      <sheetName val="2023年"/>
      <sheetName val="2024年"/>
      <sheetName val="2025年"/>
      <sheetName val="2026年"/>
      <sheetName val="2027年"/>
      <sheetName val="项目投资"/>
      <sheetName val="销量"/>
      <sheetName val="材料成本"/>
      <sheetName val="其他"/>
      <sheetName val="标准成本"/>
    </sheetNames>
    <sheetDataSet>
      <sheetData sheetId="0"/>
      <sheetData sheetId="1"/>
      <sheetData sheetId="2"/>
      <sheetData sheetId="3">
        <row r="18">
          <cell r="I18">
            <v>0</v>
          </cell>
        </row>
      </sheetData>
      <sheetData sheetId="4"/>
      <sheetData sheetId="5"/>
      <sheetData sheetId="6"/>
      <sheetData sheetId="7"/>
      <sheetData sheetId="8">
        <row r="26">
          <cell r="G26">
            <v>0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2" sqref="C2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2" spans="1:4" s="162" customFormat="1" ht="35.25" customHeight="1">
      <c r="A2" s="163" t="s">
        <v>0</v>
      </c>
      <c r="B2" s="163" t="s">
        <v>1</v>
      </c>
      <c r="C2" s="163" t="s">
        <v>2</v>
      </c>
      <c r="D2" s="164"/>
    </row>
    <row r="3" spans="1:4" s="162" customFormat="1" ht="33.75" customHeight="1">
      <c r="A3" s="165">
        <v>1</v>
      </c>
      <c r="B3" s="165" t="s">
        <v>3</v>
      </c>
      <c r="C3" s="166" t="s">
        <v>4</v>
      </c>
      <c r="D3" s="164"/>
    </row>
    <row r="4" spans="1:4" s="162" customFormat="1" ht="33.75" customHeight="1">
      <c r="A4" s="165">
        <v>2</v>
      </c>
      <c r="B4" s="165" t="s">
        <v>5</v>
      </c>
      <c r="C4" s="166" t="s">
        <v>6</v>
      </c>
    </row>
    <row r="5" spans="1:4" s="162" customFormat="1" ht="33.75" customHeight="1">
      <c r="A5" s="165">
        <v>3</v>
      </c>
      <c r="B5" s="217" t="s">
        <v>7</v>
      </c>
      <c r="C5" s="167" t="s">
        <v>8</v>
      </c>
    </row>
    <row r="6" spans="1:4" s="162" customFormat="1" ht="33.75" customHeight="1">
      <c r="A6" s="165">
        <v>4</v>
      </c>
      <c r="B6" s="218"/>
      <c r="C6" s="166" t="s">
        <v>284</v>
      </c>
    </row>
    <row r="7" spans="1:4" s="162" customFormat="1" ht="33.75" customHeight="1">
      <c r="A7" s="165">
        <v>5</v>
      </c>
      <c r="B7" s="168" t="s">
        <v>9</v>
      </c>
      <c r="C7" s="166" t="s">
        <v>285</v>
      </c>
    </row>
    <row r="8" spans="1:4" s="162" customFormat="1" ht="33.75" customHeight="1">
      <c r="A8" s="165">
        <v>6</v>
      </c>
      <c r="B8" s="217" t="s">
        <v>10</v>
      </c>
      <c r="C8" s="166" t="s">
        <v>11</v>
      </c>
    </row>
    <row r="9" spans="1:4" s="162" customFormat="1" ht="33.75" customHeight="1">
      <c r="A9" s="165">
        <v>7</v>
      </c>
      <c r="B9" s="218"/>
      <c r="C9" s="166" t="s">
        <v>12</v>
      </c>
    </row>
    <row r="10" spans="1:4" s="162" customFormat="1" ht="33.75" customHeight="1">
      <c r="A10" s="165">
        <v>8</v>
      </c>
      <c r="B10" s="218"/>
      <c r="C10" s="167" t="s">
        <v>276</v>
      </c>
    </row>
    <row r="11" spans="1:4" s="162" customFormat="1" ht="33.75" customHeight="1">
      <c r="A11" s="165">
        <v>9</v>
      </c>
      <c r="B11" s="218"/>
      <c r="C11" s="166" t="s">
        <v>13</v>
      </c>
    </row>
    <row r="12" spans="1:4" s="162" customFormat="1" ht="33.75" customHeight="1">
      <c r="A12" s="165">
        <v>10</v>
      </c>
      <c r="B12" s="168" t="s">
        <v>14</v>
      </c>
      <c r="C12" s="166" t="s">
        <v>15</v>
      </c>
    </row>
    <row r="13" spans="1:4" ht="33.75" customHeight="1"/>
    <row r="14" spans="1:4" ht="33.75" customHeight="1"/>
    <row r="15" spans="1:4" ht="33.75" customHeight="1">
      <c r="C15" s="169"/>
    </row>
  </sheetData>
  <mergeCells count="2">
    <mergeCell ref="B5:B6"/>
    <mergeCell ref="B8:B11"/>
  </mergeCells>
  <phoneticPr fontId="45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"/>
  <sheetViews>
    <sheetView zoomScale="85" zoomScaleNormal="85" workbookViewId="0">
      <pane xSplit="2" ySplit="5" topLeftCell="M6" activePane="bottomRight" state="frozen"/>
      <selection pane="topRight" activeCell="C1" sqref="C1"/>
      <selection pane="bottomLeft" activeCell="A6" sqref="A6"/>
      <selection pane="bottomRight" activeCell="N16" sqref="N16"/>
    </sheetView>
  </sheetViews>
  <sheetFormatPr defaultColWidth="9" defaultRowHeight="16.5"/>
  <cols>
    <col min="1" max="1" width="14" style="180" customWidth="1"/>
    <col min="2" max="2" width="14.125" style="180" customWidth="1"/>
    <col min="3" max="18" width="14.25" style="180" customWidth="1"/>
    <col min="19" max="20" width="13.875" style="180" customWidth="1"/>
    <col min="21" max="21" width="9.25" style="180" customWidth="1"/>
    <col min="22" max="22" width="9.125" style="181" customWidth="1"/>
    <col min="23" max="23" width="9.625" style="181" customWidth="1"/>
    <col min="24" max="16384" width="9" style="180"/>
  </cols>
  <sheetData>
    <row r="1" spans="1:23" ht="29.25" customHeight="1">
      <c r="A1" s="248" t="s">
        <v>190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06"/>
    </row>
    <row r="2" spans="1:23" ht="24" customHeight="1">
      <c r="A2" s="41" t="s">
        <v>191</v>
      </c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</row>
    <row r="3" spans="1:23">
      <c r="C3" s="180" t="s">
        <v>192</v>
      </c>
      <c r="D3" s="179" t="s">
        <v>193</v>
      </c>
      <c r="E3" s="183">
        <v>0.05</v>
      </c>
    </row>
    <row r="5" spans="1:23" s="201" customFormat="1" ht="45" customHeight="1">
      <c r="A5" s="250" t="s">
        <v>194</v>
      </c>
      <c r="B5" s="42" t="s">
        <v>143</v>
      </c>
      <c r="C5" s="209" t="s">
        <v>298</v>
      </c>
      <c r="D5" s="210" t="s">
        <v>299</v>
      </c>
      <c r="E5" s="209" t="s">
        <v>300</v>
      </c>
      <c r="F5" s="210" t="s">
        <v>301</v>
      </c>
      <c r="G5" s="209" t="s">
        <v>302</v>
      </c>
      <c r="H5" s="210" t="s">
        <v>303</v>
      </c>
      <c r="I5" s="209" t="s">
        <v>304</v>
      </c>
      <c r="J5" s="210" t="s">
        <v>305</v>
      </c>
      <c r="K5" s="209" t="s">
        <v>306</v>
      </c>
      <c r="L5" s="210" t="s">
        <v>307</v>
      </c>
      <c r="M5" s="209" t="s">
        <v>308</v>
      </c>
      <c r="N5" s="210" t="s">
        <v>309</v>
      </c>
      <c r="O5" s="209" t="s">
        <v>310</v>
      </c>
      <c r="P5" s="210" t="s">
        <v>311</v>
      </c>
      <c r="Q5" s="210" t="s">
        <v>312</v>
      </c>
      <c r="R5" s="210" t="s">
        <v>313</v>
      </c>
      <c r="S5" s="210" t="s">
        <v>314</v>
      </c>
      <c r="T5" s="245" t="s">
        <v>334</v>
      </c>
      <c r="V5" s="202"/>
      <c r="W5" s="202"/>
    </row>
    <row r="6" spans="1:23" ht="31.5" customHeight="1">
      <c r="A6" s="250"/>
      <c r="B6" s="203" t="s">
        <v>144</v>
      </c>
      <c r="C6" s="209" t="s">
        <v>315</v>
      </c>
      <c r="D6" s="210" t="s">
        <v>315</v>
      </c>
      <c r="E6" s="209" t="s">
        <v>315</v>
      </c>
      <c r="F6" s="210" t="s">
        <v>315</v>
      </c>
      <c r="G6" s="209" t="s">
        <v>315</v>
      </c>
      <c r="H6" s="210" t="s">
        <v>315</v>
      </c>
      <c r="I6" s="209" t="s">
        <v>315</v>
      </c>
      <c r="J6" s="210" t="s">
        <v>316</v>
      </c>
      <c r="K6" s="209" t="s">
        <v>316</v>
      </c>
      <c r="L6" s="210" t="s">
        <v>316</v>
      </c>
      <c r="M6" s="209" t="s">
        <v>316</v>
      </c>
      <c r="N6" s="210" t="s">
        <v>316</v>
      </c>
      <c r="O6" s="209" t="s">
        <v>316</v>
      </c>
      <c r="P6" s="210" t="s">
        <v>316</v>
      </c>
      <c r="Q6" s="209" t="s">
        <v>315</v>
      </c>
      <c r="R6" s="210" t="s">
        <v>316</v>
      </c>
      <c r="S6" s="210" t="s">
        <v>316</v>
      </c>
      <c r="T6" s="246"/>
      <c r="V6" s="181">
        <v>100</v>
      </c>
    </row>
    <row r="7" spans="1:23" ht="32.25" customHeight="1">
      <c r="A7" s="250"/>
      <c r="B7" s="204" t="s">
        <v>195</v>
      </c>
      <c r="C7" s="211" t="s">
        <v>317</v>
      </c>
      <c r="D7" s="211" t="s">
        <v>318</v>
      </c>
      <c r="E7" s="211" t="s">
        <v>319</v>
      </c>
      <c r="F7" s="211" t="s">
        <v>320</v>
      </c>
      <c r="G7" s="211" t="s">
        <v>321</v>
      </c>
      <c r="H7" s="211" t="s">
        <v>322</v>
      </c>
      <c r="I7" s="211" t="s">
        <v>323</v>
      </c>
      <c r="J7" s="212" t="s">
        <v>324</v>
      </c>
      <c r="K7" s="212" t="s">
        <v>325</v>
      </c>
      <c r="L7" s="212" t="s">
        <v>326</v>
      </c>
      <c r="M7" s="212" t="s">
        <v>327</v>
      </c>
      <c r="N7" s="212" t="s">
        <v>328</v>
      </c>
      <c r="O7" s="212" t="s">
        <v>329</v>
      </c>
      <c r="P7" s="212" t="s">
        <v>330</v>
      </c>
      <c r="Q7" s="211" t="s">
        <v>331</v>
      </c>
      <c r="R7" s="212" t="s">
        <v>332</v>
      </c>
      <c r="S7" s="212" t="s">
        <v>333</v>
      </c>
      <c r="T7" s="247"/>
      <c r="U7" s="180">
        <v>2026</v>
      </c>
      <c r="V7" s="181">
        <f>V6*(1-$E$3)</f>
        <v>95</v>
      </c>
      <c r="W7" s="181">
        <f>V7/$V$6</f>
        <v>0.95</v>
      </c>
    </row>
    <row r="8" spans="1:23" ht="33">
      <c r="A8" s="250"/>
      <c r="B8" s="15" t="s">
        <v>196</v>
      </c>
      <c r="C8" s="213">
        <v>2295.5752212389384</v>
      </c>
      <c r="D8" s="213">
        <v>1830.9734513274338</v>
      </c>
      <c r="E8" s="213">
        <v>1830.9734513274338</v>
      </c>
      <c r="F8" s="213">
        <v>2295.5752212389384</v>
      </c>
      <c r="G8" s="213">
        <v>2295.5752212389384</v>
      </c>
      <c r="H8" s="213">
        <v>1830.9734513274338</v>
      </c>
      <c r="I8" s="213">
        <v>1830.9734513274338</v>
      </c>
      <c r="J8" s="213">
        <v>1023.8938053097346</v>
      </c>
      <c r="K8" s="213">
        <v>706.19469026548677</v>
      </c>
      <c r="L8" s="213">
        <v>584.07079646017701</v>
      </c>
      <c r="M8" s="213">
        <v>584.07079646017701</v>
      </c>
      <c r="N8" s="213">
        <v>584.07079646017701</v>
      </c>
      <c r="O8" s="213">
        <v>584.07079646017701</v>
      </c>
      <c r="P8" s="213">
        <v>584.07079646017701</v>
      </c>
      <c r="Q8" s="213">
        <v>2295.5752212389384</v>
      </c>
      <c r="R8" s="213">
        <v>1022.1238938053099</v>
      </c>
      <c r="S8" s="213">
        <v>706.19469026548677</v>
      </c>
      <c r="T8" s="213">
        <f>SUM(C8:S8)</f>
        <v>22884.955752212383</v>
      </c>
      <c r="U8" s="180">
        <v>2027</v>
      </c>
      <c r="V8" s="181">
        <f>V7*(1-$E$3)</f>
        <v>90.25</v>
      </c>
      <c r="W8" s="181">
        <f>V8/$V$6</f>
        <v>0.90249999999999997</v>
      </c>
    </row>
    <row r="9" spans="1:23" ht="17.25">
      <c r="A9" s="251" t="s">
        <v>197</v>
      </c>
      <c r="B9" s="185" t="s">
        <v>48</v>
      </c>
      <c r="C9" s="214">
        <v>500</v>
      </c>
      <c r="D9" s="214">
        <v>200</v>
      </c>
      <c r="E9" s="214">
        <v>500</v>
      </c>
      <c r="F9" s="214">
        <v>500</v>
      </c>
      <c r="G9" s="214">
        <v>200</v>
      </c>
      <c r="H9" s="214">
        <v>200</v>
      </c>
      <c r="I9" s="214">
        <v>500</v>
      </c>
      <c r="J9" s="214">
        <v>50</v>
      </c>
      <c r="K9" s="214">
        <v>50</v>
      </c>
      <c r="L9" s="214">
        <v>500</v>
      </c>
      <c r="M9" s="214">
        <v>100</v>
      </c>
      <c r="N9" s="214">
        <v>50</v>
      </c>
      <c r="O9" s="214">
        <v>50</v>
      </c>
      <c r="P9" s="214">
        <v>200</v>
      </c>
      <c r="Q9" s="214">
        <v>50</v>
      </c>
      <c r="R9" s="214">
        <v>50</v>
      </c>
      <c r="S9" s="214">
        <v>200</v>
      </c>
      <c r="T9" s="214">
        <f>SUM(C9:S9)</f>
        <v>3900</v>
      </c>
      <c r="U9" s="180">
        <v>2028</v>
      </c>
      <c r="V9" s="181">
        <f>V8*(1-E3)</f>
        <v>85.737499999999997</v>
      </c>
      <c r="W9" s="181">
        <f>V9/$V$6</f>
        <v>0.857375</v>
      </c>
    </row>
    <row r="10" spans="1:23" ht="17.25">
      <c r="A10" s="252"/>
      <c r="B10" s="185" t="s">
        <v>49</v>
      </c>
      <c r="C10" s="214">
        <v>2000</v>
      </c>
      <c r="D10" s="214">
        <v>500</v>
      </c>
      <c r="E10" s="214">
        <v>2000</v>
      </c>
      <c r="F10" s="214">
        <v>3000</v>
      </c>
      <c r="G10" s="214">
        <v>500</v>
      </c>
      <c r="H10" s="214">
        <v>500</v>
      </c>
      <c r="I10" s="214">
        <v>3000</v>
      </c>
      <c r="J10" s="214">
        <v>500</v>
      </c>
      <c r="K10" s="214">
        <v>200</v>
      </c>
      <c r="L10" s="214">
        <v>2000</v>
      </c>
      <c r="M10" s="214">
        <v>500</v>
      </c>
      <c r="N10" s="214">
        <v>500</v>
      </c>
      <c r="O10" s="214">
        <v>500</v>
      </c>
      <c r="P10" s="214">
        <v>500</v>
      </c>
      <c r="Q10" s="214">
        <v>500</v>
      </c>
      <c r="R10" s="214">
        <v>200</v>
      </c>
      <c r="S10" s="214">
        <v>500</v>
      </c>
      <c r="T10" s="214">
        <f t="shared" ref="T10:T15" si="0">SUM(C10:S10)</f>
        <v>17400</v>
      </c>
      <c r="U10" s="180">
        <v>2029</v>
      </c>
      <c r="V10" s="181">
        <f>V9*(1-$E$3)</f>
        <v>81.450624999999988</v>
      </c>
      <c r="W10" s="181">
        <f>V10/$V$6</f>
        <v>0.81450624999999988</v>
      </c>
    </row>
    <row r="11" spans="1:23" ht="17.25">
      <c r="A11" s="252"/>
      <c r="B11" s="185" t="s">
        <v>50</v>
      </c>
      <c r="C11" s="214">
        <v>3000</v>
      </c>
      <c r="D11" s="214">
        <v>500</v>
      </c>
      <c r="E11" s="214">
        <v>3000</v>
      </c>
      <c r="F11" s="214">
        <v>5000</v>
      </c>
      <c r="G11" s="214">
        <v>500</v>
      </c>
      <c r="H11" s="214">
        <v>500</v>
      </c>
      <c r="I11" s="214">
        <v>5000</v>
      </c>
      <c r="J11" s="214">
        <v>500</v>
      </c>
      <c r="K11" s="214">
        <v>200</v>
      </c>
      <c r="L11" s="214">
        <v>3000</v>
      </c>
      <c r="M11" s="214">
        <v>500</v>
      </c>
      <c r="N11" s="214">
        <v>500</v>
      </c>
      <c r="O11" s="214">
        <v>500</v>
      </c>
      <c r="P11" s="214">
        <v>500</v>
      </c>
      <c r="Q11" s="214">
        <v>500</v>
      </c>
      <c r="R11" s="214">
        <v>200</v>
      </c>
      <c r="S11" s="214">
        <v>500</v>
      </c>
      <c r="T11" s="214">
        <f t="shared" si="0"/>
        <v>24400</v>
      </c>
      <c r="U11" s="180">
        <v>2030</v>
      </c>
      <c r="V11" s="181">
        <f>V10*(1-$E$3)</f>
        <v>77.378093749999991</v>
      </c>
      <c r="W11" s="181">
        <f t="shared" ref="W11:W12" si="1">V11/$V$6</f>
        <v>0.77378093749999988</v>
      </c>
    </row>
    <row r="12" spans="1:23" ht="17.25">
      <c r="A12" s="252"/>
      <c r="B12" s="185" t="s">
        <v>185</v>
      </c>
      <c r="C12" s="205"/>
      <c r="D12" s="205"/>
      <c r="E12" s="205"/>
      <c r="F12" s="205"/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84">
        <f t="shared" ref="S12:S15" si="2">SUM(C12:R12)</f>
        <v>0</v>
      </c>
      <c r="T12" s="214">
        <f t="shared" si="0"/>
        <v>0</v>
      </c>
      <c r="U12" s="180">
        <v>2031</v>
      </c>
      <c r="V12" s="181">
        <f>V11*(1-$E$3)</f>
        <v>73.509189062499985</v>
      </c>
      <c r="W12" s="181">
        <f t="shared" si="1"/>
        <v>0.7350918906249998</v>
      </c>
    </row>
    <row r="13" spans="1:23" ht="17.25">
      <c r="A13" s="252"/>
      <c r="B13" s="185" t="s">
        <v>186</v>
      </c>
      <c r="C13" s="205"/>
      <c r="D13" s="205"/>
      <c r="E13" s="205"/>
      <c r="F13" s="205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4">
        <f t="shared" si="2"/>
        <v>0</v>
      </c>
      <c r="T13" s="214">
        <f t="shared" si="0"/>
        <v>0</v>
      </c>
    </row>
    <row r="14" spans="1:23" ht="17.25">
      <c r="A14" s="252"/>
      <c r="B14" s="185" t="s">
        <v>187</v>
      </c>
      <c r="C14" s="187"/>
      <c r="D14" s="187"/>
      <c r="E14" s="187"/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4">
        <f t="shared" si="2"/>
        <v>0</v>
      </c>
      <c r="T14" s="214">
        <f t="shared" si="0"/>
        <v>0</v>
      </c>
    </row>
    <row r="15" spans="1:23" ht="17.25">
      <c r="A15" s="253"/>
      <c r="B15" s="185" t="s">
        <v>259</v>
      </c>
      <c r="C15" s="187"/>
      <c r="D15" s="187"/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187"/>
      <c r="P15" s="187"/>
      <c r="Q15" s="187"/>
      <c r="R15" s="187"/>
      <c r="S15" s="184">
        <f t="shared" si="2"/>
        <v>0</v>
      </c>
      <c r="T15" s="214">
        <f t="shared" si="0"/>
        <v>0</v>
      </c>
    </row>
    <row r="16" spans="1:23" ht="24" customHeight="1">
      <c r="A16" s="249" t="s">
        <v>51</v>
      </c>
      <c r="B16" s="249"/>
      <c r="C16" s="188">
        <f t="shared" ref="C16:T16" si="3">SUM(C9:C15)</f>
        <v>5500</v>
      </c>
      <c r="D16" s="188">
        <f t="shared" si="3"/>
        <v>1200</v>
      </c>
      <c r="E16" s="188">
        <f t="shared" si="3"/>
        <v>5500</v>
      </c>
      <c r="F16" s="188">
        <f t="shared" si="3"/>
        <v>8500</v>
      </c>
      <c r="G16" s="188">
        <f t="shared" ref="G16:R16" si="4">SUM(G9:G15)</f>
        <v>1200</v>
      </c>
      <c r="H16" s="188">
        <f t="shared" si="4"/>
        <v>1200</v>
      </c>
      <c r="I16" s="188">
        <f t="shared" si="4"/>
        <v>8500</v>
      </c>
      <c r="J16" s="188">
        <f t="shared" si="4"/>
        <v>1050</v>
      </c>
      <c r="K16" s="188">
        <f t="shared" si="4"/>
        <v>450</v>
      </c>
      <c r="L16" s="188">
        <f t="shared" si="4"/>
        <v>5500</v>
      </c>
      <c r="M16" s="188">
        <f t="shared" si="4"/>
        <v>1100</v>
      </c>
      <c r="N16" s="188">
        <f t="shared" si="4"/>
        <v>1050</v>
      </c>
      <c r="O16" s="188">
        <f t="shared" si="4"/>
        <v>1050</v>
      </c>
      <c r="P16" s="188">
        <f t="shared" si="4"/>
        <v>1200</v>
      </c>
      <c r="Q16" s="188">
        <f t="shared" si="4"/>
        <v>1050</v>
      </c>
      <c r="R16" s="188">
        <f t="shared" si="4"/>
        <v>450</v>
      </c>
      <c r="S16" s="188">
        <f t="shared" si="3"/>
        <v>1200</v>
      </c>
      <c r="T16" s="188">
        <f t="shared" si="3"/>
        <v>45700</v>
      </c>
    </row>
    <row r="17" spans="1:20" ht="18">
      <c r="A17" s="189"/>
      <c r="B17" s="189"/>
      <c r="C17" s="43"/>
    </row>
    <row r="18" spans="1:20" ht="24.75" customHeight="1">
      <c r="A18" s="180" t="s">
        <v>295</v>
      </c>
      <c r="B18" s="190" t="s">
        <v>198</v>
      </c>
      <c r="C18" s="191">
        <f>材料成本!D24</f>
        <v>1552.7248158505649</v>
      </c>
      <c r="D18" s="191">
        <f>材料成本!E24</f>
        <v>1232.9347530025648</v>
      </c>
      <c r="E18" s="191">
        <f>材料成本!F24</f>
        <v>1232.9347530025648</v>
      </c>
      <c r="F18" s="191">
        <f>材料成本!G24</f>
        <v>1552.6934514925647</v>
      </c>
      <c r="G18" s="191">
        <f>材料成本!H24</f>
        <v>1552.6934514925647</v>
      </c>
      <c r="H18" s="191">
        <f>材料成本!I24</f>
        <v>1232.9033886445645</v>
      </c>
      <c r="I18" s="191">
        <f>材料成本!J24</f>
        <v>1232.9033886445645</v>
      </c>
      <c r="J18" s="191">
        <f>材料成本!K24</f>
        <v>808.62625064000895</v>
      </c>
      <c r="K18" s="191">
        <f>材料成本!L24</f>
        <v>611.69725600627567</v>
      </c>
      <c r="L18" s="191">
        <f>材料成本!M24</f>
        <v>442.84958040154555</v>
      </c>
      <c r="M18" s="191">
        <f>材料成本!N24</f>
        <v>442.84958040154555</v>
      </c>
      <c r="N18" s="191">
        <f>材料成本!O24</f>
        <v>443.40237440154556</v>
      </c>
      <c r="O18" s="191">
        <f>材料成本!P24</f>
        <v>441.91420701378547</v>
      </c>
      <c r="P18" s="191">
        <f>材料成本!Q24</f>
        <v>441.36141301378547</v>
      </c>
      <c r="Q18" s="191">
        <f>材料成本!R24</f>
        <v>1552.7248158505649</v>
      </c>
      <c r="R18" s="191">
        <f>材料成本!S24</f>
        <v>808.62625064000895</v>
      </c>
      <c r="S18" s="191">
        <f>材料成本!T24</f>
        <v>611.1444620062756</v>
      </c>
      <c r="T18" s="192">
        <f>SUM(C18:S18)</f>
        <v>16194.984192505293</v>
      </c>
    </row>
    <row r="19" spans="1:20" ht="24.75" customHeight="1">
      <c r="B19" s="190" t="s">
        <v>98</v>
      </c>
      <c r="C19" s="191">
        <f>C8-C18</f>
        <v>742.85040538837347</v>
      </c>
      <c r="D19" s="191">
        <f>D8-D18</f>
        <v>598.03869832486907</v>
      </c>
      <c r="E19" s="191">
        <f>E8-E18</f>
        <v>598.03869832486907</v>
      </c>
      <c r="F19" s="191">
        <f>F8-F18</f>
        <v>742.88176974637372</v>
      </c>
      <c r="G19" s="191">
        <f t="shared" ref="G19:R19" si="5">G8-G18</f>
        <v>742.88176974637372</v>
      </c>
      <c r="H19" s="191">
        <f t="shared" si="5"/>
        <v>598.07006268286932</v>
      </c>
      <c r="I19" s="191">
        <f t="shared" si="5"/>
        <v>598.07006268286932</v>
      </c>
      <c r="J19" s="191">
        <f t="shared" si="5"/>
        <v>215.26755466972566</v>
      </c>
      <c r="K19" s="191">
        <f t="shared" si="5"/>
        <v>94.497434259211104</v>
      </c>
      <c r="L19" s="191">
        <f t="shared" si="5"/>
        <v>141.22121605863146</v>
      </c>
      <c r="M19" s="191">
        <f t="shared" si="5"/>
        <v>141.22121605863146</v>
      </c>
      <c r="N19" s="191">
        <f t="shared" si="5"/>
        <v>140.66842205863145</v>
      </c>
      <c r="O19" s="191">
        <f t="shared" si="5"/>
        <v>142.15658944639154</v>
      </c>
      <c r="P19" s="191">
        <f t="shared" si="5"/>
        <v>142.70938344639154</v>
      </c>
      <c r="Q19" s="191">
        <f t="shared" si="5"/>
        <v>742.85040538837347</v>
      </c>
      <c r="R19" s="191">
        <f t="shared" si="5"/>
        <v>213.49764316530093</v>
      </c>
      <c r="S19" s="191">
        <f t="shared" ref="S19" si="6">S8-S18</f>
        <v>95.050228259211167</v>
      </c>
      <c r="T19" s="192">
        <f>SUM(C19:S19)</f>
        <v>6689.9715597070981</v>
      </c>
    </row>
    <row r="20" spans="1:20" ht="24.75" customHeight="1">
      <c r="B20" s="190" t="s">
        <v>199</v>
      </c>
      <c r="C20" s="193">
        <f t="shared" ref="C20:F20" si="7">C19/C8</f>
        <v>0.3236009861560763</v>
      </c>
      <c r="D20" s="193">
        <f t="shared" si="7"/>
        <v>0.32662335867912129</v>
      </c>
      <c r="E20" s="193">
        <f t="shared" si="7"/>
        <v>0.32662335867912129</v>
      </c>
      <c r="F20" s="193">
        <f t="shared" si="7"/>
        <v>0.32361464911850507</v>
      </c>
      <c r="G20" s="193">
        <f t="shared" ref="G20:R20" si="8">G19/G8</f>
        <v>0.32361464911850507</v>
      </c>
      <c r="H20" s="193">
        <f t="shared" si="8"/>
        <v>0.32664048856048439</v>
      </c>
      <c r="I20" s="193">
        <f t="shared" si="8"/>
        <v>0.32664048856048439</v>
      </c>
      <c r="J20" s="193">
        <f t="shared" si="8"/>
        <v>0.21024402487190144</v>
      </c>
      <c r="K20" s="193">
        <f t="shared" si="8"/>
        <v>0.13381215628184029</v>
      </c>
      <c r="L20" s="193">
        <f t="shared" si="8"/>
        <v>0.24178783961553565</v>
      </c>
      <c r="M20" s="193">
        <f t="shared" si="8"/>
        <v>0.24178783961553565</v>
      </c>
      <c r="N20" s="193">
        <f t="shared" si="8"/>
        <v>0.24084138928220233</v>
      </c>
      <c r="O20" s="193">
        <f t="shared" si="8"/>
        <v>0.24338931223397339</v>
      </c>
      <c r="P20" s="193">
        <f t="shared" si="8"/>
        <v>0.24433576256730671</v>
      </c>
      <c r="Q20" s="193">
        <f t="shared" si="8"/>
        <v>0.3236009861560763</v>
      </c>
      <c r="R20" s="193">
        <f t="shared" si="8"/>
        <v>0.20887648205782686</v>
      </c>
      <c r="S20" s="193">
        <f t="shared" ref="S20:T20" si="9">S19/S8</f>
        <v>0.13459493475301831</v>
      </c>
      <c r="T20" s="193">
        <f t="shared" si="9"/>
        <v>0.29233054379230561</v>
      </c>
    </row>
  </sheetData>
  <mergeCells count="5">
    <mergeCell ref="T5:T7"/>
    <mergeCell ref="A1:S1"/>
    <mergeCell ref="A16:B16"/>
    <mergeCell ref="A5:A8"/>
    <mergeCell ref="A9:A15"/>
  </mergeCells>
  <phoneticPr fontId="45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  <ignoredErrors>
    <ignoredError sqref="V9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31"/>
  <sheetViews>
    <sheetView workbookViewId="0">
      <pane xSplit="3" ySplit="5" topLeftCell="K9" activePane="bottomRight" state="frozen"/>
      <selection pane="topRight"/>
      <selection pane="bottomLeft"/>
      <selection pane="bottomRight" activeCell="N19" sqref="N19"/>
    </sheetView>
  </sheetViews>
  <sheetFormatPr defaultColWidth="9" defaultRowHeight="16.5"/>
  <cols>
    <col min="1" max="2" width="4.375" style="24" customWidth="1"/>
    <col min="3" max="3" width="10" style="24" customWidth="1"/>
    <col min="4" max="21" width="12" style="25" customWidth="1"/>
    <col min="22" max="22" width="12.25" style="24" customWidth="1"/>
    <col min="23" max="23" width="13.25" style="24" customWidth="1"/>
    <col min="24" max="24" width="16" style="24" customWidth="1"/>
    <col min="25" max="16384" width="9" style="24"/>
  </cols>
  <sheetData>
    <row r="1" spans="1:24" s="23" customFormat="1" ht="28.5" customHeight="1">
      <c r="A1" s="260" t="s">
        <v>7</v>
      </c>
      <c r="B1" s="260"/>
      <c r="C1" s="26"/>
      <c r="D1" s="27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X1" s="38"/>
    </row>
    <row r="2" spans="1:24" ht="29.25" customHeight="1">
      <c r="A2" s="271" t="s">
        <v>200</v>
      </c>
      <c r="B2" s="271"/>
      <c r="C2" s="271"/>
      <c r="D2" s="271"/>
      <c r="E2" s="271"/>
      <c r="F2" s="268" t="s">
        <v>277</v>
      </c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70"/>
    </row>
    <row r="3" spans="1:24" ht="22.5" customHeight="1">
      <c r="A3" s="259" t="s">
        <v>18</v>
      </c>
      <c r="B3" s="259" t="s">
        <v>201</v>
      </c>
      <c r="C3" s="30" t="s">
        <v>202</v>
      </c>
      <c r="D3" s="261" t="s">
        <v>297</v>
      </c>
      <c r="E3" s="261"/>
      <c r="F3" s="29" t="s">
        <v>203</v>
      </c>
      <c r="G3" s="262"/>
      <c r="H3" s="263"/>
      <c r="I3" s="263"/>
      <c r="J3" s="263"/>
      <c r="K3" s="263"/>
      <c r="L3" s="263"/>
      <c r="M3" s="263"/>
      <c r="N3" s="263"/>
      <c r="O3" s="263"/>
      <c r="P3" s="263"/>
      <c r="Q3" s="263"/>
      <c r="R3" s="263"/>
      <c r="S3" s="264"/>
      <c r="T3" s="207"/>
      <c r="U3" s="265" t="s">
        <v>153</v>
      </c>
    </row>
    <row r="4" spans="1:24" ht="28.5">
      <c r="A4" s="259"/>
      <c r="B4" s="259"/>
      <c r="C4" s="30" t="s">
        <v>143</v>
      </c>
      <c r="D4" s="31" t="str">
        <f>销量!C5</f>
        <v>A668100000203</v>
      </c>
      <c r="E4" s="31" t="str">
        <f>销量!D5</f>
        <v>A668100000205</v>
      </c>
      <c r="F4" s="31" t="str">
        <f>销量!E5</f>
        <v>A668100000206</v>
      </c>
      <c r="G4" s="31" t="str">
        <f>销量!F5</f>
        <v>A668100000207</v>
      </c>
      <c r="H4" s="31" t="str">
        <f>销量!G5</f>
        <v>A668100000208</v>
      </c>
      <c r="I4" s="31" t="str">
        <f>销量!H5</f>
        <v>A668100000209</v>
      </c>
      <c r="J4" s="31" t="str">
        <f>销量!I5</f>
        <v>A668100000210</v>
      </c>
      <c r="K4" s="31" t="str">
        <f>销量!J5</f>
        <v>A668100000216</v>
      </c>
      <c r="L4" s="31" t="str">
        <f>销量!K5</f>
        <v>A668100000218</v>
      </c>
      <c r="M4" s="31" t="str">
        <f>销量!L5</f>
        <v>A668100000219</v>
      </c>
      <c r="N4" s="31" t="str">
        <f>销量!M5</f>
        <v>A668100000220</v>
      </c>
      <c r="O4" s="31" t="str">
        <f>销量!N5</f>
        <v>A668100000221</v>
      </c>
      <c r="P4" s="31" t="str">
        <f>销量!O5</f>
        <v>A668100000222</v>
      </c>
      <c r="Q4" s="31" t="str">
        <f>销量!P5</f>
        <v>A668100000223</v>
      </c>
      <c r="R4" s="31" t="str">
        <f>销量!Q5</f>
        <v>A668100000204</v>
      </c>
      <c r="S4" s="31" t="str">
        <f>销量!R5</f>
        <v>A668100000215</v>
      </c>
      <c r="T4" s="31" t="str">
        <f>销量!S5</f>
        <v>A668100000217</v>
      </c>
      <c r="U4" s="266"/>
    </row>
    <row r="5" spans="1:24" ht="28.5">
      <c r="A5" s="259"/>
      <c r="B5" s="259"/>
      <c r="C5" s="30" t="s">
        <v>144</v>
      </c>
      <c r="D5" s="31" t="str">
        <f>销量!C6</f>
        <v>驾驶员座椅总成</v>
      </c>
      <c r="E5" s="31" t="str">
        <f>销量!D6</f>
        <v>驾驶员座椅总成</v>
      </c>
      <c r="F5" s="31" t="str">
        <f>销量!E6</f>
        <v>驾驶员座椅总成</v>
      </c>
      <c r="G5" s="31" t="str">
        <f>销量!F6</f>
        <v>驾驶员座椅总成</v>
      </c>
      <c r="H5" s="31" t="str">
        <f>销量!G6</f>
        <v>驾驶员座椅总成</v>
      </c>
      <c r="I5" s="31" t="str">
        <f>销量!H6</f>
        <v>驾驶员座椅总成</v>
      </c>
      <c r="J5" s="31" t="str">
        <f>销量!I6</f>
        <v>驾驶员座椅总成</v>
      </c>
      <c r="K5" s="31" t="str">
        <f>销量!J6</f>
        <v>副驾驶员座椅总成</v>
      </c>
      <c r="L5" s="31" t="str">
        <f>销量!K6</f>
        <v>副驾驶员座椅总成</v>
      </c>
      <c r="M5" s="31" t="str">
        <f>销量!L6</f>
        <v>副驾驶员座椅总成</v>
      </c>
      <c r="N5" s="31" t="str">
        <f>销量!M6</f>
        <v>副驾驶员座椅总成</v>
      </c>
      <c r="O5" s="31" t="str">
        <f>销量!N6</f>
        <v>副驾驶员座椅总成</v>
      </c>
      <c r="P5" s="31" t="str">
        <f>销量!O6</f>
        <v>副驾驶员座椅总成</v>
      </c>
      <c r="Q5" s="31" t="str">
        <f>销量!P6</f>
        <v>副驾驶员座椅总成</v>
      </c>
      <c r="R5" s="31" t="str">
        <f>销量!Q6</f>
        <v>驾驶员座椅总成</v>
      </c>
      <c r="S5" s="31" t="str">
        <f>销量!R6</f>
        <v>副驾驶员座椅总成</v>
      </c>
      <c r="T5" s="31" t="str">
        <f>销量!S6</f>
        <v>副驾驶员座椅总成</v>
      </c>
      <c r="U5" s="267"/>
    </row>
    <row r="6" spans="1:24">
      <c r="A6" s="33">
        <v>1</v>
      </c>
      <c r="B6" s="254" t="s">
        <v>204</v>
      </c>
      <c r="C6" s="255"/>
      <c r="D6" s="34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9"/>
    </row>
    <row r="7" spans="1:24">
      <c r="A7" s="33">
        <v>2</v>
      </c>
      <c r="B7" s="254" t="s">
        <v>205</v>
      </c>
      <c r="C7" s="255"/>
      <c r="D7" s="34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9"/>
    </row>
    <row r="8" spans="1:24">
      <c r="A8" s="33">
        <v>3</v>
      </c>
      <c r="B8" s="254" t="s">
        <v>206</v>
      </c>
      <c r="C8" s="255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9"/>
    </row>
    <row r="9" spans="1:24">
      <c r="A9" s="33">
        <v>4</v>
      </c>
      <c r="B9" s="254" t="s">
        <v>207</v>
      </c>
      <c r="C9" s="255"/>
      <c r="D9" s="34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9"/>
    </row>
    <row r="10" spans="1:24">
      <c r="A10" s="33">
        <v>5</v>
      </c>
      <c r="B10" s="254" t="s">
        <v>208</v>
      </c>
      <c r="C10" s="255"/>
      <c r="D10" s="34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9"/>
    </row>
    <row r="11" spans="1:24">
      <c r="A11" s="33">
        <v>6</v>
      </c>
      <c r="B11" s="254" t="s">
        <v>209</v>
      </c>
      <c r="C11" s="255"/>
      <c r="D11" s="34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9"/>
    </row>
    <row r="12" spans="1:24">
      <c r="A12" s="33">
        <v>7</v>
      </c>
      <c r="B12" s="254" t="s">
        <v>210</v>
      </c>
      <c r="C12" s="255"/>
      <c r="D12" s="34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9"/>
    </row>
    <row r="13" spans="1:24">
      <c r="A13" s="33">
        <v>8</v>
      </c>
      <c r="B13" s="254" t="s">
        <v>211</v>
      </c>
      <c r="C13" s="255"/>
      <c r="D13" s="34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9"/>
    </row>
    <row r="14" spans="1:24">
      <c r="A14" s="33">
        <v>9</v>
      </c>
      <c r="B14" s="254" t="s">
        <v>212</v>
      </c>
      <c r="C14" s="255"/>
      <c r="D14" s="34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9"/>
    </row>
    <row r="15" spans="1:24">
      <c r="A15" s="33">
        <v>10</v>
      </c>
      <c r="B15" s="254" t="s">
        <v>213</v>
      </c>
      <c r="C15" s="255"/>
      <c r="D15" s="34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9"/>
    </row>
    <row r="16" spans="1:24">
      <c r="A16" s="33">
        <v>11</v>
      </c>
      <c r="B16" s="254" t="s">
        <v>214</v>
      </c>
      <c r="C16" s="255"/>
      <c r="D16" s="34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9"/>
    </row>
    <row r="17" spans="1:21">
      <c r="A17" s="33">
        <v>12</v>
      </c>
      <c r="B17" s="254" t="s">
        <v>215</v>
      </c>
      <c r="C17" s="255"/>
      <c r="D17" s="34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9"/>
    </row>
    <row r="18" spans="1:21">
      <c r="A18" s="33">
        <v>13</v>
      </c>
      <c r="B18" s="254" t="s">
        <v>216</v>
      </c>
      <c r="C18" s="255"/>
      <c r="D18" s="34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9"/>
    </row>
    <row r="19" spans="1:21">
      <c r="A19" s="33">
        <v>14</v>
      </c>
      <c r="B19" s="254" t="s">
        <v>217</v>
      </c>
      <c r="C19" s="255"/>
      <c r="D19" s="34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9"/>
    </row>
    <row r="20" spans="1:21">
      <c r="A20" s="33">
        <v>15</v>
      </c>
      <c r="B20" s="254" t="s">
        <v>218</v>
      </c>
      <c r="C20" s="255"/>
      <c r="D20" s="34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9"/>
    </row>
    <row r="21" spans="1:21">
      <c r="A21" s="33">
        <v>16</v>
      </c>
      <c r="B21" s="254" t="s">
        <v>219</v>
      </c>
      <c r="C21" s="255"/>
      <c r="D21" s="34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9"/>
    </row>
    <row r="22" spans="1:21">
      <c r="A22" s="33">
        <v>17</v>
      </c>
      <c r="B22" s="254" t="s">
        <v>36</v>
      </c>
      <c r="C22" s="255"/>
      <c r="D22" s="34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9"/>
    </row>
    <row r="23" spans="1:21">
      <c r="A23" s="33">
        <v>18</v>
      </c>
      <c r="B23" s="254" t="s">
        <v>220</v>
      </c>
      <c r="C23" s="255"/>
      <c r="D23" s="215">
        <v>1552.7248158505649</v>
      </c>
      <c r="E23" s="215">
        <v>1232.9347530025648</v>
      </c>
      <c r="F23" s="215">
        <v>1232.9347530025648</v>
      </c>
      <c r="G23" s="216">
        <v>1552.6934514925647</v>
      </c>
      <c r="H23" s="216">
        <v>1552.6934514925647</v>
      </c>
      <c r="I23" s="216">
        <v>1232.9033886445645</v>
      </c>
      <c r="J23" s="216">
        <v>1232.9033886445645</v>
      </c>
      <c r="K23" s="216">
        <v>808.62625064000895</v>
      </c>
      <c r="L23" s="216">
        <v>611.69725600627567</v>
      </c>
      <c r="M23" s="216">
        <v>442.84958040154555</v>
      </c>
      <c r="N23" s="216">
        <v>442.84958040154555</v>
      </c>
      <c r="O23" s="216">
        <v>443.40237440154556</v>
      </c>
      <c r="P23" s="216">
        <v>441.91420701378547</v>
      </c>
      <c r="Q23" s="216">
        <v>441.36141301378547</v>
      </c>
      <c r="R23" s="216">
        <v>1552.7248158505649</v>
      </c>
      <c r="S23" s="216">
        <v>808.62625064000895</v>
      </c>
      <c r="T23" s="216">
        <v>611.1444620062756</v>
      </c>
      <c r="U23" s="216"/>
    </row>
    <row r="24" spans="1:21" ht="31.5" customHeight="1">
      <c r="A24" s="256" t="s">
        <v>221</v>
      </c>
      <c r="B24" s="257"/>
      <c r="C24" s="258"/>
      <c r="D24" s="36">
        <f>SUM(D6:D23)</f>
        <v>1552.7248158505649</v>
      </c>
      <c r="E24" s="36">
        <f t="shared" ref="E24:S24" si="0">SUM(E6:E23)</f>
        <v>1232.9347530025648</v>
      </c>
      <c r="F24" s="36">
        <f t="shared" si="0"/>
        <v>1232.9347530025648</v>
      </c>
      <c r="G24" s="36">
        <f t="shared" si="0"/>
        <v>1552.6934514925647</v>
      </c>
      <c r="H24" s="36">
        <f t="shared" si="0"/>
        <v>1552.6934514925647</v>
      </c>
      <c r="I24" s="36">
        <f t="shared" si="0"/>
        <v>1232.9033886445645</v>
      </c>
      <c r="J24" s="36">
        <f t="shared" si="0"/>
        <v>1232.9033886445645</v>
      </c>
      <c r="K24" s="36">
        <f t="shared" si="0"/>
        <v>808.62625064000895</v>
      </c>
      <c r="L24" s="36">
        <f t="shared" si="0"/>
        <v>611.69725600627567</v>
      </c>
      <c r="M24" s="36">
        <f t="shared" si="0"/>
        <v>442.84958040154555</v>
      </c>
      <c r="N24" s="36">
        <f t="shared" si="0"/>
        <v>442.84958040154555</v>
      </c>
      <c r="O24" s="36">
        <f t="shared" si="0"/>
        <v>443.40237440154556</v>
      </c>
      <c r="P24" s="36">
        <f t="shared" si="0"/>
        <v>441.91420701378547</v>
      </c>
      <c r="Q24" s="36">
        <f t="shared" si="0"/>
        <v>441.36141301378547</v>
      </c>
      <c r="R24" s="36">
        <f t="shared" si="0"/>
        <v>1552.7248158505649</v>
      </c>
      <c r="S24" s="36">
        <f t="shared" si="0"/>
        <v>808.62625064000895</v>
      </c>
      <c r="T24" s="36">
        <f t="shared" ref="T24" si="1">SUM(T6:T23)</f>
        <v>611.1444620062756</v>
      </c>
      <c r="U24" s="40"/>
    </row>
    <row r="25" spans="1:21" ht="20.25" customHeight="1">
      <c r="C25" s="24" t="s">
        <v>49</v>
      </c>
      <c r="D25" s="37">
        <f>D24*0.95</f>
        <v>1475.0885750580367</v>
      </c>
      <c r="E25" s="37">
        <f t="shared" ref="E25:S25" si="2">E24*0.95</f>
        <v>1171.2880153524366</v>
      </c>
      <c r="F25" s="37">
        <f t="shared" si="2"/>
        <v>1171.2880153524366</v>
      </c>
      <c r="G25" s="37">
        <f t="shared" si="2"/>
        <v>1475.0587789179365</v>
      </c>
      <c r="H25" s="37">
        <f t="shared" si="2"/>
        <v>1475.0587789179365</v>
      </c>
      <c r="I25" s="37">
        <f t="shared" si="2"/>
        <v>1171.2582192123361</v>
      </c>
      <c r="J25" s="37">
        <f t="shared" si="2"/>
        <v>1171.2582192123361</v>
      </c>
      <c r="K25" s="37">
        <f t="shared" si="2"/>
        <v>768.1949381080085</v>
      </c>
      <c r="L25" s="37">
        <f t="shared" si="2"/>
        <v>581.11239320596189</v>
      </c>
      <c r="M25" s="37">
        <f t="shared" si="2"/>
        <v>420.70710138146825</v>
      </c>
      <c r="N25" s="37">
        <f t="shared" si="2"/>
        <v>420.70710138146825</v>
      </c>
      <c r="O25" s="37">
        <f t="shared" si="2"/>
        <v>421.23225568146825</v>
      </c>
      <c r="P25" s="37">
        <f t="shared" si="2"/>
        <v>419.8184966630962</v>
      </c>
      <c r="Q25" s="37">
        <f t="shared" si="2"/>
        <v>419.2933423630962</v>
      </c>
      <c r="R25" s="37">
        <f t="shared" si="2"/>
        <v>1475.0885750580367</v>
      </c>
      <c r="S25" s="37">
        <f t="shared" si="2"/>
        <v>768.1949381080085</v>
      </c>
      <c r="T25" s="37">
        <f t="shared" ref="T25" si="3">T24*0.95</f>
        <v>580.58723890596184</v>
      </c>
    </row>
    <row r="26" spans="1:21" ht="20.25" customHeight="1">
      <c r="C26" s="24" t="s">
        <v>50</v>
      </c>
      <c r="D26" s="37">
        <f t="shared" ref="D26:S26" si="4">D25*0.95</f>
        <v>1401.3341463051347</v>
      </c>
      <c r="E26" s="37">
        <f t="shared" si="4"/>
        <v>1112.7236145848146</v>
      </c>
      <c r="F26" s="37">
        <f t="shared" si="4"/>
        <v>1112.7236145848146</v>
      </c>
      <c r="G26" s="37">
        <f t="shared" si="4"/>
        <v>1401.3058399720396</v>
      </c>
      <c r="H26" s="37">
        <f t="shared" si="4"/>
        <v>1401.3058399720396</v>
      </c>
      <c r="I26" s="37">
        <f t="shared" si="4"/>
        <v>1112.6953082517193</v>
      </c>
      <c r="J26" s="37">
        <f t="shared" si="4"/>
        <v>1112.6953082517193</v>
      </c>
      <c r="K26" s="37">
        <f t="shared" si="4"/>
        <v>729.78519120260808</v>
      </c>
      <c r="L26" s="37">
        <f t="shared" si="4"/>
        <v>552.05677354566376</v>
      </c>
      <c r="M26" s="37">
        <f t="shared" si="4"/>
        <v>399.67174631239482</v>
      </c>
      <c r="N26" s="37">
        <f t="shared" si="4"/>
        <v>399.67174631239482</v>
      </c>
      <c r="O26" s="37">
        <f t="shared" si="4"/>
        <v>400.17064289739483</v>
      </c>
      <c r="P26" s="37">
        <f t="shared" si="4"/>
        <v>398.82757182994135</v>
      </c>
      <c r="Q26" s="37">
        <f t="shared" si="4"/>
        <v>398.32867524494139</v>
      </c>
      <c r="R26" s="37">
        <f t="shared" si="4"/>
        <v>1401.3341463051347</v>
      </c>
      <c r="S26" s="37">
        <f t="shared" si="4"/>
        <v>729.78519120260808</v>
      </c>
      <c r="T26" s="37">
        <f t="shared" ref="T26" si="5">T25*0.95</f>
        <v>551.55787696066375</v>
      </c>
    </row>
    <row r="27" spans="1:21" ht="20.25" customHeight="1">
      <c r="C27" s="24" t="s">
        <v>185</v>
      </c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</row>
    <row r="28" spans="1:21" ht="20.25" customHeight="1">
      <c r="C28" s="24" t="s">
        <v>186</v>
      </c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</row>
    <row r="29" spans="1:21" ht="20.25" customHeight="1">
      <c r="C29" s="24" t="s">
        <v>187</v>
      </c>
    </row>
    <row r="31" spans="1:21">
      <c r="D31" s="35">
        <v>1235.4347530025648</v>
      </c>
      <c r="E31" s="35">
        <v>1555.2248158505649</v>
      </c>
    </row>
  </sheetData>
  <mergeCells count="27">
    <mergeCell ref="A1:B1"/>
    <mergeCell ref="D3:E3"/>
    <mergeCell ref="G3:S3"/>
    <mergeCell ref="U3:U5"/>
    <mergeCell ref="F2:U2"/>
    <mergeCell ref="A2:E2"/>
    <mergeCell ref="B6:C6"/>
    <mergeCell ref="B7:C7"/>
    <mergeCell ref="B8:C8"/>
    <mergeCell ref="B9:C9"/>
    <mergeCell ref="B10:C10"/>
    <mergeCell ref="B21:C21"/>
    <mergeCell ref="B22:C22"/>
    <mergeCell ref="B23:C23"/>
    <mergeCell ref="A24:C24"/>
    <mergeCell ref="A3:A5"/>
    <mergeCell ref="B3:B5"/>
    <mergeCell ref="B16:C16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</mergeCells>
  <phoneticPr fontId="45" type="noConversion"/>
  <pageMargins left="0.70866141732283505" right="0.118110236220472" top="0.35433070866141703" bottom="0.35433070866141703" header="0.31496062992126" footer="0.31496062992126"/>
  <pageSetup paperSize="9" orientation="portrait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D18" sqref="D18"/>
    </sheetView>
  </sheetViews>
  <sheetFormatPr defaultColWidth="9" defaultRowHeight="13.5"/>
  <cols>
    <col min="1" max="1" width="5.75" style="16" customWidth="1"/>
    <col min="2" max="2" width="29.625" style="16" customWidth="1"/>
    <col min="3" max="3" width="25.5" style="16" customWidth="1"/>
    <col min="4" max="4" width="22" style="16" customWidth="1"/>
    <col min="5" max="16384" width="9" style="16"/>
  </cols>
  <sheetData>
    <row r="1" spans="1:4" ht="39.75" customHeight="1">
      <c r="A1" s="17" t="s">
        <v>18</v>
      </c>
      <c r="B1" s="17" t="s">
        <v>222</v>
      </c>
      <c r="C1" s="17" t="s">
        <v>223</v>
      </c>
      <c r="D1" s="17" t="s">
        <v>224</v>
      </c>
    </row>
    <row r="2" spans="1:4" ht="25.5" customHeight="1">
      <c r="A2" s="17">
        <v>1</v>
      </c>
      <c r="B2" s="18" t="s">
        <v>225</v>
      </c>
      <c r="C2" s="19" t="s">
        <v>286</v>
      </c>
      <c r="D2" s="173"/>
    </row>
    <row r="3" spans="1:4" ht="24" customHeight="1">
      <c r="A3" s="17">
        <v>2</v>
      </c>
      <c r="B3" s="18" t="s">
        <v>226</v>
      </c>
      <c r="C3" s="20" t="s">
        <v>287</v>
      </c>
      <c r="D3" s="173" t="s">
        <v>227</v>
      </c>
    </row>
    <row r="4" spans="1:4" ht="19.5" customHeight="1">
      <c r="A4" s="17">
        <v>3</v>
      </c>
      <c r="B4" s="18" t="s">
        <v>228</v>
      </c>
      <c r="C4" s="19" t="s">
        <v>288</v>
      </c>
      <c r="D4" s="173"/>
    </row>
    <row r="5" spans="1:4" ht="21" customHeight="1">
      <c r="A5" s="17">
        <v>4</v>
      </c>
      <c r="B5" s="18" t="s">
        <v>229</v>
      </c>
      <c r="C5" s="19" t="s">
        <v>289</v>
      </c>
      <c r="D5" s="173"/>
    </row>
    <row r="6" spans="1:4" ht="21" customHeight="1">
      <c r="A6" s="17">
        <v>5</v>
      </c>
      <c r="B6" s="18" t="s">
        <v>230</v>
      </c>
      <c r="C6" s="19" t="s">
        <v>290</v>
      </c>
      <c r="D6" s="173"/>
    </row>
    <row r="7" spans="1:4" ht="27.75" customHeight="1">
      <c r="A7" s="17">
        <v>6</v>
      </c>
      <c r="B7" s="173" t="s">
        <v>231</v>
      </c>
      <c r="C7" s="20" t="s">
        <v>291</v>
      </c>
      <c r="D7" s="173"/>
    </row>
    <row r="8" spans="1:4" ht="25.5" customHeight="1">
      <c r="A8" s="17">
        <v>7</v>
      </c>
      <c r="B8" s="18" t="s">
        <v>232</v>
      </c>
      <c r="C8" s="21" t="s">
        <v>292</v>
      </c>
      <c r="D8" s="173"/>
    </row>
    <row r="9" spans="1:4" ht="25.5" customHeight="1">
      <c r="A9" s="17">
        <v>8</v>
      </c>
      <c r="B9" s="173" t="s">
        <v>233</v>
      </c>
      <c r="C9" s="21"/>
      <c r="D9" s="173"/>
    </row>
    <row r="10" spans="1:4" ht="25.5" customHeight="1">
      <c r="A10" s="17">
        <v>9</v>
      </c>
      <c r="B10" s="173" t="s">
        <v>234</v>
      </c>
      <c r="C10" s="21"/>
      <c r="D10" s="173"/>
    </row>
    <row r="11" spans="1:4" ht="25.5" customHeight="1">
      <c r="A11" s="17">
        <v>10</v>
      </c>
      <c r="B11" s="173" t="s">
        <v>235</v>
      </c>
      <c r="C11" s="21"/>
      <c r="D11" s="173" t="s">
        <v>236</v>
      </c>
    </row>
    <row r="12" spans="1:4" ht="25.5" customHeight="1">
      <c r="A12" s="17">
        <v>11</v>
      </c>
      <c r="B12" s="173" t="s">
        <v>237</v>
      </c>
      <c r="C12" s="21"/>
      <c r="D12" s="173"/>
    </row>
    <row r="13" spans="1:4" ht="24" customHeight="1">
      <c r="A13" s="17">
        <v>12</v>
      </c>
      <c r="B13" s="18" t="s">
        <v>238</v>
      </c>
      <c r="C13" s="21">
        <v>5000</v>
      </c>
      <c r="D13" s="173"/>
    </row>
    <row r="14" spans="1:4" ht="24" customHeight="1">
      <c r="A14" s="17">
        <v>13</v>
      </c>
      <c r="B14" s="18" t="s">
        <v>239</v>
      </c>
      <c r="C14" s="21" t="s">
        <v>293</v>
      </c>
      <c r="D14" s="173"/>
    </row>
    <row r="15" spans="1:4" ht="24" customHeight="1">
      <c r="A15" s="17">
        <v>14</v>
      </c>
      <c r="B15" s="18" t="s">
        <v>240</v>
      </c>
      <c r="C15" s="21" t="s">
        <v>294</v>
      </c>
      <c r="D15" s="173"/>
    </row>
    <row r="16" spans="1:4" ht="24" customHeight="1">
      <c r="A16" s="17">
        <v>15</v>
      </c>
      <c r="B16" s="173" t="s">
        <v>36</v>
      </c>
      <c r="C16" s="173"/>
      <c r="D16" s="173"/>
    </row>
    <row r="17" spans="2:2" ht="16.5">
      <c r="B17" s="22" t="s">
        <v>241</v>
      </c>
    </row>
  </sheetData>
  <phoneticPr fontId="4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218"/>
  <sheetViews>
    <sheetView zoomScale="85" zoomScaleNormal="85" workbookViewId="0">
      <selection activeCell="G10" sqref="G10"/>
    </sheetView>
  </sheetViews>
  <sheetFormatPr defaultColWidth="9" defaultRowHeight="13.5"/>
  <cols>
    <col min="1" max="2" width="9" style="2"/>
    <col min="3" max="4" width="12.625" style="2" customWidth="1"/>
    <col min="5" max="5" width="11.5" style="2" customWidth="1"/>
    <col min="6" max="7" width="11.125" style="2" customWidth="1"/>
    <col min="8" max="8" width="14.5" style="2" customWidth="1"/>
    <col min="9" max="9" width="16.125" style="3" customWidth="1"/>
    <col min="10" max="16384" width="9" style="2"/>
  </cols>
  <sheetData>
    <row r="1" spans="1:15" s="1" customFormat="1" ht="18.75" customHeight="1">
      <c r="G1" s="272" t="s">
        <v>242</v>
      </c>
      <c r="H1" s="272"/>
      <c r="I1" s="15" t="str">
        <f>销量!C6</f>
        <v>驾驶员座椅总成</v>
      </c>
    </row>
    <row r="2" spans="1:15" ht="39" customHeight="1">
      <c r="A2" s="273" t="s">
        <v>243</v>
      </c>
      <c r="B2" s="273"/>
      <c r="C2" s="274" t="s">
        <v>278</v>
      </c>
      <c r="D2" s="275"/>
      <c r="E2" s="275"/>
      <c r="F2" s="275"/>
      <c r="G2" s="275"/>
      <c r="H2" s="276"/>
      <c r="I2" s="3" t="s">
        <v>244</v>
      </c>
    </row>
    <row r="3" spans="1:15" ht="34.5" customHeight="1">
      <c r="A3" s="273"/>
      <c r="B3" s="273"/>
      <c r="C3" s="4" t="s">
        <v>245</v>
      </c>
      <c r="D3" s="4" t="s">
        <v>246</v>
      </c>
      <c r="E3" s="4" t="s">
        <v>247</v>
      </c>
      <c r="F3" s="5" t="s">
        <v>248</v>
      </c>
      <c r="G3" s="5" t="s">
        <v>249</v>
      </c>
      <c r="H3" s="170" t="s">
        <v>258</v>
      </c>
      <c r="I3" s="14">
        <f>销量!C8</f>
        <v>2295.5752212389384</v>
      </c>
      <c r="J3" s="170" t="s">
        <v>282</v>
      </c>
      <c r="K3" s="170" t="s">
        <v>275</v>
      </c>
      <c r="L3" s="170" t="s">
        <v>281</v>
      </c>
      <c r="M3" s="195" t="s">
        <v>279</v>
      </c>
    </row>
    <row r="4" spans="1:15" ht="24" customHeight="1">
      <c r="A4" s="277" t="s">
        <v>251</v>
      </c>
      <c r="B4" s="277"/>
      <c r="C4" s="7"/>
      <c r="D4" s="8"/>
      <c r="E4" s="9">
        <f>$I$3*H4</f>
        <v>159.31292035398232</v>
      </c>
      <c r="F4" s="9"/>
      <c r="G4" s="9"/>
      <c r="H4" s="13">
        <v>6.9400000000000003E-2</v>
      </c>
      <c r="J4" s="10">
        <v>1.23E-2</v>
      </c>
      <c r="K4" s="13">
        <v>2.93E-2</v>
      </c>
      <c r="L4" s="13">
        <v>6.9400000000000003E-2</v>
      </c>
      <c r="M4" s="196">
        <v>6.9400000000000003E-2</v>
      </c>
    </row>
    <row r="5" spans="1:15" ht="24" customHeight="1">
      <c r="A5" s="277" t="s">
        <v>252</v>
      </c>
      <c r="B5" s="6" t="s">
        <v>253</v>
      </c>
      <c r="C5" s="7"/>
      <c r="D5" s="8"/>
      <c r="E5" s="9">
        <f>$I$3*H5</f>
        <v>189.38495575221242</v>
      </c>
      <c r="F5" s="9"/>
      <c r="G5" s="9"/>
      <c r="H5" s="10">
        <v>8.2500000000000004E-2</v>
      </c>
      <c r="J5" s="10">
        <v>3.6600000000000001E-2</v>
      </c>
      <c r="K5" s="13">
        <v>6.4699999999999994E-2</v>
      </c>
      <c r="L5" s="10">
        <v>8.2500000000000004E-2</v>
      </c>
      <c r="M5" s="196">
        <v>8.2500000000000004E-2</v>
      </c>
    </row>
    <row r="6" spans="1:15" ht="24" customHeight="1">
      <c r="A6" s="277"/>
      <c r="B6" s="6" t="s">
        <v>254</v>
      </c>
      <c r="C6" s="7"/>
      <c r="D6" s="8"/>
      <c r="E6" s="9">
        <f t="shared" ref="E6:E11" si="0">$I$3*H6</f>
        <v>99.627964601769932</v>
      </c>
      <c r="F6" s="9"/>
      <c r="G6" s="9"/>
      <c r="H6" s="13">
        <v>4.3400000000000001E-2</v>
      </c>
      <c r="J6" s="10">
        <v>1.11E-2</v>
      </c>
      <c r="K6" s="13">
        <v>8.6999999999999994E-3</v>
      </c>
      <c r="L6" s="13">
        <v>4.3400000000000001E-2</v>
      </c>
      <c r="M6" s="196">
        <v>4.3400000000000001E-2</v>
      </c>
    </row>
    <row r="7" spans="1:15" ht="24" customHeight="1">
      <c r="A7" s="274" t="s">
        <v>255</v>
      </c>
      <c r="B7" s="276"/>
      <c r="C7" s="11"/>
      <c r="D7" s="12"/>
      <c r="E7" s="9">
        <f t="shared" si="0"/>
        <v>448.32584070796469</v>
      </c>
      <c r="F7" s="9"/>
      <c r="G7" s="9"/>
      <c r="H7" s="197">
        <f>SUM(H4:H6)</f>
        <v>0.1953</v>
      </c>
      <c r="J7" s="197">
        <f t="shared" ref="J7:K7" si="1">SUM(J4:J6)</f>
        <v>0.06</v>
      </c>
      <c r="K7" s="197">
        <f t="shared" si="1"/>
        <v>0.1027</v>
      </c>
      <c r="L7" s="197">
        <f>SUM(L4:L6)</f>
        <v>0.1953</v>
      </c>
      <c r="M7" s="196"/>
    </row>
    <row r="8" spans="1:15" ht="24" customHeight="1">
      <c r="A8" s="277" t="s">
        <v>81</v>
      </c>
      <c r="B8" s="277"/>
      <c r="C8" s="7"/>
      <c r="D8" s="8"/>
      <c r="E8" s="9">
        <f t="shared" si="0"/>
        <v>60.603185840707972</v>
      </c>
      <c r="F8" s="9"/>
      <c r="G8" s="9"/>
      <c r="H8" s="10">
        <v>2.64E-2</v>
      </c>
      <c r="J8" s="10">
        <v>3.2300000000000002E-2</v>
      </c>
      <c r="K8" s="13">
        <v>2.0500000000000001E-2</v>
      </c>
      <c r="L8" s="10">
        <v>2.64E-2</v>
      </c>
      <c r="M8" s="196">
        <v>2.64E-2</v>
      </c>
      <c r="N8" s="178" t="s">
        <v>280</v>
      </c>
    </row>
    <row r="9" spans="1:15" ht="24" customHeight="1">
      <c r="A9" s="278" t="s">
        <v>256</v>
      </c>
      <c r="B9" s="6" t="s">
        <v>253</v>
      </c>
      <c r="C9" s="7"/>
      <c r="D9" s="8"/>
      <c r="E9" s="9">
        <f t="shared" si="0"/>
        <v>39.483893805309741</v>
      </c>
      <c r="F9" s="9"/>
      <c r="G9" s="9"/>
      <c r="H9" s="10">
        <v>1.72E-2</v>
      </c>
      <c r="J9" s="10">
        <v>8.3999999999999995E-3</v>
      </c>
      <c r="K9" s="13">
        <v>1.37E-2</v>
      </c>
      <c r="L9" s="10">
        <v>1.72E-2</v>
      </c>
      <c r="M9" s="198">
        <v>1.72E-2</v>
      </c>
      <c r="N9" s="199">
        <v>2.1100000000000001E-2</v>
      </c>
      <c r="O9" s="199">
        <v>0.10340000000000001</v>
      </c>
    </row>
    <row r="10" spans="1:15" ht="24" customHeight="1">
      <c r="A10" s="279"/>
      <c r="B10" s="6" t="s">
        <v>254</v>
      </c>
      <c r="C10" s="7"/>
      <c r="D10" s="8"/>
      <c r="E10" s="9">
        <f t="shared" si="0"/>
        <v>149.44194690265491</v>
      </c>
      <c r="F10" s="9"/>
      <c r="G10" s="9"/>
      <c r="H10" s="13">
        <v>6.5100000000000005E-2</v>
      </c>
      <c r="J10" s="10">
        <v>1.6E-2</v>
      </c>
      <c r="K10" s="13">
        <v>4.1200000000000001E-2</v>
      </c>
      <c r="L10" s="13">
        <v>6.5100000000000005E-2</v>
      </c>
      <c r="M10" s="198">
        <v>6.5100000000000005E-2</v>
      </c>
      <c r="N10" s="200"/>
      <c r="O10" s="200"/>
    </row>
    <row r="11" spans="1:15" ht="24" customHeight="1">
      <c r="A11" s="277" t="s">
        <v>84</v>
      </c>
      <c r="B11" s="277"/>
      <c r="C11" s="7"/>
      <c r="D11" s="8"/>
      <c r="E11" s="9">
        <f t="shared" si="0"/>
        <v>81.492920353982299</v>
      </c>
      <c r="F11" s="9"/>
      <c r="G11" s="9"/>
      <c r="H11" s="10">
        <v>3.5499999999999997E-2</v>
      </c>
      <c r="J11" s="10">
        <v>3.5499999999999997E-2</v>
      </c>
      <c r="K11" s="13">
        <v>4.36E-2</v>
      </c>
      <c r="L11" s="10">
        <v>3.5499999999999997E-2</v>
      </c>
      <c r="M11" s="196">
        <v>3.0099999999999998E-2</v>
      </c>
    </row>
    <row r="13" spans="1:15" s="1" customFormat="1" ht="18.75" customHeight="1">
      <c r="G13" s="272" t="s">
        <v>242</v>
      </c>
      <c r="H13" s="272"/>
      <c r="I13" s="15" t="str">
        <f>销量!D6</f>
        <v>驾驶员座椅总成</v>
      </c>
    </row>
    <row r="14" spans="1:15" ht="39" customHeight="1">
      <c r="A14" s="273" t="s">
        <v>243</v>
      </c>
      <c r="B14" s="273"/>
      <c r="C14" s="274" t="str">
        <f>C2</f>
        <v>河北工厂平均值</v>
      </c>
      <c r="D14" s="275"/>
      <c r="E14" s="275"/>
      <c r="F14" s="275"/>
      <c r="G14" s="275"/>
      <c r="H14" s="276"/>
      <c r="I14" s="3" t="s">
        <v>244</v>
      </c>
    </row>
    <row r="15" spans="1:15" ht="34.5" customHeight="1">
      <c r="A15" s="273"/>
      <c r="B15" s="273"/>
      <c r="C15" s="4" t="s">
        <v>245</v>
      </c>
      <c r="D15" s="4" t="s">
        <v>246</v>
      </c>
      <c r="E15" s="4" t="s">
        <v>247</v>
      </c>
      <c r="F15" s="5" t="s">
        <v>248</v>
      </c>
      <c r="G15" s="5" t="s">
        <v>249</v>
      </c>
      <c r="H15" s="5" t="s">
        <v>250</v>
      </c>
      <c r="I15" s="14">
        <f>销量!D8</f>
        <v>1830.9734513274338</v>
      </c>
    </row>
    <row r="16" spans="1:15" ht="24" customHeight="1">
      <c r="A16" s="277" t="s">
        <v>251</v>
      </c>
      <c r="B16" s="277"/>
      <c r="C16" s="7"/>
      <c r="D16" s="8"/>
      <c r="E16" s="9">
        <f>$I$15*H16</f>
        <v>127.06955752212392</v>
      </c>
      <c r="F16" s="9"/>
      <c r="G16" s="9"/>
      <c r="H16" s="10">
        <f t="shared" ref="H16:H23" si="2">H4</f>
        <v>6.9400000000000003E-2</v>
      </c>
    </row>
    <row r="17" spans="1:9" ht="24" customHeight="1">
      <c r="A17" s="277" t="s">
        <v>252</v>
      </c>
      <c r="B17" s="6" t="s">
        <v>253</v>
      </c>
      <c r="C17" s="7"/>
      <c r="D17" s="8"/>
      <c r="E17" s="9">
        <f t="shared" ref="E17:E23" si="3">$I$15*H17</f>
        <v>151.05530973451329</v>
      </c>
      <c r="F17" s="9"/>
      <c r="G17" s="9"/>
      <c r="H17" s="10">
        <f t="shared" si="2"/>
        <v>8.2500000000000004E-2</v>
      </c>
    </row>
    <row r="18" spans="1:9" ht="24" customHeight="1">
      <c r="A18" s="277"/>
      <c r="B18" s="6" t="s">
        <v>254</v>
      </c>
      <c r="C18" s="7"/>
      <c r="D18" s="8"/>
      <c r="E18" s="9">
        <f t="shared" si="3"/>
        <v>79.464247787610631</v>
      </c>
      <c r="F18" s="9"/>
      <c r="G18" s="9"/>
      <c r="H18" s="10">
        <f t="shared" si="2"/>
        <v>4.3400000000000001E-2</v>
      </c>
    </row>
    <row r="19" spans="1:9" ht="24" customHeight="1">
      <c r="A19" s="274" t="s">
        <v>255</v>
      </c>
      <c r="B19" s="276"/>
      <c r="C19" s="11"/>
      <c r="D19" s="12"/>
      <c r="E19" s="9">
        <f t="shared" si="3"/>
        <v>357.58911504424782</v>
      </c>
      <c r="F19" s="9"/>
      <c r="G19" s="9"/>
      <c r="H19" s="13">
        <f t="shared" si="2"/>
        <v>0.1953</v>
      </c>
    </row>
    <row r="20" spans="1:9" ht="24" customHeight="1">
      <c r="A20" s="277" t="s">
        <v>81</v>
      </c>
      <c r="B20" s="277"/>
      <c r="C20" s="7"/>
      <c r="D20" s="8"/>
      <c r="E20" s="9">
        <f t="shared" si="3"/>
        <v>48.337699115044252</v>
      </c>
      <c r="F20" s="9"/>
      <c r="G20" s="9"/>
      <c r="H20" s="10">
        <f t="shared" si="2"/>
        <v>2.64E-2</v>
      </c>
    </row>
    <row r="21" spans="1:9" ht="24" customHeight="1">
      <c r="A21" s="278" t="s">
        <v>256</v>
      </c>
      <c r="B21" s="6" t="s">
        <v>253</v>
      </c>
      <c r="C21" s="7"/>
      <c r="D21" s="8"/>
      <c r="E21" s="9">
        <f t="shared" si="3"/>
        <v>31.492743362831863</v>
      </c>
      <c r="F21" s="9"/>
      <c r="G21" s="9"/>
      <c r="H21" s="10">
        <f t="shared" si="2"/>
        <v>1.72E-2</v>
      </c>
    </row>
    <row r="22" spans="1:9" ht="24" customHeight="1">
      <c r="A22" s="279"/>
      <c r="B22" s="6" t="s">
        <v>254</v>
      </c>
      <c r="C22" s="7"/>
      <c r="D22" s="8"/>
      <c r="E22" s="9">
        <f t="shared" si="3"/>
        <v>119.19637168141595</v>
      </c>
      <c r="F22" s="9"/>
      <c r="G22" s="9"/>
      <c r="H22" s="10">
        <f t="shared" si="2"/>
        <v>6.5100000000000005E-2</v>
      </c>
    </row>
    <row r="23" spans="1:9" ht="24" customHeight="1">
      <c r="A23" s="277" t="s">
        <v>84</v>
      </c>
      <c r="B23" s="277"/>
      <c r="C23" s="7"/>
      <c r="D23" s="8"/>
      <c r="E23" s="9">
        <f t="shared" si="3"/>
        <v>64.999557522123894</v>
      </c>
      <c r="F23" s="9"/>
      <c r="G23" s="9"/>
      <c r="H23" s="10">
        <f t="shared" si="2"/>
        <v>3.5499999999999997E-2</v>
      </c>
    </row>
    <row r="26" spans="1:9" s="1" customFormat="1" ht="18.75" customHeight="1">
      <c r="G26" s="272" t="s">
        <v>242</v>
      </c>
      <c r="H26" s="272"/>
      <c r="I26" s="15" t="str">
        <f>销量!E6</f>
        <v>驾驶员座椅总成</v>
      </c>
    </row>
    <row r="27" spans="1:9" ht="39" customHeight="1">
      <c r="A27" s="273" t="s">
        <v>243</v>
      </c>
      <c r="B27" s="273"/>
      <c r="C27" s="274" t="str">
        <f>C2</f>
        <v>河北工厂平均值</v>
      </c>
      <c r="D27" s="275"/>
      <c r="E27" s="275"/>
      <c r="F27" s="275"/>
      <c r="G27" s="275"/>
      <c r="H27" s="276"/>
      <c r="I27" s="3" t="s">
        <v>244</v>
      </c>
    </row>
    <row r="28" spans="1:9" ht="34.5" customHeight="1">
      <c r="A28" s="273"/>
      <c r="B28" s="273"/>
      <c r="C28" s="4" t="s">
        <v>245</v>
      </c>
      <c r="D28" s="4" t="s">
        <v>246</v>
      </c>
      <c r="E28" s="4" t="s">
        <v>247</v>
      </c>
      <c r="F28" s="5" t="s">
        <v>248</v>
      </c>
      <c r="G28" s="5" t="s">
        <v>249</v>
      </c>
      <c r="H28" s="5" t="s">
        <v>250</v>
      </c>
      <c r="I28" s="14">
        <f>销量!E8</f>
        <v>1830.9734513274338</v>
      </c>
    </row>
    <row r="29" spans="1:9" ht="24" customHeight="1">
      <c r="A29" s="277" t="s">
        <v>251</v>
      </c>
      <c r="B29" s="277"/>
      <c r="C29" s="7"/>
      <c r="D29" s="8"/>
      <c r="E29" s="9">
        <f>$I$28*H29</f>
        <v>127.06955752212392</v>
      </c>
      <c r="F29" s="9"/>
      <c r="G29" s="9"/>
      <c r="H29" s="10">
        <f t="shared" ref="H29:H36" si="4">H4</f>
        <v>6.9400000000000003E-2</v>
      </c>
    </row>
    <row r="30" spans="1:9" ht="24" customHeight="1">
      <c r="A30" s="277" t="s">
        <v>252</v>
      </c>
      <c r="B30" s="6" t="s">
        <v>253</v>
      </c>
      <c r="C30" s="7"/>
      <c r="D30" s="8"/>
      <c r="E30" s="9">
        <f t="shared" ref="E30:E36" si="5">$I$28*H30</f>
        <v>151.05530973451329</v>
      </c>
      <c r="F30" s="9"/>
      <c r="G30" s="9"/>
      <c r="H30" s="10">
        <f t="shared" si="4"/>
        <v>8.2500000000000004E-2</v>
      </c>
    </row>
    <row r="31" spans="1:9" ht="24" customHeight="1">
      <c r="A31" s="277"/>
      <c r="B31" s="6" t="s">
        <v>254</v>
      </c>
      <c r="C31" s="7"/>
      <c r="D31" s="8"/>
      <c r="E31" s="9">
        <f t="shared" si="5"/>
        <v>79.464247787610631</v>
      </c>
      <c r="F31" s="9"/>
      <c r="G31" s="9"/>
      <c r="H31" s="10">
        <f t="shared" si="4"/>
        <v>4.3400000000000001E-2</v>
      </c>
    </row>
    <row r="32" spans="1:9" ht="24" customHeight="1">
      <c r="A32" s="274" t="s">
        <v>255</v>
      </c>
      <c r="B32" s="276"/>
      <c r="C32" s="11"/>
      <c r="D32" s="12"/>
      <c r="E32" s="9">
        <f t="shared" si="5"/>
        <v>357.58911504424782</v>
      </c>
      <c r="F32" s="9"/>
      <c r="G32" s="9"/>
      <c r="H32" s="13">
        <f t="shared" si="4"/>
        <v>0.1953</v>
      </c>
    </row>
    <row r="33" spans="1:9" ht="24" customHeight="1">
      <c r="A33" s="277" t="s">
        <v>81</v>
      </c>
      <c r="B33" s="277"/>
      <c r="C33" s="7"/>
      <c r="D33" s="8"/>
      <c r="E33" s="9">
        <f t="shared" si="5"/>
        <v>48.337699115044252</v>
      </c>
      <c r="F33" s="9"/>
      <c r="G33" s="9"/>
      <c r="H33" s="10">
        <f t="shared" si="4"/>
        <v>2.64E-2</v>
      </c>
    </row>
    <row r="34" spans="1:9" ht="24" customHeight="1">
      <c r="A34" s="278" t="s">
        <v>256</v>
      </c>
      <c r="B34" s="6" t="s">
        <v>253</v>
      </c>
      <c r="C34" s="7"/>
      <c r="D34" s="8"/>
      <c r="E34" s="9">
        <f t="shared" si="5"/>
        <v>31.492743362831863</v>
      </c>
      <c r="F34" s="9"/>
      <c r="G34" s="9"/>
      <c r="H34" s="10">
        <f t="shared" si="4"/>
        <v>1.72E-2</v>
      </c>
    </row>
    <row r="35" spans="1:9" ht="24" customHeight="1">
      <c r="A35" s="279"/>
      <c r="B35" s="6" t="s">
        <v>254</v>
      </c>
      <c r="C35" s="7"/>
      <c r="D35" s="8"/>
      <c r="E35" s="9">
        <f t="shared" si="5"/>
        <v>119.19637168141595</v>
      </c>
      <c r="F35" s="9"/>
      <c r="G35" s="9"/>
      <c r="H35" s="10">
        <f t="shared" si="4"/>
        <v>6.5100000000000005E-2</v>
      </c>
    </row>
    <row r="36" spans="1:9" ht="24" customHeight="1">
      <c r="A36" s="277" t="s">
        <v>84</v>
      </c>
      <c r="B36" s="277"/>
      <c r="C36" s="7"/>
      <c r="D36" s="8"/>
      <c r="E36" s="9">
        <f t="shared" si="5"/>
        <v>64.999557522123894</v>
      </c>
      <c r="F36" s="9"/>
      <c r="G36" s="9"/>
      <c r="H36" s="10">
        <f t="shared" si="4"/>
        <v>3.5499999999999997E-2</v>
      </c>
    </row>
    <row r="39" spans="1:9" s="1" customFormat="1" ht="18.75" customHeight="1">
      <c r="G39" s="272" t="s">
        <v>242</v>
      </c>
      <c r="H39" s="272"/>
      <c r="I39" s="15" t="str">
        <f>销量!F6</f>
        <v>驾驶员座椅总成</v>
      </c>
    </row>
    <row r="40" spans="1:9" ht="39" customHeight="1">
      <c r="A40" s="273" t="s">
        <v>243</v>
      </c>
      <c r="B40" s="273"/>
      <c r="C40" s="274" t="str">
        <f>C2</f>
        <v>河北工厂平均值</v>
      </c>
      <c r="D40" s="275"/>
      <c r="E40" s="275"/>
      <c r="F40" s="275"/>
      <c r="G40" s="275"/>
      <c r="H40" s="276"/>
      <c r="I40" s="3" t="s">
        <v>244</v>
      </c>
    </row>
    <row r="41" spans="1:9" ht="34.5" customHeight="1">
      <c r="A41" s="273"/>
      <c r="B41" s="273"/>
      <c r="C41" s="4" t="s">
        <v>245</v>
      </c>
      <c r="D41" s="4" t="s">
        <v>246</v>
      </c>
      <c r="E41" s="4" t="s">
        <v>247</v>
      </c>
      <c r="F41" s="5" t="s">
        <v>248</v>
      </c>
      <c r="G41" s="5" t="s">
        <v>249</v>
      </c>
      <c r="H41" s="5" t="s">
        <v>250</v>
      </c>
      <c r="I41" s="14">
        <f>销量!F8</f>
        <v>2295.5752212389384</v>
      </c>
    </row>
    <row r="42" spans="1:9" ht="24" customHeight="1">
      <c r="A42" s="277" t="s">
        <v>251</v>
      </c>
      <c r="B42" s="277"/>
      <c r="C42" s="7"/>
      <c r="D42" s="8"/>
      <c r="E42" s="9">
        <f>$I$41*H42</f>
        <v>159.31292035398232</v>
      </c>
      <c r="F42" s="9"/>
      <c r="G42" s="9"/>
      <c r="H42" s="10">
        <f t="shared" ref="H42:H49" si="6">H4</f>
        <v>6.9400000000000003E-2</v>
      </c>
    </row>
    <row r="43" spans="1:9" ht="24" customHeight="1">
      <c r="A43" s="277" t="s">
        <v>252</v>
      </c>
      <c r="B43" s="6" t="s">
        <v>253</v>
      </c>
      <c r="C43" s="7"/>
      <c r="D43" s="8"/>
      <c r="E43" s="9">
        <f t="shared" ref="E43:E49" si="7">$I$41*H43</f>
        <v>189.38495575221242</v>
      </c>
      <c r="F43" s="9"/>
      <c r="G43" s="9"/>
      <c r="H43" s="10">
        <f t="shared" si="6"/>
        <v>8.2500000000000004E-2</v>
      </c>
    </row>
    <row r="44" spans="1:9" ht="24" customHeight="1">
      <c r="A44" s="277"/>
      <c r="B44" s="6" t="s">
        <v>254</v>
      </c>
      <c r="C44" s="7"/>
      <c r="D44" s="8"/>
      <c r="E44" s="9">
        <f t="shared" si="7"/>
        <v>99.627964601769932</v>
      </c>
      <c r="F44" s="9"/>
      <c r="G44" s="9"/>
      <c r="H44" s="10">
        <f t="shared" si="6"/>
        <v>4.3400000000000001E-2</v>
      </c>
    </row>
    <row r="45" spans="1:9" ht="24" customHeight="1">
      <c r="A45" s="274" t="s">
        <v>255</v>
      </c>
      <c r="B45" s="276"/>
      <c r="C45" s="11"/>
      <c r="D45" s="12"/>
      <c r="E45" s="9">
        <f t="shared" si="7"/>
        <v>448.32584070796469</v>
      </c>
      <c r="F45" s="9"/>
      <c r="G45" s="9"/>
      <c r="H45" s="13">
        <f t="shared" si="6"/>
        <v>0.1953</v>
      </c>
    </row>
    <row r="46" spans="1:9" ht="24" customHeight="1">
      <c r="A46" s="277" t="s">
        <v>81</v>
      </c>
      <c r="B46" s="277"/>
      <c r="C46" s="7"/>
      <c r="D46" s="8"/>
      <c r="E46" s="9">
        <f t="shared" si="7"/>
        <v>60.603185840707972</v>
      </c>
      <c r="F46" s="9"/>
      <c r="G46" s="9"/>
      <c r="H46" s="10">
        <f t="shared" si="6"/>
        <v>2.64E-2</v>
      </c>
    </row>
    <row r="47" spans="1:9" ht="24" customHeight="1">
      <c r="A47" s="278" t="s">
        <v>256</v>
      </c>
      <c r="B47" s="6" t="s">
        <v>253</v>
      </c>
      <c r="C47" s="7"/>
      <c r="D47" s="8"/>
      <c r="E47" s="9">
        <f t="shared" si="7"/>
        <v>39.483893805309741</v>
      </c>
      <c r="F47" s="9"/>
      <c r="G47" s="9"/>
      <c r="H47" s="10">
        <f t="shared" si="6"/>
        <v>1.72E-2</v>
      </c>
    </row>
    <row r="48" spans="1:9" ht="24" customHeight="1">
      <c r="A48" s="279"/>
      <c r="B48" s="6" t="s">
        <v>254</v>
      </c>
      <c r="C48" s="7"/>
      <c r="D48" s="8"/>
      <c r="E48" s="9">
        <f t="shared" si="7"/>
        <v>149.44194690265491</v>
      </c>
      <c r="F48" s="9"/>
      <c r="G48" s="9"/>
      <c r="H48" s="10">
        <f t="shared" si="6"/>
        <v>6.5100000000000005E-2</v>
      </c>
    </row>
    <row r="49" spans="1:9" ht="24" customHeight="1">
      <c r="A49" s="277" t="s">
        <v>84</v>
      </c>
      <c r="B49" s="277"/>
      <c r="C49" s="7"/>
      <c r="D49" s="8"/>
      <c r="E49" s="9">
        <f t="shared" si="7"/>
        <v>81.492920353982299</v>
      </c>
      <c r="F49" s="9"/>
      <c r="G49" s="9"/>
      <c r="H49" s="10">
        <f t="shared" si="6"/>
        <v>3.5499999999999997E-2</v>
      </c>
    </row>
    <row r="52" spans="1:9" s="1" customFormat="1" ht="18.75" customHeight="1">
      <c r="G52" s="272" t="s">
        <v>242</v>
      </c>
      <c r="H52" s="272"/>
      <c r="I52" s="15" t="str">
        <f>销量!G6</f>
        <v>驾驶员座椅总成</v>
      </c>
    </row>
    <row r="53" spans="1:9" ht="39" customHeight="1">
      <c r="A53" s="273" t="s">
        <v>243</v>
      </c>
      <c r="B53" s="273"/>
      <c r="C53" s="274" t="str">
        <f>C2</f>
        <v>河北工厂平均值</v>
      </c>
      <c r="D53" s="275"/>
      <c r="E53" s="275"/>
      <c r="F53" s="275"/>
      <c r="G53" s="275"/>
      <c r="H53" s="276"/>
      <c r="I53" s="3" t="s">
        <v>244</v>
      </c>
    </row>
    <row r="54" spans="1:9" ht="34.5" customHeight="1">
      <c r="A54" s="273"/>
      <c r="B54" s="273"/>
      <c r="C54" s="4" t="s">
        <v>245</v>
      </c>
      <c r="D54" s="4" t="s">
        <v>246</v>
      </c>
      <c r="E54" s="4" t="s">
        <v>247</v>
      </c>
      <c r="F54" s="5" t="s">
        <v>248</v>
      </c>
      <c r="G54" s="5" t="s">
        <v>249</v>
      </c>
      <c r="H54" s="5" t="s">
        <v>250</v>
      </c>
      <c r="I54" s="14">
        <f>销量!G8</f>
        <v>2295.5752212389384</v>
      </c>
    </row>
    <row r="55" spans="1:9" ht="24" customHeight="1">
      <c r="A55" s="277" t="s">
        <v>251</v>
      </c>
      <c r="B55" s="277"/>
      <c r="C55" s="7"/>
      <c r="D55" s="8"/>
      <c r="E55" s="9">
        <f>$I$54*H55</f>
        <v>159.31292035398232</v>
      </c>
      <c r="F55" s="9"/>
      <c r="G55" s="9"/>
      <c r="H55" s="10">
        <f t="shared" ref="H55:H62" si="8">H4</f>
        <v>6.9400000000000003E-2</v>
      </c>
    </row>
    <row r="56" spans="1:9" ht="24" customHeight="1">
      <c r="A56" s="277" t="s">
        <v>252</v>
      </c>
      <c r="B56" s="6" t="s">
        <v>253</v>
      </c>
      <c r="C56" s="7"/>
      <c r="D56" s="8"/>
      <c r="E56" s="9">
        <f t="shared" ref="E56:E62" si="9">$I$54*H56</f>
        <v>189.38495575221242</v>
      </c>
      <c r="F56" s="9"/>
      <c r="G56" s="9"/>
      <c r="H56" s="10">
        <f t="shared" si="8"/>
        <v>8.2500000000000004E-2</v>
      </c>
    </row>
    <row r="57" spans="1:9" ht="24" customHeight="1">
      <c r="A57" s="277"/>
      <c r="B57" s="6" t="s">
        <v>254</v>
      </c>
      <c r="C57" s="7"/>
      <c r="D57" s="8"/>
      <c r="E57" s="9">
        <f t="shared" si="9"/>
        <v>99.627964601769932</v>
      </c>
      <c r="F57" s="9"/>
      <c r="G57" s="9"/>
      <c r="H57" s="10">
        <f t="shared" si="8"/>
        <v>4.3400000000000001E-2</v>
      </c>
    </row>
    <row r="58" spans="1:9" ht="24" customHeight="1">
      <c r="A58" s="274" t="s">
        <v>255</v>
      </c>
      <c r="B58" s="276"/>
      <c r="C58" s="11"/>
      <c r="D58" s="12"/>
      <c r="E58" s="9">
        <f t="shared" si="9"/>
        <v>448.32584070796469</v>
      </c>
      <c r="F58" s="9"/>
      <c r="G58" s="9"/>
      <c r="H58" s="13">
        <f t="shared" si="8"/>
        <v>0.1953</v>
      </c>
    </row>
    <row r="59" spans="1:9" ht="24" customHeight="1">
      <c r="A59" s="277" t="s">
        <v>81</v>
      </c>
      <c r="B59" s="277"/>
      <c r="C59" s="7"/>
      <c r="D59" s="8"/>
      <c r="E59" s="9">
        <f t="shared" si="9"/>
        <v>60.603185840707972</v>
      </c>
      <c r="F59" s="9"/>
      <c r="G59" s="9"/>
      <c r="H59" s="10">
        <f t="shared" si="8"/>
        <v>2.64E-2</v>
      </c>
    </row>
    <row r="60" spans="1:9" ht="24" customHeight="1">
      <c r="A60" s="278" t="s">
        <v>256</v>
      </c>
      <c r="B60" s="6" t="s">
        <v>253</v>
      </c>
      <c r="C60" s="7"/>
      <c r="D60" s="8"/>
      <c r="E60" s="9">
        <f t="shared" si="9"/>
        <v>39.483893805309741</v>
      </c>
      <c r="F60" s="9"/>
      <c r="G60" s="9"/>
      <c r="H60" s="10">
        <f t="shared" si="8"/>
        <v>1.72E-2</v>
      </c>
    </row>
    <row r="61" spans="1:9" ht="24" customHeight="1">
      <c r="A61" s="279"/>
      <c r="B61" s="6" t="s">
        <v>254</v>
      </c>
      <c r="C61" s="7"/>
      <c r="D61" s="8"/>
      <c r="E61" s="9">
        <f t="shared" si="9"/>
        <v>149.44194690265491</v>
      </c>
      <c r="F61" s="9"/>
      <c r="G61" s="9"/>
      <c r="H61" s="10">
        <f t="shared" si="8"/>
        <v>6.5100000000000005E-2</v>
      </c>
    </row>
    <row r="62" spans="1:9" ht="24" customHeight="1">
      <c r="A62" s="277" t="s">
        <v>84</v>
      </c>
      <c r="B62" s="277"/>
      <c r="C62" s="7"/>
      <c r="D62" s="8"/>
      <c r="E62" s="9">
        <f t="shared" si="9"/>
        <v>81.492920353982299</v>
      </c>
      <c r="F62" s="9"/>
      <c r="G62" s="9"/>
      <c r="H62" s="10">
        <f t="shared" si="8"/>
        <v>3.5499999999999997E-2</v>
      </c>
    </row>
    <row r="65" spans="1:9" ht="16.5">
      <c r="A65" s="1"/>
      <c r="B65" s="1"/>
      <c r="C65" s="1"/>
      <c r="D65" s="1"/>
      <c r="E65" s="1"/>
      <c r="F65" s="1"/>
      <c r="G65" s="272" t="s">
        <v>242</v>
      </c>
      <c r="H65" s="272"/>
      <c r="I65" s="15" t="str">
        <f>销量!H6</f>
        <v>驾驶员座椅总成</v>
      </c>
    </row>
    <row r="66" spans="1:9">
      <c r="A66" s="273" t="s">
        <v>243</v>
      </c>
      <c r="B66" s="273"/>
      <c r="C66" s="274" t="str">
        <f t="shared" ref="C66" si="10">$C$2</f>
        <v>河北工厂平均值</v>
      </c>
      <c r="D66" s="275"/>
      <c r="E66" s="275"/>
      <c r="F66" s="275"/>
      <c r="G66" s="275"/>
      <c r="H66" s="276"/>
      <c r="I66" s="3" t="s">
        <v>244</v>
      </c>
    </row>
    <row r="67" spans="1:9" ht="27">
      <c r="A67" s="273"/>
      <c r="B67" s="273"/>
      <c r="C67" s="4" t="s">
        <v>245</v>
      </c>
      <c r="D67" s="4" t="s">
        <v>246</v>
      </c>
      <c r="E67" s="4" t="s">
        <v>247</v>
      </c>
      <c r="F67" s="5" t="s">
        <v>248</v>
      </c>
      <c r="G67" s="5" t="s">
        <v>249</v>
      </c>
      <c r="H67" s="5" t="s">
        <v>250</v>
      </c>
      <c r="I67" s="14">
        <f>销量!H8</f>
        <v>1830.9734513274338</v>
      </c>
    </row>
    <row r="68" spans="1:9">
      <c r="A68" s="277" t="s">
        <v>251</v>
      </c>
      <c r="B68" s="277"/>
      <c r="C68" s="7"/>
      <c r="D68" s="8"/>
      <c r="E68" s="9">
        <f>$I$67*H68</f>
        <v>127.06955752212392</v>
      </c>
      <c r="F68" s="9"/>
      <c r="G68" s="9"/>
      <c r="H68" s="10">
        <f t="shared" ref="H68:H75" si="11">H55</f>
        <v>6.9400000000000003E-2</v>
      </c>
    </row>
    <row r="69" spans="1:9">
      <c r="A69" s="277" t="s">
        <v>252</v>
      </c>
      <c r="B69" s="194" t="s">
        <v>253</v>
      </c>
      <c r="C69" s="7"/>
      <c r="D69" s="8"/>
      <c r="E69" s="9">
        <f t="shared" ref="E69:E75" si="12">$I$67*H69</f>
        <v>151.05530973451329</v>
      </c>
      <c r="F69" s="9"/>
      <c r="G69" s="9"/>
      <c r="H69" s="10">
        <f t="shared" si="11"/>
        <v>8.2500000000000004E-2</v>
      </c>
    </row>
    <row r="70" spans="1:9">
      <c r="A70" s="277"/>
      <c r="B70" s="194" t="s">
        <v>254</v>
      </c>
      <c r="C70" s="7"/>
      <c r="D70" s="8"/>
      <c r="E70" s="9">
        <f t="shared" si="12"/>
        <v>79.464247787610631</v>
      </c>
      <c r="F70" s="9"/>
      <c r="G70" s="9"/>
      <c r="H70" s="10">
        <f t="shared" si="11"/>
        <v>4.3400000000000001E-2</v>
      </c>
    </row>
    <row r="71" spans="1:9">
      <c r="A71" s="274" t="s">
        <v>255</v>
      </c>
      <c r="B71" s="276"/>
      <c r="C71" s="11"/>
      <c r="D71" s="12"/>
      <c r="E71" s="9">
        <f t="shared" si="12"/>
        <v>357.58911504424782</v>
      </c>
      <c r="F71" s="9"/>
      <c r="G71" s="9"/>
      <c r="H71" s="13">
        <f t="shared" si="11"/>
        <v>0.1953</v>
      </c>
    </row>
    <row r="72" spans="1:9">
      <c r="A72" s="277" t="s">
        <v>81</v>
      </c>
      <c r="B72" s="277"/>
      <c r="C72" s="7"/>
      <c r="D72" s="8"/>
      <c r="E72" s="9">
        <f t="shared" si="12"/>
        <v>48.337699115044252</v>
      </c>
      <c r="F72" s="9"/>
      <c r="G72" s="9"/>
      <c r="H72" s="10">
        <f t="shared" si="11"/>
        <v>2.64E-2</v>
      </c>
    </row>
    <row r="73" spans="1:9">
      <c r="A73" s="278" t="s">
        <v>256</v>
      </c>
      <c r="B73" s="194" t="s">
        <v>253</v>
      </c>
      <c r="C73" s="7"/>
      <c r="D73" s="8"/>
      <c r="E73" s="9">
        <f t="shared" si="12"/>
        <v>31.492743362831863</v>
      </c>
      <c r="F73" s="9"/>
      <c r="G73" s="9"/>
      <c r="H73" s="10">
        <f t="shared" si="11"/>
        <v>1.72E-2</v>
      </c>
    </row>
    <row r="74" spans="1:9">
      <c r="A74" s="279"/>
      <c r="B74" s="194" t="s">
        <v>254</v>
      </c>
      <c r="C74" s="7"/>
      <c r="D74" s="8"/>
      <c r="E74" s="9">
        <f t="shared" si="12"/>
        <v>119.19637168141595</v>
      </c>
      <c r="F74" s="9"/>
      <c r="G74" s="9"/>
      <c r="H74" s="10">
        <f t="shared" si="11"/>
        <v>6.5100000000000005E-2</v>
      </c>
    </row>
    <row r="75" spans="1:9">
      <c r="A75" s="277" t="s">
        <v>84</v>
      </c>
      <c r="B75" s="277"/>
      <c r="C75" s="7"/>
      <c r="D75" s="8"/>
      <c r="E75" s="9">
        <f t="shared" si="12"/>
        <v>64.999557522123894</v>
      </c>
      <c r="F75" s="9"/>
      <c r="G75" s="9"/>
      <c r="H75" s="10">
        <f t="shared" si="11"/>
        <v>3.5499999999999997E-2</v>
      </c>
    </row>
    <row r="78" spans="1:9" ht="16.5">
      <c r="A78" s="1"/>
      <c r="B78" s="1"/>
      <c r="C78" s="1"/>
      <c r="D78" s="1"/>
      <c r="E78" s="1"/>
      <c r="F78" s="1"/>
      <c r="G78" s="272" t="s">
        <v>242</v>
      </c>
      <c r="H78" s="272"/>
      <c r="I78" s="15" t="str">
        <f>销量!I6</f>
        <v>驾驶员座椅总成</v>
      </c>
    </row>
    <row r="79" spans="1:9">
      <c r="A79" s="273" t="s">
        <v>243</v>
      </c>
      <c r="B79" s="273"/>
      <c r="C79" s="274" t="str">
        <f t="shared" ref="C79" si="13">$C$2</f>
        <v>河北工厂平均值</v>
      </c>
      <c r="D79" s="275"/>
      <c r="E79" s="275"/>
      <c r="F79" s="275"/>
      <c r="G79" s="275"/>
      <c r="H79" s="276"/>
      <c r="I79" s="3" t="s">
        <v>244</v>
      </c>
    </row>
    <row r="80" spans="1:9" ht="27">
      <c r="A80" s="273"/>
      <c r="B80" s="273"/>
      <c r="C80" s="4" t="s">
        <v>245</v>
      </c>
      <c r="D80" s="4" t="s">
        <v>246</v>
      </c>
      <c r="E80" s="4" t="s">
        <v>247</v>
      </c>
      <c r="F80" s="5" t="s">
        <v>248</v>
      </c>
      <c r="G80" s="5" t="s">
        <v>249</v>
      </c>
      <c r="H80" s="5" t="s">
        <v>250</v>
      </c>
      <c r="I80" s="14">
        <f>销量!I8</f>
        <v>1830.9734513274338</v>
      </c>
    </row>
    <row r="81" spans="1:9">
      <c r="A81" s="277" t="s">
        <v>251</v>
      </c>
      <c r="B81" s="277"/>
      <c r="C81" s="7"/>
      <c r="D81" s="8"/>
      <c r="E81" s="9">
        <f>$I$80*H81</f>
        <v>127.06955752212392</v>
      </c>
      <c r="F81" s="9"/>
      <c r="G81" s="9"/>
      <c r="H81" s="10">
        <f t="shared" ref="H81:H88" si="14">H68</f>
        <v>6.9400000000000003E-2</v>
      </c>
    </row>
    <row r="82" spans="1:9">
      <c r="A82" s="277" t="s">
        <v>252</v>
      </c>
      <c r="B82" s="194" t="s">
        <v>253</v>
      </c>
      <c r="C82" s="7"/>
      <c r="D82" s="8"/>
      <c r="E82" s="9">
        <f t="shared" ref="E82:E88" si="15">$I$80*H82</f>
        <v>151.05530973451329</v>
      </c>
      <c r="F82" s="9"/>
      <c r="G82" s="9"/>
      <c r="H82" s="10">
        <f t="shared" si="14"/>
        <v>8.2500000000000004E-2</v>
      </c>
    </row>
    <row r="83" spans="1:9">
      <c r="A83" s="277"/>
      <c r="B83" s="194" t="s">
        <v>254</v>
      </c>
      <c r="C83" s="7"/>
      <c r="D83" s="8"/>
      <c r="E83" s="9">
        <f t="shared" si="15"/>
        <v>79.464247787610631</v>
      </c>
      <c r="F83" s="9"/>
      <c r="G83" s="9"/>
      <c r="H83" s="10">
        <f t="shared" si="14"/>
        <v>4.3400000000000001E-2</v>
      </c>
    </row>
    <row r="84" spans="1:9">
      <c r="A84" s="274" t="s">
        <v>255</v>
      </c>
      <c r="B84" s="276"/>
      <c r="C84" s="11"/>
      <c r="D84" s="12"/>
      <c r="E84" s="9">
        <f t="shared" si="15"/>
        <v>357.58911504424782</v>
      </c>
      <c r="F84" s="9"/>
      <c r="G84" s="9"/>
      <c r="H84" s="13">
        <f t="shared" si="14"/>
        <v>0.1953</v>
      </c>
    </row>
    <row r="85" spans="1:9">
      <c r="A85" s="277" t="s">
        <v>81</v>
      </c>
      <c r="B85" s="277"/>
      <c r="C85" s="7"/>
      <c r="D85" s="8"/>
      <c r="E85" s="9">
        <f t="shared" si="15"/>
        <v>48.337699115044252</v>
      </c>
      <c r="F85" s="9"/>
      <c r="G85" s="9"/>
      <c r="H85" s="10">
        <f t="shared" si="14"/>
        <v>2.64E-2</v>
      </c>
    </row>
    <row r="86" spans="1:9">
      <c r="A86" s="278" t="s">
        <v>256</v>
      </c>
      <c r="B86" s="194" t="s">
        <v>253</v>
      </c>
      <c r="C86" s="7"/>
      <c r="D86" s="8"/>
      <c r="E86" s="9">
        <f t="shared" si="15"/>
        <v>31.492743362831863</v>
      </c>
      <c r="F86" s="9"/>
      <c r="G86" s="9"/>
      <c r="H86" s="10">
        <f t="shared" si="14"/>
        <v>1.72E-2</v>
      </c>
    </row>
    <row r="87" spans="1:9">
      <c r="A87" s="279"/>
      <c r="B87" s="194" t="s">
        <v>254</v>
      </c>
      <c r="C87" s="7"/>
      <c r="D87" s="8"/>
      <c r="E87" s="9">
        <f t="shared" si="15"/>
        <v>119.19637168141595</v>
      </c>
      <c r="F87" s="9"/>
      <c r="G87" s="9"/>
      <c r="H87" s="10">
        <f t="shared" si="14"/>
        <v>6.5100000000000005E-2</v>
      </c>
    </row>
    <row r="88" spans="1:9">
      <c r="A88" s="277" t="s">
        <v>84</v>
      </c>
      <c r="B88" s="277"/>
      <c r="C88" s="7"/>
      <c r="D88" s="8"/>
      <c r="E88" s="9">
        <f t="shared" si="15"/>
        <v>64.999557522123894</v>
      </c>
      <c r="F88" s="9"/>
      <c r="G88" s="9"/>
      <c r="H88" s="10">
        <f t="shared" si="14"/>
        <v>3.5499999999999997E-2</v>
      </c>
    </row>
    <row r="91" spans="1:9" ht="16.5">
      <c r="A91" s="1"/>
      <c r="B91" s="1"/>
      <c r="C91" s="1"/>
      <c r="D91" s="1"/>
      <c r="E91" s="1"/>
      <c r="F91" s="1"/>
      <c r="G91" s="272" t="s">
        <v>242</v>
      </c>
      <c r="H91" s="272"/>
      <c r="I91" s="15" t="str">
        <f>销量!J6</f>
        <v>副驾驶员座椅总成</v>
      </c>
    </row>
    <row r="92" spans="1:9">
      <c r="A92" s="273" t="s">
        <v>243</v>
      </c>
      <c r="B92" s="273"/>
      <c r="C92" s="274" t="str">
        <f t="shared" ref="C92" si="16">$C$2</f>
        <v>河北工厂平均值</v>
      </c>
      <c r="D92" s="275"/>
      <c r="E92" s="275"/>
      <c r="F92" s="275"/>
      <c r="G92" s="275"/>
      <c r="H92" s="276"/>
      <c r="I92" s="3" t="s">
        <v>244</v>
      </c>
    </row>
    <row r="93" spans="1:9" ht="27">
      <c r="A93" s="273"/>
      <c r="B93" s="273"/>
      <c r="C93" s="4" t="s">
        <v>245</v>
      </c>
      <c r="D93" s="4" t="s">
        <v>246</v>
      </c>
      <c r="E93" s="4" t="s">
        <v>247</v>
      </c>
      <c r="F93" s="5" t="s">
        <v>248</v>
      </c>
      <c r="G93" s="5" t="s">
        <v>249</v>
      </c>
      <c r="H93" s="5" t="s">
        <v>250</v>
      </c>
      <c r="I93" s="14">
        <f>销量!J8</f>
        <v>1023.8938053097346</v>
      </c>
    </row>
    <row r="94" spans="1:9">
      <c r="A94" s="277" t="s">
        <v>251</v>
      </c>
      <c r="B94" s="277"/>
      <c r="C94" s="7"/>
      <c r="D94" s="8"/>
      <c r="E94" s="9">
        <f>$I$93*H94</f>
        <v>71.058230088495591</v>
      </c>
      <c r="F94" s="9"/>
      <c r="G94" s="9"/>
      <c r="H94" s="10">
        <f t="shared" ref="H94:H101" si="17">H81</f>
        <v>6.9400000000000003E-2</v>
      </c>
    </row>
    <row r="95" spans="1:9">
      <c r="A95" s="277" t="s">
        <v>252</v>
      </c>
      <c r="B95" s="194" t="s">
        <v>253</v>
      </c>
      <c r="C95" s="7"/>
      <c r="D95" s="8"/>
      <c r="E95" s="9">
        <f t="shared" ref="E95:E101" si="18">$I$93*H95</f>
        <v>84.471238938053105</v>
      </c>
      <c r="F95" s="9"/>
      <c r="G95" s="9"/>
      <c r="H95" s="10">
        <f t="shared" si="17"/>
        <v>8.2500000000000004E-2</v>
      </c>
    </row>
    <row r="96" spans="1:9">
      <c r="A96" s="277"/>
      <c r="B96" s="194" t="s">
        <v>254</v>
      </c>
      <c r="C96" s="7"/>
      <c r="D96" s="8"/>
      <c r="E96" s="9">
        <f t="shared" si="18"/>
        <v>44.436991150442481</v>
      </c>
      <c r="F96" s="9"/>
      <c r="G96" s="9"/>
      <c r="H96" s="10">
        <f t="shared" si="17"/>
        <v>4.3400000000000001E-2</v>
      </c>
    </row>
    <row r="97" spans="1:9">
      <c r="A97" s="274" t="s">
        <v>255</v>
      </c>
      <c r="B97" s="276"/>
      <c r="C97" s="11"/>
      <c r="D97" s="12"/>
      <c r="E97" s="9">
        <f t="shared" si="18"/>
        <v>199.96646017699118</v>
      </c>
      <c r="F97" s="9"/>
      <c r="G97" s="9"/>
      <c r="H97" s="13">
        <f t="shared" si="17"/>
        <v>0.1953</v>
      </c>
    </row>
    <row r="98" spans="1:9">
      <c r="A98" s="277" t="s">
        <v>81</v>
      </c>
      <c r="B98" s="277"/>
      <c r="C98" s="7"/>
      <c r="D98" s="8"/>
      <c r="E98" s="9">
        <f t="shared" si="18"/>
        <v>27.030796460176994</v>
      </c>
      <c r="F98" s="9"/>
      <c r="G98" s="9"/>
      <c r="H98" s="10">
        <f t="shared" si="17"/>
        <v>2.64E-2</v>
      </c>
    </row>
    <row r="99" spans="1:9">
      <c r="A99" s="278" t="s">
        <v>256</v>
      </c>
      <c r="B99" s="194" t="s">
        <v>253</v>
      </c>
      <c r="C99" s="7"/>
      <c r="D99" s="8"/>
      <c r="E99" s="9">
        <f t="shared" si="18"/>
        <v>17.610973451327435</v>
      </c>
      <c r="F99" s="9"/>
      <c r="G99" s="9"/>
      <c r="H99" s="10">
        <f t="shared" si="17"/>
        <v>1.72E-2</v>
      </c>
    </row>
    <row r="100" spans="1:9">
      <c r="A100" s="279"/>
      <c r="B100" s="194" t="s">
        <v>254</v>
      </c>
      <c r="C100" s="7"/>
      <c r="D100" s="8"/>
      <c r="E100" s="9">
        <f t="shared" si="18"/>
        <v>66.655486725663721</v>
      </c>
      <c r="F100" s="9"/>
      <c r="G100" s="9"/>
      <c r="H100" s="10">
        <f t="shared" si="17"/>
        <v>6.5100000000000005E-2</v>
      </c>
    </row>
    <row r="101" spans="1:9">
      <c r="A101" s="277" t="s">
        <v>84</v>
      </c>
      <c r="B101" s="277"/>
      <c r="C101" s="7"/>
      <c r="D101" s="8"/>
      <c r="E101" s="9">
        <f t="shared" si="18"/>
        <v>36.348230088495576</v>
      </c>
      <c r="F101" s="9"/>
      <c r="G101" s="9"/>
      <c r="H101" s="10">
        <f t="shared" si="17"/>
        <v>3.5499999999999997E-2</v>
      </c>
    </row>
    <row r="104" spans="1:9" ht="16.5">
      <c r="A104" s="1"/>
      <c r="B104" s="1"/>
      <c r="C104" s="1"/>
      <c r="D104" s="1"/>
      <c r="E104" s="1"/>
      <c r="F104" s="1"/>
      <c r="G104" s="272" t="s">
        <v>242</v>
      </c>
      <c r="H104" s="272"/>
      <c r="I104" s="15" t="str">
        <f>销量!K6</f>
        <v>副驾驶员座椅总成</v>
      </c>
    </row>
    <row r="105" spans="1:9">
      <c r="A105" s="273" t="s">
        <v>243</v>
      </c>
      <c r="B105" s="273"/>
      <c r="C105" s="274" t="str">
        <f t="shared" ref="C105" si="19">$C$2</f>
        <v>河北工厂平均值</v>
      </c>
      <c r="D105" s="275"/>
      <c r="E105" s="275"/>
      <c r="F105" s="275"/>
      <c r="G105" s="275"/>
      <c r="H105" s="276"/>
      <c r="I105" s="3" t="s">
        <v>244</v>
      </c>
    </row>
    <row r="106" spans="1:9" ht="27">
      <c r="A106" s="273"/>
      <c r="B106" s="273"/>
      <c r="C106" s="4" t="s">
        <v>245</v>
      </c>
      <c r="D106" s="4" t="s">
        <v>246</v>
      </c>
      <c r="E106" s="4" t="s">
        <v>247</v>
      </c>
      <c r="F106" s="5" t="s">
        <v>248</v>
      </c>
      <c r="G106" s="5" t="s">
        <v>249</v>
      </c>
      <c r="H106" s="5" t="s">
        <v>250</v>
      </c>
      <c r="I106" s="14">
        <f>销量!K8</f>
        <v>706.19469026548677</v>
      </c>
    </row>
    <row r="107" spans="1:9">
      <c r="A107" s="277" t="s">
        <v>251</v>
      </c>
      <c r="B107" s="277"/>
      <c r="C107" s="7"/>
      <c r="D107" s="8"/>
      <c r="E107" s="9">
        <f>$I$106*H107</f>
        <v>49.009911504424785</v>
      </c>
      <c r="F107" s="9"/>
      <c r="G107" s="9"/>
      <c r="H107" s="10">
        <f t="shared" ref="H107:H114" si="20">H94</f>
        <v>6.9400000000000003E-2</v>
      </c>
    </row>
    <row r="108" spans="1:9">
      <c r="A108" s="277" t="s">
        <v>252</v>
      </c>
      <c r="B108" s="194" t="s">
        <v>253</v>
      </c>
      <c r="C108" s="7"/>
      <c r="D108" s="8"/>
      <c r="E108" s="9">
        <f t="shared" ref="E108:E114" si="21">$I$106*H108</f>
        <v>58.261061946902664</v>
      </c>
      <c r="F108" s="9"/>
      <c r="G108" s="9"/>
      <c r="H108" s="10">
        <f t="shared" si="20"/>
        <v>8.2500000000000004E-2</v>
      </c>
    </row>
    <row r="109" spans="1:9">
      <c r="A109" s="277"/>
      <c r="B109" s="194" t="s">
        <v>254</v>
      </c>
      <c r="C109" s="7"/>
      <c r="D109" s="8"/>
      <c r="E109" s="9">
        <f t="shared" si="21"/>
        <v>30.648849557522126</v>
      </c>
      <c r="F109" s="9"/>
      <c r="G109" s="9"/>
      <c r="H109" s="10">
        <f t="shared" si="20"/>
        <v>4.3400000000000001E-2</v>
      </c>
    </row>
    <row r="110" spans="1:9">
      <c r="A110" s="274" t="s">
        <v>255</v>
      </c>
      <c r="B110" s="276"/>
      <c r="C110" s="11"/>
      <c r="D110" s="12"/>
      <c r="E110" s="9">
        <f t="shared" si="21"/>
        <v>137.91982300884956</v>
      </c>
      <c r="F110" s="9"/>
      <c r="G110" s="9"/>
      <c r="H110" s="13">
        <f t="shared" si="20"/>
        <v>0.1953</v>
      </c>
    </row>
    <row r="111" spans="1:9">
      <c r="A111" s="277" t="s">
        <v>81</v>
      </c>
      <c r="B111" s="277"/>
      <c r="C111" s="7"/>
      <c r="D111" s="8"/>
      <c r="E111" s="9">
        <f t="shared" si="21"/>
        <v>18.643539823008851</v>
      </c>
      <c r="F111" s="9"/>
      <c r="G111" s="9"/>
      <c r="H111" s="10">
        <f t="shared" si="20"/>
        <v>2.64E-2</v>
      </c>
    </row>
    <row r="112" spans="1:9">
      <c r="A112" s="278" t="s">
        <v>256</v>
      </c>
      <c r="B112" s="194" t="s">
        <v>253</v>
      </c>
      <c r="C112" s="7"/>
      <c r="D112" s="8"/>
      <c r="E112" s="9">
        <f t="shared" si="21"/>
        <v>12.146548672566372</v>
      </c>
      <c r="F112" s="9"/>
      <c r="G112" s="9"/>
      <c r="H112" s="10">
        <f t="shared" si="20"/>
        <v>1.72E-2</v>
      </c>
    </row>
    <row r="113" spans="1:9">
      <c r="A113" s="279"/>
      <c r="B113" s="194" t="s">
        <v>254</v>
      </c>
      <c r="C113" s="7"/>
      <c r="D113" s="8"/>
      <c r="E113" s="9">
        <f t="shared" si="21"/>
        <v>45.97327433628319</v>
      </c>
      <c r="F113" s="9"/>
      <c r="G113" s="9"/>
      <c r="H113" s="10">
        <f t="shared" si="20"/>
        <v>6.5100000000000005E-2</v>
      </c>
    </row>
    <row r="114" spans="1:9">
      <c r="A114" s="277" t="s">
        <v>84</v>
      </c>
      <c r="B114" s="277"/>
      <c r="C114" s="7"/>
      <c r="D114" s="8"/>
      <c r="E114" s="9">
        <f t="shared" si="21"/>
        <v>25.069911504424777</v>
      </c>
      <c r="F114" s="9"/>
      <c r="G114" s="9"/>
      <c r="H114" s="10">
        <f t="shared" si="20"/>
        <v>3.5499999999999997E-2</v>
      </c>
    </row>
    <row r="117" spans="1:9" ht="16.5">
      <c r="A117" s="1"/>
      <c r="B117" s="1"/>
      <c r="C117" s="1"/>
      <c r="D117" s="1"/>
      <c r="E117" s="1"/>
      <c r="F117" s="1"/>
      <c r="G117" s="272" t="s">
        <v>242</v>
      </c>
      <c r="H117" s="272"/>
      <c r="I117" s="15" t="str">
        <f>销量!L6</f>
        <v>副驾驶员座椅总成</v>
      </c>
    </row>
    <row r="118" spans="1:9">
      <c r="A118" s="273" t="s">
        <v>243</v>
      </c>
      <c r="B118" s="273"/>
      <c r="C118" s="274" t="str">
        <f t="shared" ref="C118" si="22">$C$2</f>
        <v>河北工厂平均值</v>
      </c>
      <c r="D118" s="275"/>
      <c r="E118" s="275"/>
      <c r="F118" s="275"/>
      <c r="G118" s="275"/>
      <c r="H118" s="276"/>
      <c r="I118" s="3" t="s">
        <v>244</v>
      </c>
    </row>
    <row r="119" spans="1:9" ht="27">
      <c r="A119" s="273"/>
      <c r="B119" s="273"/>
      <c r="C119" s="4" t="s">
        <v>245</v>
      </c>
      <c r="D119" s="4" t="s">
        <v>246</v>
      </c>
      <c r="E119" s="4" t="s">
        <v>247</v>
      </c>
      <c r="F119" s="5" t="s">
        <v>248</v>
      </c>
      <c r="G119" s="5" t="s">
        <v>249</v>
      </c>
      <c r="H119" s="5" t="s">
        <v>250</v>
      </c>
      <c r="I119" s="14">
        <f>销量!L8</f>
        <v>584.07079646017701</v>
      </c>
    </row>
    <row r="120" spans="1:9">
      <c r="A120" s="277" t="s">
        <v>251</v>
      </c>
      <c r="B120" s="277"/>
      <c r="C120" s="7"/>
      <c r="D120" s="8"/>
      <c r="E120" s="9">
        <f>$I$119*H120</f>
        <v>40.534513274336284</v>
      </c>
      <c r="F120" s="9"/>
      <c r="G120" s="9"/>
      <c r="H120" s="10">
        <f t="shared" ref="H120:H127" si="23">H107</f>
        <v>6.9400000000000003E-2</v>
      </c>
    </row>
    <row r="121" spans="1:9">
      <c r="A121" s="277" t="s">
        <v>252</v>
      </c>
      <c r="B121" s="194" t="s">
        <v>253</v>
      </c>
      <c r="C121" s="7"/>
      <c r="D121" s="8"/>
      <c r="E121" s="9">
        <f t="shared" ref="E121:E127" si="24">$I$119*H121</f>
        <v>48.185840707964608</v>
      </c>
      <c r="F121" s="9"/>
      <c r="G121" s="9"/>
      <c r="H121" s="10">
        <f t="shared" si="23"/>
        <v>8.2500000000000004E-2</v>
      </c>
    </row>
    <row r="122" spans="1:9">
      <c r="A122" s="277"/>
      <c r="B122" s="194" t="s">
        <v>254</v>
      </c>
      <c r="C122" s="7"/>
      <c r="D122" s="8"/>
      <c r="E122" s="9">
        <f t="shared" si="24"/>
        <v>25.348672566371683</v>
      </c>
      <c r="F122" s="9"/>
      <c r="G122" s="9"/>
      <c r="H122" s="10">
        <f t="shared" si="23"/>
        <v>4.3400000000000001E-2</v>
      </c>
    </row>
    <row r="123" spans="1:9">
      <c r="A123" s="274" t="s">
        <v>255</v>
      </c>
      <c r="B123" s="276"/>
      <c r="C123" s="11"/>
      <c r="D123" s="12"/>
      <c r="E123" s="9">
        <f t="shared" si="24"/>
        <v>114.06902654867257</v>
      </c>
      <c r="F123" s="9"/>
      <c r="G123" s="9"/>
      <c r="H123" s="13">
        <f t="shared" si="23"/>
        <v>0.1953</v>
      </c>
    </row>
    <row r="124" spans="1:9">
      <c r="A124" s="277" t="s">
        <v>81</v>
      </c>
      <c r="B124" s="277"/>
      <c r="C124" s="7"/>
      <c r="D124" s="8"/>
      <c r="E124" s="9">
        <f t="shared" si="24"/>
        <v>15.419469026548672</v>
      </c>
      <c r="F124" s="9"/>
      <c r="G124" s="9"/>
      <c r="H124" s="10">
        <f t="shared" si="23"/>
        <v>2.64E-2</v>
      </c>
    </row>
    <row r="125" spans="1:9">
      <c r="A125" s="278" t="s">
        <v>256</v>
      </c>
      <c r="B125" s="194" t="s">
        <v>253</v>
      </c>
      <c r="C125" s="7"/>
      <c r="D125" s="8"/>
      <c r="E125" s="9">
        <f t="shared" si="24"/>
        <v>10.046017699115044</v>
      </c>
      <c r="F125" s="9"/>
      <c r="G125" s="9"/>
      <c r="H125" s="10">
        <f t="shared" si="23"/>
        <v>1.72E-2</v>
      </c>
    </row>
    <row r="126" spans="1:9">
      <c r="A126" s="279"/>
      <c r="B126" s="194" t="s">
        <v>254</v>
      </c>
      <c r="C126" s="7"/>
      <c r="D126" s="8"/>
      <c r="E126" s="9">
        <f t="shared" si="24"/>
        <v>38.023008849557527</v>
      </c>
      <c r="F126" s="9"/>
      <c r="G126" s="9"/>
      <c r="H126" s="10">
        <f t="shared" si="23"/>
        <v>6.5100000000000005E-2</v>
      </c>
    </row>
    <row r="127" spans="1:9">
      <c r="A127" s="277" t="s">
        <v>84</v>
      </c>
      <c r="B127" s="277"/>
      <c r="C127" s="7"/>
      <c r="D127" s="8"/>
      <c r="E127" s="9">
        <f t="shared" si="24"/>
        <v>20.734513274336283</v>
      </c>
      <c r="F127" s="9"/>
      <c r="G127" s="9"/>
      <c r="H127" s="10">
        <f t="shared" si="23"/>
        <v>3.5499999999999997E-2</v>
      </c>
    </row>
    <row r="130" spans="1:9" ht="16.5">
      <c r="A130" s="1"/>
      <c r="B130" s="1"/>
      <c r="C130" s="1"/>
      <c r="D130" s="1"/>
      <c r="E130" s="1"/>
      <c r="F130" s="1"/>
      <c r="G130" s="272" t="s">
        <v>242</v>
      </c>
      <c r="H130" s="272"/>
      <c r="I130" s="15" t="str">
        <f>销量!M6</f>
        <v>副驾驶员座椅总成</v>
      </c>
    </row>
    <row r="131" spans="1:9">
      <c r="A131" s="273" t="s">
        <v>243</v>
      </c>
      <c r="B131" s="273"/>
      <c r="C131" s="274" t="str">
        <f t="shared" ref="C131" si="25">$C$2</f>
        <v>河北工厂平均值</v>
      </c>
      <c r="D131" s="275"/>
      <c r="E131" s="275"/>
      <c r="F131" s="275"/>
      <c r="G131" s="275"/>
      <c r="H131" s="276"/>
      <c r="I131" s="3" t="s">
        <v>244</v>
      </c>
    </row>
    <row r="132" spans="1:9" ht="27">
      <c r="A132" s="273"/>
      <c r="B132" s="273"/>
      <c r="C132" s="4" t="s">
        <v>245</v>
      </c>
      <c r="D132" s="4" t="s">
        <v>246</v>
      </c>
      <c r="E132" s="4" t="s">
        <v>247</v>
      </c>
      <c r="F132" s="5" t="s">
        <v>248</v>
      </c>
      <c r="G132" s="5" t="s">
        <v>249</v>
      </c>
      <c r="H132" s="5" t="s">
        <v>250</v>
      </c>
      <c r="I132" s="14">
        <f>销量!M8</f>
        <v>584.07079646017701</v>
      </c>
    </row>
    <row r="133" spans="1:9">
      <c r="A133" s="277" t="s">
        <v>251</v>
      </c>
      <c r="B133" s="277"/>
      <c r="C133" s="7"/>
      <c r="D133" s="8"/>
      <c r="E133" s="9">
        <f>$I$132*H133</f>
        <v>40.534513274336284</v>
      </c>
      <c r="F133" s="9"/>
      <c r="G133" s="9"/>
      <c r="H133" s="10">
        <f t="shared" ref="H133:H140" si="26">H120</f>
        <v>6.9400000000000003E-2</v>
      </c>
    </row>
    <row r="134" spans="1:9">
      <c r="A134" s="277" t="s">
        <v>252</v>
      </c>
      <c r="B134" s="194" t="s">
        <v>253</v>
      </c>
      <c r="C134" s="7"/>
      <c r="D134" s="8"/>
      <c r="E134" s="9">
        <f t="shared" ref="E134:E140" si="27">$I$132*H134</f>
        <v>48.185840707964608</v>
      </c>
      <c r="F134" s="9"/>
      <c r="G134" s="9"/>
      <c r="H134" s="10">
        <f t="shared" si="26"/>
        <v>8.2500000000000004E-2</v>
      </c>
    </row>
    <row r="135" spans="1:9">
      <c r="A135" s="277"/>
      <c r="B135" s="194" t="s">
        <v>254</v>
      </c>
      <c r="C135" s="7"/>
      <c r="D135" s="8"/>
      <c r="E135" s="9">
        <f t="shared" si="27"/>
        <v>25.348672566371683</v>
      </c>
      <c r="F135" s="9"/>
      <c r="G135" s="9"/>
      <c r="H135" s="10">
        <f t="shared" si="26"/>
        <v>4.3400000000000001E-2</v>
      </c>
    </row>
    <row r="136" spans="1:9">
      <c r="A136" s="274" t="s">
        <v>255</v>
      </c>
      <c r="B136" s="276"/>
      <c r="C136" s="11"/>
      <c r="D136" s="12"/>
      <c r="E136" s="9">
        <f t="shared" si="27"/>
        <v>114.06902654867257</v>
      </c>
      <c r="F136" s="9"/>
      <c r="G136" s="9"/>
      <c r="H136" s="13">
        <f t="shared" si="26"/>
        <v>0.1953</v>
      </c>
    </row>
    <row r="137" spans="1:9">
      <c r="A137" s="277" t="s">
        <v>81</v>
      </c>
      <c r="B137" s="277"/>
      <c r="C137" s="7"/>
      <c r="D137" s="8"/>
      <c r="E137" s="9">
        <f t="shared" si="27"/>
        <v>15.419469026548672</v>
      </c>
      <c r="F137" s="9"/>
      <c r="G137" s="9"/>
      <c r="H137" s="10">
        <f t="shared" si="26"/>
        <v>2.64E-2</v>
      </c>
    </row>
    <row r="138" spans="1:9">
      <c r="A138" s="278" t="s">
        <v>256</v>
      </c>
      <c r="B138" s="194" t="s">
        <v>253</v>
      </c>
      <c r="C138" s="7"/>
      <c r="D138" s="8"/>
      <c r="E138" s="9">
        <f t="shared" si="27"/>
        <v>10.046017699115044</v>
      </c>
      <c r="F138" s="9"/>
      <c r="G138" s="9"/>
      <c r="H138" s="10">
        <f t="shared" si="26"/>
        <v>1.72E-2</v>
      </c>
    </row>
    <row r="139" spans="1:9">
      <c r="A139" s="279"/>
      <c r="B139" s="194" t="s">
        <v>254</v>
      </c>
      <c r="C139" s="7"/>
      <c r="D139" s="8"/>
      <c r="E139" s="9">
        <f t="shared" si="27"/>
        <v>38.023008849557527</v>
      </c>
      <c r="F139" s="9"/>
      <c r="G139" s="9"/>
      <c r="H139" s="10">
        <f t="shared" si="26"/>
        <v>6.5100000000000005E-2</v>
      </c>
    </row>
    <row r="140" spans="1:9">
      <c r="A140" s="277" t="s">
        <v>84</v>
      </c>
      <c r="B140" s="277"/>
      <c r="C140" s="7"/>
      <c r="D140" s="8"/>
      <c r="E140" s="9">
        <f t="shared" si="27"/>
        <v>20.734513274336283</v>
      </c>
      <c r="F140" s="9"/>
      <c r="G140" s="9"/>
      <c r="H140" s="10">
        <f t="shared" si="26"/>
        <v>3.5499999999999997E-2</v>
      </c>
    </row>
    <row r="143" spans="1:9" ht="16.5">
      <c r="A143" s="1"/>
      <c r="B143" s="1"/>
      <c r="C143" s="1"/>
      <c r="D143" s="1"/>
      <c r="E143" s="1"/>
      <c r="F143" s="1"/>
      <c r="G143" s="272" t="s">
        <v>242</v>
      </c>
      <c r="H143" s="272"/>
      <c r="I143" s="15" t="str">
        <f>销量!N6</f>
        <v>副驾驶员座椅总成</v>
      </c>
    </row>
    <row r="144" spans="1:9">
      <c r="A144" s="273" t="s">
        <v>243</v>
      </c>
      <c r="B144" s="273"/>
      <c r="C144" s="274" t="str">
        <f t="shared" ref="C144" si="28">$C$2</f>
        <v>河北工厂平均值</v>
      </c>
      <c r="D144" s="275"/>
      <c r="E144" s="275"/>
      <c r="F144" s="275"/>
      <c r="G144" s="275"/>
      <c r="H144" s="276"/>
      <c r="I144" s="3" t="s">
        <v>244</v>
      </c>
    </row>
    <row r="145" spans="1:9" ht="27">
      <c r="A145" s="273"/>
      <c r="B145" s="273"/>
      <c r="C145" s="4" t="s">
        <v>245</v>
      </c>
      <c r="D145" s="4" t="s">
        <v>246</v>
      </c>
      <c r="E145" s="4" t="s">
        <v>247</v>
      </c>
      <c r="F145" s="5" t="s">
        <v>248</v>
      </c>
      <c r="G145" s="5" t="s">
        <v>249</v>
      </c>
      <c r="H145" s="5" t="s">
        <v>250</v>
      </c>
      <c r="I145" s="14">
        <f>销量!N8</f>
        <v>584.07079646017701</v>
      </c>
    </row>
    <row r="146" spans="1:9">
      <c r="A146" s="277" t="s">
        <v>251</v>
      </c>
      <c r="B146" s="277"/>
      <c r="C146" s="7"/>
      <c r="D146" s="8"/>
      <c r="E146" s="9">
        <f>$I$145*H146</f>
        <v>40.534513274336284</v>
      </c>
      <c r="F146" s="9"/>
      <c r="G146" s="9"/>
      <c r="H146" s="10">
        <f t="shared" ref="H146:H153" si="29">H133</f>
        <v>6.9400000000000003E-2</v>
      </c>
    </row>
    <row r="147" spans="1:9">
      <c r="A147" s="277" t="s">
        <v>252</v>
      </c>
      <c r="B147" s="194" t="s">
        <v>253</v>
      </c>
      <c r="C147" s="7"/>
      <c r="D147" s="8"/>
      <c r="E147" s="9">
        <f t="shared" ref="E147:E153" si="30">$I$145*H147</f>
        <v>48.185840707964608</v>
      </c>
      <c r="F147" s="9"/>
      <c r="G147" s="9"/>
      <c r="H147" s="10">
        <f t="shared" si="29"/>
        <v>8.2500000000000004E-2</v>
      </c>
    </row>
    <row r="148" spans="1:9">
      <c r="A148" s="277"/>
      <c r="B148" s="194" t="s">
        <v>254</v>
      </c>
      <c r="C148" s="7"/>
      <c r="D148" s="8"/>
      <c r="E148" s="9">
        <f t="shared" si="30"/>
        <v>25.348672566371683</v>
      </c>
      <c r="F148" s="9"/>
      <c r="G148" s="9"/>
      <c r="H148" s="10">
        <f t="shared" si="29"/>
        <v>4.3400000000000001E-2</v>
      </c>
    </row>
    <row r="149" spans="1:9">
      <c r="A149" s="274" t="s">
        <v>255</v>
      </c>
      <c r="B149" s="276"/>
      <c r="C149" s="11"/>
      <c r="D149" s="12"/>
      <c r="E149" s="9">
        <f t="shared" si="30"/>
        <v>114.06902654867257</v>
      </c>
      <c r="F149" s="9"/>
      <c r="G149" s="9"/>
      <c r="H149" s="13">
        <f t="shared" si="29"/>
        <v>0.1953</v>
      </c>
    </row>
    <row r="150" spans="1:9">
      <c r="A150" s="277" t="s">
        <v>81</v>
      </c>
      <c r="B150" s="277"/>
      <c r="C150" s="7"/>
      <c r="D150" s="8"/>
      <c r="E150" s="9">
        <f t="shared" si="30"/>
        <v>15.419469026548672</v>
      </c>
      <c r="F150" s="9"/>
      <c r="G150" s="9"/>
      <c r="H150" s="10">
        <f t="shared" si="29"/>
        <v>2.64E-2</v>
      </c>
    </row>
    <row r="151" spans="1:9">
      <c r="A151" s="278" t="s">
        <v>256</v>
      </c>
      <c r="B151" s="194" t="s">
        <v>253</v>
      </c>
      <c r="C151" s="7"/>
      <c r="D151" s="8"/>
      <c r="E151" s="9">
        <f t="shared" si="30"/>
        <v>10.046017699115044</v>
      </c>
      <c r="F151" s="9"/>
      <c r="G151" s="9"/>
      <c r="H151" s="10">
        <f t="shared" si="29"/>
        <v>1.72E-2</v>
      </c>
    </row>
    <row r="152" spans="1:9">
      <c r="A152" s="279"/>
      <c r="B152" s="194" t="s">
        <v>254</v>
      </c>
      <c r="C152" s="7"/>
      <c r="D152" s="8"/>
      <c r="E152" s="9">
        <f t="shared" si="30"/>
        <v>38.023008849557527</v>
      </c>
      <c r="F152" s="9"/>
      <c r="G152" s="9"/>
      <c r="H152" s="10">
        <f t="shared" si="29"/>
        <v>6.5100000000000005E-2</v>
      </c>
    </row>
    <row r="153" spans="1:9">
      <c r="A153" s="277" t="s">
        <v>84</v>
      </c>
      <c r="B153" s="277"/>
      <c r="C153" s="7"/>
      <c r="D153" s="8"/>
      <c r="E153" s="9">
        <f t="shared" si="30"/>
        <v>20.734513274336283</v>
      </c>
      <c r="F153" s="9"/>
      <c r="G153" s="9"/>
      <c r="H153" s="10">
        <f t="shared" si="29"/>
        <v>3.5499999999999997E-2</v>
      </c>
    </row>
    <row r="156" spans="1:9" ht="16.5">
      <c r="A156" s="1"/>
      <c r="B156" s="1"/>
      <c r="C156" s="1"/>
      <c r="D156" s="1"/>
      <c r="E156" s="1"/>
      <c r="F156" s="1"/>
      <c r="G156" s="272" t="s">
        <v>242</v>
      </c>
      <c r="H156" s="272"/>
      <c r="I156" s="15" t="str">
        <f>销量!O6</f>
        <v>副驾驶员座椅总成</v>
      </c>
    </row>
    <row r="157" spans="1:9">
      <c r="A157" s="273" t="s">
        <v>243</v>
      </c>
      <c r="B157" s="273"/>
      <c r="C157" s="274" t="str">
        <f t="shared" ref="C157" si="31">$C$2</f>
        <v>河北工厂平均值</v>
      </c>
      <c r="D157" s="275"/>
      <c r="E157" s="275"/>
      <c r="F157" s="275"/>
      <c r="G157" s="275"/>
      <c r="H157" s="276"/>
      <c r="I157" s="3" t="s">
        <v>244</v>
      </c>
    </row>
    <row r="158" spans="1:9" ht="27">
      <c r="A158" s="273"/>
      <c r="B158" s="273"/>
      <c r="C158" s="4" t="s">
        <v>245</v>
      </c>
      <c r="D158" s="4" t="s">
        <v>246</v>
      </c>
      <c r="E158" s="4" t="s">
        <v>247</v>
      </c>
      <c r="F158" s="5" t="s">
        <v>248</v>
      </c>
      <c r="G158" s="5" t="s">
        <v>249</v>
      </c>
      <c r="H158" s="5" t="s">
        <v>250</v>
      </c>
      <c r="I158" s="14">
        <f>销量!O8</f>
        <v>584.07079646017701</v>
      </c>
    </row>
    <row r="159" spans="1:9">
      <c r="A159" s="277" t="s">
        <v>251</v>
      </c>
      <c r="B159" s="277"/>
      <c r="C159" s="7"/>
      <c r="D159" s="8"/>
      <c r="E159" s="9">
        <f>$I$158*H159</f>
        <v>40.534513274336284</v>
      </c>
      <c r="F159" s="9"/>
      <c r="G159" s="9"/>
      <c r="H159" s="10">
        <f t="shared" ref="H159:H166" si="32">H146</f>
        <v>6.9400000000000003E-2</v>
      </c>
    </row>
    <row r="160" spans="1:9">
      <c r="A160" s="277" t="s">
        <v>252</v>
      </c>
      <c r="B160" s="194" t="s">
        <v>253</v>
      </c>
      <c r="C160" s="7"/>
      <c r="D160" s="8"/>
      <c r="E160" s="9">
        <f t="shared" ref="E160:E166" si="33">$I$158*H160</f>
        <v>48.185840707964608</v>
      </c>
      <c r="F160" s="9"/>
      <c r="G160" s="9"/>
      <c r="H160" s="10">
        <f t="shared" si="32"/>
        <v>8.2500000000000004E-2</v>
      </c>
    </row>
    <row r="161" spans="1:9">
      <c r="A161" s="277"/>
      <c r="B161" s="194" t="s">
        <v>254</v>
      </c>
      <c r="C161" s="7"/>
      <c r="D161" s="8"/>
      <c r="E161" s="9">
        <f t="shared" si="33"/>
        <v>25.348672566371683</v>
      </c>
      <c r="F161" s="9"/>
      <c r="G161" s="9"/>
      <c r="H161" s="10">
        <f t="shared" si="32"/>
        <v>4.3400000000000001E-2</v>
      </c>
    </row>
    <row r="162" spans="1:9">
      <c r="A162" s="274" t="s">
        <v>255</v>
      </c>
      <c r="B162" s="276"/>
      <c r="C162" s="11"/>
      <c r="D162" s="12"/>
      <c r="E162" s="9">
        <f t="shared" si="33"/>
        <v>114.06902654867257</v>
      </c>
      <c r="F162" s="9"/>
      <c r="G162" s="9"/>
      <c r="H162" s="13">
        <f t="shared" si="32"/>
        <v>0.1953</v>
      </c>
    </row>
    <row r="163" spans="1:9">
      <c r="A163" s="277" t="s">
        <v>81</v>
      </c>
      <c r="B163" s="277"/>
      <c r="C163" s="7"/>
      <c r="D163" s="8"/>
      <c r="E163" s="9">
        <f t="shared" si="33"/>
        <v>15.419469026548672</v>
      </c>
      <c r="F163" s="9"/>
      <c r="G163" s="9"/>
      <c r="H163" s="10">
        <f t="shared" si="32"/>
        <v>2.64E-2</v>
      </c>
    </row>
    <row r="164" spans="1:9">
      <c r="A164" s="278" t="s">
        <v>256</v>
      </c>
      <c r="B164" s="194" t="s">
        <v>253</v>
      </c>
      <c r="C164" s="7"/>
      <c r="D164" s="8"/>
      <c r="E164" s="9">
        <f t="shared" si="33"/>
        <v>10.046017699115044</v>
      </c>
      <c r="F164" s="9"/>
      <c r="G164" s="9"/>
      <c r="H164" s="10">
        <f t="shared" si="32"/>
        <v>1.72E-2</v>
      </c>
    </row>
    <row r="165" spans="1:9">
      <c r="A165" s="279"/>
      <c r="B165" s="194" t="s">
        <v>254</v>
      </c>
      <c r="C165" s="7"/>
      <c r="D165" s="8"/>
      <c r="E165" s="9">
        <f t="shared" si="33"/>
        <v>38.023008849557527</v>
      </c>
      <c r="F165" s="9"/>
      <c r="G165" s="9"/>
      <c r="H165" s="10">
        <f t="shared" si="32"/>
        <v>6.5100000000000005E-2</v>
      </c>
    </row>
    <row r="166" spans="1:9">
      <c r="A166" s="277" t="s">
        <v>84</v>
      </c>
      <c r="B166" s="277"/>
      <c r="C166" s="7"/>
      <c r="D166" s="8"/>
      <c r="E166" s="9">
        <f t="shared" si="33"/>
        <v>20.734513274336283</v>
      </c>
      <c r="F166" s="9"/>
      <c r="G166" s="9"/>
      <c r="H166" s="10">
        <f t="shared" si="32"/>
        <v>3.5499999999999997E-2</v>
      </c>
    </row>
    <row r="169" spans="1:9" ht="16.5">
      <c r="A169" s="1"/>
      <c r="B169" s="1"/>
      <c r="C169" s="1"/>
      <c r="D169" s="1"/>
      <c r="E169" s="1"/>
      <c r="F169" s="1"/>
      <c r="G169" s="272" t="s">
        <v>242</v>
      </c>
      <c r="H169" s="272"/>
      <c r="I169" s="15" t="str">
        <f>销量!P6</f>
        <v>副驾驶员座椅总成</v>
      </c>
    </row>
    <row r="170" spans="1:9">
      <c r="A170" s="273" t="s">
        <v>243</v>
      </c>
      <c r="B170" s="273"/>
      <c r="C170" s="274" t="str">
        <f t="shared" ref="C170" si="34">$C$2</f>
        <v>河北工厂平均值</v>
      </c>
      <c r="D170" s="275"/>
      <c r="E170" s="275"/>
      <c r="F170" s="275"/>
      <c r="G170" s="275"/>
      <c r="H170" s="276"/>
      <c r="I170" s="3" t="s">
        <v>244</v>
      </c>
    </row>
    <row r="171" spans="1:9" ht="27">
      <c r="A171" s="273"/>
      <c r="B171" s="273"/>
      <c r="C171" s="4" t="s">
        <v>245</v>
      </c>
      <c r="D171" s="4" t="s">
        <v>246</v>
      </c>
      <c r="E171" s="4" t="s">
        <v>247</v>
      </c>
      <c r="F171" s="5" t="s">
        <v>248</v>
      </c>
      <c r="G171" s="5" t="s">
        <v>249</v>
      </c>
      <c r="H171" s="5" t="s">
        <v>250</v>
      </c>
      <c r="I171" s="14">
        <f>销量!P8</f>
        <v>584.07079646017701</v>
      </c>
    </row>
    <row r="172" spans="1:9">
      <c r="A172" s="277" t="s">
        <v>251</v>
      </c>
      <c r="B172" s="277"/>
      <c r="C172" s="7"/>
      <c r="D172" s="8"/>
      <c r="E172" s="9">
        <f>$I$171*H172</f>
        <v>40.534513274336284</v>
      </c>
      <c r="F172" s="9"/>
      <c r="G172" s="9"/>
      <c r="H172" s="10">
        <f t="shared" ref="H172:H179" si="35">H159</f>
        <v>6.9400000000000003E-2</v>
      </c>
    </row>
    <row r="173" spans="1:9">
      <c r="A173" s="277" t="s">
        <v>252</v>
      </c>
      <c r="B173" s="194" t="s">
        <v>253</v>
      </c>
      <c r="C173" s="7"/>
      <c r="D173" s="8"/>
      <c r="E173" s="9">
        <f t="shared" ref="E173:E179" si="36">$I$171*H173</f>
        <v>48.185840707964608</v>
      </c>
      <c r="F173" s="9"/>
      <c r="G173" s="9"/>
      <c r="H173" s="10">
        <f t="shared" si="35"/>
        <v>8.2500000000000004E-2</v>
      </c>
    </row>
    <row r="174" spans="1:9">
      <c r="A174" s="277"/>
      <c r="B174" s="194" t="s">
        <v>254</v>
      </c>
      <c r="C174" s="7"/>
      <c r="D174" s="8"/>
      <c r="E174" s="9">
        <f t="shared" si="36"/>
        <v>25.348672566371683</v>
      </c>
      <c r="F174" s="9"/>
      <c r="G174" s="9"/>
      <c r="H174" s="10">
        <f t="shared" si="35"/>
        <v>4.3400000000000001E-2</v>
      </c>
    </row>
    <row r="175" spans="1:9">
      <c r="A175" s="274" t="s">
        <v>255</v>
      </c>
      <c r="B175" s="276"/>
      <c r="C175" s="11"/>
      <c r="D175" s="12"/>
      <c r="E175" s="9">
        <f t="shared" si="36"/>
        <v>114.06902654867257</v>
      </c>
      <c r="F175" s="9"/>
      <c r="G175" s="9"/>
      <c r="H175" s="13">
        <f t="shared" si="35"/>
        <v>0.1953</v>
      </c>
    </row>
    <row r="176" spans="1:9">
      <c r="A176" s="277" t="s">
        <v>81</v>
      </c>
      <c r="B176" s="277"/>
      <c r="C176" s="7"/>
      <c r="D176" s="8"/>
      <c r="E176" s="9">
        <f t="shared" si="36"/>
        <v>15.419469026548672</v>
      </c>
      <c r="F176" s="9"/>
      <c r="G176" s="9"/>
      <c r="H176" s="10">
        <f t="shared" si="35"/>
        <v>2.64E-2</v>
      </c>
    </row>
    <row r="177" spans="1:9">
      <c r="A177" s="278" t="s">
        <v>256</v>
      </c>
      <c r="B177" s="194" t="s">
        <v>253</v>
      </c>
      <c r="C177" s="7"/>
      <c r="D177" s="8"/>
      <c r="E177" s="9">
        <f t="shared" si="36"/>
        <v>10.046017699115044</v>
      </c>
      <c r="F177" s="9"/>
      <c r="G177" s="9"/>
      <c r="H177" s="10">
        <f t="shared" si="35"/>
        <v>1.72E-2</v>
      </c>
    </row>
    <row r="178" spans="1:9">
      <c r="A178" s="279"/>
      <c r="B178" s="194" t="s">
        <v>254</v>
      </c>
      <c r="C178" s="7"/>
      <c r="D178" s="8"/>
      <c r="E178" s="9">
        <f t="shared" si="36"/>
        <v>38.023008849557527</v>
      </c>
      <c r="F178" s="9"/>
      <c r="G178" s="9"/>
      <c r="H178" s="10">
        <f t="shared" si="35"/>
        <v>6.5100000000000005E-2</v>
      </c>
    </row>
    <row r="179" spans="1:9">
      <c r="A179" s="277" t="s">
        <v>84</v>
      </c>
      <c r="B179" s="277"/>
      <c r="C179" s="7"/>
      <c r="D179" s="8"/>
      <c r="E179" s="9">
        <f t="shared" si="36"/>
        <v>20.734513274336283</v>
      </c>
      <c r="F179" s="9"/>
      <c r="G179" s="9"/>
      <c r="H179" s="10">
        <f t="shared" si="35"/>
        <v>3.5499999999999997E-2</v>
      </c>
    </row>
    <row r="182" spans="1:9" ht="16.5">
      <c r="A182" s="1"/>
      <c r="B182" s="1"/>
      <c r="C182" s="1"/>
      <c r="D182" s="1"/>
      <c r="E182" s="1"/>
      <c r="F182" s="1"/>
      <c r="G182" s="272" t="s">
        <v>242</v>
      </c>
      <c r="H182" s="272"/>
      <c r="I182" s="15" t="str">
        <f>销量!Q6</f>
        <v>驾驶员座椅总成</v>
      </c>
    </row>
    <row r="183" spans="1:9">
      <c r="A183" s="273" t="s">
        <v>243</v>
      </c>
      <c r="B183" s="273"/>
      <c r="C183" s="274" t="str">
        <f t="shared" ref="C183" si="37">$C$2</f>
        <v>河北工厂平均值</v>
      </c>
      <c r="D183" s="275"/>
      <c r="E183" s="275"/>
      <c r="F183" s="275"/>
      <c r="G183" s="275"/>
      <c r="H183" s="276"/>
      <c r="I183" s="3" t="s">
        <v>244</v>
      </c>
    </row>
    <row r="184" spans="1:9" ht="27">
      <c r="A184" s="273"/>
      <c r="B184" s="273"/>
      <c r="C184" s="4" t="s">
        <v>245</v>
      </c>
      <c r="D184" s="4" t="s">
        <v>246</v>
      </c>
      <c r="E184" s="4" t="s">
        <v>247</v>
      </c>
      <c r="F184" s="5" t="s">
        <v>248</v>
      </c>
      <c r="G184" s="5" t="s">
        <v>249</v>
      </c>
      <c r="H184" s="5" t="s">
        <v>250</v>
      </c>
      <c r="I184" s="14">
        <f>销量!Q8</f>
        <v>2295.5752212389384</v>
      </c>
    </row>
    <row r="185" spans="1:9">
      <c r="A185" s="277" t="s">
        <v>251</v>
      </c>
      <c r="B185" s="277"/>
      <c r="C185" s="7"/>
      <c r="D185" s="8"/>
      <c r="E185" s="9">
        <f>$I$184*H185</f>
        <v>159.31292035398232</v>
      </c>
      <c r="F185" s="9"/>
      <c r="G185" s="9"/>
      <c r="H185" s="10">
        <f t="shared" ref="H185:H192" si="38">H172</f>
        <v>6.9400000000000003E-2</v>
      </c>
    </row>
    <row r="186" spans="1:9">
      <c r="A186" s="277" t="s">
        <v>252</v>
      </c>
      <c r="B186" s="194" t="s">
        <v>253</v>
      </c>
      <c r="C186" s="7"/>
      <c r="D186" s="8"/>
      <c r="E186" s="9">
        <f t="shared" ref="E186:E192" si="39">$I$184*H186</f>
        <v>189.38495575221242</v>
      </c>
      <c r="F186" s="9"/>
      <c r="G186" s="9"/>
      <c r="H186" s="10">
        <f t="shared" si="38"/>
        <v>8.2500000000000004E-2</v>
      </c>
    </row>
    <row r="187" spans="1:9">
      <c r="A187" s="277"/>
      <c r="B187" s="194" t="s">
        <v>254</v>
      </c>
      <c r="C187" s="7"/>
      <c r="D187" s="8"/>
      <c r="E187" s="9">
        <f t="shared" si="39"/>
        <v>99.627964601769932</v>
      </c>
      <c r="F187" s="9"/>
      <c r="G187" s="9"/>
      <c r="H187" s="10">
        <f t="shared" si="38"/>
        <v>4.3400000000000001E-2</v>
      </c>
    </row>
    <row r="188" spans="1:9">
      <c r="A188" s="274" t="s">
        <v>255</v>
      </c>
      <c r="B188" s="276"/>
      <c r="C188" s="11"/>
      <c r="D188" s="12"/>
      <c r="E188" s="9">
        <f t="shared" si="39"/>
        <v>448.32584070796469</v>
      </c>
      <c r="F188" s="9"/>
      <c r="G188" s="9"/>
      <c r="H188" s="13">
        <f t="shared" si="38"/>
        <v>0.1953</v>
      </c>
    </row>
    <row r="189" spans="1:9">
      <c r="A189" s="277" t="s">
        <v>81</v>
      </c>
      <c r="B189" s="277"/>
      <c r="C189" s="7"/>
      <c r="D189" s="8"/>
      <c r="E189" s="9">
        <f t="shared" si="39"/>
        <v>60.603185840707972</v>
      </c>
      <c r="F189" s="9"/>
      <c r="G189" s="9"/>
      <c r="H189" s="10">
        <f t="shared" si="38"/>
        <v>2.64E-2</v>
      </c>
    </row>
    <row r="190" spans="1:9">
      <c r="A190" s="278" t="s">
        <v>256</v>
      </c>
      <c r="B190" s="194" t="s">
        <v>253</v>
      </c>
      <c r="C190" s="7"/>
      <c r="D190" s="8"/>
      <c r="E190" s="9">
        <f t="shared" si="39"/>
        <v>39.483893805309741</v>
      </c>
      <c r="F190" s="9"/>
      <c r="G190" s="9"/>
      <c r="H190" s="10">
        <f t="shared" si="38"/>
        <v>1.72E-2</v>
      </c>
    </row>
    <row r="191" spans="1:9">
      <c r="A191" s="279"/>
      <c r="B191" s="194" t="s">
        <v>254</v>
      </c>
      <c r="C191" s="7"/>
      <c r="D191" s="8"/>
      <c r="E191" s="9">
        <f t="shared" si="39"/>
        <v>149.44194690265491</v>
      </c>
      <c r="F191" s="9"/>
      <c r="G191" s="9"/>
      <c r="H191" s="10">
        <f t="shared" si="38"/>
        <v>6.5100000000000005E-2</v>
      </c>
    </row>
    <row r="192" spans="1:9">
      <c r="A192" s="277" t="s">
        <v>84</v>
      </c>
      <c r="B192" s="277"/>
      <c r="C192" s="7"/>
      <c r="D192" s="8"/>
      <c r="E192" s="9">
        <f t="shared" si="39"/>
        <v>81.492920353982299</v>
      </c>
      <c r="F192" s="9"/>
      <c r="G192" s="9"/>
      <c r="H192" s="10">
        <f t="shared" si="38"/>
        <v>3.5499999999999997E-2</v>
      </c>
    </row>
    <row r="195" spans="1:9" ht="16.5">
      <c r="A195" s="1"/>
      <c r="B195" s="1"/>
      <c r="C195" s="1"/>
      <c r="D195" s="1"/>
      <c r="E195" s="1"/>
      <c r="F195" s="1"/>
      <c r="G195" s="272" t="s">
        <v>242</v>
      </c>
      <c r="H195" s="272"/>
      <c r="I195" s="15" t="str">
        <f>销量!R6</f>
        <v>副驾驶员座椅总成</v>
      </c>
    </row>
    <row r="196" spans="1:9">
      <c r="A196" s="273" t="s">
        <v>243</v>
      </c>
      <c r="B196" s="273"/>
      <c r="C196" s="274" t="str">
        <f t="shared" ref="C196" si="40">$C$2</f>
        <v>河北工厂平均值</v>
      </c>
      <c r="D196" s="275"/>
      <c r="E196" s="275"/>
      <c r="F196" s="275"/>
      <c r="G196" s="275"/>
      <c r="H196" s="276"/>
      <c r="I196" s="3" t="s">
        <v>244</v>
      </c>
    </row>
    <row r="197" spans="1:9" ht="27">
      <c r="A197" s="273"/>
      <c r="B197" s="273"/>
      <c r="C197" s="4" t="s">
        <v>245</v>
      </c>
      <c r="D197" s="4" t="s">
        <v>246</v>
      </c>
      <c r="E197" s="4" t="s">
        <v>247</v>
      </c>
      <c r="F197" s="5" t="s">
        <v>248</v>
      </c>
      <c r="G197" s="5" t="s">
        <v>249</v>
      </c>
      <c r="H197" s="5" t="s">
        <v>250</v>
      </c>
      <c r="I197" s="14">
        <f>销量!R8</f>
        <v>1022.1238938053099</v>
      </c>
    </row>
    <row r="198" spans="1:9">
      <c r="A198" s="277" t="s">
        <v>251</v>
      </c>
      <c r="B198" s="277"/>
      <c r="C198" s="7"/>
      <c r="D198" s="8"/>
      <c r="E198" s="9">
        <f>$I$197*H198</f>
        <v>70.935398230088509</v>
      </c>
      <c r="F198" s="9"/>
      <c r="G198" s="9"/>
      <c r="H198" s="10">
        <f t="shared" ref="H198:H205" si="41">H185</f>
        <v>6.9400000000000003E-2</v>
      </c>
    </row>
    <row r="199" spans="1:9">
      <c r="A199" s="277" t="s">
        <v>252</v>
      </c>
      <c r="B199" s="194" t="s">
        <v>253</v>
      </c>
      <c r="C199" s="7"/>
      <c r="D199" s="8"/>
      <c r="E199" s="9">
        <f t="shared" ref="E199:E205" si="42">$I$197*H199</f>
        <v>84.32522123893807</v>
      </c>
      <c r="F199" s="9"/>
      <c r="G199" s="9"/>
      <c r="H199" s="10">
        <f t="shared" si="41"/>
        <v>8.2500000000000004E-2</v>
      </c>
    </row>
    <row r="200" spans="1:9">
      <c r="A200" s="277"/>
      <c r="B200" s="194" t="s">
        <v>254</v>
      </c>
      <c r="C200" s="7"/>
      <c r="D200" s="8"/>
      <c r="E200" s="9">
        <f t="shared" si="42"/>
        <v>44.360176991150446</v>
      </c>
      <c r="F200" s="9"/>
      <c r="G200" s="9"/>
      <c r="H200" s="10">
        <f t="shared" si="41"/>
        <v>4.3400000000000001E-2</v>
      </c>
    </row>
    <row r="201" spans="1:9">
      <c r="A201" s="274" t="s">
        <v>255</v>
      </c>
      <c r="B201" s="276"/>
      <c r="C201" s="11"/>
      <c r="D201" s="12"/>
      <c r="E201" s="9">
        <f t="shared" si="42"/>
        <v>199.62079646017702</v>
      </c>
      <c r="F201" s="9"/>
      <c r="G201" s="9"/>
      <c r="H201" s="13">
        <f t="shared" si="41"/>
        <v>0.1953</v>
      </c>
    </row>
    <row r="202" spans="1:9">
      <c r="A202" s="277" t="s">
        <v>81</v>
      </c>
      <c r="B202" s="277"/>
      <c r="C202" s="7"/>
      <c r="D202" s="8"/>
      <c r="E202" s="9">
        <f t="shared" si="42"/>
        <v>26.98407079646018</v>
      </c>
      <c r="F202" s="9"/>
      <c r="G202" s="9"/>
      <c r="H202" s="10">
        <f t="shared" si="41"/>
        <v>2.64E-2</v>
      </c>
    </row>
    <row r="203" spans="1:9">
      <c r="A203" s="278" t="s">
        <v>256</v>
      </c>
      <c r="B203" s="194" t="s">
        <v>253</v>
      </c>
      <c r="C203" s="7"/>
      <c r="D203" s="8"/>
      <c r="E203" s="9">
        <f t="shared" si="42"/>
        <v>17.580530973451332</v>
      </c>
      <c r="F203" s="9"/>
      <c r="G203" s="9"/>
      <c r="H203" s="10">
        <f t="shared" si="41"/>
        <v>1.72E-2</v>
      </c>
    </row>
    <row r="204" spans="1:9">
      <c r="A204" s="279"/>
      <c r="B204" s="194" t="s">
        <v>254</v>
      </c>
      <c r="C204" s="7"/>
      <c r="D204" s="8"/>
      <c r="E204" s="9">
        <f t="shared" si="42"/>
        <v>66.540265486725673</v>
      </c>
      <c r="F204" s="9"/>
      <c r="G204" s="9"/>
      <c r="H204" s="10">
        <f t="shared" si="41"/>
        <v>6.5100000000000005E-2</v>
      </c>
    </row>
    <row r="205" spans="1:9">
      <c r="A205" s="277" t="s">
        <v>84</v>
      </c>
      <c r="B205" s="277"/>
      <c r="C205" s="7"/>
      <c r="D205" s="8"/>
      <c r="E205" s="9">
        <f t="shared" si="42"/>
        <v>36.285398230088497</v>
      </c>
      <c r="F205" s="9"/>
      <c r="G205" s="9"/>
      <c r="H205" s="10">
        <f t="shared" si="41"/>
        <v>3.5499999999999997E-2</v>
      </c>
    </row>
    <row r="208" spans="1:9" ht="16.5">
      <c r="A208" s="1"/>
      <c r="B208" s="1"/>
      <c r="C208" s="1"/>
      <c r="D208" s="1"/>
      <c r="E208" s="1"/>
      <c r="F208" s="1"/>
      <c r="G208" s="272" t="s">
        <v>242</v>
      </c>
      <c r="H208" s="272"/>
      <c r="I208" s="15" t="str">
        <f>销量!S6</f>
        <v>副驾驶员座椅总成</v>
      </c>
    </row>
    <row r="209" spans="1:9">
      <c r="A209" s="273" t="s">
        <v>243</v>
      </c>
      <c r="B209" s="273"/>
      <c r="C209" s="274" t="str">
        <f t="shared" ref="C209" si="43">$C$2</f>
        <v>河北工厂平均值</v>
      </c>
      <c r="D209" s="275"/>
      <c r="E209" s="275"/>
      <c r="F209" s="275"/>
      <c r="G209" s="275"/>
      <c r="H209" s="276"/>
      <c r="I209" s="3" t="s">
        <v>244</v>
      </c>
    </row>
    <row r="210" spans="1:9" ht="27">
      <c r="A210" s="273"/>
      <c r="B210" s="273"/>
      <c r="C210" s="4" t="s">
        <v>245</v>
      </c>
      <c r="D210" s="4" t="s">
        <v>246</v>
      </c>
      <c r="E210" s="4" t="s">
        <v>247</v>
      </c>
      <c r="F210" s="5" t="s">
        <v>248</v>
      </c>
      <c r="G210" s="5" t="s">
        <v>249</v>
      </c>
      <c r="H210" s="5" t="s">
        <v>250</v>
      </c>
      <c r="I210" s="14">
        <f>销量!S8</f>
        <v>706.19469026548677</v>
      </c>
    </row>
    <row r="211" spans="1:9">
      <c r="A211" s="277" t="s">
        <v>251</v>
      </c>
      <c r="B211" s="277"/>
      <c r="C211" s="7"/>
      <c r="D211" s="8"/>
      <c r="E211" s="9">
        <f>$I$210*H211</f>
        <v>49.009911504424785</v>
      </c>
      <c r="F211" s="9"/>
      <c r="G211" s="9"/>
      <c r="H211" s="10">
        <f t="shared" ref="H211:H218" si="44">H198</f>
        <v>6.9400000000000003E-2</v>
      </c>
    </row>
    <row r="212" spans="1:9">
      <c r="A212" s="277" t="s">
        <v>252</v>
      </c>
      <c r="B212" s="208" t="s">
        <v>253</v>
      </c>
      <c r="C212" s="7"/>
      <c r="D212" s="8"/>
      <c r="E212" s="9">
        <f t="shared" ref="E212:E218" si="45">$I$210*H212</f>
        <v>58.261061946902664</v>
      </c>
      <c r="F212" s="9"/>
      <c r="G212" s="9"/>
      <c r="H212" s="10">
        <f t="shared" si="44"/>
        <v>8.2500000000000004E-2</v>
      </c>
    </row>
    <row r="213" spans="1:9">
      <c r="A213" s="277"/>
      <c r="B213" s="208" t="s">
        <v>254</v>
      </c>
      <c r="C213" s="7"/>
      <c r="D213" s="8"/>
      <c r="E213" s="9">
        <f t="shared" si="45"/>
        <v>30.648849557522126</v>
      </c>
      <c r="F213" s="9"/>
      <c r="G213" s="9"/>
      <c r="H213" s="10">
        <f t="shared" si="44"/>
        <v>4.3400000000000001E-2</v>
      </c>
    </row>
    <row r="214" spans="1:9">
      <c r="A214" s="274" t="s">
        <v>255</v>
      </c>
      <c r="B214" s="276"/>
      <c r="C214" s="11"/>
      <c r="D214" s="12"/>
      <c r="E214" s="9">
        <f t="shared" si="45"/>
        <v>137.91982300884956</v>
      </c>
      <c r="F214" s="9"/>
      <c r="G214" s="9"/>
      <c r="H214" s="13">
        <f t="shared" si="44"/>
        <v>0.1953</v>
      </c>
    </row>
    <row r="215" spans="1:9">
      <c r="A215" s="277" t="s">
        <v>81</v>
      </c>
      <c r="B215" s="277"/>
      <c r="C215" s="7"/>
      <c r="D215" s="8"/>
      <c r="E215" s="9">
        <f t="shared" si="45"/>
        <v>18.643539823008851</v>
      </c>
      <c r="F215" s="9"/>
      <c r="G215" s="9"/>
      <c r="H215" s="10">
        <f t="shared" si="44"/>
        <v>2.64E-2</v>
      </c>
    </row>
    <row r="216" spans="1:9">
      <c r="A216" s="278" t="s">
        <v>256</v>
      </c>
      <c r="B216" s="208" t="s">
        <v>253</v>
      </c>
      <c r="C216" s="7"/>
      <c r="D216" s="8"/>
      <c r="E216" s="9">
        <f t="shared" si="45"/>
        <v>12.146548672566372</v>
      </c>
      <c r="F216" s="9"/>
      <c r="G216" s="9"/>
      <c r="H216" s="10">
        <f t="shared" si="44"/>
        <v>1.72E-2</v>
      </c>
    </row>
    <row r="217" spans="1:9">
      <c r="A217" s="279"/>
      <c r="B217" s="208" t="s">
        <v>254</v>
      </c>
      <c r="C217" s="7"/>
      <c r="D217" s="8"/>
      <c r="E217" s="9">
        <f t="shared" si="45"/>
        <v>45.97327433628319</v>
      </c>
      <c r="F217" s="9"/>
      <c r="G217" s="9"/>
      <c r="H217" s="10">
        <f t="shared" si="44"/>
        <v>6.5100000000000005E-2</v>
      </c>
    </row>
    <row r="218" spans="1:9">
      <c r="A218" s="277" t="s">
        <v>84</v>
      </c>
      <c r="B218" s="277"/>
      <c r="C218" s="7"/>
      <c r="D218" s="8"/>
      <c r="E218" s="9">
        <f t="shared" si="45"/>
        <v>25.069911504424777</v>
      </c>
      <c r="F218" s="9"/>
      <c r="G218" s="9"/>
      <c r="H218" s="10">
        <f t="shared" si="44"/>
        <v>3.5499999999999997E-2</v>
      </c>
    </row>
  </sheetData>
  <mergeCells count="153">
    <mergeCell ref="A205:B205"/>
    <mergeCell ref="A198:B198"/>
    <mergeCell ref="A199:A200"/>
    <mergeCell ref="A201:B201"/>
    <mergeCell ref="A202:B202"/>
    <mergeCell ref="A203:A204"/>
    <mergeCell ref="A189:B189"/>
    <mergeCell ref="A190:A191"/>
    <mergeCell ref="A192:B192"/>
    <mergeCell ref="G195:H195"/>
    <mergeCell ref="A196:B197"/>
    <mergeCell ref="C196:H196"/>
    <mergeCell ref="A183:B184"/>
    <mergeCell ref="C183:H183"/>
    <mergeCell ref="A185:B185"/>
    <mergeCell ref="A186:A187"/>
    <mergeCell ref="A188:B188"/>
    <mergeCell ref="A175:B175"/>
    <mergeCell ref="A176:B176"/>
    <mergeCell ref="A177:A178"/>
    <mergeCell ref="A179:B179"/>
    <mergeCell ref="G182:H182"/>
    <mergeCell ref="G169:H169"/>
    <mergeCell ref="A170:B171"/>
    <mergeCell ref="C170:H170"/>
    <mergeCell ref="A172:B172"/>
    <mergeCell ref="A173:A174"/>
    <mergeCell ref="A160:A161"/>
    <mergeCell ref="A162:B162"/>
    <mergeCell ref="A163:B163"/>
    <mergeCell ref="A164:A165"/>
    <mergeCell ref="A166:B166"/>
    <mergeCell ref="A153:B153"/>
    <mergeCell ref="G156:H156"/>
    <mergeCell ref="A157:B158"/>
    <mergeCell ref="C157:H157"/>
    <mergeCell ref="A159:B159"/>
    <mergeCell ref="A146:B146"/>
    <mergeCell ref="A147:A148"/>
    <mergeCell ref="A149:B149"/>
    <mergeCell ref="A150:B150"/>
    <mergeCell ref="A151:A152"/>
    <mergeCell ref="A137:B137"/>
    <mergeCell ref="A138:A139"/>
    <mergeCell ref="A140:B140"/>
    <mergeCell ref="G143:H143"/>
    <mergeCell ref="A144:B145"/>
    <mergeCell ref="C144:H144"/>
    <mergeCell ref="A131:B132"/>
    <mergeCell ref="C131:H131"/>
    <mergeCell ref="A133:B133"/>
    <mergeCell ref="A134:A135"/>
    <mergeCell ref="A136:B136"/>
    <mergeCell ref="A123:B123"/>
    <mergeCell ref="A124:B124"/>
    <mergeCell ref="A125:A126"/>
    <mergeCell ref="A127:B127"/>
    <mergeCell ref="G130:H130"/>
    <mergeCell ref="G117:H117"/>
    <mergeCell ref="A118:B119"/>
    <mergeCell ref="C118:H118"/>
    <mergeCell ref="A120:B120"/>
    <mergeCell ref="A121:A122"/>
    <mergeCell ref="A108:A109"/>
    <mergeCell ref="A110:B110"/>
    <mergeCell ref="A111:B111"/>
    <mergeCell ref="A112:A113"/>
    <mergeCell ref="A114:B114"/>
    <mergeCell ref="A101:B101"/>
    <mergeCell ref="G104:H104"/>
    <mergeCell ref="A105:B106"/>
    <mergeCell ref="C105:H105"/>
    <mergeCell ref="A107:B107"/>
    <mergeCell ref="A94:B94"/>
    <mergeCell ref="A95:A96"/>
    <mergeCell ref="A97:B97"/>
    <mergeCell ref="A98:B98"/>
    <mergeCell ref="A99:A100"/>
    <mergeCell ref="A85:B85"/>
    <mergeCell ref="A86:A87"/>
    <mergeCell ref="A88:B88"/>
    <mergeCell ref="G91:H91"/>
    <mergeCell ref="A92:B93"/>
    <mergeCell ref="C92:H92"/>
    <mergeCell ref="A79:B80"/>
    <mergeCell ref="C79:H79"/>
    <mergeCell ref="A81:B81"/>
    <mergeCell ref="A82:A83"/>
    <mergeCell ref="A84:B84"/>
    <mergeCell ref="A71:B71"/>
    <mergeCell ref="A72:B72"/>
    <mergeCell ref="A73:A74"/>
    <mergeCell ref="A75:B75"/>
    <mergeCell ref="G78:H78"/>
    <mergeCell ref="G65:H65"/>
    <mergeCell ref="A66:B67"/>
    <mergeCell ref="C66:H66"/>
    <mergeCell ref="A68:B68"/>
    <mergeCell ref="A69:A70"/>
    <mergeCell ref="G13:H13"/>
    <mergeCell ref="C14:H14"/>
    <mergeCell ref="A16:B16"/>
    <mergeCell ref="A19:B19"/>
    <mergeCell ref="A36:B36"/>
    <mergeCell ref="G39:H39"/>
    <mergeCell ref="C40:H40"/>
    <mergeCell ref="A40:B41"/>
    <mergeCell ref="A20:B20"/>
    <mergeCell ref="A23:B23"/>
    <mergeCell ref="G26:H26"/>
    <mergeCell ref="C27:H27"/>
    <mergeCell ref="A29:B29"/>
    <mergeCell ref="A21:A22"/>
    <mergeCell ref="A30:A31"/>
    <mergeCell ref="A34:A35"/>
    <mergeCell ref="A27:B28"/>
    <mergeCell ref="A32:B32"/>
    <mergeCell ref="A33:B33"/>
    <mergeCell ref="G52:H52"/>
    <mergeCell ref="A43:A44"/>
    <mergeCell ref="A47:A48"/>
    <mergeCell ref="C53:H53"/>
    <mergeCell ref="A55:B55"/>
    <mergeCell ref="G1:H1"/>
    <mergeCell ref="C2:H2"/>
    <mergeCell ref="A4:B4"/>
    <mergeCell ref="A7:B7"/>
    <mergeCell ref="A8:B8"/>
    <mergeCell ref="A5:A6"/>
    <mergeCell ref="A2:B3"/>
    <mergeCell ref="A9:A10"/>
    <mergeCell ref="A17:A18"/>
    <mergeCell ref="A14:B15"/>
    <mergeCell ref="A11:B11"/>
    <mergeCell ref="A58:B58"/>
    <mergeCell ref="A59:B59"/>
    <mergeCell ref="A62:B62"/>
    <mergeCell ref="A56:A57"/>
    <mergeCell ref="A60:A61"/>
    <mergeCell ref="A53:B54"/>
    <mergeCell ref="A42:B42"/>
    <mergeCell ref="A45:B45"/>
    <mergeCell ref="A46:B46"/>
    <mergeCell ref="A49:B49"/>
    <mergeCell ref="G208:H208"/>
    <mergeCell ref="A209:B210"/>
    <mergeCell ref="C209:H209"/>
    <mergeCell ref="A211:B211"/>
    <mergeCell ref="A212:A213"/>
    <mergeCell ref="A214:B214"/>
    <mergeCell ref="A215:B215"/>
    <mergeCell ref="A216:A217"/>
    <mergeCell ref="A218:B218"/>
  </mergeCells>
  <phoneticPr fontId="45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127" customWidth="1"/>
    <col min="2" max="2" width="28.5" style="127" customWidth="1"/>
    <col min="3" max="4" width="9.125" style="127"/>
    <col min="5" max="5" width="13.875" style="127" customWidth="1"/>
    <col min="6" max="12" width="16.125" style="127" customWidth="1"/>
    <col min="13" max="13" width="10.625" style="127" customWidth="1"/>
    <col min="14" max="254" width="9.125" style="127"/>
    <col min="255" max="255" width="8" style="127" customWidth="1"/>
    <col min="256" max="256" width="28.5" style="127" customWidth="1"/>
    <col min="257" max="268" width="9.125" style="127"/>
    <col min="269" max="269" width="10.625" style="127" customWidth="1"/>
    <col min="270" max="510" width="9.125" style="127"/>
    <col min="511" max="511" width="8" style="127" customWidth="1"/>
    <col min="512" max="512" width="28.5" style="127" customWidth="1"/>
    <col min="513" max="524" width="9.125" style="127"/>
    <col min="525" max="525" width="10.625" style="127" customWidth="1"/>
    <col min="526" max="766" width="9.125" style="127"/>
    <col min="767" max="767" width="8" style="127" customWidth="1"/>
    <col min="768" max="768" width="28.5" style="127" customWidth="1"/>
    <col min="769" max="780" width="9.125" style="127"/>
    <col min="781" max="781" width="10.625" style="127" customWidth="1"/>
    <col min="782" max="1022" width="9.125" style="127"/>
    <col min="1023" max="1023" width="8" style="127" customWidth="1"/>
    <col min="1024" max="1024" width="28.5" style="127" customWidth="1"/>
    <col min="1025" max="1036" width="9.125" style="127"/>
    <col min="1037" max="1037" width="10.625" style="127" customWidth="1"/>
    <col min="1038" max="1278" width="9.125" style="127"/>
    <col min="1279" max="1279" width="8" style="127" customWidth="1"/>
    <col min="1280" max="1280" width="28.5" style="127" customWidth="1"/>
    <col min="1281" max="1292" width="9.125" style="127"/>
    <col min="1293" max="1293" width="10.625" style="127" customWidth="1"/>
    <col min="1294" max="1534" width="9.125" style="127"/>
    <col min="1535" max="1535" width="8" style="127" customWidth="1"/>
    <col min="1536" max="1536" width="28.5" style="127" customWidth="1"/>
    <col min="1537" max="1548" width="9.125" style="127"/>
    <col min="1549" max="1549" width="10.625" style="127" customWidth="1"/>
    <col min="1550" max="1790" width="9.125" style="127"/>
    <col min="1791" max="1791" width="8" style="127" customWidth="1"/>
    <col min="1792" max="1792" width="28.5" style="127" customWidth="1"/>
    <col min="1793" max="1804" width="9.125" style="127"/>
    <col min="1805" max="1805" width="10.625" style="127" customWidth="1"/>
    <col min="1806" max="2046" width="9.125" style="127"/>
    <col min="2047" max="2047" width="8" style="127" customWidth="1"/>
    <col min="2048" max="2048" width="28.5" style="127" customWidth="1"/>
    <col min="2049" max="2060" width="9.125" style="127"/>
    <col min="2061" max="2061" width="10.625" style="127" customWidth="1"/>
    <col min="2062" max="2302" width="9.125" style="127"/>
    <col min="2303" max="2303" width="8" style="127" customWidth="1"/>
    <col min="2304" max="2304" width="28.5" style="127" customWidth="1"/>
    <col min="2305" max="2316" width="9.125" style="127"/>
    <col min="2317" max="2317" width="10.625" style="127" customWidth="1"/>
    <col min="2318" max="2558" width="9.125" style="127"/>
    <col min="2559" max="2559" width="8" style="127" customWidth="1"/>
    <col min="2560" max="2560" width="28.5" style="127" customWidth="1"/>
    <col min="2561" max="2572" width="9.125" style="127"/>
    <col min="2573" max="2573" width="10.625" style="127" customWidth="1"/>
    <col min="2574" max="2814" width="9.125" style="127"/>
    <col min="2815" max="2815" width="8" style="127" customWidth="1"/>
    <col min="2816" max="2816" width="28.5" style="127" customWidth="1"/>
    <col min="2817" max="2828" width="9.125" style="127"/>
    <col min="2829" max="2829" width="10.625" style="127" customWidth="1"/>
    <col min="2830" max="3070" width="9.125" style="127"/>
    <col min="3071" max="3071" width="8" style="127" customWidth="1"/>
    <col min="3072" max="3072" width="28.5" style="127" customWidth="1"/>
    <col min="3073" max="3084" width="9.125" style="127"/>
    <col min="3085" max="3085" width="10.625" style="127" customWidth="1"/>
    <col min="3086" max="3326" width="9.125" style="127"/>
    <col min="3327" max="3327" width="8" style="127" customWidth="1"/>
    <col min="3328" max="3328" width="28.5" style="127" customWidth="1"/>
    <col min="3329" max="3340" width="9.125" style="127"/>
    <col min="3341" max="3341" width="10.625" style="127" customWidth="1"/>
    <col min="3342" max="3582" width="9.125" style="127"/>
    <col min="3583" max="3583" width="8" style="127" customWidth="1"/>
    <col min="3584" max="3584" width="28.5" style="127" customWidth="1"/>
    <col min="3585" max="3596" width="9.125" style="127"/>
    <col min="3597" max="3597" width="10.625" style="127" customWidth="1"/>
    <col min="3598" max="3838" width="9.125" style="127"/>
    <col min="3839" max="3839" width="8" style="127" customWidth="1"/>
    <col min="3840" max="3840" width="28.5" style="127" customWidth="1"/>
    <col min="3841" max="3852" width="9.125" style="127"/>
    <col min="3853" max="3853" width="10.625" style="127" customWidth="1"/>
    <col min="3854" max="4094" width="9.125" style="127"/>
    <col min="4095" max="4095" width="8" style="127" customWidth="1"/>
    <col min="4096" max="4096" width="28.5" style="127" customWidth="1"/>
    <col min="4097" max="4108" width="9.125" style="127"/>
    <col min="4109" max="4109" width="10.625" style="127" customWidth="1"/>
    <col min="4110" max="4350" width="9.125" style="127"/>
    <col min="4351" max="4351" width="8" style="127" customWidth="1"/>
    <col min="4352" max="4352" width="28.5" style="127" customWidth="1"/>
    <col min="4353" max="4364" width="9.125" style="127"/>
    <col min="4365" max="4365" width="10.625" style="127" customWidth="1"/>
    <col min="4366" max="4606" width="9.125" style="127"/>
    <col min="4607" max="4607" width="8" style="127" customWidth="1"/>
    <col min="4608" max="4608" width="28.5" style="127" customWidth="1"/>
    <col min="4609" max="4620" width="9.125" style="127"/>
    <col min="4621" max="4621" width="10.625" style="127" customWidth="1"/>
    <col min="4622" max="4862" width="9.125" style="127"/>
    <col min="4863" max="4863" width="8" style="127" customWidth="1"/>
    <col min="4864" max="4864" width="28.5" style="127" customWidth="1"/>
    <col min="4865" max="4876" width="9.125" style="127"/>
    <col min="4877" max="4877" width="10.625" style="127" customWidth="1"/>
    <col min="4878" max="5118" width="9.125" style="127"/>
    <col min="5119" max="5119" width="8" style="127" customWidth="1"/>
    <col min="5120" max="5120" width="28.5" style="127" customWidth="1"/>
    <col min="5121" max="5132" width="9.125" style="127"/>
    <col min="5133" max="5133" width="10.625" style="127" customWidth="1"/>
    <col min="5134" max="5374" width="9.125" style="127"/>
    <col min="5375" max="5375" width="8" style="127" customWidth="1"/>
    <col min="5376" max="5376" width="28.5" style="127" customWidth="1"/>
    <col min="5377" max="5388" width="9.125" style="127"/>
    <col min="5389" max="5389" width="10.625" style="127" customWidth="1"/>
    <col min="5390" max="5630" width="9.125" style="127"/>
    <col min="5631" max="5631" width="8" style="127" customWidth="1"/>
    <col min="5632" max="5632" width="28.5" style="127" customWidth="1"/>
    <col min="5633" max="5644" width="9.125" style="127"/>
    <col min="5645" max="5645" width="10.625" style="127" customWidth="1"/>
    <col min="5646" max="5886" width="9.125" style="127"/>
    <col min="5887" max="5887" width="8" style="127" customWidth="1"/>
    <col min="5888" max="5888" width="28.5" style="127" customWidth="1"/>
    <col min="5889" max="5900" width="9.125" style="127"/>
    <col min="5901" max="5901" width="10.625" style="127" customWidth="1"/>
    <col min="5902" max="6142" width="9.125" style="127"/>
    <col min="6143" max="6143" width="8" style="127" customWidth="1"/>
    <col min="6144" max="6144" width="28.5" style="127" customWidth="1"/>
    <col min="6145" max="6156" width="9.125" style="127"/>
    <col min="6157" max="6157" width="10.625" style="127" customWidth="1"/>
    <col min="6158" max="6398" width="9.125" style="127"/>
    <col min="6399" max="6399" width="8" style="127" customWidth="1"/>
    <col min="6400" max="6400" width="28.5" style="127" customWidth="1"/>
    <col min="6401" max="6412" width="9.125" style="127"/>
    <col min="6413" max="6413" width="10.625" style="127" customWidth="1"/>
    <col min="6414" max="6654" width="9.125" style="127"/>
    <col min="6655" max="6655" width="8" style="127" customWidth="1"/>
    <col min="6656" max="6656" width="28.5" style="127" customWidth="1"/>
    <col min="6657" max="6668" width="9.125" style="127"/>
    <col min="6669" max="6669" width="10.625" style="127" customWidth="1"/>
    <col min="6670" max="6910" width="9.125" style="127"/>
    <col min="6911" max="6911" width="8" style="127" customWidth="1"/>
    <col min="6912" max="6912" width="28.5" style="127" customWidth="1"/>
    <col min="6913" max="6924" width="9.125" style="127"/>
    <col min="6925" max="6925" width="10.625" style="127" customWidth="1"/>
    <col min="6926" max="7166" width="9.125" style="127"/>
    <col min="7167" max="7167" width="8" style="127" customWidth="1"/>
    <col min="7168" max="7168" width="28.5" style="127" customWidth="1"/>
    <col min="7169" max="7180" width="9.125" style="127"/>
    <col min="7181" max="7181" width="10.625" style="127" customWidth="1"/>
    <col min="7182" max="7422" width="9.125" style="127"/>
    <col min="7423" max="7423" width="8" style="127" customWidth="1"/>
    <col min="7424" max="7424" width="28.5" style="127" customWidth="1"/>
    <col min="7425" max="7436" width="9.125" style="127"/>
    <col min="7437" max="7437" width="10.625" style="127" customWidth="1"/>
    <col min="7438" max="7678" width="9.125" style="127"/>
    <col min="7679" max="7679" width="8" style="127" customWidth="1"/>
    <col min="7680" max="7680" width="28.5" style="127" customWidth="1"/>
    <col min="7681" max="7692" width="9.125" style="127"/>
    <col min="7693" max="7693" width="10.625" style="127" customWidth="1"/>
    <col min="7694" max="7934" width="9.125" style="127"/>
    <col min="7935" max="7935" width="8" style="127" customWidth="1"/>
    <col min="7936" max="7936" width="28.5" style="127" customWidth="1"/>
    <col min="7937" max="7948" width="9.125" style="127"/>
    <col min="7949" max="7949" width="10.625" style="127" customWidth="1"/>
    <col min="7950" max="8190" width="9.125" style="127"/>
    <col min="8191" max="8191" width="8" style="127" customWidth="1"/>
    <col min="8192" max="8192" width="28.5" style="127" customWidth="1"/>
    <col min="8193" max="8204" width="9.125" style="127"/>
    <col min="8205" max="8205" width="10.625" style="127" customWidth="1"/>
    <col min="8206" max="8446" width="9.125" style="127"/>
    <col min="8447" max="8447" width="8" style="127" customWidth="1"/>
    <col min="8448" max="8448" width="28.5" style="127" customWidth="1"/>
    <col min="8449" max="8460" width="9.125" style="127"/>
    <col min="8461" max="8461" width="10.625" style="127" customWidth="1"/>
    <col min="8462" max="8702" width="9.125" style="127"/>
    <col min="8703" max="8703" width="8" style="127" customWidth="1"/>
    <col min="8704" max="8704" width="28.5" style="127" customWidth="1"/>
    <col min="8705" max="8716" width="9.125" style="127"/>
    <col min="8717" max="8717" width="10.625" style="127" customWidth="1"/>
    <col min="8718" max="8958" width="9.125" style="127"/>
    <col min="8959" max="8959" width="8" style="127" customWidth="1"/>
    <col min="8960" max="8960" width="28.5" style="127" customWidth="1"/>
    <col min="8961" max="8972" width="9.125" style="127"/>
    <col min="8973" max="8973" width="10.625" style="127" customWidth="1"/>
    <col min="8974" max="9214" width="9.125" style="127"/>
    <col min="9215" max="9215" width="8" style="127" customWidth="1"/>
    <col min="9216" max="9216" width="28.5" style="127" customWidth="1"/>
    <col min="9217" max="9228" width="9.125" style="127"/>
    <col min="9229" max="9229" width="10.625" style="127" customWidth="1"/>
    <col min="9230" max="9470" width="9.125" style="127"/>
    <col min="9471" max="9471" width="8" style="127" customWidth="1"/>
    <col min="9472" max="9472" width="28.5" style="127" customWidth="1"/>
    <col min="9473" max="9484" width="9.125" style="127"/>
    <col min="9485" max="9485" width="10.625" style="127" customWidth="1"/>
    <col min="9486" max="9726" width="9.125" style="127"/>
    <col min="9727" max="9727" width="8" style="127" customWidth="1"/>
    <col min="9728" max="9728" width="28.5" style="127" customWidth="1"/>
    <col min="9729" max="9740" width="9.125" style="127"/>
    <col min="9741" max="9741" width="10.625" style="127" customWidth="1"/>
    <col min="9742" max="9982" width="9.125" style="127"/>
    <col min="9983" max="9983" width="8" style="127" customWidth="1"/>
    <col min="9984" max="9984" width="28.5" style="127" customWidth="1"/>
    <col min="9985" max="9996" width="9.125" style="127"/>
    <col min="9997" max="9997" width="10.625" style="127" customWidth="1"/>
    <col min="9998" max="10238" width="9.125" style="127"/>
    <col min="10239" max="10239" width="8" style="127" customWidth="1"/>
    <col min="10240" max="10240" width="28.5" style="127" customWidth="1"/>
    <col min="10241" max="10252" width="9.125" style="127"/>
    <col min="10253" max="10253" width="10.625" style="127" customWidth="1"/>
    <col min="10254" max="10494" width="9.125" style="127"/>
    <col min="10495" max="10495" width="8" style="127" customWidth="1"/>
    <col min="10496" max="10496" width="28.5" style="127" customWidth="1"/>
    <col min="10497" max="10508" width="9.125" style="127"/>
    <col min="10509" max="10509" width="10.625" style="127" customWidth="1"/>
    <col min="10510" max="10750" width="9.125" style="127"/>
    <col min="10751" max="10751" width="8" style="127" customWidth="1"/>
    <col min="10752" max="10752" width="28.5" style="127" customWidth="1"/>
    <col min="10753" max="10764" width="9.125" style="127"/>
    <col min="10765" max="10765" width="10.625" style="127" customWidth="1"/>
    <col min="10766" max="11006" width="9.125" style="127"/>
    <col min="11007" max="11007" width="8" style="127" customWidth="1"/>
    <col min="11008" max="11008" width="28.5" style="127" customWidth="1"/>
    <col min="11009" max="11020" width="9.125" style="127"/>
    <col min="11021" max="11021" width="10.625" style="127" customWidth="1"/>
    <col min="11022" max="11262" width="9.125" style="127"/>
    <col min="11263" max="11263" width="8" style="127" customWidth="1"/>
    <col min="11264" max="11264" width="28.5" style="127" customWidth="1"/>
    <col min="11265" max="11276" width="9.125" style="127"/>
    <col min="11277" max="11277" width="10.625" style="127" customWidth="1"/>
    <col min="11278" max="11518" width="9.125" style="127"/>
    <col min="11519" max="11519" width="8" style="127" customWidth="1"/>
    <col min="11520" max="11520" width="28.5" style="127" customWidth="1"/>
    <col min="11521" max="11532" width="9.125" style="127"/>
    <col min="11533" max="11533" width="10.625" style="127" customWidth="1"/>
    <col min="11534" max="11774" width="9.125" style="127"/>
    <col min="11775" max="11775" width="8" style="127" customWidth="1"/>
    <col min="11776" max="11776" width="28.5" style="127" customWidth="1"/>
    <col min="11777" max="11788" width="9.125" style="127"/>
    <col min="11789" max="11789" width="10.625" style="127" customWidth="1"/>
    <col min="11790" max="12030" width="9.125" style="127"/>
    <col min="12031" max="12031" width="8" style="127" customWidth="1"/>
    <col min="12032" max="12032" width="28.5" style="127" customWidth="1"/>
    <col min="12033" max="12044" width="9.125" style="127"/>
    <col min="12045" max="12045" width="10.625" style="127" customWidth="1"/>
    <col min="12046" max="12286" width="9.125" style="127"/>
    <col min="12287" max="12287" width="8" style="127" customWidth="1"/>
    <col min="12288" max="12288" width="28.5" style="127" customWidth="1"/>
    <col min="12289" max="12300" width="9.125" style="127"/>
    <col min="12301" max="12301" width="10.625" style="127" customWidth="1"/>
    <col min="12302" max="12542" width="9.125" style="127"/>
    <col min="12543" max="12543" width="8" style="127" customWidth="1"/>
    <col min="12544" max="12544" width="28.5" style="127" customWidth="1"/>
    <col min="12545" max="12556" width="9.125" style="127"/>
    <col min="12557" max="12557" width="10.625" style="127" customWidth="1"/>
    <col min="12558" max="12798" width="9.125" style="127"/>
    <col min="12799" max="12799" width="8" style="127" customWidth="1"/>
    <col min="12800" max="12800" width="28.5" style="127" customWidth="1"/>
    <col min="12801" max="12812" width="9.125" style="127"/>
    <col min="12813" max="12813" width="10.625" style="127" customWidth="1"/>
    <col min="12814" max="13054" width="9.125" style="127"/>
    <col min="13055" max="13055" width="8" style="127" customWidth="1"/>
    <col min="13056" max="13056" width="28.5" style="127" customWidth="1"/>
    <col min="13057" max="13068" width="9.125" style="127"/>
    <col min="13069" max="13069" width="10.625" style="127" customWidth="1"/>
    <col min="13070" max="13310" width="9.125" style="127"/>
    <col min="13311" max="13311" width="8" style="127" customWidth="1"/>
    <col min="13312" max="13312" width="28.5" style="127" customWidth="1"/>
    <col min="13313" max="13324" width="9.125" style="127"/>
    <col min="13325" max="13325" width="10.625" style="127" customWidth="1"/>
    <col min="13326" max="13566" width="9.125" style="127"/>
    <col min="13567" max="13567" width="8" style="127" customWidth="1"/>
    <col min="13568" max="13568" width="28.5" style="127" customWidth="1"/>
    <col min="13569" max="13580" width="9.125" style="127"/>
    <col min="13581" max="13581" width="10.625" style="127" customWidth="1"/>
    <col min="13582" max="13822" width="9.125" style="127"/>
    <col min="13823" max="13823" width="8" style="127" customWidth="1"/>
    <col min="13824" max="13824" width="28.5" style="127" customWidth="1"/>
    <col min="13825" max="13836" width="9.125" style="127"/>
    <col min="13837" max="13837" width="10.625" style="127" customWidth="1"/>
    <col min="13838" max="14078" width="9.125" style="127"/>
    <col min="14079" max="14079" width="8" style="127" customWidth="1"/>
    <col min="14080" max="14080" width="28.5" style="127" customWidth="1"/>
    <col min="14081" max="14092" width="9.125" style="127"/>
    <col min="14093" max="14093" width="10.625" style="127" customWidth="1"/>
    <col min="14094" max="14334" width="9.125" style="127"/>
    <col min="14335" max="14335" width="8" style="127" customWidth="1"/>
    <col min="14336" max="14336" width="28.5" style="127" customWidth="1"/>
    <col min="14337" max="14348" width="9.125" style="127"/>
    <col min="14349" max="14349" width="10.625" style="127" customWidth="1"/>
    <col min="14350" max="14590" width="9.125" style="127"/>
    <col min="14591" max="14591" width="8" style="127" customWidth="1"/>
    <col min="14592" max="14592" width="28.5" style="127" customWidth="1"/>
    <col min="14593" max="14604" width="9.125" style="127"/>
    <col min="14605" max="14605" width="10.625" style="127" customWidth="1"/>
    <col min="14606" max="14846" width="9.125" style="127"/>
    <col min="14847" max="14847" width="8" style="127" customWidth="1"/>
    <col min="14848" max="14848" width="28.5" style="127" customWidth="1"/>
    <col min="14849" max="14860" width="9.125" style="127"/>
    <col min="14861" max="14861" width="10.625" style="127" customWidth="1"/>
    <col min="14862" max="15102" width="9.125" style="127"/>
    <col min="15103" max="15103" width="8" style="127" customWidth="1"/>
    <col min="15104" max="15104" width="28.5" style="127" customWidth="1"/>
    <col min="15105" max="15116" width="9.125" style="127"/>
    <col min="15117" max="15117" width="10.625" style="127" customWidth="1"/>
    <col min="15118" max="15358" width="9.125" style="127"/>
    <col min="15359" max="15359" width="8" style="127" customWidth="1"/>
    <col min="15360" max="15360" width="28.5" style="127" customWidth="1"/>
    <col min="15361" max="15372" width="9.125" style="127"/>
    <col min="15373" max="15373" width="10.625" style="127" customWidth="1"/>
    <col min="15374" max="15614" width="9.125" style="127"/>
    <col min="15615" max="15615" width="8" style="127" customWidth="1"/>
    <col min="15616" max="15616" width="28.5" style="127" customWidth="1"/>
    <col min="15617" max="15628" width="9.125" style="127"/>
    <col min="15629" max="15629" width="10.625" style="127" customWidth="1"/>
    <col min="15630" max="15870" width="9.125" style="127"/>
    <col min="15871" max="15871" width="8" style="127" customWidth="1"/>
    <col min="15872" max="15872" width="28.5" style="127" customWidth="1"/>
    <col min="15873" max="15884" width="9.125" style="127"/>
    <col min="15885" max="15885" width="10.625" style="127" customWidth="1"/>
    <col min="15886" max="16126" width="9.125" style="127"/>
    <col min="16127" max="16127" width="8" style="127" customWidth="1"/>
    <col min="16128" max="16128" width="28.5" style="127" customWidth="1"/>
    <col min="16129" max="16140" width="9.125" style="127"/>
    <col min="16141" max="16141" width="10.625" style="127" customWidth="1"/>
    <col min="16142" max="16384" width="9.125" style="127"/>
  </cols>
  <sheetData>
    <row r="1" spans="1:13" ht="18.75">
      <c r="A1" s="128" t="s">
        <v>16</v>
      </c>
      <c r="B1" s="129"/>
      <c r="C1" s="130"/>
      <c r="D1" s="130"/>
      <c r="E1" s="129"/>
      <c r="F1" s="130"/>
      <c r="G1" s="130"/>
      <c r="H1" s="129"/>
      <c r="I1" s="130"/>
      <c r="J1" s="130"/>
      <c r="K1" s="130"/>
      <c r="L1" s="130"/>
      <c r="M1" s="130"/>
    </row>
    <row r="2" spans="1:13" ht="12">
      <c r="A2" s="127" t="s">
        <v>17</v>
      </c>
      <c r="B2" s="131"/>
    </row>
    <row r="3" spans="1:13" ht="16.899999999999999" customHeight="1">
      <c r="A3" s="132" t="s">
        <v>18</v>
      </c>
      <c r="B3" s="132" t="s">
        <v>19</v>
      </c>
      <c r="C3" s="219" t="s">
        <v>20</v>
      </c>
      <c r="D3" s="219"/>
      <c r="E3" s="219"/>
      <c r="F3" s="134"/>
      <c r="G3" s="135"/>
      <c r="H3" s="136"/>
      <c r="I3" s="136"/>
      <c r="J3" s="136" t="s">
        <v>21</v>
      </c>
      <c r="K3" s="136"/>
      <c r="L3" s="136"/>
      <c r="M3" s="157"/>
    </row>
    <row r="4" spans="1:13" ht="16.149999999999999" customHeight="1">
      <c r="A4" s="137"/>
      <c r="B4" s="137" t="s">
        <v>22</v>
      </c>
      <c r="C4" s="133">
        <v>2017</v>
      </c>
      <c r="D4" s="133">
        <f t="shared" ref="D4:L4" si="0">C4+1</f>
        <v>2018</v>
      </c>
      <c r="E4" s="133">
        <f t="shared" si="0"/>
        <v>2019</v>
      </c>
      <c r="F4" s="133">
        <f t="shared" si="0"/>
        <v>2020</v>
      </c>
      <c r="G4" s="133">
        <f t="shared" si="0"/>
        <v>2021</v>
      </c>
      <c r="H4" s="138">
        <f t="shared" si="0"/>
        <v>2022</v>
      </c>
      <c r="I4" s="138">
        <f t="shared" si="0"/>
        <v>2023</v>
      </c>
      <c r="J4" s="138">
        <f t="shared" si="0"/>
        <v>2024</v>
      </c>
      <c r="K4" s="138">
        <f t="shared" si="0"/>
        <v>2025</v>
      </c>
      <c r="L4" s="138">
        <f t="shared" si="0"/>
        <v>2026</v>
      </c>
      <c r="M4" s="158" t="s">
        <v>23</v>
      </c>
    </row>
    <row r="5" spans="1:13" ht="15.6" customHeight="1">
      <c r="A5" s="139">
        <v>1</v>
      </c>
      <c r="B5" s="140" t="s">
        <v>24</v>
      </c>
      <c r="C5" s="141">
        <f>SUM(C6:C9)</f>
        <v>0</v>
      </c>
      <c r="D5" s="141">
        <f t="shared" ref="D5:L5" si="1">SUM(D6:D9)</f>
        <v>0</v>
      </c>
      <c r="E5" s="141" t="e">
        <f t="shared" si="1"/>
        <v>#REF!</v>
      </c>
      <c r="F5" s="141" t="e">
        <f t="shared" si="1"/>
        <v>#REF!</v>
      </c>
      <c r="G5" s="141" t="e">
        <f t="shared" si="1"/>
        <v>#REF!</v>
      </c>
      <c r="H5" s="141" t="e">
        <f t="shared" si="1"/>
        <v>#REF!</v>
      </c>
      <c r="I5" s="141" t="e">
        <f t="shared" si="1"/>
        <v>#REF!</v>
      </c>
      <c r="J5" s="141" t="e">
        <f t="shared" si="1"/>
        <v>#REF!</v>
      </c>
      <c r="K5" s="141" t="e">
        <f t="shared" si="1"/>
        <v>#REF!</v>
      </c>
      <c r="L5" s="141" t="e">
        <f t="shared" si="1"/>
        <v>#REF!</v>
      </c>
      <c r="M5" s="145" t="e">
        <f t="shared" ref="M5:M17" si="2">SUM(C5:L5)</f>
        <v>#REF!</v>
      </c>
    </row>
    <row r="6" spans="1:13" ht="15.6" customHeight="1">
      <c r="A6" s="139">
        <v>1.1000000000000001</v>
      </c>
      <c r="B6" s="142" t="s">
        <v>25</v>
      </c>
      <c r="C6" s="143"/>
      <c r="D6" s="143"/>
      <c r="E6" s="143" t="e">
        <f>#REF!</f>
        <v>#REF!</v>
      </c>
      <c r="F6" s="143" t="e">
        <f>#REF!</f>
        <v>#REF!</v>
      </c>
      <c r="G6" s="143" t="e">
        <f>#REF!</f>
        <v>#REF!</v>
      </c>
      <c r="H6" s="143" t="e">
        <f>#REF!</f>
        <v>#REF!</v>
      </c>
      <c r="I6" s="143" t="e">
        <f>#REF!</f>
        <v>#REF!</v>
      </c>
      <c r="J6" s="143" t="e">
        <f>#REF!</f>
        <v>#REF!</v>
      </c>
      <c r="K6" s="143" t="e">
        <f>#REF!</f>
        <v>#REF!</v>
      </c>
      <c r="L6" s="143" t="e">
        <f>#REF!</f>
        <v>#REF!</v>
      </c>
      <c r="M6" s="145" t="e">
        <f t="shared" si="2"/>
        <v>#REF!</v>
      </c>
    </row>
    <row r="7" spans="1:13" ht="15.6" customHeight="1">
      <c r="A7" s="139">
        <v>1.2</v>
      </c>
      <c r="B7" s="142" t="s">
        <v>26</v>
      </c>
      <c r="C7" s="143"/>
      <c r="D7" s="143"/>
      <c r="E7" s="143">
        <f>[1]折、摊!G18</f>
        <v>0</v>
      </c>
      <c r="F7" s="143">
        <f>[1]折、摊!H18</f>
        <v>0</v>
      </c>
      <c r="G7" s="143">
        <f>[1]折、摊!I18</f>
        <v>0</v>
      </c>
      <c r="H7" s="143">
        <f>[1]折、摊!J18</f>
        <v>0</v>
      </c>
      <c r="I7" s="143">
        <f>[1]折、摊!K18</f>
        <v>0</v>
      </c>
      <c r="J7" s="143">
        <f>[1]折、摊!L18</f>
        <v>0</v>
      </c>
      <c r="K7" s="143">
        <f>[1]折、摊!M18</f>
        <v>0</v>
      </c>
      <c r="L7" s="143">
        <f>[1]折、摊!N18</f>
        <v>0</v>
      </c>
      <c r="M7" s="145">
        <f t="shared" si="2"/>
        <v>0</v>
      </c>
    </row>
    <row r="8" spans="1:13" ht="15.6" customHeight="1">
      <c r="A8" s="139">
        <v>1.3</v>
      </c>
      <c r="B8" s="142" t="s">
        <v>27</v>
      </c>
      <c r="C8" s="143" t="s">
        <v>28</v>
      </c>
      <c r="D8" s="143" t="s">
        <v>28</v>
      </c>
      <c r="E8" s="143" t="s">
        <v>28</v>
      </c>
      <c r="F8" s="143" t="s">
        <v>28</v>
      </c>
      <c r="G8" s="143" t="s">
        <v>28</v>
      </c>
      <c r="H8" s="143" t="s">
        <v>28</v>
      </c>
      <c r="I8" s="143" t="s">
        <v>28</v>
      </c>
      <c r="J8" s="143" t="s">
        <v>28</v>
      </c>
      <c r="K8" s="143" t="s">
        <v>28</v>
      </c>
      <c r="L8" s="143"/>
      <c r="M8" s="145">
        <f t="shared" si="2"/>
        <v>0</v>
      </c>
    </row>
    <row r="9" spans="1:13" s="126" customFormat="1" ht="15.6" customHeight="1">
      <c r="A9" s="144">
        <v>1.4</v>
      </c>
      <c r="B9" s="145" t="s">
        <v>29</v>
      </c>
      <c r="C9" s="143" t="s">
        <v>28</v>
      </c>
      <c r="D9" s="143" t="s">
        <v>28</v>
      </c>
      <c r="E9" s="143" t="s">
        <v>28</v>
      </c>
      <c r="F9" s="143" t="s">
        <v>28</v>
      </c>
      <c r="G9" s="143" t="s">
        <v>28</v>
      </c>
      <c r="H9" s="143" t="s">
        <v>28</v>
      </c>
      <c r="I9" s="143" t="s">
        <v>28</v>
      </c>
      <c r="J9" s="143" t="s">
        <v>28</v>
      </c>
      <c r="K9" s="143" t="s">
        <v>28</v>
      </c>
      <c r="L9" s="143" t="s">
        <v>28</v>
      </c>
      <c r="M9" s="145">
        <f t="shared" si="2"/>
        <v>0</v>
      </c>
    </row>
    <row r="10" spans="1:13" ht="15.6" customHeight="1">
      <c r="A10" s="144">
        <v>2</v>
      </c>
      <c r="B10" s="140" t="s">
        <v>30</v>
      </c>
      <c r="C10" s="141">
        <f t="shared" ref="C10:L10" si="3">SUM(C11:C16)</f>
        <v>0</v>
      </c>
      <c r="D10" s="141">
        <f t="shared" si="3"/>
        <v>0</v>
      </c>
      <c r="E10" s="141">
        <f t="shared" si="3"/>
        <v>0</v>
      </c>
      <c r="F10" s="141">
        <f t="shared" si="3"/>
        <v>0</v>
      </c>
      <c r="G10" s="141">
        <f t="shared" si="3"/>
        <v>0</v>
      </c>
      <c r="H10" s="141">
        <f t="shared" si="3"/>
        <v>0</v>
      </c>
      <c r="I10" s="141">
        <f t="shared" si="3"/>
        <v>0</v>
      </c>
      <c r="J10" s="141">
        <f t="shared" si="3"/>
        <v>0</v>
      </c>
      <c r="K10" s="141">
        <f t="shared" si="3"/>
        <v>0</v>
      </c>
      <c r="L10" s="141">
        <f t="shared" si="3"/>
        <v>0</v>
      </c>
      <c r="M10" s="145">
        <f t="shared" si="2"/>
        <v>0</v>
      </c>
    </row>
    <row r="11" spans="1:13" ht="15" customHeight="1">
      <c r="A11" s="139">
        <v>2.1</v>
      </c>
      <c r="B11" s="139" t="s">
        <v>31</v>
      </c>
      <c r="C11" s="143">
        <f>([1]计划!C6-[1]计划!C7)</f>
        <v>0</v>
      </c>
      <c r="D11" s="143">
        <f>([1]计划!D6-[1]计划!D7)</f>
        <v>0</v>
      </c>
      <c r="E11" s="143">
        <f>([1]计划!E6-[1]计划!E7)</f>
        <v>0</v>
      </c>
      <c r="F11" s="143">
        <f>([1]计划!F6-[1]计划!F7)</f>
        <v>0</v>
      </c>
      <c r="G11" s="143">
        <f>([1]计划!G6-[1]计划!G7)</f>
        <v>0</v>
      </c>
      <c r="H11" s="143">
        <f>([1]计划!H6-[1]计划!H7)</f>
        <v>0</v>
      </c>
      <c r="I11" s="143">
        <f>([1]计划!I6-[1]计划!I7)</f>
        <v>0</v>
      </c>
      <c r="J11" s="143">
        <f>([1]计划!J6-[1]计划!J7)</f>
        <v>0</v>
      </c>
      <c r="K11" s="143">
        <f>([1]计划!K6-[1]计划!K7)</f>
        <v>0</v>
      </c>
      <c r="L11" s="143">
        <f>([1]计划!L6-[1]计划!L7)</f>
        <v>0</v>
      </c>
      <c r="M11" s="145">
        <f t="shared" si="2"/>
        <v>0</v>
      </c>
    </row>
    <row r="12" spans="1:13" s="126" customFormat="1" ht="15" customHeight="1">
      <c r="A12" s="139">
        <v>2.2000000000000002</v>
      </c>
      <c r="B12" s="145" t="s">
        <v>32</v>
      </c>
      <c r="C12" s="143">
        <f>[1]计划!C8</f>
        <v>0</v>
      </c>
      <c r="D12" s="143">
        <f>[1]计划!D8</f>
        <v>0</v>
      </c>
      <c r="E12" s="143">
        <f>[1]计划!E8</f>
        <v>0</v>
      </c>
      <c r="F12" s="143">
        <f>[1]计划!F8</f>
        <v>0</v>
      </c>
      <c r="G12" s="143">
        <f>[1]计划!G8</f>
        <v>0</v>
      </c>
      <c r="H12" s="143">
        <f>[1]计划!H8</f>
        <v>0</v>
      </c>
      <c r="I12" s="143">
        <f>[1]计划!I8</f>
        <v>0</v>
      </c>
      <c r="J12" s="143">
        <f>[1]计划!J8</f>
        <v>0</v>
      </c>
      <c r="K12" s="143">
        <f>[1]计划!K8</f>
        <v>0</v>
      </c>
      <c r="L12" s="143">
        <f>[1]计划!L8</f>
        <v>0</v>
      </c>
      <c r="M12" s="145">
        <f t="shared" si="2"/>
        <v>0</v>
      </c>
    </row>
    <row r="13" spans="1:13" ht="15" customHeight="1">
      <c r="A13" s="139">
        <v>2.2999999999999998</v>
      </c>
      <c r="B13" s="142" t="s">
        <v>33</v>
      </c>
      <c r="C13" s="143">
        <f>[1]总成本!C22</f>
        <v>0</v>
      </c>
      <c r="D13" s="143">
        <f>[1]总成本!D22</f>
        <v>0</v>
      </c>
      <c r="E13" s="143">
        <f>[1]总成本!E22</f>
        <v>0</v>
      </c>
      <c r="F13" s="143">
        <f>[1]总成本!F22</f>
        <v>0</v>
      </c>
      <c r="G13" s="143">
        <f>[1]总成本!G22</f>
        <v>0</v>
      </c>
      <c r="H13" s="143">
        <f>[1]总成本!H22</f>
        <v>0</v>
      </c>
      <c r="I13" s="143">
        <f>[1]总成本!I22</f>
        <v>0</v>
      </c>
      <c r="J13" s="143">
        <f>[1]总成本!J22</f>
        <v>0</v>
      </c>
      <c r="K13" s="143">
        <f>[1]总成本!K22</f>
        <v>0</v>
      </c>
      <c r="L13" s="143">
        <f>[1]总成本!L22</f>
        <v>0</v>
      </c>
      <c r="M13" s="145">
        <f t="shared" si="2"/>
        <v>0</v>
      </c>
    </row>
    <row r="14" spans="1:13" ht="15" customHeight="1">
      <c r="A14" s="139">
        <v>2.4</v>
      </c>
      <c r="B14" s="142" t="s">
        <v>34</v>
      </c>
      <c r="C14" s="143">
        <f>[1]价格!D15</f>
        <v>0</v>
      </c>
      <c r="D14" s="143">
        <f>[1]价格!E15</f>
        <v>0</v>
      </c>
      <c r="E14" s="143">
        <f>[1]价格!F15</f>
        <v>0</v>
      </c>
      <c r="F14" s="143">
        <f>[1]价格!G15</f>
        <v>0</v>
      </c>
      <c r="G14" s="143">
        <f>[1]价格!H15</f>
        <v>0</v>
      </c>
      <c r="H14" s="143">
        <f>[1]价格!I15</f>
        <v>0</v>
      </c>
      <c r="I14" s="143">
        <f>[1]价格!J15</f>
        <v>0</v>
      </c>
      <c r="J14" s="143">
        <f>[1]价格!K15</f>
        <v>0</v>
      </c>
      <c r="K14" s="143">
        <f>[1]价格!L15</f>
        <v>0</v>
      </c>
      <c r="L14" s="143">
        <f>[1]价格!M15</f>
        <v>0</v>
      </c>
      <c r="M14" s="145">
        <f t="shared" si="2"/>
        <v>0</v>
      </c>
    </row>
    <row r="15" spans="1:13" ht="15" customHeight="1">
      <c r="A15" s="139">
        <v>2.5</v>
      </c>
      <c r="B15" s="142" t="s">
        <v>35</v>
      </c>
      <c r="C15" s="143">
        <f>[1]利润!C13</f>
        <v>0</v>
      </c>
      <c r="D15" s="143">
        <f>[1]利润!D13</f>
        <v>0</v>
      </c>
      <c r="E15" s="143">
        <f>[1]利润!E13</f>
        <v>0</v>
      </c>
      <c r="F15" s="143">
        <f>[1]利润!F13</f>
        <v>0</v>
      </c>
      <c r="G15" s="143">
        <f>[1]利润!G13</f>
        <v>0</v>
      </c>
      <c r="H15" s="143">
        <f>[1]利润!H13</f>
        <v>0</v>
      </c>
      <c r="I15" s="143">
        <f>[1]利润!I13</f>
        <v>0</v>
      </c>
      <c r="J15" s="143">
        <f>[1]利润!J13</f>
        <v>0</v>
      </c>
      <c r="K15" s="143">
        <f>[1]利润!K13</f>
        <v>0</v>
      </c>
      <c r="L15" s="143">
        <f>[1]利润!L13</f>
        <v>0</v>
      </c>
      <c r="M15" s="145">
        <f t="shared" si="2"/>
        <v>0</v>
      </c>
    </row>
    <row r="16" spans="1:13" ht="15" customHeight="1">
      <c r="A16" s="139">
        <v>2.6</v>
      </c>
      <c r="B16" s="142" t="s">
        <v>36</v>
      </c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5">
        <f t="shared" si="2"/>
        <v>0</v>
      </c>
    </row>
    <row r="17" spans="1:18" ht="12">
      <c r="A17" s="139">
        <v>3</v>
      </c>
      <c r="B17" s="140" t="s">
        <v>37</v>
      </c>
      <c r="C17" s="141">
        <f t="shared" ref="C17:L17" si="4">C5-C10</f>
        <v>0</v>
      </c>
      <c r="D17" s="141">
        <f t="shared" si="4"/>
        <v>0</v>
      </c>
      <c r="E17" s="141" t="e">
        <f t="shared" si="4"/>
        <v>#REF!</v>
      </c>
      <c r="F17" s="141" t="e">
        <f t="shared" si="4"/>
        <v>#REF!</v>
      </c>
      <c r="G17" s="141" t="e">
        <f t="shared" si="4"/>
        <v>#REF!</v>
      </c>
      <c r="H17" s="141" t="e">
        <f t="shared" si="4"/>
        <v>#REF!</v>
      </c>
      <c r="I17" s="141" t="e">
        <f t="shared" si="4"/>
        <v>#REF!</v>
      </c>
      <c r="J17" s="141" t="e">
        <f t="shared" si="4"/>
        <v>#REF!</v>
      </c>
      <c r="K17" s="141" t="e">
        <f t="shared" si="4"/>
        <v>#REF!</v>
      </c>
      <c r="L17" s="141" t="e">
        <f t="shared" si="4"/>
        <v>#REF!</v>
      </c>
      <c r="M17" s="145" t="e">
        <f t="shared" si="2"/>
        <v>#REF!</v>
      </c>
    </row>
    <row r="18" spans="1:18" ht="12">
      <c r="A18" s="146">
        <v>4</v>
      </c>
      <c r="B18" s="142" t="s">
        <v>38</v>
      </c>
      <c r="C18" s="143">
        <f>C17</f>
        <v>0</v>
      </c>
      <c r="D18" s="143">
        <f t="shared" ref="D18:L18" si="5">C18+D17</f>
        <v>0</v>
      </c>
      <c r="E18" s="143" t="e">
        <f t="shared" si="5"/>
        <v>#REF!</v>
      </c>
      <c r="F18" s="143" t="e">
        <f t="shared" si="5"/>
        <v>#REF!</v>
      </c>
      <c r="G18" s="143" t="e">
        <f t="shared" si="5"/>
        <v>#REF!</v>
      </c>
      <c r="H18" s="143" t="e">
        <f t="shared" si="5"/>
        <v>#REF!</v>
      </c>
      <c r="I18" s="143" t="e">
        <f t="shared" si="5"/>
        <v>#REF!</v>
      </c>
      <c r="J18" s="143" t="e">
        <f t="shared" si="5"/>
        <v>#REF!</v>
      </c>
      <c r="K18" s="143" t="e">
        <f t="shared" si="5"/>
        <v>#REF!</v>
      </c>
      <c r="L18" s="143" t="e">
        <f t="shared" si="5"/>
        <v>#REF!</v>
      </c>
      <c r="M18" s="142" t="s">
        <v>28</v>
      </c>
    </row>
    <row r="19" spans="1:18" s="126" customFormat="1" ht="12">
      <c r="A19" s="146">
        <v>5</v>
      </c>
      <c r="B19" s="142" t="s">
        <v>39</v>
      </c>
      <c r="C19" s="143">
        <f t="shared" ref="C19:L19" si="6">C17+C15</f>
        <v>0</v>
      </c>
      <c r="D19" s="143">
        <f t="shared" si="6"/>
        <v>0</v>
      </c>
      <c r="E19" s="143" t="e">
        <f t="shared" si="6"/>
        <v>#REF!</v>
      </c>
      <c r="F19" s="143" t="e">
        <f t="shared" si="6"/>
        <v>#REF!</v>
      </c>
      <c r="G19" s="143" t="e">
        <f t="shared" si="6"/>
        <v>#REF!</v>
      </c>
      <c r="H19" s="143" t="e">
        <f t="shared" si="6"/>
        <v>#REF!</v>
      </c>
      <c r="I19" s="143" t="e">
        <f t="shared" si="6"/>
        <v>#REF!</v>
      </c>
      <c r="J19" s="143" t="e">
        <f t="shared" si="6"/>
        <v>#REF!</v>
      </c>
      <c r="K19" s="143" t="e">
        <f t="shared" si="6"/>
        <v>#REF!</v>
      </c>
      <c r="L19" s="143" t="e">
        <f t="shared" si="6"/>
        <v>#REF!</v>
      </c>
      <c r="M19" s="145" t="e">
        <f>SUM(C19:L19)</f>
        <v>#REF!</v>
      </c>
    </row>
    <row r="20" spans="1:18" s="126" customFormat="1" ht="12">
      <c r="A20" s="139">
        <v>6</v>
      </c>
      <c r="B20" s="142" t="s">
        <v>40</v>
      </c>
      <c r="C20" s="143">
        <f>C19</f>
        <v>0</v>
      </c>
      <c r="D20" s="143">
        <f t="shared" ref="D20:L20" si="7">C20+D19</f>
        <v>0</v>
      </c>
      <c r="E20" s="143" t="e">
        <f t="shared" si="7"/>
        <v>#REF!</v>
      </c>
      <c r="F20" s="143" t="e">
        <f t="shared" si="7"/>
        <v>#REF!</v>
      </c>
      <c r="G20" s="143" t="e">
        <f t="shared" si="7"/>
        <v>#REF!</v>
      </c>
      <c r="H20" s="143" t="e">
        <f t="shared" si="7"/>
        <v>#REF!</v>
      </c>
      <c r="I20" s="143" t="e">
        <f t="shared" si="7"/>
        <v>#REF!</v>
      </c>
      <c r="J20" s="143" t="e">
        <f t="shared" si="7"/>
        <v>#REF!</v>
      </c>
      <c r="K20" s="143" t="e">
        <f t="shared" si="7"/>
        <v>#REF!</v>
      </c>
      <c r="L20" s="143" t="e">
        <f t="shared" si="7"/>
        <v>#REF!</v>
      </c>
      <c r="M20" s="142" t="s">
        <v>28</v>
      </c>
    </row>
    <row r="21" spans="1:18" ht="12">
      <c r="A21" s="147"/>
      <c r="B21" s="148" t="s">
        <v>41</v>
      </c>
      <c r="C21" s="148"/>
      <c r="D21" s="148"/>
      <c r="E21" s="148" t="s">
        <v>42</v>
      </c>
      <c r="F21" s="148"/>
      <c r="G21" s="148"/>
      <c r="H21" s="148"/>
      <c r="I21" s="148" t="s">
        <v>43</v>
      </c>
      <c r="J21" s="148"/>
      <c r="K21" s="148"/>
      <c r="L21" s="148"/>
      <c r="M21" s="159"/>
    </row>
    <row r="22" spans="1:18" ht="12">
      <c r="A22" s="149"/>
      <c r="B22" s="150" t="s">
        <v>44</v>
      </c>
      <c r="C22" s="150"/>
      <c r="D22" s="151" t="s">
        <v>45</v>
      </c>
      <c r="E22" s="152" t="e">
        <f>IRR(C17:L17,0.15)</f>
        <v>#VALUE!</v>
      </c>
      <c r="F22" s="150"/>
      <c r="G22" s="150"/>
      <c r="H22" s="150"/>
      <c r="I22" s="152" t="e">
        <f>IRR(C19:L19,0.15)</f>
        <v>#VALUE!</v>
      </c>
      <c r="J22" s="150"/>
      <c r="K22" s="150"/>
      <c r="L22" s="150"/>
      <c r="M22" s="160"/>
    </row>
    <row r="23" spans="1:18" ht="12">
      <c r="A23" s="149"/>
      <c r="B23" s="150" t="s">
        <v>46</v>
      </c>
      <c r="C23" s="150"/>
      <c r="D23" s="150"/>
      <c r="E23" s="153" t="e">
        <f>NPV(0.12,C17:L17)</f>
        <v>#REF!</v>
      </c>
      <c r="F23" s="150"/>
      <c r="G23" s="150"/>
      <c r="H23" s="150"/>
      <c r="I23" s="153" t="e">
        <f>NPV(0.12,C19:L19)</f>
        <v>#REF!</v>
      </c>
      <c r="J23" s="150"/>
      <c r="K23" s="150"/>
      <c r="L23" s="150"/>
      <c r="M23" s="160"/>
      <c r="R23" s="127">
        <f>30.9-29.82</f>
        <v>1.08</v>
      </c>
    </row>
    <row r="24" spans="1:18" ht="12">
      <c r="A24" s="154"/>
      <c r="B24" s="155" t="s">
        <v>47</v>
      </c>
      <c r="C24" s="155"/>
      <c r="D24" s="155"/>
      <c r="E24" s="156" t="e">
        <f>6-H18/I17</f>
        <v>#REF!</v>
      </c>
      <c r="F24" s="155"/>
      <c r="G24" s="155"/>
      <c r="H24" s="155"/>
      <c r="I24" s="156" t="e">
        <f>6-H20/I19</f>
        <v>#REF!</v>
      </c>
      <c r="J24" s="155"/>
      <c r="K24" s="155"/>
      <c r="L24" s="155"/>
      <c r="M24" s="161"/>
    </row>
  </sheetData>
  <mergeCells count="1">
    <mergeCell ref="C3:E3"/>
  </mergeCells>
  <phoneticPr fontId="45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4"/>
  <sheetViews>
    <sheetView tabSelected="1" workbookViewId="0">
      <pane xSplit="2" ySplit="5" topLeftCell="C6" activePane="bottomRight" state="frozen"/>
      <selection pane="topRight"/>
      <selection pane="bottomLeft"/>
      <selection pane="bottomRight" sqref="A1:H1"/>
    </sheetView>
  </sheetViews>
  <sheetFormatPr defaultColWidth="9" defaultRowHeight="16.5"/>
  <cols>
    <col min="1" max="1" width="5.125" style="101" customWidth="1"/>
    <col min="2" max="2" width="19.625" style="101" customWidth="1"/>
    <col min="3" max="3" width="12.5" style="101" customWidth="1"/>
    <col min="4" max="7" width="12.5" style="102" customWidth="1"/>
    <col min="8" max="8" width="14.25" style="102" customWidth="1"/>
    <col min="9" max="34" width="9" style="101"/>
    <col min="35" max="35" width="4.375" style="101" customWidth="1"/>
    <col min="36" max="36" width="13.875" style="101" customWidth="1"/>
    <col min="37" max="16384" width="9" style="101"/>
  </cols>
  <sheetData>
    <row r="1" spans="1:37" ht="36.75" customHeight="1">
      <c r="A1" s="222" t="s">
        <v>296</v>
      </c>
      <c r="B1" s="222"/>
      <c r="C1" s="222"/>
      <c r="D1" s="222"/>
      <c r="E1" s="222"/>
      <c r="F1" s="222"/>
      <c r="G1" s="222"/>
      <c r="H1" s="222"/>
    </row>
    <row r="2" spans="1:37" ht="22.5" customHeight="1">
      <c r="B2" s="171"/>
      <c r="C2" s="171"/>
      <c r="D2" s="171"/>
      <c r="E2" s="171"/>
      <c r="F2" s="171"/>
      <c r="G2" s="171" t="s">
        <v>270</v>
      </c>
      <c r="H2" s="171"/>
    </row>
    <row r="3" spans="1:37" ht="21.75" customHeight="1">
      <c r="A3" s="220" t="s">
        <v>18</v>
      </c>
      <c r="B3" s="103" t="s">
        <v>1</v>
      </c>
      <c r="C3" s="103" t="s">
        <v>265</v>
      </c>
      <c r="D3" s="103" t="s">
        <v>266</v>
      </c>
      <c r="E3" s="103" t="s">
        <v>267</v>
      </c>
      <c r="F3" s="103" t="s">
        <v>268</v>
      </c>
      <c r="G3" s="103" t="s">
        <v>269</v>
      </c>
      <c r="H3" s="122" t="s">
        <v>51</v>
      </c>
      <c r="AK3" s="101" t="s">
        <v>52</v>
      </c>
    </row>
    <row r="4" spans="1:37" s="71" customFormat="1" ht="15.75" customHeight="1">
      <c r="A4" s="221"/>
      <c r="B4" s="79" t="s">
        <v>3</v>
      </c>
      <c r="C4" s="104">
        <f>'2025年'!T6</f>
        <v>3900</v>
      </c>
      <c r="D4" s="104">
        <f>'2026年'!T6</f>
        <v>17400</v>
      </c>
      <c r="E4" s="104">
        <f>'2027年'!T6</f>
        <v>24400</v>
      </c>
      <c r="F4" s="104">
        <f>'2028年'!T6</f>
        <v>0</v>
      </c>
      <c r="G4" s="104">
        <f>'2029年'!T6</f>
        <v>0</v>
      </c>
      <c r="H4" s="104">
        <f t="shared" ref="H4:H11" si="0">SUM(C4:G4)</f>
        <v>45700</v>
      </c>
      <c r="AI4" s="78" t="s">
        <v>18</v>
      </c>
      <c r="AJ4" s="79" t="s">
        <v>3</v>
      </c>
      <c r="AK4" s="71" t="s">
        <v>53</v>
      </c>
    </row>
    <row r="5" spans="1:37" s="71" customFormat="1" ht="15.75" customHeight="1">
      <c r="A5" s="75">
        <v>1</v>
      </c>
      <c r="B5" s="79" t="s">
        <v>54</v>
      </c>
      <c r="C5" s="104">
        <f>'2025年'!T7</f>
        <v>6237345.1327433642</v>
      </c>
      <c r="D5" s="104">
        <f>'2026年'!T7</f>
        <v>28306283.185840711</v>
      </c>
      <c r="E5" s="104">
        <f>'2027年'!T7</f>
        <v>41270000.000000007</v>
      </c>
      <c r="F5" s="104">
        <f>'2028年'!T7</f>
        <v>0</v>
      </c>
      <c r="G5" s="104">
        <f>'2029年'!T7</f>
        <v>0</v>
      </c>
      <c r="H5" s="104">
        <f t="shared" si="0"/>
        <v>75813628.318584085</v>
      </c>
      <c r="AI5" s="78" t="s">
        <v>55</v>
      </c>
      <c r="AJ5" s="79" t="s">
        <v>54</v>
      </c>
      <c r="AK5" s="71" t="s">
        <v>53</v>
      </c>
    </row>
    <row r="6" spans="1:37" s="71" customFormat="1" ht="15.75" customHeight="1">
      <c r="A6" s="75">
        <v>2</v>
      </c>
      <c r="B6" s="75" t="s">
        <v>56</v>
      </c>
      <c r="C6" s="104">
        <f>'2025年'!T8</f>
        <v>0</v>
      </c>
      <c r="D6" s="104">
        <f>'2026年'!T8</f>
        <v>1415314.1592920364</v>
      </c>
      <c r="E6" s="104">
        <f>'2027年'!T8</f>
        <v>4023825.0000000023</v>
      </c>
      <c r="F6" s="104">
        <f>'2028年'!T8</f>
        <v>0</v>
      </c>
      <c r="G6" s="104">
        <f>'2029年'!T8</f>
        <v>0</v>
      </c>
      <c r="H6" s="104">
        <f t="shared" si="0"/>
        <v>5439139.1592920385</v>
      </c>
      <c r="AI6" s="78" t="s">
        <v>57</v>
      </c>
      <c r="AJ6" s="75" t="s">
        <v>58</v>
      </c>
      <c r="AK6" s="71" t="s">
        <v>53</v>
      </c>
    </row>
    <row r="7" spans="1:37" s="71" customFormat="1" ht="15.75" customHeight="1">
      <c r="A7" s="75">
        <v>3</v>
      </c>
      <c r="B7" s="79" t="s">
        <v>59</v>
      </c>
      <c r="C7" s="105">
        <f>'2025年'!T9</f>
        <v>6237345.1327433642</v>
      </c>
      <c r="D7" s="105">
        <f>D5-D6</f>
        <v>26890969.026548676</v>
      </c>
      <c r="E7" s="105">
        <f>'2027年'!T9</f>
        <v>37246175</v>
      </c>
      <c r="F7" s="104">
        <f>'2028年'!T9</f>
        <v>0</v>
      </c>
      <c r="G7" s="104">
        <f>'2029年'!T9</f>
        <v>0</v>
      </c>
      <c r="H7" s="104">
        <f t="shared" si="0"/>
        <v>70374489.159292042</v>
      </c>
      <c r="AI7" s="78" t="s">
        <v>60</v>
      </c>
      <c r="AJ7" s="79" t="s">
        <v>59</v>
      </c>
      <c r="AK7" s="71" t="s">
        <v>61</v>
      </c>
    </row>
    <row r="8" spans="1:37" s="71" customFormat="1" ht="15.75" customHeight="1">
      <c r="A8" s="75">
        <v>4</v>
      </c>
      <c r="B8" s="78" t="s">
        <v>271</v>
      </c>
      <c r="C8" s="104">
        <f>'2025年'!T10</f>
        <v>4298895.0040956168</v>
      </c>
      <c r="D8" s="104">
        <f>'2026年'!T10</f>
        <v>18504243.325059414</v>
      </c>
      <c r="E8" s="105">
        <f>'2027年'!T10</f>
        <v>25520762.962456316</v>
      </c>
      <c r="F8" s="104">
        <f>'2028年'!T10</f>
        <v>0</v>
      </c>
      <c r="G8" s="104">
        <f>'2029年'!T10</f>
        <v>0</v>
      </c>
      <c r="H8" s="104">
        <f t="shared" si="0"/>
        <v>48323901.291611344</v>
      </c>
      <c r="AI8" s="78" t="s">
        <v>62</v>
      </c>
      <c r="AJ8" s="78" t="s">
        <v>63</v>
      </c>
      <c r="AK8" s="71" t="s">
        <v>64</v>
      </c>
    </row>
    <row r="9" spans="1:37" s="71" customFormat="1" ht="15.75" customHeight="1">
      <c r="A9" s="75">
        <v>5</v>
      </c>
      <c r="B9" s="78" t="s">
        <v>65</v>
      </c>
      <c r="C9" s="104">
        <f>'2025年'!T11</f>
        <v>432871.75221238931</v>
      </c>
      <c r="D9" s="104">
        <f>'2026年'!T11</f>
        <v>1964456.0530973449</v>
      </c>
      <c r="E9" s="105">
        <f>'2027年'!T11</f>
        <v>2864138.0000000009</v>
      </c>
      <c r="F9" s="104">
        <f>'2028年'!T11</f>
        <v>0</v>
      </c>
      <c r="G9" s="104">
        <f>'2029年'!T11</f>
        <v>0</v>
      </c>
      <c r="H9" s="104">
        <f t="shared" si="0"/>
        <v>5261465.8053097352</v>
      </c>
      <c r="AI9" s="78" t="s">
        <v>66</v>
      </c>
      <c r="AJ9" s="78" t="s">
        <v>65</v>
      </c>
    </row>
    <row r="10" spans="1:37" s="71" customFormat="1" ht="15.75" customHeight="1">
      <c r="A10" s="75">
        <v>6</v>
      </c>
      <c r="B10" s="78" t="s">
        <v>67</v>
      </c>
      <c r="C10" s="104">
        <f>'2025年'!T12</f>
        <v>270700.77876106207</v>
      </c>
      <c r="D10" s="104">
        <f>'2026年'!T12</f>
        <v>1228492.6902654867</v>
      </c>
      <c r="E10" s="105">
        <f>'2027年'!T12</f>
        <v>1791118</v>
      </c>
      <c r="F10" s="104">
        <f>'2028年'!T12</f>
        <v>0</v>
      </c>
      <c r="G10" s="104">
        <f>'2029年'!T12</f>
        <v>0</v>
      </c>
      <c r="H10" s="104">
        <f t="shared" si="0"/>
        <v>3290311.4690265488</v>
      </c>
      <c r="AI10" s="78" t="s">
        <v>68</v>
      </c>
      <c r="AJ10" s="78" t="s">
        <v>67</v>
      </c>
    </row>
    <row r="11" spans="1:37" s="71" customFormat="1" ht="15.75" customHeight="1">
      <c r="A11" s="75">
        <v>7</v>
      </c>
      <c r="B11" s="78" t="s">
        <v>69</v>
      </c>
      <c r="C11" s="104">
        <f>'2025年'!T13</f>
        <v>406051.16814159305</v>
      </c>
      <c r="D11" s="104">
        <f>'2026年'!T13</f>
        <v>1842739.0353982304</v>
      </c>
      <c r="E11" s="105">
        <f>'2027年'!T13</f>
        <v>2686677.0000000005</v>
      </c>
      <c r="F11" s="104">
        <f>'2028年'!T13</f>
        <v>0</v>
      </c>
      <c r="G11" s="104">
        <f>'2029年'!T13</f>
        <v>0</v>
      </c>
      <c r="H11" s="104">
        <f t="shared" si="0"/>
        <v>4935467.2035398241</v>
      </c>
      <c r="AI11" s="78" t="s">
        <v>70</v>
      </c>
      <c r="AJ11" s="78" t="s">
        <v>69</v>
      </c>
      <c r="AK11" s="71" t="s">
        <v>53</v>
      </c>
    </row>
    <row r="12" spans="1:37" s="71" customFormat="1" ht="15.75" customHeight="1">
      <c r="A12" s="75">
        <v>8</v>
      </c>
      <c r="B12" s="106" t="s">
        <v>71</v>
      </c>
      <c r="C12" s="107">
        <f>SUM(C9:C11)</f>
        <v>1109623.6991150444</v>
      </c>
      <c r="D12" s="107">
        <f t="shared" ref="D12:H12" si="1">SUM(D9:D11)</f>
        <v>5035687.7787610628</v>
      </c>
      <c r="E12" s="107">
        <f t="shared" si="1"/>
        <v>7341933.0000000019</v>
      </c>
      <c r="F12" s="107">
        <f t="shared" si="1"/>
        <v>0</v>
      </c>
      <c r="G12" s="107">
        <f t="shared" si="1"/>
        <v>0</v>
      </c>
      <c r="H12" s="107">
        <f t="shared" si="1"/>
        <v>13487244.477876108</v>
      </c>
      <c r="AI12" s="78" t="s">
        <v>72</v>
      </c>
      <c r="AJ12" s="83" t="s">
        <v>71</v>
      </c>
    </row>
    <row r="13" spans="1:37" s="71" customFormat="1" ht="15.75" customHeight="1">
      <c r="A13" s="75">
        <v>9</v>
      </c>
      <c r="B13" s="108" t="s">
        <v>73</v>
      </c>
      <c r="C13" s="104">
        <f>'2025年'!T15</f>
        <v>828826.42953270301</v>
      </c>
      <c r="D13" s="104">
        <f>'2026年'!T15</f>
        <v>3351037.922728207</v>
      </c>
      <c r="E13" s="105">
        <f>'2027年'!T15</f>
        <v>4383479.0375436824</v>
      </c>
      <c r="F13" s="104">
        <f>'2028年'!T15</f>
        <v>0</v>
      </c>
      <c r="G13" s="104">
        <f>'2029年'!T15</f>
        <v>0</v>
      </c>
      <c r="H13" s="104">
        <f>SUM(C13:G13)</f>
        <v>8563343.3898045924</v>
      </c>
      <c r="J13" s="101"/>
      <c r="K13" s="101"/>
      <c r="L13" s="101"/>
      <c r="M13" s="101"/>
      <c r="N13" s="101"/>
      <c r="O13" s="101"/>
      <c r="AI13" s="78" t="s">
        <v>74</v>
      </c>
      <c r="AJ13" s="83" t="s">
        <v>73</v>
      </c>
    </row>
    <row r="14" spans="1:37" ht="15.75" customHeight="1">
      <c r="A14" s="75">
        <v>10</v>
      </c>
      <c r="B14" s="109" t="s">
        <v>75</v>
      </c>
      <c r="C14" s="110">
        <f>+C13/C7</f>
        <v>0.13288128392666981</v>
      </c>
      <c r="D14" s="110">
        <f>+D13/D7</f>
        <v>0.1246157369568878</v>
      </c>
      <c r="E14" s="110">
        <f t="shared" ref="E14:F14" si="2">+E13/E7</f>
        <v>0.11768937448056566</v>
      </c>
      <c r="F14" s="110" t="e">
        <f t="shared" si="2"/>
        <v>#DIV/0!</v>
      </c>
      <c r="G14" s="110" t="e">
        <f>+G13/G7</f>
        <v>#DIV/0!</v>
      </c>
      <c r="H14" s="110">
        <f>+H13/H7</f>
        <v>0.12168249449628742</v>
      </c>
      <c r="AI14" s="109" t="s">
        <v>76</v>
      </c>
      <c r="AJ14" s="109" t="s">
        <v>75</v>
      </c>
    </row>
    <row r="15" spans="1:37" ht="15.75" customHeight="1">
      <c r="A15" s="75">
        <v>11</v>
      </c>
      <c r="B15" s="109" t="s">
        <v>77</v>
      </c>
      <c r="C15" s="104">
        <f>'2025年'!T17</f>
        <v>516164.30678466073</v>
      </c>
      <c r="D15" s="104">
        <f>'2026年'!T17</f>
        <v>2336851.6961651929</v>
      </c>
      <c r="E15" s="105">
        <f>'2027年'!T17</f>
        <v>3406358.3333333335</v>
      </c>
      <c r="F15" s="104"/>
      <c r="G15" s="104"/>
      <c r="H15" s="104">
        <f>SUM(C15:G15)</f>
        <v>6259374.3362831865</v>
      </c>
      <c r="AI15" s="109" t="s">
        <v>78</v>
      </c>
      <c r="AJ15" s="109" t="s">
        <v>77</v>
      </c>
    </row>
    <row r="16" spans="1:37" ht="15.75" hidden="1" customHeight="1">
      <c r="A16" s="75"/>
      <c r="B16" s="109"/>
      <c r="C16" s="104"/>
      <c r="D16" s="104"/>
      <c r="E16" s="104"/>
      <c r="F16" s="104"/>
      <c r="G16" s="104"/>
      <c r="H16" s="104">
        <f>SUM(D16:F16)</f>
        <v>0</v>
      </c>
      <c r="AI16" s="109"/>
      <c r="AJ16" s="109"/>
    </row>
    <row r="17" spans="1:37" ht="15.75" customHeight="1">
      <c r="A17" s="75">
        <v>12</v>
      </c>
      <c r="B17" s="109" t="s">
        <v>79</v>
      </c>
      <c r="C17" s="111">
        <f>'2025年'!T19</f>
        <v>107282.33628318582</v>
      </c>
      <c r="D17" s="111">
        <f>'2026年'!T19</f>
        <v>486868.07079646044</v>
      </c>
      <c r="E17" s="111">
        <f>'2027年'!T19</f>
        <v>709844.00000000012</v>
      </c>
      <c r="F17" s="104">
        <f>'2028年'!T19</f>
        <v>0</v>
      </c>
      <c r="G17" s="104">
        <f>'2029年'!T19</f>
        <v>0</v>
      </c>
      <c r="H17" s="104">
        <f>SUM(C17:G17)</f>
        <v>1303994.4070796464</v>
      </c>
      <c r="P17" s="82"/>
      <c r="AI17" s="109" t="s">
        <v>80</v>
      </c>
      <c r="AJ17" s="109" t="s">
        <v>79</v>
      </c>
      <c r="AK17" s="101" t="s">
        <v>53</v>
      </c>
    </row>
    <row r="18" spans="1:37" ht="15.75" customHeight="1">
      <c r="A18" s="75">
        <v>13</v>
      </c>
      <c r="B18" s="109" t="s">
        <v>81</v>
      </c>
      <c r="C18" s="111">
        <f>'2025年'!T20</f>
        <v>164665.91150442479</v>
      </c>
      <c r="D18" s="111">
        <f>'2026年'!T20</f>
        <v>747285.87610619492</v>
      </c>
      <c r="E18" s="111">
        <f>'2027年'!T20</f>
        <v>1089528.0000000002</v>
      </c>
      <c r="F18" s="104">
        <f>'2028年'!T20</f>
        <v>0</v>
      </c>
      <c r="G18" s="104">
        <f>'2029年'!T20</f>
        <v>0</v>
      </c>
      <c r="H18" s="104">
        <f>SUM(C18:G18)</f>
        <v>2001479.7876106198</v>
      </c>
      <c r="AI18" s="109" t="s">
        <v>82</v>
      </c>
      <c r="AJ18" s="109" t="s">
        <v>81</v>
      </c>
    </row>
    <row r="19" spans="1:37" s="73" customFormat="1" ht="15.75" customHeight="1">
      <c r="A19" s="75">
        <v>14</v>
      </c>
      <c r="B19" s="90" t="s">
        <v>83</v>
      </c>
      <c r="C19" s="112">
        <f>'2025年'!T21</f>
        <v>31666.666666666668</v>
      </c>
      <c r="D19" s="112">
        <f>'2026年'!T21</f>
        <v>31666.666666666668</v>
      </c>
      <c r="E19" s="112">
        <f>'2027年'!T21</f>
        <v>31666.666666666668</v>
      </c>
      <c r="F19" s="112">
        <f>'2028年'!T21</f>
        <v>0</v>
      </c>
      <c r="G19" s="104">
        <f>'2029年'!T21</f>
        <v>0</v>
      </c>
      <c r="H19" s="104">
        <f>SUM(C19:G19)</f>
        <v>95000</v>
      </c>
      <c r="AI19" s="90"/>
      <c r="AJ19" s="90"/>
    </row>
    <row r="20" spans="1:37" s="71" customFormat="1" ht="15.75" customHeight="1">
      <c r="A20" s="75">
        <v>15</v>
      </c>
      <c r="B20" s="78" t="s">
        <v>84</v>
      </c>
      <c r="C20" s="111">
        <f>'2025年'!T22</f>
        <v>221425.75221238946</v>
      </c>
      <c r="D20" s="111">
        <f>'2026年'!T22</f>
        <v>1004873.0530973453</v>
      </c>
      <c r="E20" s="111">
        <f>'2027年'!T22</f>
        <v>1465085</v>
      </c>
      <c r="F20" s="104">
        <f>'2028年'!T22</f>
        <v>0</v>
      </c>
      <c r="G20" s="104">
        <f>'2029年'!T22</f>
        <v>0</v>
      </c>
      <c r="H20" s="104">
        <f>SUM(C20:G20)</f>
        <v>2691383.8053097348</v>
      </c>
      <c r="AI20" s="78" t="s">
        <v>85</v>
      </c>
      <c r="AJ20" s="78" t="s">
        <v>84</v>
      </c>
    </row>
    <row r="21" spans="1:37" s="99" customFormat="1" ht="15.75" customHeight="1">
      <c r="A21" s="75">
        <v>16</v>
      </c>
      <c r="B21" s="113" t="s">
        <v>86</v>
      </c>
      <c r="C21" s="107">
        <f t="shared" ref="C21:G21" si="3">+C20+C19+C18+C17+C15</f>
        <v>1041204.9734513275</v>
      </c>
      <c r="D21" s="107">
        <f t="shared" si="3"/>
        <v>4607545.3628318608</v>
      </c>
      <c r="E21" s="107">
        <f t="shared" si="3"/>
        <v>6702482</v>
      </c>
      <c r="F21" s="107">
        <f t="shared" si="3"/>
        <v>0</v>
      </c>
      <c r="G21" s="107">
        <f t="shared" si="3"/>
        <v>0</v>
      </c>
      <c r="H21" s="107">
        <f>+H20+H19+H18+H17+H15</f>
        <v>12351232.336283188</v>
      </c>
      <c r="AI21" s="123" t="s">
        <v>87</v>
      </c>
      <c r="AJ21" s="124" t="s">
        <v>86</v>
      </c>
    </row>
    <row r="22" spans="1:37" ht="15.75" customHeight="1">
      <c r="A22" s="75">
        <v>17</v>
      </c>
      <c r="B22" s="109" t="s">
        <v>88</v>
      </c>
      <c r="C22" s="112">
        <f>'2025年'!T24</f>
        <v>-212378.54391862452</v>
      </c>
      <c r="D22" s="114">
        <f>'2026年'!T24</f>
        <v>-1256507.4401036538</v>
      </c>
      <c r="E22" s="114">
        <f>'2027年'!T24</f>
        <v>-2319002.9624563195</v>
      </c>
      <c r="F22" s="104"/>
      <c r="G22" s="104"/>
      <c r="H22" s="104">
        <f>SUM(C22:G22)</f>
        <v>-3787888.9464785978</v>
      </c>
      <c r="AI22" s="109" t="s">
        <v>89</v>
      </c>
      <c r="AJ22" s="109" t="s">
        <v>88</v>
      </c>
    </row>
    <row r="23" spans="1:37" ht="15.75" customHeight="1">
      <c r="A23" s="75">
        <v>18</v>
      </c>
      <c r="B23" s="109" t="s">
        <v>35</v>
      </c>
      <c r="C23" s="112">
        <f>'2025年'!T25</f>
        <v>0</v>
      </c>
      <c r="D23" s="114">
        <f>'2026年'!T25</f>
        <v>0</v>
      </c>
      <c r="E23" s="114">
        <f>'2027年'!T25</f>
        <v>0</v>
      </c>
      <c r="F23" s="104" t="e">
        <f>'2028年'!T25</f>
        <v>#DIV/0!</v>
      </c>
      <c r="G23" s="104" t="e">
        <f>'2029年'!T25</f>
        <v>#DIV/0!</v>
      </c>
      <c r="H23" s="104">
        <f t="shared" ref="H23" si="4">IF(H22&lt;0,0,H22*0.15)</f>
        <v>0</v>
      </c>
      <c r="AI23" s="109" t="s">
        <v>90</v>
      </c>
      <c r="AJ23" s="109" t="s">
        <v>35</v>
      </c>
    </row>
    <row r="24" spans="1:37" ht="15.75" customHeight="1">
      <c r="A24" s="75">
        <v>19</v>
      </c>
      <c r="B24" s="109" t="s">
        <v>91</v>
      </c>
      <c r="C24" s="112">
        <f>'2025年'!T26</f>
        <v>-212378.54391862539</v>
      </c>
      <c r="D24" s="114">
        <f>'2026年'!T26</f>
        <v>-1256507.4401036538</v>
      </c>
      <c r="E24" s="114">
        <f>'2027年'!T26</f>
        <v>-2319002.9624563195</v>
      </c>
      <c r="F24" s="104" t="e">
        <f>'2028年'!T26</f>
        <v>#DIV/0!</v>
      </c>
      <c r="G24" s="104" t="e">
        <f>'2029年'!T26</f>
        <v>#DIV/0!</v>
      </c>
      <c r="H24" s="104">
        <f>H22-H23</f>
        <v>-3787888.9464785978</v>
      </c>
      <c r="AI24" s="109" t="s">
        <v>92</v>
      </c>
      <c r="AJ24" s="109" t="s">
        <v>91</v>
      </c>
    </row>
    <row r="25" spans="1:37" ht="15.75" customHeight="1">
      <c r="A25" s="75">
        <v>20</v>
      </c>
      <c r="B25" s="109" t="s">
        <v>93</v>
      </c>
      <c r="C25" s="115">
        <f>C24/C7</f>
        <v>-3.4049509751148753E-2</v>
      </c>
      <c r="D25" s="115">
        <f t="shared" ref="D25:G25" si="5">D24/D7</f>
        <v>-4.672600079465862E-2</v>
      </c>
      <c r="E25" s="115">
        <f>E24/E7</f>
        <v>-6.2261506381697439E-2</v>
      </c>
      <c r="F25" s="115" t="e">
        <f t="shared" si="5"/>
        <v>#DIV/0!</v>
      </c>
      <c r="G25" s="115" t="e">
        <f t="shared" si="5"/>
        <v>#DIV/0!</v>
      </c>
      <c r="H25" s="115">
        <f>H24/H7</f>
        <v>-5.3824745184362817E-2</v>
      </c>
      <c r="AI25" s="125" t="s">
        <v>94</v>
      </c>
      <c r="AJ25" s="125" t="s">
        <v>95</v>
      </c>
    </row>
    <row r="26" spans="1:37" s="100" customFormat="1" ht="15.75" customHeight="1">
      <c r="D26" s="116"/>
      <c r="E26" s="116"/>
      <c r="F26" s="116"/>
      <c r="G26" s="116"/>
      <c r="H26" s="116"/>
    </row>
    <row r="27" spans="1:37" s="100" customFormat="1" ht="15.75" customHeight="1">
      <c r="A27" s="100" t="s">
        <v>96</v>
      </c>
      <c r="D27" s="117"/>
      <c r="E27" s="117"/>
      <c r="F27" s="117"/>
      <c r="G27" s="117"/>
      <c r="H27" s="117"/>
      <c r="AI27" s="100" t="s">
        <v>96</v>
      </c>
    </row>
    <row r="28" spans="1:37" ht="25.5" customHeight="1">
      <c r="A28" s="109" t="s">
        <v>18</v>
      </c>
      <c r="B28" s="172" t="s">
        <v>1</v>
      </c>
      <c r="C28" s="103" t="str">
        <f>C3</f>
        <v>2025年</v>
      </c>
      <c r="D28" s="103" t="str">
        <f t="shared" ref="D28:G28" si="6">D3</f>
        <v>2026年</v>
      </c>
      <c r="E28" s="103" t="str">
        <f t="shared" si="6"/>
        <v>2027年</v>
      </c>
      <c r="F28" s="103" t="str">
        <f t="shared" si="6"/>
        <v>2028年</v>
      </c>
      <c r="G28" s="103" t="str">
        <f t="shared" si="6"/>
        <v>2029年</v>
      </c>
      <c r="H28" s="122" t="s">
        <v>51</v>
      </c>
      <c r="AK28" s="101" t="s">
        <v>52</v>
      </c>
    </row>
    <row r="29" spans="1:37" s="71" customFormat="1" ht="15.75" customHeight="1">
      <c r="A29" s="78" t="s">
        <v>97</v>
      </c>
      <c r="B29" s="83" t="s">
        <v>98</v>
      </c>
      <c r="C29" s="83"/>
      <c r="D29" s="89"/>
      <c r="E29" s="89"/>
      <c r="F29" s="89"/>
      <c r="G29" s="89"/>
      <c r="H29" s="89"/>
      <c r="AI29" s="78" t="s">
        <v>99</v>
      </c>
      <c r="AJ29" s="83" t="s">
        <v>98</v>
      </c>
    </row>
    <row r="30" spans="1:37" s="71" customFormat="1" ht="15.75" customHeight="1">
      <c r="A30" s="78" t="s">
        <v>55</v>
      </c>
      <c r="B30" s="78" t="s">
        <v>100</v>
      </c>
      <c r="C30" s="81">
        <f>+C7/C4</f>
        <v>1599.3192648059908</v>
      </c>
      <c r="D30" s="81">
        <f t="shared" ref="D30:H30" si="7">+D7/D4</f>
        <v>1545.4579900315332</v>
      </c>
      <c r="E30" s="81">
        <f t="shared" si="7"/>
        <v>1526.482581967213</v>
      </c>
      <c r="F30" s="81" t="e">
        <f t="shared" si="7"/>
        <v>#DIV/0!</v>
      </c>
      <c r="G30" s="81" t="e">
        <f t="shared" si="7"/>
        <v>#DIV/0!</v>
      </c>
      <c r="H30" s="81">
        <f t="shared" si="7"/>
        <v>1539.9231763521234</v>
      </c>
      <c r="AI30" s="78" t="s">
        <v>55</v>
      </c>
      <c r="AJ30" s="78" t="s">
        <v>100</v>
      </c>
    </row>
    <row r="31" spans="1:37" s="71" customFormat="1" ht="15.75" customHeight="1">
      <c r="A31" s="78" t="s">
        <v>57</v>
      </c>
      <c r="B31" s="78" t="s">
        <v>101</v>
      </c>
      <c r="C31" s="81">
        <f>+C8/C4</f>
        <v>1102.2807702809273</v>
      </c>
      <c r="D31" s="81">
        <f t="shared" ref="D31:H31" si="8">+D8/D4</f>
        <v>1063.4622600608859</v>
      </c>
      <c r="E31" s="81">
        <f t="shared" si="8"/>
        <v>1045.93290829739</v>
      </c>
      <c r="F31" s="81" t="e">
        <f t="shared" si="8"/>
        <v>#DIV/0!</v>
      </c>
      <c r="G31" s="81" t="e">
        <f t="shared" si="8"/>
        <v>#DIV/0!</v>
      </c>
      <c r="H31" s="81">
        <f t="shared" si="8"/>
        <v>1057.4157831862437</v>
      </c>
      <c r="AI31" s="78" t="s">
        <v>57</v>
      </c>
      <c r="AJ31" s="78" t="s">
        <v>101</v>
      </c>
    </row>
    <row r="32" spans="1:37" s="71" customFormat="1" ht="15.75" customHeight="1">
      <c r="A32" s="78" t="s">
        <v>102</v>
      </c>
      <c r="B32" s="78" t="s">
        <v>103</v>
      </c>
      <c r="C32" s="89">
        <f>C30-C31</f>
        <v>497.03849452506347</v>
      </c>
      <c r="D32" s="89">
        <f t="shared" ref="D32:H32" si="9">D30-D31</f>
        <v>481.99572997064729</v>
      </c>
      <c r="E32" s="89">
        <f t="shared" si="9"/>
        <v>480.54967366982305</v>
      </c>
      <c r="F32" s="89" t="e">
        <f t="shared" si="9"/>
        <v>#DIV/0!</v>
      </c>
      <c r="G32" s="89" t="e">
        <f t="shared" si="9"/>
        <v>#DIV/0!</v>
      </c>
      <c r="H32" s="89">
        <f t="shared" si="9"/>
        <v>482.50739316587965</v>
      </c>
      <c r="AI32" s="78" t="s">
        <v>102</v>
      </c>
      <c r="AJ32" s="78" t="s">
        <v>103</v>
      </c>
    </row>
    <row r="33" spans="1:36" s="71" customFormat="1" ht="15.75" customHeight="1">
      <c r="A33" s="78">
        <v>3.1</v>
      </c>
      <c r="B33" s="78" t="s">
        <v>104</v>
      </c>
      <c r="C33" s="84">
        <f>C32/C30</f>
        <v>0.31078128392666982</v>
      </c>
      <c r="D33" s="84">
        <f t="shared" ref="D33:H33" si="10">D32/D30</f>
        <v>0.31187889485162434</v>
      </c>
      <c r="E33" s="84">
        <f t="shared" si="10"/>
        <v>0.31480848805397288</v>
      </c>
      <c r="F33" s="84" t="e">
        <f t="shared" si="10"/>
        <v>#DIV/0!</v>
      </c>
      <c r="G33" s="84" t="e">
        <f t="shared" si="10"/>
        <v>#DIV/0!</v>
      </c>
      <c r="H33" s="84">
        <f t="shared" si="10"/>
        <v>0.31333211979371373</v>
      </c>
      <c r="AI33" s="78"/>
      <c r="AJ33" s="78"/>
    </row>
    <row r="34" spans="1:36" s="71" customFormat="1" ht="15.75" customHeight="1">
      <c r="A34" s="78" t="s">
        <v>99</v>
      </c>
      <c r="B34" s="83" t="s">
        <v>9</v>
      </c>
      <c r="C34" s="89"/>
      <c r="D34" s="89"/>
      <c r="E34" s="89"/>
      <c r="F34" s="89"/>
      <c r="G34" s="89"/>
      <c r="H34" s="89"/>
      <c r="AI34" s="78" t="s">
        <v>105</v>
      </c>
      <c r="AJ34" s="83" t="s">
        <v>9</v>
      </c>
    </row>
    <row r="35" spans="1:36" s="71" customFormat="1" ht="15.75" customHeight="1">
      <c r="A35" s="78" t="s">
        <v>55</v>
      </c>
      <c r="B35" s="90" t="s">
        <v>106</v>
      </c>
      <c r="C35" s="81">
        <f>+C9/C4</f>
        <v>110.99275697753572</v>
      </c>
      <c r="D35" s="81">
        <f t="shared" ref="D35:H35" si="11">+D9/D4</f>
        <v>112.89977316651408</v>
      </c>
      <c r="E35" s="81">
        <f t="shared" si="11"/>
        <v>117.38270491803283</v>
      </c>
      <c r="F35" s="81" t="e">
        <f t="shared" si="11"/>
        <v>#DIV/0!</v>
      </c>
      <c r="G35" s="81" t="e">
        <f t="shared" si="11"/>
        <v>#DIV/0!</v>
      </c>
      <c r="H35" s="81">
        <f t="shared" si="11"/>
        <v>115.13054278577101</v>
      </c>
      <c r="AI35" s="78" t="s">
        <v>102</v>
      </c>
      <c r="AJ35" s="78" t="s">
        <v>106</v>
      </c>
    </row>
    <row r="36" spans="1:36" s="71" customFormat="1" ht="15.75" customHeight="1">
      <c r="A36" s="78" t="s">
        <v>57</v>
      </c>
      <c r="B36" s="90" t="s">
        <v>107</v>
      </c>
      <c r="C36" s="81">
        <f>+C10/C4</f>
        <v>69.41045609258002</v>
      </c>
      <c r="D36" s="81">
        <f t="shared" ref="D36:H36" si="12">+D10/D4</f>
        <v>70.603028176177403</v>
      </c>
      <c r="E36" s="81">
        <f t="shared" si="12"/>
        <v>73.406475409836062</v>
      </c>
      <c r="F36" s="81" t="e">
        <f t="shared" si="12"/>
        <v>#DIV/0!</v>
      </c>
      <c r="G36" s="81" t="e">
        <f t="shared" si="12"/>
        <v>#DIV/0!</v>
      </c>
      <c r="H36" s="81">
        <f t="shared" si="12"/>
        <v>71.998062779574369</v>
      </c>
      <c r="AI36" s="78" t="s">
        <v>60</v>
      </c>
      <c r="AJ36" s="78" t="s">
        <v>107</v>
      </c>
    </row>
    <row r="37" spans="1:36" s="71" customFormat="1" ht="15.75" customHeight="1">
      <c r="A37" s="78" t="s">
        <v>102</v>
      </c>
      <c r="B37" s="90" t="s">
        <v>108</v>
      </c>
      <c r="C37" s="81">
        <f>+C11/C4</f>
        <v>104.11568413887001</v>
      </c>
      <c r="D37" s="81">
        <f t="shared" ref="D37:H37" si="13">+D11/D4</f>
        <v>105.90454226426611</v>
      </c>
      <c r="E37" s="81">
        <f t="shared" si="13"/>
        <v>110.10971311475411</v>
      </c>
      <c r="F37" s="81" t="e">
        <f t="shared" si="13"/>
        <v>#DIV/0!</v>
      </c>
      <c r="G37" s="81" t="e">
        <f t="shared" si="13"/>
        <v>#DIV/0!</v>
      </c>
      <c r="H37" s="81">
        <f t="shared" si="13"/>
        <v>107.99709416936157</v>
      </c>
      <c r="AI37" s="78" t="s">
        <v>66</v>
      </c>
      <c r="AJ37" s="78" t="s">
        <v>108</v>
      </c>
    </row>
    <row r="38" spans="1:36" s="71" customFormat="1" ht="15.75" customHeight="1">
      <c r="A38" s="78" t="s">
        <v>109</v>
      </c>
      <c r="B38" s="108" t="s">
        <v>110</v>
      </c>
      <c r="C38" s="81"/>
      <c r="D38" s="81"/>
      <c r="E38" s="81"/>
      <c r="F38" s="81"/>
      <c r="G38" s="81"/>
      <c r="H38" s="81"/>
      <c r="AI38" s="78" t="s">
        <v>109</v>
      </c>
      <c r="AJ38" s="83" t="s">
        <v>110</v>
      </c>
    </row>
    <row r="39" spans="1:36" s="71" customFormat="1">
      <c r="A39" s="78" t="s">
        <v>55</v>
      </c>
      <c r="B39" s="90" t="s">
        <v>273</v>
      </c>
      <c r="C39" s="81">
        <f>+C13/C4</f>
        <v>212.51959731607769</v>
      </c>
      <c r="D39" s="81">
        <f t="shared" ref="D39:H39" si="14">+D13/D4</f>
        <v>192.58838636369006</v>
      </c>
      <c r="E39" s="81">
        <f t="shared" si="14"/>
        <v>179.6507802272001</v>
      </c>
      <c r="F39" s="81" t="e">
        <f t="shared" si="14"/>
        <v>#DIV/0!</v>
      </c>
      <c r="G39" s="81" t="e">
        <f t="shared" si="14"/>
        <v>#DIV/0!</v>
      </c>
      <c r="H39" s="81">
        <f t="shared" si="14"/>
        <v>187.38169343117269</v>
      </c>
      <c r="AI39" s="78" t="s">
        <v>55</v>
      </c>
      <c r="AJ39" s="78" t="s">
        <v>111</v>
      </c>
    </row>
    <row r="40" spans="1:36" s="71" customFormat="1" ht="15.75" customHeight="1">
      <c r="A40" s="78" t="s">
        <v>57</v>
      </c>
      <c r="B40" s="90" t="s">
        <v>112</v>
      </c>
      <c r="C40" s="104">
        <f>+C21/C39</f>
        <v>4899.3362805160814</v>
      </c>
      <c r="D40" s="104">
        <f t="shared" ref="D40:H40" si="15">+D21/D39</f>
        <v>23924.31573797407</v>
      </c>
      <c r="E40" s="104">
        <f t="shared" si="15"/>
        <v>37308.393492772637</v>
      </c>
      <c r="F40" s="104" t="e">
        <f t="shared" si="15"/>
        <v>#DIV/0!</v>
      </c>
      <c r="G40" s="104" t="e">
        <f t="shared" si="15"/>
        <v>#DIV/0!</v>
      </c>
      <c r="H40" s="104">
        <f t="shared" si="15"/>
        <v>65914.829299052784</v>
      </c>
      <c r="AI40" s="78" t="s">
        <v>57</v>
      </c>
      <c r="AJ40" s="78" t="s">
        <v>112</v>
      </c>
    </row>
    <row r="41" spans="1:36" s="71" customFormat="1" ht="15.75" customHeight="1">
      <c r="A41" s="78" t="s">
        <v>113</v>
      </c>
      <c r="B41" s="83" t="s">
        <v>114</v>
      </c>
      <c r="C41" s="89"/>
      <c r="D41" s="89"/>
      <c r="E41" s="89"/>
      <c r="F41" s="89"/>
      <c r="G41" s="89"/>
      <c r="H41" s="89"/>
      <c r="AI41" s="78" t="s">
        <v>113</v>
      </c>
      <c r="AJ41" s="83" t="s">
        <v>114</v>
      </c>
    </row>
    <row r="42" spans="1:36" s="71" customFormat="1" ht="15.75" customHeight="1">
      <c r="A42" s="78" t="s">
        <v>55</v>
      </c>
      <c r="B42" s="78" t="s">
        <v>115</v>
      </c>
      <c r="C42" s="89">
        <f>+C15/C4</f>
        <v>132.34982225247711</v>
      </c>
      <c r="D42" s="89">
        <f t="shared" ref="D42:H42" si="16">+D15/D4</f>
        <v>134.30182161868925</v>
      </c>
      <c r="E42" s="89">
        <f t="shared" si="16"/>
        <v>139.60484972677597</v>
      </c>
      <c r="F42" s="89" t="e">
        <f t="shared" si="16"/>
        <v>#DIV/0!</v>
      </c>
      <c r="G42" s="89" t="e">
        <f t="shared" si="16"/>
        <v>#DIV/0!</v>
      </c>
      <c r="H42" s="89">
        <f t="shared" si="16"/>
        <v>136.96661567359271</v>
      </c>
      <c r="AI42" s="78" t="s">
        <v>55</v>
      </c>
      <c r="AJ42" s="78" t="s">
        <v>115</v>
      </c>
    </row>
    <row r="43" spans="1:36" s="71" customFormat="1" ht="15.75" customHeight="1">
      <c r="A43" s="78" t="s">
        <v>57</v>
      </c>
      <c r="B43" s="78" t="s">
        <v>116</v>
      </c>
      <c r="C43" s="89">
        <f>+C17/C4</f>
        <v>27.508291354663033</v>
      </c>
      <c r="D43" s="89">
        <f t="shared" ref="D43:H43" si="17">+D17/D4</f>
        <v>27.980923608991979</v>
      </c>
      <c r="E43" s="89">
        <f t="shared" si="17"/>
        <v>29.09196721311476</v>
      </c>
      <c r="F43" s="89" t="e">
        <f t="shared" si="17"/>
        <v>#DIV/0!</v>
      </c>
      <c r="G43" s="89" t="e">
        <f t="shared" si="17"/>
        <v>#DIV/0!</v>
      </c>
      <c r="H43" s="89">
        <f t="shared" si="17"/>
        <v>28.533794465637776</v>
      </c>
      <c r="AI43" s="78" t="s">
        <v>57</v>
      </c>
      <c r="AJ43" s="78" t="s">
        <v>116</v>
      </c>
    </row>
    <row r="44" spans="1:36" s="71" customFormat="1" ht="15.75" customHeight="1">
      <c r="A44" s="78" t="s">
        <v>102</v>
      </c>
      <c r="B44" s="78" t="s">
        <v>117</v>
      </c>
      <c r="C44" s="89">
        <f>+C18/C4</f>
        <v>42.222028590878153</v>
      </c>
      <c r="D44" s="89">
        <f t="shared" ref="D44:H44" si="18">+D18/D4</f>
        <v>42.947464144034193</v>
      </c>
      <c r="E44" s="89">
        <f t="shared" si="18"/>
        <v>44.652786885245909</v>
      </c>
      <c r="F44" s="89" t="e">
        <f t="shared" si="18"/>
        <v>#DIV/0!</v>
      </c>
      <c r="G44" s="89" t="e">
        <f t="shared" si="18"/>
        <v>#DIV/0!</v>
      </c>
      <c r="H44" s="89">
        <f t="shared" si="18"/>
        <v>43.796056621676584</v>
      </c>
      <c r="AI44" s="78" t="s">
        <v>102</v>
      </c>
      <c r="AJ44" s="78" t="s">
        <v>117</v>
      </c>
    </row>
    <row r="45" spans="1:36" s="71" customFormat="1" ht="15.75" customHeight="1">
      <c r="A45" s="78" t="s">
        <v>60</v>
      </c>
      <c r="B45" s="78" t="s">
        <v>118</v>
      </c>
      <c r="C45" s="89">
        <f>C19/C4</f>
        <v>8.1196581196581192</v>
      </c>
      <c r="D45" s="89">
        <f t="shared" ref="D45:H45" si="19">D19/D4</f>
        <v>1.8199233716475096</v>
      </c>
      <c r="E45" s="89">
        <f t="shared" si="19"/>
        <v>1.2978142076502732</v>
      </c>
      <c r="F45" s="89" t="e">
        <f t="shared" si="19"/>
        <v>#DIV/0!</v>
      </c>
      <c r="G45" s="89" t="e">
        <f t="shared" si="19"/>
        <v>#DIV/0!</v>
      </c>
      <c r="H45" s="89">
        <f t="shared" si="19"/>
        <v>2.0787746170678338</v>
      </c>
      <c r="AI45" s="78" t="s">
        <v>60</v>
      </c>
      <c r="AJ45" s="78" t="s">
        <v>119</v>
      </c>
    </row>
    <row r="46" spans="1:36" s="71" customFormat="1" ht="15.75" customHeight="1">
      <c r="A46" s="78" t="s">
        <v>62</v>
      </c>
      <c r="B46" s="78" t="s">
        <v>120</v>
      </c>
      <c r="C46" s="89">
        <f>C20/C4</f>
        <v>56.775833900612682</v>
      </c>
      <c r="D46" s="89">
        <f t="shared" ref="D46:H46" si="20">D20/D4</f>
        <v>57.751324890652029</v>
      </c>
      <c r="E46" s="89">
        <f t="shared" si="20"/>
        <v>60.044467213114757</v>
      </c>
      <c r="F46" s="89" t="e">
        <f t="shared" si="20"/>
        <v>#DIV/0!</v>
      </c>
      <c r="G46" s="89" t="e">
        <f t="shared" si="20"/>
        <v>#DIV/0!</v>
      </c>
      <c r="H46" s="89">
        <f t="shared" si="20"/>
        <v>58.8924246238454</v>
      </c>
      <c r="AI46" s="78" t="s">
        <v>62</v>
      </c>
      <c r="AJ46" s="78" t="s">
        <v>120</v>
      </c>
    </row>
    <row r="47" spans="1:36" s="71" customFormat="1" ht="15.75" customHeight="1">
      <c r="A47" s="78" t="s">
        <v>121</v>
      </c>
      <c r="B47" s="83" t="s">
        <v>122</v>
      </c>
      <c r="C47" s="89"/>
      <c r="D47" s="89"/>
      <c r="E47" s="89"/>
      <c r="F47" s="89"/>
      <c r="G47" s="89"/>
      <c r="H47" s="89"/>
      <c r="AI47" s="78" t="s">
        <v>121</v>
      </c>
      <c r="AJ47" s="83" t="s">
        <v>122</v>
      </c>
    </row>
    <row r="48" spans="1:36" s="71" customFormat="1" ht="15.75" customHeight="1">
      <c r="A48" s="78" t="s">
        <v>55</v>
      </c>
      <c r="B48" s="78" t="s">
        <v>123</v>
      </c>
      <c r="C48" s="92">
        <f>+(C11+C17)/C7</f>
        <v>8.2299999999999998E-2</v>
      </c>
      <c r="D48" s="92">
        <f t="shared" ref="D48:H48" si="21">+(D11+D17)/D7</f>
        <v>8.6631578947368434E-2</v>
      </c>
      <c r="E48" s="92">
        <f t="shared" si="21"/>
        <v>9.1191135734072032E-2</v>
      </c>
      <c r="F48" s="92" t="e">
        <f t="shared" si="21"/>
        <v>#DIV/0!</v>
      </c>
      <c r="G48" s="92" t="e">
        <f t="shared" si="21"/>
        <v>#DIV/0!</v>
      </c>
      <c r="H48" s="92">
        <f t="shared" si="21"/>
        <v>8.8660844080821727E-2</v>
      </c>
      <c r="AI48" s="78" t="s">
        <v>55</v>
      </c>
      <c r="AJ48" s="78" t="s">
        <v>123</v>
      </c>
    </row>
    <row r="49" spans="1:36" s="71" customFormat="1" ht="15.75" customHeight="1">
      <c r="A49" s="78" t="s">
        <v>57</v>
      </c>
      <c r="B49" s="78" t="s">
        <v>124</v>
      </c>
      <c r="C49" s="92">
        <f>+(C9+C10+C15)/C7</f>
        <v>0.19555384731799133</v>
      </c>
      <c r="D49" s="92">
        <f t="shared" ref="D49:H49" si="22">+(D9+D10+D15)/D7</f>
        <v>0.20563782711097592</v>
      </c>
      <c r="E49" s="92">
        <f t="shared" si="22"/>
        <v>0.21644140192471667</v>
      </c>
      <c r="F49" s="92" t="e">
        <f t="shared" si="22"/>
        <v>#DIV/0!</v>
      </c>
      <c r="G49" s="92" t="e">
        <f t="shared" si="22"/>
        <v>#DIV/0!</v>
      </c>
      <c r="H49" s="92">
        <f t="shared" si="22"/>
        <v>0.21046194135909901</v>
      </c>
      <c r="AI49" s="78" t="s">
        <v>57</v>
      </c>
      <c r="AJ49" s="78" t="s">
        <v>124</v>
      </c>
    </row>
    <row r="50" spans="1:36" s="71" customFormat="1" ht="15.75" customHeight="1">
      <c r="A50" s="78" t="s">
        <v>102</v>
      </c>
      <c r="B50" s="78" t="s">
        <v>125</v>
      </c>
      <c r="C50" s="92">
        <f>+C18/C7</f>
        <v>2.6399999999999996E-2</v>
      </c>
      <c r="D50" s="92">
        <f t="shared" ref="D50:H50" si="23">+D18/D7</f>
        <v>2.7789473684210531E-2</v>
      </c>
      <c r="E50" s="92">
        <f t="shared" si="23"/>
        <v>2.9252077562326877E-2</v>
      </c>
      <c r="F50" s="92" t="e">
        <f t="shared" si="23"/>
        <v>#DIV/0!</v>
      </c>
      <c r="G50" s="92" t="e">
        <f t="shared" si="23"/>
        <v>#DIV/0!</v>
      </c>
      <c r="H50" s="92">
        <f t="shared" si="23"/>
        <v>2.8440416570275739E-2</v>
      </c>
      <c r="AI50" s="78" t="s">
        <v>102</v>
      </c>
      <c r="AJ50" s="78" t="s">
        <v>125</v>
      </c>
    </row>
    <row r="51" spans="1:36" s="71" customFormat="1" ht="15.75" customHeight="1">
      <c r="A51" s="78" t="s">
        <v>60</v>
      </c>
      <c r="B51" s="78" t="s">
        <v>126</v>
      </c>
      <c r="C51" s="92">
        <f>+C19/C7</f>
        <v>5.0769463598270941E-3</v>
      </c>
      <c r="D51" s="92">
        <f t="shared" ref="D51:H51" si="24">+D19/D7</f>
        <v>1.1775948510967785E-3</v>
      </c>
      <c r="E51" s="92">
        <f t="shared" si="24"/>
        <v>8.5019915915303162E-4</v>
      </c>
      <c r="F51" s="92" t="e">
        <f t="shared" si="24"/>
        <v>#DIV/0!</v>
      </c>
      <c r="G51" s="92" t="e">
        <f t="shared" si="24"/>
        <v>#DIV/0!</v>
      </c>
      <c r="H51" s="92">
        <f t="shared" si="24"/>
        <v>1.3499209889107449E-3</v>
      </c>
      <c r="AI51" s="78" t="s">
        <v>60</v>
      </c>
      <c r="AJ51" s="78" t="s">
        <v>126</v>
      </c>
    </row>
    <row r="52" spans="1:36" s="71" customFormat="1" ht="15.75" customHeight="1">
      <c r="A52" s="78" t="s">
        <v>62</v>
      </c>
      <c r="B52" s="78" t="s">
        <v>127</v>
      </c>
      <c r="C52" s="92">
        <f>+C20/C7</f>
        <v>3.5500000000000004E-2</v>
      </c>
      <c r="D52" s="92">
        <f t="shared" ref="D52:H52" si="25">+D20/D7</f>
        <v>3.7368421052631579E-2</v>
      </c>
      <c r="E52" s="92">
        <f t="shared" si="25"/>
        <v>3.933518005540166E-2</v>
      </c>
      <c r="F52" s="92" t="e">
        <f t="shared" si="25"/>
        <v>#DIV/0!</v>
      </c>
      <c r="G52" s="92" t="e">
        <f t="shared" si="25"/>
        <v>#DIV/0!</v>
      </c>
      <c r="H52" s="92">
        <f t="shared" si="25"/>
        <v>3.8243741978969271E-2</v>
      </c>
      <c r="AI52" s="78" t="s">
        <v>62</v>
      </c>
      <c r="AJ52" s="78" t="s">
        <v>127</v>
      </c>
    </row>
    <row r="53" spans="1:36" s="71" customFormat="1" ht="15.75" customHeight="1">
      <c r="A53" s="78" t="s">
        <v>66</v>
      </c>
      <c r="B53" s="78" t="s">
        <v>128</v>
      </c>
      <c r="C53" s="92">
        <f>+C24/C7</f>
        <v>-3.4049509751148753E-2</v>
      </c>
      <c r="D53" s="92">
        <f t="shared" ref="D53:H53" si="26">+D24/D7</f>
        <v>-4.672600079465862E-2</v>
      </c>
      <c r="E53" s="92">
        <f t="shared" si="26"/>
        <v>-6.2261506381697439E-2</v>
      </c>
      <c r="F53" s="92" t="e">
        <f t="shared" si="26"/>
        <v>#DIV/0!</v>
      </c>
      <c r="G53" s="92" t="e">
        <f t="shared" si="26"/>
        <v>#DIV/0!</v>
      </c>
      <c r="H53" s="92">
        <f t="shared" si="26"/>
        <v>-5.3824745184362817E-2</v>
      </c>
      <c r="AI53" s="78" t="s">
        <v>66</v>
      </c>
      <c r="AJ53" s="78" t="s">
        <v>129</v>
      </c>
    </row>
    <row r="54" spans="1:36" s="71" customFormat="1" ht="15.75" customHeight="1">
      <c r="A54" s="78" t="s">
        <v>130</v>
      </c>
      <c r="B54" s="83" t="s">
        <v>131</v>
      </c>
      <c r="C54" s="89">
        <f>+C22/C4</f>
        <v>-54.456036902211416</v>
      </c>
      <c r="D54" s="89">
        <f t="shared" ref="D54:H54" si="27">+D22/D4</f>
        <v>-72.213071270324932</v>
      </c>
      <c r="E54" s="89">
        <f t="shared" si="27"/>
        <v>-95.041105018701614</v>
      </c>
      <c r="F54" s="89" t="e">
        <f t="shared" si="27"/>
        <v>#DIV/0!</v>
      </c>
      <c r="G54" s="89" t="e">
        <f t="shared" si="27"/>
        <v>#DIV/0!</v>
      </c>
      <c r="H54" s="89">
        <f t="shared" si="27"/>
        <v>-82.885972570647652</v>
      </c>
      <c r="AI54" s="78" t="s">
        <v>130</v>
      </c>
      <c r="AJ54" s="83" t="s">
        <v>131</v>
      </c>
    </row>
    <row r="55" spans="1:36" s="71" customFormat="1" ht="32.25" customHeight="1">
      <c r="A55" s="78" t="s">
        <v>132</v>
      </c>
      <c r="B55" s="118" t="s">
        <v>133</v>
      </c>
      <c r="C55" s="118"/>
      <c r="D55" s="89"/>
      <c r="E55" s="89"/>
      <c r="F55" s="89"/>
      <c r="G55" s="89"/>
      <c r="H55" s="89"/>
      <c r="AI55" s="78"/>
      <c r="AJ55" s="83"/>
    </row>
    <row r="56" spans="1:36" s="71" customFormat="1" ht="15.75" customHeight="1">
      <c r="A56" s="78" t="s">
        <v>55</v>
      </c>
      <c r="B56" s="78" t="s">
        <v>134</v>
      </c>
      <c r="C56" s="89">
        <f>C57+C58</f>
        <v>100000</v>
      </c>
      <c r="D56" s="89"/>
      <c r="E56" s="89"/>
      <c r="F56" s="89"/>
      <c r="G56" s="89"/>
      <c r="H56" s="89"/>
    </row>
    <row r="57" spans="1:36" s="71" customFormat="1" ht="15.75" customHeight="1">
      <c r="A57" s="78">
        <v>1.1000000000000001</v>
      </c>
      <c r="B57" s="119" t="s">
        <v>135</v>
      </c>
      <c r="C57" s="89">
        <f>项目投资!B27</f>
        <v>95000</v>
      </c>
      <c r="D57" s="89"/>
      <c r="E57" s="89"/>
      <c r="F57" s="89"/>
      <c r="G57" s="89"/>
      <c r="H57" s="89"/>
    </row>
    <row r="58" spans="1:36" s="71" customFormat="1" ht="15.75" customHeight="1">
      <c r="A58" s="78">
        <v>1.2</v>
      </c>
      <c r="B58" s="78" t="s">
        <v>136</v>
      </c>
      <c r="C58" s="89">
        <f>项目投资!B26</f>
        <v>5000</v>
      </c>
      <c r="D58" s="89"/>
      <c r="E58" s="89"/>
      <c r="F58" s="89"/>
      <c r="G58" s="89"/>
      <c r="H58" s="89"/>
    </row>
    <row r="59" spans="1:36" ht="15.75" customHeight="1">
      <c r="A59" s="109" t="s">
        <v>57</v>
      </c>
      <c r="B59" s="109" t="s">
        <v>137</v>
      </c>
      <c r="C59" s="120">
        <f>C60+C61</f>
        <v>-212378.54391862539</v>
      </c>
      <c r="D59" s="120">
        <f t="shared" ref="D59:H59" si="28">D60+D61</f>
        <v>-1256507.4401036538</v>
      </c>
      <c r="E59" s="120">
        <f t="shared" si="28"/>
        <v>-2319002.9624563195</v>
      </c>
      <c r="F59" s="120" t="e">
        <f t="shared" si="28"/>
        <v>#DIV/0!</v>
      </c>
      <c r="G59" s="120" t="e">
        <f t="shared" si="28"/>
        <v>#DIV/0!</v>
      </c>
      <c r="H59" s="120">
        <f t="shared" si="28"/>
        <v>-3787888.9464785978</v>
      </c>
    </row>
    <row r="60" spans="1:36" ht="15.75" customHeight="1">
      <c r="A60" s="109" t="s">
        <v>102</v>
      </c>
      <c r="B60" s="109" t="s">
        <v>138</v>
      </c>
      <c r="C60" s="120">
        <f>C24</f>
        <v>-212378.54391862539</v>
      </c>
      <c r="D60" s="120">
        <f t="shared" ref="D60:H60" si="29">D24</f>
        <v>-1256507.4401036538</v>
      </c>
      <c r="E60" s="120">
        <f t="shared" si="29"/>
        <v>-2319002.9624563195</v>
      </c>
      <c r="F60" s="120" t="e">
        <f t="shared" si="29"/>
        <v>#DIV/0!</v>
      </c>
      <c r="G60" s="120" t="e">
        <f t="shared" si="29"/>
        <v>#DIV/0!</v>
      </c>
      <c r="H60" s="120">
        <f t="shared" si="29"/>
        <v>-3787888.9464785978</v>
      </c>
    </row>
    <row r="61" spans="1:36" ht="15.75" customHeight="1">
      <c r="A61" s="109" t="s">
        <v>60</v>
      </c>
      <c r="B61" s="109" t="s">
        <v>139</v>
      </c>
      <c r="C61" s="109"/>
      <c r="D61" s="120">
        <f>'[2]2023年'!I18</f>
        <v>0</v>
      </c>
      <c r="E61" s="120"/>
      <c r="F61" s="120"/>
      <c r="G61" s="120"/>
      <c r="H61" s="120">
        <f>[2]项目投资!G26</f>
        <v>0</v>
      </c>
    </row>
    <row r="62" spans="1:36" ht="15.75" customHeight="1">
      <c r="A62" s="109" t="s">
        <v>62</v>
      </c>
      <c r="B62" s="109" t="s">
        <v>140</v>
      </c>
      <c r="C62" s="109"/>
      <c r="D62" s="121"/>
      <c r="E62" s="121"/>
      <c r="F62" s="121"/>
      <c r="G62" s="121"/>
      <c r="H62" s="120"/>
    </row>
    <row r="64" spans="1:36">
      <c r="B64"/>
      <c r="C64"/>
    </row>
  </sheetData>
  <mergeCells count="2">
    <mergeCell ref="A3:A4"/>
    <mergeCell ref="A1:H1"/>
  </mergeCells>
  <phoneticPr fontId="45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74"/>
  <sheetViews>
    <sheetView workbookViewId="0">
      <pane xSplit="2" ySplit="6" topLeftCell="M7" activePane="bottomRight" state="frozen"/>
      <selection pane="topRight" activeCell="C1" sqref="C1"/>
      <selection pane="bottomLeft" activeCell="A7" sqref="A7"/>
      <selection pane="bottomRight" activeCell="S43" sqref="S43"/>
    </sheetView>
  </sheetViews>
  <sheetFormatPr defaultColWidth="9" defaultRowHeight="16.5"/>
  <cols>
    <col min="1" max="1" width="5.125" style="71" customWidth="1"/>
    <col min="2" max="2" width="17.5" style="71" customWidth="1"/>
    <col min="3" max="19" width="14.375" style="74" customWidth="1"/>
    <col min="20" max="20" width="18.75" style="74" customWidth="1"/>
    <col min="21" max="21" width="12.375" style="71" customWidth="1"/>
    <col min="22" max="22" width="10.125" style="71" customWidth="1"/>
    <col min="23" max="29" width="9" style="71" customWidth="1"/>
    <col min="30" max="43" width="9" style="71"/>
    <col min="44" max="44" width="4.375" style="71" customWidth="1"/>
    <col min="45" max="45" width="13.875" style="71" customWidth="1"/>
    <col min="46" max="16384" width="9" style="71"/>
  </cols>
  <sheetData>
    <row r="1" spans="1:46">
      <c r="A1" s="223" t="s">
        <v>141</v>
      </c>
      <c r="B1" s="223"/>
      <c r="C1" s="227" t="s">
        <v>264</v>
      </c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9"/>
    </row>
    <row r="2" spans="1:46">
      <c r="A2" s="223" t="s">
        <v>142</v>
      </c>
      <c r="B2" s="223"/>
      <c r="C2" s="230" t="s">
        <v>283</v>
      </c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</row>
    <row r="3" spans="1:46">
      <c r="A3" s="223" t="s">
        <v>143</v>
      </c>
      <c r="B3" s="223"/>
      <c r="C3" s="76" t="str">
        <f>销量!C5</f>
        <v>A668100000203</v>
      </c>
      <c r="D3" s="76" t="str">
        <f>销量!D5</f>
        <v>A668100000205</v>
      </c>
      <c r="E3" s="76" t="str">
        <f>销量!E5</f>
        <v>A668100000206</v>
      </c>
      <c r="F3" s="76" t="str">
        <f>销量!F5</f>
        <v>A668100000207</v>
      </c>
      <c r="G3" s="76" t="str">
        <f>销量!G5</f>
        <v>A668100000208</v>
      </c>
      <c r="H3" s="76" t="str">
        <f>销量!H5</f>
        <v>A668100000209</v>
      </c>
      <c r="I3" s="76" t="str">
        <f>销量!I5</f>
        <v>A668100000210</v>
      </c>
      <c r="J3" s="76" t="str">
        <f>销量!J5</f>
        <v>A668100000216</v>
      </c>
      <c r="K3" s="76" t="str">
        <f>销量!K5</f>
        <v>A668100000218</v>
      </c>
      <c r="L3" s="76" t="str">
        <f>销量!L5</f>
        <v>A668100000219</v>
      </c>
      <c r="M3" s="76" t="str">
        <f>销量!M5</f>
        <v>A668100000220</v>
      </c>
      <c r="N3" s="76" t="str">
        <f>销量!N5</f>
        <v>A668100000221</v>
      </c>
      <c r="O3" s="76" t="str">
        <f>销量!O5</f>
        <v>A668100000222</v>
      </c>
      <c r="P3" s="76" t="str">
        <f>销量!P5</f>
        <v>A668100000223</v>
      </c>
      <c r="Q3" s="76" t="str">
        <f>销量!Q5</f>
        <v>A668100000204</v>
      </c>
      <c r="R3" s="76" t="str">
        <f>销量!R5</f>
        <v>A668100000215</v>
      </c>
      <c r="S3" s="76" t="str">
        <f>销量!S5</f>
        <v>A668100000217</v>
      </c>
      <c r="T3" s="224" t="s">
        <v>51</v>
      </c>
    </row>
    <row r="4" spans="1:46">
      <c r="A4" s="223" t="s">
        <v>144</v>
      </c>
      <c r="B4" s="223"/>
      <c r="C4" s="76" t="str">
        <f>销量!C6</f>
        <v>驾驶员座椅总成</v>
      </c>
      <c r="D4" s="76" t="str">
        <f>销量!D6</f>
        <v>驾驶员座椅总成</v>
      </c>
      <c r="E4" s="76" t="str">
        <f>销量!E6</f>
        <v>驾驶员座椅总成</v>
      </c>
      <c r="F4" s="76" t="str">
        <f>销量!F6</f>
        <v>驾驶员座椅总成</v>
      </c>
      <c r="G4" s="76" t="str">
        <f>销量!G6</f>
        <v>驾驶员座椅总成</v>
      </c>
      <c r="H4" s="76" t="str">
        <f>销量!H6</f>
        <v>驾驶员座椅总成</v>
      </c>
      <c r="I4" s="76" t="str">
        <f>销量!I6</f>
        <v>驾驶员座椅总成</v>
      </c>
      <c r="J4" s="76" t="str">
        <f>销量!J6</f>
        <v>副驾驶员座椅总成</v>
      </c>
      <c r="K4" s="76" t="str">
        <f>销量!K6</f>
        <v>副驾驶员座椅总成</v>
      </c>
      <c r="L4" s="76" t="str">
        <f>销量!L6</f>
        <v>副驾驶员座椅总成</v>
      </c>
      <c r="M4" s="76" t="str">
        <f>销量!M6</f>
        <v>副驾驶员座椅总成</v>
      </c>
      <c r="N4" s="76" t="str">
        <f>销量!N6</f>
        <v>副驾驶员座椅总成</v>
      </c>
      <c r="O4" s="76" t="str">
        <f>销量!O6</f>
        <v>副驾驶员座椅总成</v>
      </c>
      <c r="P4" s="76" t="str">
        <f>销量!P6</f>
        <v>副驾驶员座椅总成</v>
      </c>
      <c r="Q4" s="76" t="str">
        <f>销量!Q6</f>
        <v>驾驶员座椅总成</v>
      </c>
      <c r="R4" s="76" t="str">
        <f>销量!R6</f>
        <v>副驾驶员座椅总成</v>
      </c>
      <c r="S4" s="76" t="str">
        <f>销量!S6</f>
        <v>副驾驶员座椅总成</v>
      </c>
      <c r="T4" s="225"/>
    </row>
    <row r="5" spans="1:46" ht="31.5" customHeight="1">
      <c r="A5" s="223" t="s">
        <v>145</v>
      </c>
      <c r="B5" s="223"/>
      <c r="C5" s="77" t="str">
        <f>销量!C7</f>
        <v>在A668100000010基础上去除头枕部位的福田模压LOGO</v>
      </c>
      <c r="D5" s="77" t="str">
        <f>销量!D7</f>
        <v>在A668100000108基础上去除头枕部位的福田模压LOGO</v>
      </c>
      <c r="E5" s="77" t="str">
        <f>销量!E7</f>
        <v>在A668100000004基础上去除头枕部位的福田模压LOGO</v>
      </c>
      <c r="F5" s="77" t="str">
        <f>销量!F7</f>
        <v>在A668100000023基础上去除头枕部位的福田模压LOGO</v>
      </c>
      <c r="G5" s="77" t="str">
        <f>销量!G7</f>
        <v>在A668100000099基础上去除头枕部位的福田模压LOGO</v>
      </c>
      <c r="H5" s="77" t="str">
        <f>销量!H7</f>
        <v>在A668100000101基础上去除头枕部位的福田模压LOGO</v>
      </c>
      <c r="I5" s="77" t="str">
        <f>销量!I7</f>
        <v>在A668100000026基础上去除头枕部位的福田模压LOGO</v>
      </c>
      <c r="J5" s="77" t="str">
        <f>销量!J7</f>
        <v>在A668100000158基础上去除头枕部位的福田模压LOGO； 有安全带未系提醒</v>
      </c>
      <c r="K5" s="77" t="str">
        <f>销量!K7</f>
        <v>在A668100000011基础上去除头枕部位的福田模压LOGO； 有安全带未系提醒</v>
      </c>
      <c r="L5" s="77" t="str">
        <f>销量!L7</f>
        <v>在A668100000006基础上去除头枕部位的福田模压LOGO； 有安全带未系提醒</v>
      </c>
      <c r="M5" s="77" t="str">
        <f>销量!M7</f>
        <v>在A668100000112基础上去除头枕部位的福田模压LOGO； 有安全带未系提醒</v>
      </c>
      <c r="N5" s="77" t="str">
        <f>销量!N7</f>
        <v>在A668100000110基础上去除头枕部位的福田模压LOGO； 有安全带未系提醒</v>
      </c>
      <c r="O5" s="77" t="str">
        <f>销量!O7</f>
        <v>在A668100000100基础上去除头枕部位的福田模压LOGO； 有安全带未系提醒</v>
      </c>
      <c r="P5" s="77" t="str">
        <f>销量!P7</f>
        <v>在A668100000025基础上去除头枕部位的福田模压LOGO； 有安全带未系提醒</v>
      </c>
      <c r="Q5" s="77" t="str">
        <f>销量!Q7</f>
        <v>在A668100000107基础上去除头枕部位的福田模压LOGO</v>
      </c>
      <c r="R5" s="77" t="str">
        <f>销量!R7</f>
        <v>在A668100000154基础上去除头枕部位的福田模压LOGO； 有安全带未系提醒</v>
      </c>
      <c r="S5" s="77" t="str">
        <f>销量!S7</f>
        <v>在A668100000109基础上去除头枕部位的福田模压LOGO； 有安全带未系提醒</v>
      </c>
      <c r="T5" s="226"/>
      <c r="AT5" s="71" t="s">
        <v>52</v>
      </c>
    </row>
    <row r="6" spans="1:46" ht="17.25">
      <c r="A6" s="78" t="s">
        <v>18</v>
      </c>
      <c r="B6" s="79" t="s">
        <v>146</v>
      </c>
      <c r="C6" s="98">
        <f>销量!C9</f>
        <v>500</v>
      </c>
      <c r="D6" s="98">
        <f>销量!D9</f>
        <v>200</v>
      </c>
      <c r="E6" s="98">
        <f>销量!E9</f>
        <v>500</v>
      </c>
      <c r="F6" s="98">
        <f>销量!F9</f>
        <v>500</v>
      </c>
      <c r="G6" s="98">
        <f>销量!G9</f>
        <v>200</v>
      </c>
      <c r="H6" s="98">
        <f>销量!H9</f>
        <v>200</v>
      </c>
      <c r="I6" s="98">
        <f>销量!I9</f>
        <v>500</v>
      </c>
      <c r="J6" s="98">
        <f>销量!J9</f>
        <v>50</v>
      </c>
      <c r="K6" s="98">
        <f>销量!K9</f>
        <v>50</v>
      </c>
      <c r="L6" s="98">
        <f>销量!L9</f>
        <v>500</v>
      </c>
      <c r="M6" s="98">
        <f>销量!M9</f>
        <v>100</v>
      </c>
      <c r="N6" s="98">
        <f>销量!N9</f>
        <v>50</v>
      </c>
      <c r="O6" s="98">
        <f>销量!O9</f>
        <v>50</v>
      </c>
      <c r="P6" s="98">
        <f>销量!P9</f>
        <v>200</v>
      </c>
      <c r="Q6" s="98">
        <f>销量!Q9</f>
        <v>50</v>
      </c>
      <c r="R6" s="98">
        <f>销量!R9</f>
        <v>50</v>
      </c>
      <c r="S6" s="98">
        <f>销量!S9</f>
        <v>200</v>
      </c>
      <c r="T6" s="81">
        <f>+SUM(C6:S6)</f>
        <v>3900</v>
      </c>
      <c r="AR6" s="78" t="s">
        <v>18</v>
      </c>
      <c r="AS6" s="79" t="s">
        <v>3</v>
      </c>
      <c r="AT6" s="71" t="s">
        <v>53</v>
      </c>
    </row>
    <row r="7" spans="1:46">
      <c r="A7" s="75">
        <v>1</v>
      </c>
      <c r="B7" s="79" t="s">
        <v>54</v>
      </c>
      <c r="C7" s="81">
        <f>C6*销量!C8</f>
        <v>1147787.6106194693</v>
      </c>
      <c r="D7" s="81">
        <f>D6*销量!D8</f>
        <v>366194.69026548677</v>
      </c>
      <c r="E7" s="81">
        <f>E6*销量!E8</f>
        <v>915486.7256637169</v>
      </c>
      <c r="F7" s="81">
        <f>F6*销量!F8</f>
        <v>1147787.6106194693</v>
      </c>
      <c r="G7" s="81">
        <f>G6*销量!G8</f>
        <v>459115.04424778768</v>
      </c>
      <c r="H7" s="81">
        <f>H6*销量!H8</f>
        <v>366194.69026548677</v>
      </c>
      <c r="I7" s="81">
        <f>I6*销量!I8</f>
        <v>915486.7256637169</v>
      </c>
      <c r="J7" s="81">
        <f>J6*销量!J8</f>
        <v>51194.69026548673</v>
      </c>
      <c r="K7" s="81">
        <f>K6*销量!K8</f>
        <v>35309.734513274336</v>
      </c>
      <c r="L7" s="81">
        <f>L6*销量!L8</f>
        <v>292035.39823008853</v>
      </c>
      <c r="M7" s="81">
        <f>M6*销量!M8</f>
        <v>58407.079646017701</v>
      </c>
      <c r="N7" s="81">
        <f>N6*销量!N8</f>
        <v>29203.53982300885</v>
      </c>
      <c r="O7" s="81">
        <f>O6*销量!O8</f>
        <v>29203.53982300885</v>
      </c>
      <c r="P7" s="81">
        <f>P6*销量!P8</f>
        <v>116814.1592920354</v>
      </c>
      <c r="Q7" s="81">
        <f>Q6*销量!Q8</f>
        <v>114778.76106194692</v>
      </c>
      <c r="R7" s="81">
        <f>R6*销量!R8</f>
        <v>51106.194690265496</v>
      </c>
      <c r="S7" s="81">
        <f>S6*销量!S8</f>
        <v>141238.93805309734</v>
      </c>
      <c r="T7" s="81">
        <f t="shared" ref="T7:T26" si="0">+SUM(C7:S7)</f>
        <v>6237345.1327433642</v>
      </c>
      <c r="U7" s="74"/>
      <c r="AR7" s="78" t="s">
        <v>55</v>
      </c>
      <c r="AS7" s="79" t="s">
        <v>54</v>
      </c>
      <c r="AT7" s="71" t="s">
        <v>53</v>
      </c>
    </row>
    <row r="8" spans="1:46">
      <c r="A8" s="75">
        <v>2</v>
      </c>
      <c r="B8" s="75" t="s">
        <v>56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>
        <f t="shared" si="0"/>
        <v>0</v>
      </c>
      <c r="U8" s="82"/>
      <c r="AR8" s="78" t="s">
        <v>57</v>
      </c>
      <c r="AS8" s="75" t="s">
        <v>58</v>
      </c>
      <c r="AT8" s="71" t="s">
        <v>53</v>
      </c>
    </row>
    <row r="9" spans="1:46">
      <c r="A9" s="75">
        <v>3</v>
      </c>
      <c r="B9" s="79" t="s">
        <v>59</v>
      </c>
      <c r="C9" s="81">
        <f>+C7-C8</f>
        <v>1147787.6106194693</v>
      </c>
      <c r="D9" s="81">
        <f t="shared" ref="D9:Q9" si="1">+D7-D8</f>
        <v>366194.69026548677</v>
      </c>
      <c r="E9" s="81">
        <f t="shared" si="1"/>
        <v>915486.7256637169</v>
      </c>
      <c r="F9" s="81">
        <f t="shared" si="1"/>
        <v>1147787.6106194693</v>
      </c>
      <c r="G9" s="81">
        <f t="shared" si="1"/>
        <v>459115.04424778768</v>
      </c>
      <c r="H9" s="81">
        <f t="shared" si="1"/>
        <v>366194.69026548677</v>
      </c>
      <c r="I9" s="81">
        <f t="shared" si="1"/>
        <v>915486.7256637169</v>
      </c>
      <c r="J9" s="81">
        <f t="shared" si="1"/>
        <v>51194.69026548673</v>
      </c>
      <c r="K9" s="81">
        <f t="shared" si="1"/>
        <v>35309.734513274336</v>
      </c>
      <c r="L9" s="81">
        <f t="shared" si="1"/>
        <v>292035.39823008853</v>
      </c>
      <c r="M9" s="81">
        <f t="shared" si="1"/>
        <v>58407.079646017701</v>
      </c>
      <c r="N9" s="81">
        <f t="shared" si="1"/>
        <v>29203.53982300885</v>
      </c>
      <c r="O9" s="81">
        <f t="shared" si="1"/>
        <v>29203.53982300885</v>
      </c>
      <c r="P9" s="81">
        <f t="shared" si="1"/>
        <v>116814.1592920354</v>
      </c>
      <c r="Q9" s="81">
        <f t="shared" si="1"/>
        <v>114778.76106194692</v>
      </c>
      <c r="R9" s="81">
        <f t="shared" ref="R9:S9" si="2">+R7-R8</f>
        <v>51106.194690265496</v>
      </c>
      <c r="S9" s="81">
        <f t="shared" si="2"/>
        <v>141238.93805309734</v>
      </c>
      <c r="T9" s="81">
        <f t="shared" si="0"/>
        <v>6237345.1327433642</v>
      </c>
      <c r="AR9" s="78" t="s">
        <v>60</v>
      </c>
      <c r="AS9" s="79" t="s">
        <v>59</v>
      </c>
      <c r="AT9" s="71" t="s">
        <v>61</v>
      </c>
    </row>
    <row r="10" spans="1:46">
      <c r="A10" s="75">
        <v>4</v>
      </c>
      <c r="B10" s="78" t="s">
        <v>63</v>
      </c>
      <c r="C10" s="81">
        <f>C6*C33</f>
        <v>776362.40792528249</v>
      </c>
      <c r="D10" s="81">
        <f t="shared" ref="D10:Q10" si="3">D6*D33</f>
        <v>246586.95060051297</v>
      </c>
      <c r="E10" s="81">
        <f t="shared" si="3"/>
        <v>616467.37650128244</v>
      </c>
      <c r="F10" s="81">
        <f t="shared" si="3"/>
        <v>776346.72574628238</v>
      </c>
      <c r="G10" s="81">
        <f t="shared" si="3"/>
        <v>310538.69029851293</v>
      </c>
      <c r="H10" s="81">
        <f t="shared" si="3"/>
        <v>246580.67772891291</v>
      </c>
      <c r="I10" s="81">
        <f t="shared" si="3"/>
        <v>616451.69432228222</v>
      </c>
      <c r="J10" s="81">
        <f t="shared" si="3"/>
        <v>40431.312532000447</v>
      </c>
      <c r="K10" s="81">
        <f t="shared" si="3"/>
        <v>30584.862800313782</v>
      </c>
      <c r="L10" s="81">
        <f t="shared" si="3"/>
        <v>221424.79020077278</v>
      </c>
      <c r="M10" s="81">
        <f t="shared" si="3"/>
        <v>44284.958040154554</v>
      </c>
      <c r="N10" s="81">
        <f t="shared" si="3"/>
        <v>22170.118720077277</v>
      </c>
      <c r="O10" s="81">
        <f t="shared" si="3"/>
        <v>22095.710350689274</v>
      </c>
      <c r="P10" s="81">
        <f t="shared" si="3"/>
        <v>88272.282602757099</v>
      </c>
      <c r="Q10" s="81">
        <f t="shared" si="3"/>
        <v>77636.240792528246</v>
      </c>
      <c r="R10" s="81">
        <f t="shared" ref="R10:S10" si="4">R6*R33</f>
        <v>40431.312532000447</v>
      </c>
      <c r="S10" s="81">
        <f t="shared" si="4"/>
        <v>122228.89240125511</v>
      </c>
      <c r="T10" s="81">
        <f t="shared" si="0"/>
        <v>4298895.0040956168</v>
      </c>
      <c r="AR10" s="78" t="s">
        <v>62</v>
      </c>
      <c r="AS10" s="78" t="s">
        <v>63</v>
      </c>
      <c r="AT10" s="71" t="s">
        <v>64</v>
      </c>
    </row>
    <row r="11" spans="1:46">
      <c r="A11" s="75">
        <v>5</v>
      </c>
      <c r="B11" s="78" t="s">
        <v>65</v>
      </c>
      <c r="C11" s="81">
        <f>+C6*C36</f>
        <v>79656.460176991153</v>
      </c>
      <c r="D11" s="81">
        <f t="shared" ref="D11:Q11" si="5">+D6*D36</f>
        <v>25413.911504424785</v>
      </c>
      <c r="E11" s="81">
        <f t="shared" si="5"/>
        <v>63534.778761061956</v>
      </c>
      <c r="F11" s="81">
        <f t="shared" si="5"/>
        <v>79656.460176991153</v>
      </c>
      <c r="G11" s="81">
        <f t="shared" si="5"/>
        <v>31862.584070796463</v>
      </c>
      <c r="H11" s="81">
        <f t="shared" si="5"/>
        <v>25413.911504424785</v>
      </c>
      <c r="I11" s="81">
        <f t="shared" si="5"/>
        <v>63534.778761061956</v>
      </c>
      <c r="J11" s="81">
        <f t="shared" si="5"/>
        <v>3552.9115044247797</v>
      </c>
      <c r="K11" s="81">
        <f t="shared" si="5"/>
        <v>2450.4955752212391</v>
      </c>
      <c r="L11" s="81">
        <f t="shared" si="5"/>
        <v>20267.256637168142</v>
      </c>
      <c r="M11" s="81">
        <f t="shared" si="5"/>
        <v>4053.4513274336282</v>
      </c>
      <c r="N11" s="81">
        <f t="shared" si="5"/>
        <v>2026.7256637168141</v>
      </c>
      <c r="O11" s="81">
        <f t="shared" si="5"/>
        <v>2026.7256637168141</v>
      </c>
      <c r="P11" s="81">
        <f t="shared" si="5"/>
        <v>8106.9026548672564</v>
      </c>
      <c r="Q11" s="81">
        <f t="shared" si="5"/>
        <v>7965.6460176991159</v>
      </c>
      <c r="R11" s="81">
        <f t="shared" ref="R11:S11" si="6">+R6*R36</f>
        <v>3546.7699115044256</v>
      </c>
      <c r="S11" s="81">
        <f t="shared" si="6"/>
        <v>9801.9823008849562</v>
      </c>
      <c r="T11" s="81">
        <f t="shared" si="0"/>
        <v>432871.75221238931</v>
      </c>
      <c r="AR11" s="78" t="s">
        <v>66</v>
      </c>
      <c r="AS11" s="78" t="s">
        <v>65</v>
      </c>
    </row>
    <row r="12" spans="1:46">
      <c r="A12" s="75">
        <v>6</v>
      </c>
      <c r="B12" s="78" t="s">
        <v>67</v>
      </c>
      <c r="C12" s="81">
        <f>+C6*C37</f>
        <v>49813.982300884963</v>
      </c>
      <c r="D12" s="81">
        <f t="shared" ref="D12:Q12" si="7">+D6*D37</f>
        <v>15892.849557522126</v>
      </c>
      <c r="E12" s="81">
        <f t="shared" si="7"/>
        <v>39732.123893805314</v>
      </c>
      <c r="F12" s="81">
        <f t="shared" si="7"/>
        <v>49813.982300884963</v>
      </c>
      <c r="G12" s="81">
        <f t="shared" si="7"/>
        <v>19925.592920353985</v>
      </c>
      <c r="H12" s="81">
        <f t="shared" si="7"/>
        <v>15892.849557522126</v>
      </c>
      <c r="I12" s="81">
        <f t="shared" si="7"/>
        <v>39732.123893805314</v>
      </c>
      <c r="J12" s="81">
        <f t="shared" si="7"/>
        <v>2221.8495575221241</v>
      </c>
      <c r="K12" s="81">
        <f t="shared" si="7"/>
        <v>1532.4424778761063</v>
      </c>
      <c r="L12" s="81">
        <f t="shared" si="7"/>
        <v>12674.336283185841</v>
      </c>
      <c r="M12" s="81">
        <f t="shared" si="7"/>
        <v>2534.8672566371683</v>
      </c>
      <c r="N12" s="81">
        <f t="shared" si="7"/>
        <v>1267.4336283185842</v>
      </c>
      <c r="O12" s="81">
        <f t="shared" si="7"/>
        <v>1267.4336283185842</v>
      </c>
      <c r="P12" s="81">
        <f t="shared" si="7"/>
        <v>5069.7345132743367</v>
      </c>
      <c r="Q12" s="81">
        <f t="shared" si="7"/>
        <v>4981.3982300884963</v>
      </c>
      <c r="R12" s="81">
        <f t="shared" ref="R12:S12" si="8">+R6*R37</f>
        <v>2218.0088495575224</v>
      </c>
      <c r="S12" s="81">
        <f t="shared" si="8"/>
        <v>6129.7699115044252</v>
      </c>
      <c r="T12" s="81">
        <f t="shared" si="0"/>
        <v>270700.77876106207</v>
      </c>
      <c r="AR12" s="78" t="s">
        <v>68</v>
      </c>
      <c r="AS12" s="78" t="s">
        <v>67</v>
      </c>
    </row>
    <row r="13" spans="1:46">
      <c r="A13" s="75">
        <v>7</v>
      </c>
      <c r="B13" s="78" t="s">
        <v>69</v>
      </c>
      <c r="C13" s="81">
        <f>+C6*C38</f>
        <v>74720.97345132746</v>
      </c>
      <c r="D13" s="81">
        <f t="shared" ref="D13:Q13" si="9">+D6*D38</f>
        <v>23839.27433628319</v>
      </c>
      <c r="E13" s="81">
        <f t="shared" si="9"/>
        <v>59598.185840707978</v>
      </c>
      <c r="F13" s="81">
        <f t="shared" si="9"/>
        <v>74720.97345132746</v>
      </c>
      <c r="G13" s="81">
        <f t="shared" si="9"/>
        <v>29888.389380530982</v>
      </c>
      <c r="H13" s="81">
        <f t="shared" si="9"/>
        <v>23839.27433628319</v>
      </c>
      <c r="I13" s="81">
        <f t="shared" si="9"/>
        <v>59598.185840707978</v>
      </c>
      <c r="J13" s="81">
        <f t="shared" si="9"/>
        <v>3332.7743362831861</v>
      </c>
      <c r="K13" s="81">
        <f t="shared" si="9"/>
        <v>2298.6637168141597</v>
      </c>
      <c r="L13" s="81">
        <f t="shared" si="9"/>
        <v>19011.504424778763</v>
      </c>
      <c r="M13" s="81">
        <f t="shared" si="9"/>
        <v>3802.3008849557527</v>
      </c>
      <c r="N13" s="81">
        <f t="shared" si="9"/>
        <v>1901.1504424778764</v>
      </c>
      <c r="O13" s="81">
        <f t="shared" si="9"/>
        <v>1901.1504424778764</v>
      </c>
      <c r="P13" s="81">
        <f t="shared" si="9"/>
        <v>7604.6017699115055</v>
      </c>
      <c r="Q13" s="81">
        <f t="shared" si="9"/>
        <v>7472.0973451327454</v>
      </c>
      <c r="R13" s="81">
        <f t="shared" ref="R13:S13" si="10">+R6*R38</f>
        <v>3327.0132743362838</v>
      </c>
      <c r="S13" s="81">
        <f t="shared" si="10"/>
        <v>9194.6548672566387</v>
      </c>
      <c r="T13" s="81">
        <f t="shared" si="0"/>
        <v>406051.16814159305</v>
      </c>
      <c r="AR13" s="78" t="s">
        <v>70</v>
      </c>
      <c r="AS13" s="78" t="s">
        <v>69</v>
      </c>
      <c r="AT13" s="71" t="s">
        <v>53</v>
      </c>
    </row>
    <row r="14" spans="1:46">
      <c r="A14" s="75">
        <v>8</v>
      </c>
      <c r="B14" s="83" t="s">
        <v>71</v>
      </c>
      <c r="C14" s="81">
        <f>SUM(C11:C13)</f>
        <v>204191.41592920356</v>
      </c>
      <c r="D14" s="81">
        <f t="shared" ref="D14:Q14" si="11">SUM(D11:D13)</f>
        <v>65146.035398230102</v>
      </c>
      <c r="E14" s="81">
        <f t="shared" si="11"/>
        <v>162865.08849557524</v>
      </c>
      <c r="F14" s="81">
        <f t="shared" si="11"/>
        <v>204191.41592920356</v>
      </c>
      <c r="G14" s="81">
        <f t="shared" si="11"/>
        <v>81676.566371681431</v>
      </c>
      <c r="H14" s="81">
        <f t="shared" si="11"/>
        <v>65146.035398230102</v>
      </c>
      <c r="I14" s="81">
        <f t="shared" si="11"/>
        <v>162865.08849557524</v>
      </c>
      <c r="J14" s="81">
        <f t="shared" si="11"/>
        <v>9107.5353982300894</v>
      </c>
      <c r="K14" s="81">
        <f t="shared" si="11"/>
        <v>6281.6017699115055</v>
      </c>
      <c r="L14" s="81">
        <f t="shared" si="11"/>
        <v>51953.097345132745</v>
      </c>
      <c r="M14" s="81">
        <f t="shared" si="11"/>
        <v>10390.619469026549</v>
      </c>
      <c r="N14" s="81">
        <f t="shared" si="11"/>
        <v>5195.3097345132746</v>
      </c>
      <c r="O14" s="81">
        <f t="shared" si="11"/>
        <v>5195.3097345132746</v>
      </c>
      <c r="P14" s="81">
        <f t="shared" si="11"/>
        <v>20781.238938053099</v>
      </c>
      <c r="Q14" s="81">
        <f t="shared" si="11"/>
        <v>20419.141592920358</v>
      </c>
      <c r="R14" s="81">
        <f t="shared" ref="R14:S14" si="12">SUM(R11:R13)</f>
        <v>9091.7920353982317</v>
      </c>
      <c r="S14" s="81">
        <f t="shared" si="12"/>
        <v>25126.407079646022</v>
      </c>
      <c r="T14" s="81">
        <f>SUM(T11:T13)</f>
        <v>1109623.6991150444</v>
      </c>
      <c r="AR14" s="78" t="s">
        <v>72</v>
      </c>
      <c r="AS14" s="83" t="s">
        <v>71</v>
      </c>
    </row>
    <row r="15" spans="1:46">
      <c r="A15" s="75">
        <v>9</v>
      </c>
      <c r="B15" s="83" t="s">
        <v>73</v>
      </c>
      <c r="C15" s="81">
        <f>+C9-C10-C14</f>
        <v>167233.78676498326</v>
      </c>
      <c r="D15" s="81">
        <f t="shared" ref="D15:Q15" si="13">+D9-D10-D14</f>
        <v>54461.704266743705</v>
      </c>
      <c r="E15" s="81">
        <f t="shared" si="13"/>
        <v>136154.26066685922</v>
      </c>
      <c r="F15" s="81">
        <f t="shared" si="13"/>
        <v>167249.46894398337</v>
      </c>
      <c r="G15" s="81">
        <f t="shared" si="13"/>
        <v>66899.787577593321</v>
      </c>
      <c r="H15" s="81">
        <f t="shared" si="13"/>
        <v>54467.977138343762</v>
      </c>
      <c r="I15" s="81">
        <f t="shared" si="13"/>
        <v>136169.94284585945</v>
      </c>
      <c r="J15" s="81">
        <f t="shared" si="13"/>
        <v>1655.8423352561931</v>
      </c>
      <c r="K15" s="81">
        <f t="shared" si="13"/>
        <v>-1556.7300569509516</v>
      </c>
      <c r="L15" s="81">
        <f t="shared" si="13"/>
        <v>18657.510684182998</v>
      </c>
      <c r="M15" s="81">
        <f t="shared" si="13"/>
        <v>3731.5021368365979</v>
      </c>
      <c r="N15" s="81">
        <f t="shared" si="13"/>
        <v>1838.1113684182992</v>
      </c>
      <c r="O15" s="81">
        <f t="shared" si="13"/>
        <v>1912.5197378063012</v>
      </c>
      <c r="P15" s="81">
        <f t="shared" si="13"/>
        <v>7760.6377512252038</v>
      </c>
      <c r="Q15" s="81">
        <f t="shared" si="13"/>
        <v>16723.378676498316</v>
      </c>
      <c r="R15" s="81">
        <f t="shared" ref="R15:S15" si="14">+R9-R10-R14</f>
        <v>1583.0901228668172</v>
      </c>
      <c r="S15" s="81">
        <f t="shared" si="14"/>
        <v>-6116.361427803793</v>
      </c>
      <c r="T15" s="81">
        <f t="shared" ref="T15" si="15">+T9-T10-T14</f>
        <v>828826.42953270301</v>
      </c>
      <c r="AR15" s="78" t="s">
        <v>74</v>
      </c>
      <c r="AS15" s="83" t="s">
        <v>73</v>
      </c>
    </row>
    <row r="16" spans="1:46">
      <c r="A16" s="75">
        <v>10</v>
      </c>
      <c r="B16" s="78" t="s">
        <v>75</v>
      </c>
      <c r="C16" s="84">
        <f>+C15/C9</f>
        <v>0.14570098615607635</v>
      </c>
      <c r="D16" s="84">
        <f t="shared" ref="D16:Q16" si="16">+D15/D9</f>
        <v>0.14872335867912126</v>
      </c>
      <c r="E16" s="84">
        <f t="shared" si="16"/>
        <v>0.14872335867912123</v>
      </c>
      <c r="F16" s="84">
        <f t="shared" si="16"/>
        <v>0.14571464911850515</v>
      </c>
      <c r="G16" s="84">
        <f t="shared" si="16"/>
        <v>0.1457146491185051</v>
      </c>
      <c r="H16" s="84">
        <f t="shared" si="16"/>
        <v>0.14874048856048439</v>
      </c>
      <c r="I16" s="84">
        <f t="shared" si="16"/>
        <v>0.14874048856048444</v>
      </c>
      <c r="J16" s="84">
        <f t="shared" si="16"/>
        <v>3.2344024871901439E-2</v>
      </c>
      <c r="K16" s="84">
        <f t="shared" si="16"/>
        <v>-4.4087843718159783E-2</v>
      </c>
      <c r="L16" s="84">
        <f t="shared" si="16"/>
        <v>6.3887839615535721E-2</v>
      </c>
      <c r="M16" s="84">
        <f t="shared" si="16"/>
        <v>6.3887839615535694E-2</v>
      </c>
      <c r="N16" s="84">
        <f t="shared" si="16"/>
        <v>6.2941389282202359E-2</v>
      </c>
      <c r="O16" s="84">
        <f t="shared" si="16"/>
        <v>6.5489312233973349E-2</v>
      </c>
      <c r="P16" s="84">
        <f t="shared" si="16"/>
        <v>6.6435762567306669E-2</v>
      </c>
      <c r="Q16" s="84">
        <f t="shared" si="16"/>
        <v>0.1457009861560763</v>
      </c>
      <c r="R16" s="84">
        <f t="shared" ref="R16:S16" si="17">+R15/R9</f>
        <v>3.0976482057826892E-2</v>
      </c>
      <c r="S16" s="84">
        <f t="shared" si="17"/>
        <v>-4.3305065246981744E-2</v>
      </c>
      <c r="T16" s="84">
        <f>+T15/T9</f>
        <v>0.13288128392666981</v>
      </c>
      <c r="AR16" s="78" t="s">
        <v>76</v>
      </c>
      <c r="AS16" s="78" t="s">
        <v>75</v>
      </c>
    </row>
    <row r="17" spans="1:46">
      <c r="A17" s="75">
        <v>11</v>
      </c>
      <c r="B17" s="78" t="s">
        <v>77</v>
      </c>
      <c r="C17" s="81">
        <f>C6*C43+C18</f>
        <v>94895.469329097657</v>
      </c>
      <c r="D17" s="81">
        <f t="shared" ref="D17:Q17" si="18">D6*D43+D18</f>
        <v>30292.258528099239</v>
      </c>
      <c r="E17" s="81">
        <f t="shared" si="18"/>
        <v>75730.646320248095</v>
      </c>
      <c r="F17" s="81">
        <f t="shared" si="18"/>
        <v>94895.469329097657</v>
      </c>
      <c r="G17" s="81">
        <f t="shared" si="18"/>
        <v>37958.18773163906</v>
      </c>
      <c r="H17" s="81">
        <f t="shared" si="18"/>
        <v>30292.258528099239</v>
      </c>
      <c r="I17" s="81">
        <f t="shared" si="18"/>
        <v>75730.646320248095</v>
      </c>
      <c r="J17" s="81">
        <f t="shared" si="18"/>
        <v>4243.8610922018006</v>
      </c>
      <c r="K17" s="81">
        <f t="shared" si="18"/>
        <v>2933.3522426442787</v>
      </c>
      <c r="L17" s="81">
        <f t="shared" si="18"/>
        <v>24295.911806973756</v>
      </c>
      <c r="M17" s="81">
        <f t="shared" si="18"/>
        <v>4859.1823613947518</v>
      </c>
      <c r="N17" s="81">
        <f t="shared" si="18"/>
        <v>2429.5911806973759</v>
      </c>
      <c r="O17" s="81">
        <f t="shared" si="18"/>
        <v>2429.5911806973759</v>
      </c>
      <c r="P17" s="81">
        <f t="shared" si="18"/>
        <v>9718.3647227895035</v>
      </c>
      <c r="Q17" s="81">
        <f t="shared" si="18"/>
        <v>9489.546932909765</v>
      </c>
      <c r="R17" s="81">
        <f t="shared" ref="R17:S17" si="19">R6*R43+R18</f>
        <v>4236.5602072460488</v>
      </c>
      <c r="S17" s="81">
        <f t="shared" si="19"/>
        <v>11733.408970577115</v>
      </c>
      <c r="T17" s="81">
        <f t="shared" si="0"/>
        <v>516164.30678466073</v>
      </c>
      <c r="U17" s="82"/>
      <c r="AR17" s="78" t="s">
        <v>78</v>
      </c>
      <c r="AS17" s="78" t="s">
        <v>77</v>
      </c>
    </row>
    <row r="18" spans="1:46" s="72" customFormat="1">
      <c r="A18" s="75">
        <v>12</v>
      </c>
      <c r="B18" s="86" t="s">
        <v>147</v>
      </c>
      <c r="C18" s="87">
        <f>$T$18/$T$6*C6</f>
        <v>202.991452991453</v>
      </c>
      <c r="D18" s="87">
        <f t="shared" ref="D18:Q18" si="20">$T$18/$T$6*D6</f>
        <v>81.196581196581192</v>
      </c>
      <c r="E18" s="87">
        <f t="shared" si="20"/>
        <v>202.991452991453</v>
      </c>
      <c r="F18" s="87">
        <f t="shared" si="20"/>
        <v>202.991452991453</v>
      </c>
      <c r="G18" s="87">
        <f t="shared" si="20"/>
        <v>81.196581196581192</v>
      </c>
      <c r="H18" s="87">
        <f t="shared" si="20"/>
        <v>81.196581196581192</v>
      </c>
      <c r="I18" s="87">
        <f t="shared" si="20"/>
        <v>202.991452991453</v>
      </c>
      <c r="J18" s="87">
        <f t="shared" si="20"/>
        <v>20.299145299145298</v>
      </c>
      <c r="K18" s="87">
        <f t="shared" si="20"/>
        <v>20.299145299145298</v>
      </c>
      <c r="L18" s="87">
        <f t="shared" si="20"/>
        <v>202.991452991453</v>
      </c>
      <c r="M18" s="87">
        <f t="shared" si="20"/>
        <v>40.598290598290596</v>
      </c>
      <c r="N18" s="87">
        <f t="shared" si="20"/>
        <v>20.299145299145298</v>
      </c>
      <c r="O18" s="87">
        <f t="shared" si="20"/>
        <v>20.299145299145298</v>
      </c>
      <c r="P18" s="87">
        <f t="shared" si="20"/>
        <v>81.196581196581192</v>
      </c>
      <c r="Q18" s="87">
        <f t="shared" si="20"/>
        <v>20.299145299145298</v>
      </c>
      <c r="R18" s="87">
        <f t="shared" ref="R18:S18" si="21">$T$18/$T$6*R6</f>
        <v>20.299145299145298</v>
      </c>
      <c r="S18" s="87">
        <f t="shared" si="21"/>
        <v>81.196581196581192</v>
      </c>
      <c r="T18" s="81">
        <f>项目投资!D26</f>
        <v>1583.3333333333333</v>
      </c>
      <c r="U18" s="88" t="s">
        <v>148</v>
      </c>
      <c r="V18" s="88"/>
      <c r="W18" s="88"/>
    </row>
    <row r="19" spans="1:46">
      <c r="A19" s="75">
        <v>13</v>
      </c>
      <c r="B19" s="78" t="s">
        <v>79</v>
      </c>
      <c r="C19" s="81">
        <f>C6*C44</f>
        <v>19741.946902654869</v>
      </c>
      <c r="D19" s="81">
        <f t="shared" ref="D19:Q19" si="22">D6*D44</f>
        <v>6298.5486725663723</v>
      </c>
      <c r="E19" s="81">
        <f t="shared" si="22"/>
        <v>15746.371681415932</v>
      </c>
      <c r="F19" s="81">
        <f t="shared" si="22"/>
        <v>19741.946902654869</v>
      </c>
      <c r="G19" s="81">
        <f t="shared" si="22"/>
        <v>7896.778761061948</v>
      </c>
      <c r="H19" s="81">
        <f t="shared" si="22"/>
        <v>6298.5486725663723</v>
      </c>
      <c r="I19" s="81">
        <f t="shared" si="22"/>
        <v>15746.371681415932</v>
      </c>
      <c r="J19" s="81">
        <f t="shared" si="22"/>
        <v>880.54867256637181</v>
      </c>
      <c r="K19" s="81">
        <f t="shared" si="22"/>
        <v>607.32743362831854</v>
      </c>
      <c r="L19" s="81">
        <f t="shared" si="22"/>
        <v>5023.0088495575219</v>
      </c>
      <c r="M19" s="81">
        <f t="shared" si="22"/>
        <v>1004.6017699115044</v>
      </c>
      <c r="N19" s="81">
        <f t="shared" si="22"/>
        <v>502.30088495575222</v>
      </c>
      <c r="O19" s="81">
        <f t="shared" si="22"/>
        <v>502.30088495575222</v>
      </c>
      <c r="P19" s="81">
        <f t="shared" si="22"/>
        <v>2009.2035398230089</v>
      </c>
      <c r="Q19" s="81">
        <f t="shared" si="22"/>
        <v>1974.194690265487</v>
      </c>
      <c r="R19" s="81">
        <f t="shared" ref="R19:S19" si="23">R6*R44</f>
        <v>879.02654867256661</v>
      </c>
      <c r="S19" s="81">
        <f t="shared" si="23"/>
        <v>2429.3097345132742</v>
      </c>
      <c r="T19" s="81">
        <f t="shared" si="0"/>
        <v>107282.33628318582</v>
      </c>
      <c r="U19" s="72"/>
      <c r="AR19" s="78" t="s">
        <v>80</v>
      </c>
      <c r="AS19" s="78" t="s">
        <v>79</v>
      </c>
      <c r="AT19" s="71" t="s">
        <v>53</v>
      </c>
    </row>
    <row r="20" spans="1:46">
      <c r="A20" s="75">
        <v>14</v>
      </c>
      <c r="B20" s="78" t="s">
        <v>81</v>
      </c>
      <c r="C20" s="81">
        <f>C6*C45</f>
        <v>30301.592920353985</v>
      </c>
      <c r="D20" s="81">
        <f t="shared" ref="D20:Q20" si="24">D6*D45</f>
        <v>9667.5398230088504</v>
      </c>
      <c r="E20" s="81">
        <f t="shared" si="24"/>
        <v>24168.849557522128</v>
      </c>
      <c r="F20" s="81">
        <f t="shared" si="24"/>
        <v>30301.592920353985</v>
      </c>
      <c r="G20" s="81">
        <f t="shared" si="24"/>
        <v>12120.637168141595</v>
      </c>
      <c r="H20" s="81">
        <f t="shared" si="24"/>
        <v>9667.5398230088504</v>
      </c>
      <c r="I20" s="81">
        <f t="shared" si="24"/>
        <v>24168.849557522128</v>
      </c>
      <c r="J20" s="81">
        <f t="shared" si="24"/>
        <v>1351.5398230088497</v>
      </c>
      <c r="K20" s="81">
        <f t="shared" si="24"/>
        <v>932.17699115044252</v>
      </c>
      <c r="L20" s="81">
        <f t="shared" si="24"/>
        <v>7709.7345132743358</v>
      </c>
      <c r="M20" s="81">
        <f t="shared" si="24"/>
        <v>1541.9469026548672</v>
      </c>
      <c r="N20" s="81">
        <f t="shared" si="24"/>
        <v>770.97345132743362</v>
      </c>
      <c r="O20" s="81">
        <f t="shared" si="24"/>
        <v>770.97345132743362</v>
      </c>
      <c r="P20" s="81">
        <f t="shared" si="24"/>
        <v>3083.8938053097345</v>
      </c>
      <c r="Q20" s="81">
        <f t="shared" si="24"/>
        <v>3030.1592920353987</v>
      </c>
      <c r="R20" s="81">
        <f t="shared" ref="R20:S20" si="25">R6*R45</f>
        <v>1349.2035398230091</v>
      </c>
      <c r="S20" s="81">
        <f t="shared" si="25"/>
        <v>3728.7079646017701</v>
      </c>
      <c r="T20" s="81">
        <f t="shared" si="0"/>
        <v>164665.91150442479</v>
      </c>
      <c r="AR20" s="78" t="s">
        <v>82</v>
      </c>
      <c r="AS20" s="78" t="s">
        <v>81</v>
      </c>
    </row>
    <row r="21" spans="1:46">
      <c r="A21" s="75">
        <v>15</v>
      </c>
      <c r="B21" s="78" t="s">
        <v>83</v>
      </c>
      <c r="C21" s="89">
        <f>$T$21/$T$6*C6</f>
        <v>4059.8290598290596</v>
      </c>
      <c r="D21" s="89">
        <f t="shared" ref="D21:Q21" si="26">$T$21/$T$6*D6</f>
        <v>1623.9316239316238</v>
      </c>
      <c r="E21" s="89">
        <f t="shared" si="26"/>
        <v>4059.8290598290596</v>
      </c>
      <c r="F21" s="89">
        <f t="shared" si="26"/>
        <v>4059.8290598290596</v>
      </c>
      <c r="G21" s="89">
        <f t="shared" si="26"/>
        <v>1623.9316239316238</v>
      </c>
      <c r="H21" s="89">
        <f t="shared" si="26"/>
        <v>1623.9316239316238</v>
      </c>
      <c r="I21" s="89">
        <f t="shared" si="26"/>
        <v>4059.8290598290596</v>
      </c>
      <c r="J21" s="89">
        <f t="shared" si="26"/>
        <v>405.98290598290595</v>
      </c>
      <c r="K21" s="89">
        <f t="shared" si="26"/>
        <v>405.98290598290595</v>
      </c>
      <c r="L21" s="89">
        <f t="shared" si="26"/>
        <v>4059.8290598290596</v>
      </c>
      <c r="M21" s="89">
        <f t="shared" si="26"/>
        <v>811.96581196581189</v>
      </c>
      <c r="N21" s="89">
        <f t="shared" si="26"/>
        <v>405.98290598290595</v>
      </c>
      <c r="O21" s="89">
        <f t="shared" si="26"/>
        <v>405.98290598290595</v>
      </c>
      <c r="P21" s="89">
        <f t="shared" si="26"/>
        <v>1623.9316239316238</v>
      </c>
      <c r="Q21" s="89">
        <f t="shared" si="26"/>
        <v>405.98290598290595</v>
      </c>
      <c r="R21" s="89">
        <f t="shared" ref="R21:S21" si="27">$T$21/$T$6*R6</f>
        <v>405.98290598290595</v>
      </c>
      <c r="S21" s="89">
        <f t="shared" si="27"/>
        <v>1623.9316239316238</v>
      </c>
      <c r="T21" s="81">
        <f>项目投资!D27</f>
        <v>31666.666666666668</v>
      </c>
      <c r="AR21" s="78"/>
      <c r="AS21" s="78"/>
    </row>
    <row r="22" spans="1:46">
      <c r="A22" s="75">
        <v>16</v>
      </c>
      <c r="B22" s="78" t="s">
        <v>84</v>
      </c>
      <c r="C22" s="81">
        <f>C6*C47</f>
        <v>40746.460176991153</v>
      </c>
      <c r="D22" s="81">
        <f t="shared" ref="D22:Q22" si="28">D6*D47</f>
        <v>12999.911504424779</v>
      </c>
      <c r="E22" s="81">
        <f t="shared" si="28"/>
        <v>32499.778761061945</v>
      </c>
      <c r="F22" s="81">
        <f t="shared" si="28"/>
        <v>40746.460176991153</v>
      </c>
      <c r="G22" s="81">
        <f t="shared" si="28"/>
        <v>16298.58407079646</v>
      </c>
      <c r="H22" s="81">
        <f t="shared" si="28"/>
        <v>12999.911504424779</v>
      </c>
      <c r="I22" s="81">
        <f t="shared" si="28"/>
        <v>32499.778761061945</v>
      </c>
      <c r="J22" s="81">
        <f t="shared" si="28"/>
        <v>1817.4115044247787</v>
      </c>
      <c r="K22" s="81">
        <f t="shared" si="28"/>
        <v>1253.4955752212388</v>
      </c>
      <c r="L22" s="81">
        <f t="shared" si="28"/>
        <v>10367.256637168142</v>
      </c>
      <c r="M22" s="81">
        <f t="shared" si="28"/>
        <v>2073.4513274336282</v>
      </c>
      <c r="N22" s="81">
        <f t="shared" si="28"/>
        <v>1036.7256637168141</v>
      </c>
      <c r="O22" s="81">
        <f t="shared" si="28"/>
        <v>1036.7256637168141</v>
      </c>
      <c r="P22" s="81">
        <f t="shared" si="28"/>
        <v>4146.9026548672564</v>
      </c>
      <c r="Q22" s="81">
        <f t="shared" si="28"/>
        <v>4074.646017699115</v>
      </c>
      <c r="R22" s="81">
        <f t="shared" ref="R22:S22" si="29">R6*R47</f>
        <v>1814.2699115044247</v>
      </c>
      <c r="S22" s="81">
        <f t="shared" si="29"/>
        <v>5013.9823008849553</v>
      </c>
      <c r="T22" s="81">
        <f t="shared" si="0"/>
        <v>221425.75221238946</v>
      </c>
      <c r="AR22" s="78" t="s">
        <v>85</v>
      </c>
      <c r="AS22" s="78" t="s">
        <v>84</v>
      </c>
    </row>
    <row r="23" spans="1:46">
      <c r="A23" s="75">
        <v>17</v>
      </c>
      <c r="B23" s="83" t="s">
        <v>86</v>
      </c>
      <c r="C23" s="89">
        <f>+C22+C21+C20+C19+C17</f>
        <v>189745.29838892672</v>
      </c>
      <c r="D23" s="89">
        <f t="shared" ref="D23:Q23" si="30">+D22+D21+D20+D19+D17</f>
        <v>60882.19015203086</v>
      </c>
      <c r="E23" s="89">
        <f t="shared" si="30"/>
        <v>152205.47538007714</v>
      </c>
      <c r="F23" s="89">
        <f t="shared" si="30"/>
        <v>189745.29838892672</v>
      </c>
      <c r="G23" s="89">
        <f t="shared" si="30"/>
        <v>75898.119355570685</v>
      </c>
      <c r="H23" s="89">
        <f t="shared" si="30"/>
        <v>60882.19015203086</v>
      </c>
      <c r="I23" s="89">
        <f t="shared" si="30"/>
        <v>152205.47538007714</v>
      </c>
      <c r="J23" s="89">
        <f t="shared" si="30"/>
        <v>8699.3439981847077</v>
      </c>
      <c r="K23" s="89">
        <f t="shared" si="30"/>
        <v>6132.335148627184</v>
      </c>
      <c r="L23" s="89">
        <f t="shared" si="30"/>
        <v>51455.740866802815</v>
      </c>
      <c r="M23" s="89">
        <f t="shared" si="30"/>
        <v>10291.148173360563</v>
      </c>
      <c r="N23" s="89">
        <f t="shared" si="30"/>
        <v>5145.5740866802817</v>
      </c>
      <c r="O23" s="89">
        <f t="shared" si="30"/>
        <v>5145.5740866802817</v>
      </c>
      <c r="P23" s="89">
        <f t="shared" si="30"/>
        <v>20582.296346721127</v>
      </c>
      <c r="Q23" s="89">
        <f t="shared" si="30"/>
        <v>18974.529838892671</v>
      </c>
      <c r="R23" s="89">
        <f t="shared" ref="R23:S23" si="31">+R22+R21+R20+R19+R17</f>
        <v>8685.0431132289559</v>
      </c>
      <c r="S23" s="89">
        <f t="shared" si="31"/>
        <v>24529.340594508736</v>
      </c>
      <c r="T23" s="89">
        <f>+T22+T21+T20+T19+T17</f>
        <v>1041204.9734513275</v>
      </c>
      <c r="AR23" s="78" t="s">
        <v>87</v>
      </c>
      <c r="AS23" s="83" t="s">
        <v>86</v>
      </c>
    </row>
    <row r="24" spans="1:46">
      <c r="A24" s="75">
        <v>18</v>
      </c>
      <c r="B24" s="90" t="s">
        <v>88</v>
      </c>
      <c r="C24" s="89">
        <f>+C15-C23</f>
        <v>-22511.511623943457</v>
      </c>
      <c r="D24" s="89">
        <f t="shared" ref="D24:Q24" si="32">+D15-D23</f>
        <v>-6420.4858852871548</v>
      </c>
      <c r="E24" s="89">
        <f t="shared" si="32"/>
        <v>-16051.214713217923</v>
      </c>
      <c r="F24" s="89">
        <f t="shared" si="32"/>
        <v>-22495.829444943345</v>
      </c>
      <c r="G24" s="89">
        <f t="shared" si="32"/>
        <v>-8998.3317779773643</v>
      </c>
      <c r="H24" s="89">
        <f t="shared" si="32"/>
        <v>-6414.2130136870983</v>
      </c>
      <c r="I24" s="89">
        <f t="shared" si="32"/>
        <v>-16035.532534217695</v>
      </c>
      <c r="J24" s="89">
        <f t="shared" si="32"/>
        <v>-7043.5016629285146</v>
      </c>
      <c r="K24" s="89">
        <f t="shared" si="32"/>
        <v>-7689.0652055781356</v>
      </c>
      <c r="L24" s="89">
        <f t="shared" si="32"/>
        <v>-32798.230182619816</v>
      </c>
      <c r="M24" s="89">
        <f t="shared" si="32"/>
        <v>-6559.6460365239654</v>
      </c>
      <c r="N24" s="89">
        <f t="shared" si="32"/>
        <v>-3307.4627182619824</v>
      </c>
      <c r="O24" s="89">
        <f t="shared" si="32"/>
        <v>-3233.0543488739804</v>
      </c>
      <c r="P24" s="89">
        <f t="shared" si="32"/>
        <v>-12821.658595495923</v>
      </c>
      <c r="Q24" s="89">
        <f t="shared" si="32"/>
        <v>-2251.1511623943552</v>
      </c>
      <c r="R24" s="89">
        <f t="shared" ref="R24:S24" si="33">+R15-R23</f>
        <v>-7101.9529903621387</v>
      </c>
      <c r="S24" s="89">
        <f t="shared" si="33"/>
        <v>-30645.702022312529</v>
      </c>
      <c r="T24" s="89">
        <f>+T15-T23</f>
        <v>-212378.54391862452</v>
      </c>
      <c r="V24" s="91"/>
      <c r="AR24" s="78" t="s">
        <v>89</v>
      </c>
      <c r="AS24" s="78" t="s">
        <v>88</v>
      </c>
    </row>
    <row r="25" spans="1:46">
      <c r="A25" s="75">
        <v>19</v>
      </c>
      <c r="B25" s="78" t="s">
        <v>274</v>
      </c>
      <c r="C25" s="89">
        <f>IF(C24&lt;0,0,C24*0.15)</f>
        <v>0</v>
      </c>
      <c r="D25" s="89">
        <f t="shared" ref="D25:Q25" si="34">IF(D24&lt;0,0,D24*0.15)</f>
        <v>0</v>
      </c>
      <c r="E25" s="89">
        <f t="shared" si="34"/>
        <v>0</v>
      </c>
      <c r="F25" s="89">
        <f t="shared" si="34"/>
        <v>0</v>
      </c>
      <c r="G25" s="89">
        <f t="shared" si="34"/>
        <v>0</v>
      </c>
      <c r="H25" s="89">
        <f t="shared" si="34"/>
        <v>0</v>
      </c>
      <c r="I25" s="89">
        <f t="shared" si="34"/>
        <v>0</v>
      </c>
      <c r="J25" s="89">
        <f t="shared" si="34"/>
        <v>0</v>
      </c>
      <c r="K25" s="89">
        <f t="shared" si="34"/>
        <v>0</v>
      </c>
      <c r="L25" s="89">
        <f t="shared" si="34"/>
        <v>0</v>
      </c>
      <c r="M25" s="89">
        <f t="shared" si="34"/>
        <v>0</v>
      </c>
      <c r="N25" s="89">
        <f t="shared" si="34"/>
        <v>0</v>
      </c>
      <c r="O25" s="89">
        <f t="shared" si="34"/>
        <v>0</v>
      </c>
      <c r="P25" s="89">
        <f t="shared" si="34"/>
        <v>0</v>
      </c>
      <c r="Q25" s="89">
        <f t="shared" si="34"/>
        <v>0</v>
      </c>
      <c r="R25" s="89">
        <f t="shared" ref="R25:S25" si="35">IF(R24&lt;0,0,R24*0.15)</f>
        <v>0</v>
      </c>
      <c r="S25" s="89">
        <f t="shared" si="35"/>
        <v>0</v>
      </c>
      <c r="T25" s="89">
        <f t="shared" ref="T25" si="36">IF(T24&lt;0,0,T24*0.15)</f>
        <v>0</v>
      </c>
      <c r="U25" s="2"/>
      <c r="V25" s="2"/>
      <c r="W25" s="2"/>
      <c r="AR25" s="78" t="s">
        <v>90</v>
      </c>
      <c r="AS25" s="78" t="s">
        <v>35</v>
      </c>
    </row>
    <row r="26" spans="1:46">
      <c r="A26" s="75">
        <v>20</v>
      </c>
      <c r="B26" s="78" t="s">
        <v>91</v>
      </c>
      <c r="C26" s="89">
        <f>C24-C25</f>
        <v>-22511.511623943457</v>
      </c>
      <c r="D26" s="89">
        <f t="shared" ref="D26:Q26" si="37">D24-D25</f>
        <v>-6420.4858852871548</v>
      </c>
      <c r="E26" s="89">
        <f t="shared" si="37"/>
        <v>-16051.214713217923</v>
      </c>
      <c r="F26" s="89">
        <f t="shared" si="37"/>
        <v>-22495.829444943345</v>
      </c>
      <c r="G26" s="89">
        <f t="shared" si="37"/>
        <v>-8998.3317779773643</v>
      </c>
      <c r="H26" s="89">
        <f t="shared" si="37"/>
        <v>-6414.2130136870983</v>
      </c>
      <c r="I26" s="89">
        <f t="shared" si="37"/>
        <v>-16035.532534217695</v>
      </c>
      <c r="J26" s="89">
        <f t="shared" si="37"/>
        <v>-7043.5016629285146</v>
      </c>
      <c r="K26" s="89">
        <f t="shared" si="37"/>
        <v>-7689.0652055781356</v>
      </c>
      <c r="L26" s="89">
        <f t="shared" si="37"/>
        <v>-32798.230182619816</v>
      </c>
      <c r="M26" s="89">
        <f t="shared" si="37"/>
        <v>-6559.6460365239654</v>
      </c>
      <c r="N26" s="89">
        <f t="shared" si="37"/>
        <v>-3307.4627182619824</v>
      </c>
      <c r="O26" s="89">
        <f t="shared" si="37"/>
        <v>-3233.0543488739804</v>
      </c>
      <c r="P26" s="89">
        <f t="shared" si="37"/>
        <v>-12821.658595495923</v>
      </c>
      <c r="Q26" s="89">
        <f t="shared" si="37"/>
        <v>-2251.1511623943552</v>
      </c>
      <c r="R26" s="89">
        <f t="shared" ref="R26:S26" si="38">R24-R25</f>
        <v>-7101.9529903621387</v>
      </c>
      <c r="S26" s="89">
        <f t="shared" si="38"/>
        <v>-30645.702022312529</v>
      </c>
      <c r="T26" s="81">
        <f t="shared" si="0"/>
        <v>-212378.54391862539</v>
      </c>
      <c r="U26" s="2"/>
      <c r="V26" s="2"/>
      <c r="W26" s="2"/>
      <c r="AR26" s="78" t="s">
        <v>92</v>
      </c>
      <c r="AS26" s="78" t="s">
        <v>91</v>
      </c>
    </row>
    <row r="27" spans="1:46">
      <c r="A27" s="75">
        <v>21</v>
      </c>
      <c r="B27" s="78" t="s">
        <v>95</v>
      </c>
      <c r="C27" s="92">
        <f>C26/C9</f>
        <v>-1.9612959240598381E-2</v>
      </c>
      <c r="D27" s="92">
        <f t="shared" ref="D27:Q27" si="39">D26/D9</f>
        <v>-1.7532984655327415E-2</v>
      </c>
      <c r="E27" s="92">
        <f t="shared" si="39"/>
        <v>-1.7532984655327453E-2</v>
      </c>
      <c r="F27" s="92">
        <f t="shared" si="39"/>
        <v>-1.9599296278169601E-2</v>
      </c>
      <c r="G27" s="92">
        <f t="shared" si="39"/>
        <v>-1.959929627816966E-2</v>
      </c>
      <c r="H27" s="92">
        <f t="shared" si="39"/>
        <v>-1.7515854773964282E-2</v>
      </c>
      <c r="I27" s="92">
        <f t="shared" si="39"/>
        <v>-1.7515854773964227E-2</v>
      </c>
      <c r="J27" s="92">
        <f t="shared" si="39"/>
        <v>-0.13758265996731583</v>
      </c>
      <c r="K27" s="92">
        <f t="shared" si="39"/>
        <v>-0.21776049329080935</v>
      </c>
      <c r="L27" s="92">
        <f t="shared" si="39"/>
        <v>-0.11230909123139511</v>
      </c>
      <c r="M27" s="92">
        <f t="shared" si="39"/>
        <v>-0.11230909123139517</v>
      </c>
      <c r="N27" s="92">
        <f t="shared" si="39"/>
        <v>-0.11325554156472849</v>
      </c>
      <c r="O27" s="92">
        <f t="shared" si="39"/>
        <v>-0.11070761861295751</v>
      </c>
      <c r="P27" s="92">
        <f t="shared" si="39"/>
        <v>-0.10976116827962419</v>
      </c>
      <c r="Q27" s="92">
        <f t="shared" si="39"/>
        <v>-1.9612959240598464E-2</v>
      </c>
      <c r="R27" s="92">
        <f t="shared" ref="R27:S27" si="40">R26/R9</f>
        <v>-0.13896462128327647</v>
      </c>
      <c r="S27" s="92">
        <f t="shared" si="40"/>
        <v>-0.21697771481963132</v>
      </c>
      <c r="T27" s="92">
        <f>T26/T9</f>
        <v>-3.4049509751148753E-2</v>
      </c>
      <c r="U27" s="2"/>
      <c r="V27" s="2"/>
      <c r="W27" s="2"/>
      <c r="AR27" s="78" t="s">
        <v>94</v>
      </c>
      <c r="AS27" s="78" t="s">
        <v>95</v>
      </c>
    </row>
    <row r="28" spans="1:46">
      <c r="U28" s="2"/>
      <c r="V28" s="2"/>
      <c r="W28" s="2"/>
    </row>
    <row r="29" spans="1:46">
      <c r="A29" s="71" t="s">
        <v>96</v>
      </c>
      <c r="T29" s="74" t="s">
        <v>149</v>
      </c>
      <c r="U29" s="2"/>
      <c r="V29" s="2"/>
      <c r="W29" s="2"/>
      <c r="AR29" s="71" t="s">
        <v>96</v>
      </c>
    </row>
    <row r="30" spans="1:46">
      <c r="A30" s="78" t="s">
        <v>97</v>
      </c>
      <c r="B30" s="83" t="s">
        <v>98</v>
      </c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2"/>
      <c r="V30" s="2"/>
      <c r="W30" s="2"/>
      <c r="Y30" s="2"/>
      <c r="AR30" s="78" t="s">
        <v>99</v>
      </c>
      <c r="AS30" s="83" t="s">
        <v>98</v>
      </c>
    </row>
    <row r="31" spans="1:46">
      <c r="A31" s="75">
        <v>1</v>
      </c>
      <c r="B31" s="86" t="s">
        <v>100</v>
      </c>
      <c r="C31" s="93">
        <f>销量!C8</f>
        <v>2295.5752212389384</v>
      </c>
      <c r="D31" s="93">
        <f>销量!D8</f>
        <v>1830.9734513274338</v>
      </c>
      <c r="E31" s="93">
        <f>销量!E8</f>
        <v>1830.9734513274338</v>
      </c>
      <c r="F31" s="93">
        <f>销量!F8</f>
        <v>2295.5752212389384</v>
      </c>
      <c r="G31" s="93">
        <f>销量!G8</f>
        <v>2295.5752212389384</v>
      </c>
      <c r="H31" s="93">
        <f>销量!H8</f>
        <v>1830.9734513274338</v>
      </c>
      <c r="I31" s="93">
        <f>销量!I8</f>
        <v>1830.9734513274338</v>
      </c>
      <c r="J31" s="93">
        <f>销量!J8</f>
        <v>1023.8938053097346</v>
      </c>
      <c r="K31" s="93">
        <f>销量!K8</f>
        <v>706.19469026548677</v>
      </c>
      <c r="L31" s="93">
        <f>销量!L8</f>
        <v>584.07079646017701</v>
      </c>
      <c r="M31" s="93">
        <f>销量!M8</f>
        <v>584.07079646017701</v>
      </c>
      <c r="N31" s="93">
        <f>销量!N8</f>
        <v>584.07079646017701</v>
      </c>
      <c r="O31" s="93">
        <f>销量!O8</f>
        <v>584.07079646017701</v>
      </c>
      <c r="P31" s="93">
        <f>销量!P8</f>
        <v>584.07079646017701</v>
      </c>
      <c r="Q31" s="93">
        <f>销量!Q8</f>
        <v>2295.5752212389384</v>
      </c>
      <c r="R31" s="93">
        <f>销量!R8</f>
        <v>1022.1238938053099</v>
      </c>
      <c r="S31" s="93">
        <f>销量!S8</f>
        <v>706.19469026548677</v>
      </c>
      <c r="T31" s="89"/>
      <c r="U31" s="2"/>
      <c r="V31" s="2"/>
      <c r="W31" s="2"/>
      <c r="Y31" s="2"/>
      <c r="AR31" s="78" t="s">
        <v>55</v>
      </c>
      <c r="AS31" s="78" t="s">
        <v>100</v>
      </c>
    </row>
    <row r="32" spans="1:46">
      <c r="A32" s="75">
        <v>2</v>
      </c>
      <c r="B32" s="78" t="s">
        <v>150</v>
      </c>
      <c r="C32" s="81">
        <f>C9/C6</f>
        <v>2295.5752212389384</v>
      </c>
      <c r="D32" s="81">
        <f t="shared" ref="D32:S32" si="41">D9/D6</f>
        <v>1830.9734513274338</v>
      </c>
      <c r="E32" s="81">
        <f t="shared" si="41"/>
        <v>1830.9734513274338</v>
      </c>
      <c r="F32" s="81">
        <f t="shared" si="41"/>
        <v>2295.5752212389384</v>
      </c>
      <c r="G32" s="81">
        <f t="shared" si="41"/>
        <v>2295.5752212389384</v>
      </c>
      <c r="H32" s="81">
        <f t="shared" si="41"/>
        <v>1830.9734513274338</v>
      </c>
      <c r="I32" s="81">
        <f t="shared" si="41"/>
        <v>1830.9734513274338</v>
      </c>
      <c r="J32" s="81">
        <f t="shared" si="41"/>
        <v>1023.8938053097346</v>
      </c>
      <c r="K32" s="81">
        <f t="shared" si="41"/>
        <v>706.19469026548677</v>
      </c>
      <c r="L32" s="81">
        <f t="shared" si="41"/>
        <v>584.07079646017701</v>
      </c>
      <c r="M32" s="81">
        <f t="shared" si="41"/>
        <v>584.07079646017701</v>
      </c>
      <c r="N32" s="81">
        <f t="shared" si="41"/>
        <v>584.07079646017701</v>
      </c>
      <c r="O32" s="81">
        <f t="shared" si="41"/>
        <v>584.07079646017701</v>
      </c>
      <c r="P32" s="81">
        <f t="shared" si="41"/>
        <v>584.07079646017701</v>
      </c>
      <c r="Q32" s="81">
        <f t="shared" si="41"/>
        <v>2295.5752212389384</v>
      </c>
      <c r="R32" s="81">
        <f t="shared" si="41"/>
        <v>1022.1238938053099</v>
      </c>
      <c r="S32" s="81">
        <f t="shared" si="41"/>
        <v>706.19469026548677</v>
      </c>
      <c r="T32" s="89"/>
      <c r="U32" s="2"/>
      <c r="V32" s="2"/>
      <c r="W32" s="2"/>
      <c r="X32" s="2"/>
      <c r="Y32" s="2"/>
      <c r="Z32" s="2"/>
      <c r="AA32" s="2"/>
      <c r="AR32" s="78"/>
      <c r="AS32" s="78"/>
    </row>
    <row r="33" spans="1:45">
      <c r="A33" s="75">
        <v>3</v>
      </c>
      <c r="B33" s="86" t="s">
        <v>101</v>
      </c>
      <c r="C33" s="81">
        <f>材料成本!D24</f>
        <v>1552.7248158505649</v>
      </c>
      <c r="D33" s="81">
        <f>材料成本!E24</f>
        <v>1232.9347530025648</v>
      </c>
      <c r="E33" s="81">
        <f>材料成本!F24</f>
        <v>1232.9347530025648</v>
      </c>
      <c r="F33" s="81">
        <f>材料成本!G24</f>
        <v>1552.6934514925647</v>
      </c>
      <c r="G33" s="81">
        <f>材料成本!H24</f>
        <v>1552.6934514925647</v>
      </c>
      <c r="H33" s="81">
        <f>材料成本!I24</f>
        <v>1232.9033886445645</v>
      </c>
      <c r="I33" s="81">
        <f>材料成本!J24</f>
        <v>1232.9033886445645</v>
      </c>
      <c r="J33" s="81">
        <f>材料成本!K24</f>
        <v>808.62625064000895</v>
      </c>
      <c r="K33" s="81">
        <f>材料成本!L24</f>
        <v>611.69725600627567</v>
      </c>
      <c r="L33" s="81">
        <f>材料成本!M24</f>
        <v>442.84958040154555</v>
      </c>
      <c r="M33" s="81">
        <f>材料成本!N24</f>
        <v>442.84958040154555</v>
      </c>
      <c r="N33" s="81">
        <f>材料成本!O24</f>
        <v>443.40237440154556</v>
      </c>
      <c r="O33" s="81">
        <f>材料成本!P24</f>
        <v>441.91420701378547</v>
      </c>
      <c r="P33" s="81">
        <f>材料成本!Q24</f>
        <v>441.36141301378547</v>
      </c>
      <c r="Q33" s="81">
        <f>材料成本!R24</f>
        <v>1552.7248158505649</v>
      </c>
      <c r="R33" s="81">
        <f>材料成本!S24</f>
        <v>808.62625064000895</v>
      </c>
      <c r="S33" s="81">
        <f>材料成本!T24</f>
        <v>611.1444620062756</v>
      </c>
      <c r="T33" s="89"/>
      <c r="V33" s="2"/>
      <c r="W33" s="2"/>
      <c r="X33" s="2"/>
      <c r="Y33" s="2"/>
      <c r="Z33" s="2"/>
      <c r="AA33" s="2"/>
      <c r="AR33" s="78" t="s">
        <v>57</v>
      </c>
      <c r="AS33" s="78" t="s">
        <v>101</v>
      </c>
    </row>
    <row r="34" spans="1:45" ht="17.25" customHeight="1">
      <c r="A34" s="75">
        <v>4</v>
      </c>
      <c r="B34" s="78" t="s">
        <v>103</v>
      </c>
      <c r="C34" s="94">
        <f>C32-C33</f>
        <v>742.85040538837347</v>
      </c>
      <c r="D34" s="94">
        <f t="shared" ref="D34:S34" si="42">D32-D33</f>
        <v>598.03869832486907</v>
      </c>
      <c r="E34" s="94">
        <f t="shared" si="42"/>
        <v>598.03869832486907</v>
      </c>
      <c r="F34" s="94">
        <f t="shared" si="42"/>
        <v>742.88176974637372</v>
      </c>
      <c r="G34" s="94">
        <f t="shared" si="42"/>
        <v>742.88176974637372</v>
      </c>
      <c r="H34" s="94">
        <f t="shared" si="42"/>
        <v>598.07006268286932</v>
      </c>
      <c r="I34" s="94">
        <f t="shared" si="42"/>
        <v>598.07006268286932</v>
      </c>
      <c r="J34" s="94">
        <f t="shared" si="42"/>
        <v>215.26755466972566</v>
      </c>
      <c r="K34" s="94">
        <f t="shared" si="42"/>
        <v>94.497434259211104</v>
      </c>
      <c r="L34" s="94">
        <f t="shared" si="42"/>
        <v>141.22121605863146</v>
      </c>
      <c r="M34" s="94">
        <f t="shared" si="42"/>
        <v>141.22121605863146</v>
      </c>
      <c r="N34" s="94">
        <f t="shared" si="42"/>
        <v>140.66842205863145</v>
      </c>
      <c r="O34" s="94">
        <f t="shared" si="42"/>
        <v>142.15658944639154</v>
      </c>
      <c r="P34" s="94">
        <f t="shared" si="42"/>
        <v>142.70938344639154</v>
      </c>
      <c r="Q34" s="94">
        <f t="shared" si="42"/>
        <v>742.85040538837347</v>
      </c>
      <c r="R34" s="94">
        <f t="shared" si="42"/>
        <v>213.49764316530093</v>
      </c>
      <c r="S34" s="94">
        <f t="shared" si="42"/>
        <v>95.050228259211167</v>
      </c>
      <c r="T34" s="89"/>
      <c r="V34" s="2"/>
      <c r="W34" s="2"/>
      <c r="X34" s="2"/>
      <c r="Y34" s="2"/>
      <c r="Z34" s="2"/>
      <c r="AA34" s="2"/>
      <c r="AR34" s="78" t="s">
        <v>102</v>
      </c>
      <c r="AS34" s="78" t="s">
        <v>103</v>
      </c>
    </row>
    <row r="35" spans="1:45">
      <c r="A35" s="78" t="s">
        <v>99</v>
      </c>
      <c r="B35" s="83" t="s">
        <v>9</v>
      </c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2"/>
      <c r="V35" s="2"/>
      <c r="W35" s="2"/>
      <c r="X35" s="2"/>
      <c r="Y35" s="2"/>
      <c r="Z35" s="2"/>
      <c r="AA35" s="2"/>
      <c r="AB35" s="2"/>
      <c r="AC35" s="2"/>
      <c r="AD35" s="2"/>
      <c r="AR35" s="78" t="s">
        <v>105</v>
      </c>
      <c r="AS35" s="83" t="s">
        <v>9</v>
      </c>
    </row>
    <row r="36" spans="1:45">
      <c r="A36" s="75">
        <v>1</v>
      </c>
      <c r="B36" s="78" t="s">
        <v>106</v>
      </c>
      <c r="C36" s="87">
        <f>标准成本!E4</f>
        <v>159.31292035398232</v>
      </c>
      <c r="D36" s="87">
        <f>标准成本!E16</f>
        <v>127.06955752212392</v>
      </c>
      <c r="E36" s="87">
        <f>标准成本!E29</f>
        <v>127.06955752212392</v>
      </c>
      <c r="F36" s="87">
        <f>标准成本!E42</f>
        <v>159.31292035398232</v>
      </c>
      <c r="G36" s="87">
        <f>标准成本!E55</f>
        <v>159.31292035398232</v>
      </c>
      <c r="H36" s="87">
        <f>标准成本!E68</f>
        <v>127.06955752212392</v>
      </c>
      <c r="I36" s="87">
        <f>标准成本!E81</f>
        <v>127.06955752212392</v>
      </c>
      <c r="J36" s="87">
        <f>标准成本!E94</f>
        <v>71.058230088495591</v>
      </c>
      <c r="K36" s="87">
        <f>标准成本!E107</f>
        <v>49.009911504424785</v>
      </c>
      <c r="L36" s="87">
        <f>标准成本!E120</f>
        <v>40.534513274336284</v>
      </c>
      <c r="M36" s="87">
        <f>标准成本!E133</f>
        <v>40.534513274336284</v>
      </c>
      <c r="N36" s="87">
        <f>标准成本!E146</f>
        <v>40.534513274336284</v>
      </c>
      <c r="O36" s="87">
        <f>标准成本!E159</f>
        <v>40.534513274336284</v>
      </c>
      <c r="P36" s="87">
        <f>标准成本!E172</f>
        <v>40.534513274336284</v>
      </c>
      <c r="Q36" s="87">
        <f>标准成本!E185</f>
        <v>159.31292035398232</v>
      </c>
      <c r="R36" s="87">
        <f>标准成本!E198</f>
        <v>70.935398230088509</v>
      </c>
      <c r="S36" s="87">
        <f>标准成本!E211</f>
        <v>49.009911504424785</v>
      </c>
      <c r="T36" s="93"/>
      <c r="U36" s="2"/>
      <c r="V36" s="2"/>
      <c r="W36" s="2"/>
      <c r="X36" s="2"/>
      <c r="Y36" s="2"/>
      <c r="Z36" s="2"/>
      <c r="AA36" s="2"/>
      <c r="AB36" s="2"/>
      <c r="AC36" s="2"/>
      <c r="AD36" s="2"/>
      <c r="AR36" s="78" t="s">
        <v>102</v>
      </c>
      <c r="AS36" s="78" t="s">
        <v>106</v>
      </c>
    </row>
    <row r="37" spans="1:45">
      <c r="A37" s="75">
        <v>2</v>
      </c>
      <c r="B37" s="78" t="s">
        <v>107</v>
      </c>
      <c r="C37" s="87">
        <f>标准成本!E6</f>
        <v>99.627964601769932</v>
      </c>
      <c r="D37" s="87">
        <f>标准成本!E18</f>
        <v>79.464247787610631</v>
      </c>
      <c r="E37" s="87">
        <f>标准成本!E31</f>
        <v>79.464247787610631</v>
      </c>
      <c r="F37" s="87">
        <f>标准成本!E44</f>
        <v>99.627964601769932</v>
      </c>
      <c r="G37" s="87">
        <f>标准成本!E57</f>
        <v>99.627964601769932</v>
      </c>
      <c r="H37" s="87">
        <f>标准成本!E70</f>
        <v>79.464247787610631</v>
      </c>
      <c r="I37" s="87">
        <f>标准成本!E83</f>
        <v>79.464247787610631</v>
      </c>
      <c r="J37" s="87">
        <f>标准成本!E96</f>
        <v>44.436991150442481</v>
      </c>
      <c r="K37" s="87">
        <f>标准成本!E109</f>
        <v>30.648849557522126</v>
      </c>
      <c r="L37" s="87">
        <f>标准成本!E122</f>
        <v>25.348672566371683</v>
      </c>
      <c r="M37" s="87">
        <f>标准成本!E135</f>
        <v>25.348672566371683</v>
      </c>
      <c r="N37" s="87">
        <f>标准成本!E148</f>
        <v>25.348672566371683</v>
      </c>
      <c r="O37" s="87">
        <f>标准成本!E161</f>
        <v>25.348672566371683</v>
      </c>
      <c r="P37" s="87">
        <f>标准成本!E174</f>
        <v>25.348672566371683</v>
      </c>
      <c r="Q37" s="87">
        <f>标准成本!E187</f>
        <v>99.627964601769932</v>
      </c>
      <c r="R37" s="87">
        <f>标准成本!E200</f>
        <v>44.360176991150446</v>
      </c>
      <c r="S37" s="87">
        <f>标准成本!E213</f>
        <v>30.648849557522126</v>
      </c>
      <c r="T37" s="93"/>
      <c r="U37" s="2"/>
      <c r="V37" s="2"/>
      <c r="W37" s="2"/>
      <c r="X37" s="2"/>
      <c r="Y37" s="2"/>
      <c r="Z37" s="2"/>
      <c r="AA37" s="2"/>
      <c r="AB37" s="2"/>
      <c r="AC37" s="2"/>
      <c r="AD37" s="2"/>
      <c r="AR37" s="78" t="s">
        <v>60</v>
      </c>
      <c r="AS37" s="78" t="s">
        <v>107</v>
      </c>
    </row>
    <row r="38" spans="1:45">
      <c r="A38" s="75">
        <v>3</v>
      </c>
      <c r="B38" s="78" t="s">
        <v>108</v>
      </c>
      <c r="C38" s="87">
        <f>标准成本!E10</f>
        <v>149.44194690265491</v>
      </c>
      <c r="D38" s="87">
        <f>标准成本!E22</f>
        <v>119.19637168141595</v>
      </c>
      <c r="E38" s="87">
        <f>标准成本!E35</f>
        <v>119.19637168141595</v>
      </c>
      <c r="F38" s="87">
        <f>标准成本!E48</f>
        <v>149.44194690265491</v>
      </c>
      <c r="G38" s="87">
        <f>标准成本!E61</f>
        <v>149.44194690265491</v>
      </c>
      <c r="H38" s="87">
        <f>标准成本!E74</f>
        <v>119.19637168141595</v>
      </c>
      <c r="I38" s="87">
        <f>标准成本!E87</f>
        <v>119.19637168141595</v>
      </c>
      <c r="J38" s="87">
        <f>标准成本!E100</f>
        <v>66.655486725663721</v>
      </c>
      <c r="K38" s="87">
        <f>标准成本!E113</f>
        <v>45.97327433628319</v>
      </c>
      <c r="L38" s="87">
        <f>标准成本!E126</f>
        <v>38.023008849557527</v>
      </c>
      <c r="M38" s="87">
        <f>标准成本!E139</f>
        <v>38.023008849557527</v>
      </c>
      <c r="N38" s="87">
        <f>标准成本!E152</f>
        <v>38.023008849557527</v>
      </c>
      <c r="O38" s="87">
        <f>标准成本!E165</f>
        <v>38.023008849557527</v>
      </c>
      <c r="P38" s="87">
        <f>标准成本!E178</f>
        <v>38.023008849557527</v>
      </c>
      <c r="Q38" s="87">
        <f>标准成本!E191</f>
        <v>149.44194690265491</v>
      </c>
      <c r="R38" s="87">
        <f>标准成本!E204</f>
        <v>66.540265486725673</v>
      </c>
      <c r="S38" s="87">
        <f>标准成本!E217</f>
        <v>45.97327433628319</v>
      </c>
      <c r="T38" s="93"/>
      <c r="U38" s="2"/>
      <c r="V38" s="2"/>
      <c r="W38" s="2"/>
      <c r="X38" s="2"/>
      <c r="Y38" s="2"/>
      <c r="Z38" s="2"/>
      <c r="AA38" s="2"/>
      <c r="AB38" s="2"/>
      <c r="AC38" s="2"/>
      <c r="AD38" s="2"/>
      <c r="AR38" s="78" t="s">
        <v>66</v>
      </c>
      <c r="AS38" s="78" t="s">
        <v>108</v>
      </c>
    </row>
    <row r="39" spans="1:45">
      <c r="A39" s="78" t="s">
        <v>105</v>
      </c>
      <c r="B39" s="83" t="s">
        <v>110</v>
      </c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AR39" s="78" t="s">
        <v>109</v>
      </c>
      <c r="AS39" s="83" t="s">
        <v>110</v>
      </c>
    </row>
    <row r="40" spans="1:45">
      <c r="A40" s="75">
        <v>1</v>
      </c>
      <c r="B40" s="78" t="s">
        <v>111</v>
      </c>
      <c r="C40" s="89">
        <f>C34-C36-C37-C38</f>
        <v>334.46757352996633</v>
      </c>
      <c r="D40" s="89">
        <f>D34-D36-D37-D38</f>
        <v>272.3085213337186</v>
      </c>
      <c r="E40" s="89">
        <f t="shared" ref="E40:S40" si="43">E34-E36-E37-E38</f>
        <v>272.3085213337186</v>
      </c>
      <c r="F40" s="89">
        <f t="shared" si="43"/>
        <v>334.49893788796658</v>
      </c>
      <c r="G40" s="89">
        <f t="shared" si="43"/>
        <v>334.49893788796658</v>
      </c>
      <c r="H40" s="89">
        <f t="shared" si="43"/>
        <v>272.33988569171885</v>
      </c>
      <c r="I40" s="89">
        <f t="shared" si="43"/>
        <v>272.33988569171885</v>
      </c>
      <c r="J40" s="89">
        <f t="shared" si="43"/>
        <v>33.116846705123876</v>
      </c>
      <c r="K40" s="89">
        <f t="shared" si="43"/>
        <v>-31.134601139018997</v>
      </c>
      <c r="L40" s="89">
        <f t="shared" si="43"/>
        <v>37.315021368365962</v>
      </c>
      <c r="M40" s="89">
        <f t="shared" si="43"/>
        <v>37.315021368365962</v>
      </c>
      <c r="N40" s="89">
        <f t="shared" si="43"/>
        <v>36.762227368365956</v>
      </c>
      <c r="O40" s="89">
        <f t="shared" si="43"/>
        <v>38.250394756126042</v>
      </c>
      <c r="P40" s="89">
        <f t="shared" si="43"/>
        <v>38.803188756126048</v>
      </c>
      <c r="Q40" s="89">
        <f t="shared" si="43"/>
        <v>334.46757352996633</v>
      </c>
      <c r="R40" s="89">
        <f t="shared" si="43"/>
        <v>31.661802457336307</v>
      </c>
      <c r="S40" s="89">
        <f t="shared" si="43"/>
        <v>-30.581807139018935</v>
      </c>
      <c r="T40" s="89"/>
      <c r="AR40" s="78" t="s">
        <v>55</v>
      </c>
      <c r="AS40" s="78" t="s">
        <v>111</v>
      </c>
    </row>
    <row r="41" spans="1:45">
      <c r="A41" s="75">
        <v>2</v>
      </c>
      <c r="B41" s="78" t="s">
        <v>112</v>
      </c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AR41" s="78" t="s">
        <v>57</v>
      </c>
      <c r="AS41" s="78" t="s">
        <v>112</v>
      </c>
    </row>
    <row r="42" spans="1:45">
      <c r="A42" s="78" t="s">
        <v>109</v>
      </c>
      <c r="B42" s="83" t="s">
        <v>114</v>
      </c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AR42" s="78" t="s">
        <v>113</v>
      </c>
      <c r="AS42" s="83" t="s">
        <v>114</v>
      </c>
    </row>
    <row r="43" spans="1:45">
      <c r="A43" s="75">
        <v>1</v>
      </c>
      <c r="B43" s="90" t="s">
        <v>115</v>
      </c>
      <c r="C43" s="87">
        <f>标准成本!E5</f>
        <v>189.38495575221242</v>
      </c>
      <c r="D43" s="87">
        <f>标准成本!E17</f>
        <v>151.05530973451329</v>
      </c>
      <c r="E43" s="87">
        <f>标准成本!E30</f>
        <v>151.05530973451329</v>
      </c>
      <c r="F43" s="87">
        <f>标准成本!E43</f>
        <v>189.38495575221242</v>
      </c>
      <c r="G43" s="87">
        <f>标准成本!E56</f>
        <v>189.38495575221242</v>
      </c>
      <c r="H43" s="87">
        <f>标准成本!E69</f>
        <v>151.05530973451329</v>
      </c>
      <c r="I43" s="87">
        <f>标准成本!E82</f>
        <v>151.05530973451329</v>
      </c>
      <c r="J43" s="87">
        <f>标准成本!E95</f>
        <v>84.471238938053105</v>
      </c>
      <c r="K43" s="87">
        <f>标准成本!E108</f>
        <v>58.261061946902664</v>
      </c>
      <c r="L43" s="87">
        <f>标准成本!E121</f>
        <v>48.185840707964608</v>
      </c>
      <c r="M43" s="87">
        <f>标准成本!E134</f>
        <v>48.185840707964608</v>
      </c>
      <c r="N43" s="87">
        <f>标准成本!E147</f>
        <v>48.185840707964608</v>
      </c>
      <c r="O43" s="87">
        <f>标准成本!E160</f>
        <v>48.185840707964608</v>
      </c>
      <c r="P43" s="87">
        <f>标准成本!E173</f>
        <v>48.185840707964608</v>
      </c>
      <c r="Q43" s="87">
        <f>标准成本!E186</f>
        <v>189.38495575221242</v>
      </c>
      <c r="R43" s="87">
        <f>标准成本!E199</f>
        <v>84.32522123893807</v>
      </c>
      <c r="S43" s="87">
        <f>标准成本!E212</f>
        <v>58.261061946902664</v>
      </c>
      <c r="T43" s="89"/>
      <c r="AR43" s="78" t="s">
        <v>55</v>
      </c>
      <c r="AS43" s="78" t="s">
        <v>115</v>
      </c>
    </row>
    <row r="44" spans="1:45">
      <c r="A44" s="75">
        <v>2</v>
      </c>
      <c r="B44" s="90" t="s">
        <v>116</v>
      </c>
      <c r="C44" s="87">
        <f>标准成本!E9</f>
        <v>39.483893805309741</v>
      </c>
      <c r="D44" s="87">
        <f>标准成本!E21</f>
        <v>31.492743362831863</v>
      </c>
      <c r="E44" s="87">
        <f>标准成本!E34</f>
        <v>31.492743362831863</v>
      </c>
      <c r="F44" s="87">
        <f>标准成本!E47</f>
        <v>39.483893805309741</v>
      </c>
      <c r="G44" s="87">
        <f>标准成本!E60</f>
        <v>39.483893805309741</v>
      </c>
      <c r="H44" s="87">
        <f>标准成本!E73</f>
        <v>31.492743362831863</v>
      </c>
      <c r="I44" s="87">
        <f>标准成本!E86</f>
        <v>31.492743362831863</v>
      </c>
      <c r="J44" s="87">
        <f>标准成本!E99</f>
        <v>17.610973451327435</v>
      </c>
      <c r="K44" s="87">
        <f>标准成本!E112</f>
        <v>12.146548672566372</v>
      </c>
      <c r="L44" s="87">
        <f>标准成本!E125</f>
        <v>10.046017699115044</v>
      </c>
      <c r="M44" s="87">
        <f>标准成本!E138</f>
        <v>10.046017699115044</v>
      </c>
      <c r="N44" s="87">
        <f>标准成本!E151</f>
        <v>10.046017699115044</v>
      </c>
      <c r="O44" s="87">
        <f>标准成本!E164</f>
        <v>10.046017699115044</v>
      </c>
      <c r="P44" s="87">
        <f>标准成本!E177</f>
        <v>10.046017699115044</v>
      </c>
      <c r="Q44" s="87">
        <f>标准成本!E190</f>
        <v>39.483893805309741</v>
      </c>
      <c r="R44" s="87">
        <f>标准成本!E203</f>
        <v>17.580530973451332</v>
      </c>
      <c r="S44" s="87">
        <f>标准成本!E216</f>
        <v>12.146548672566372</v>
      </c>
      <c r="T44" s="89"/>
      <c r="AR44" s="78" t="s">
        <v>57</v>
      </c>
      <c r="AS44" s="78" t="s">
        <v>116</v>
      </c>
    </row>
    <row r="45" spans="1:45">
      <c r="A45" s="75">
        <v>3</v>
      </c>
      <c r="B45" s="90" t="s">
        <v>117</v>
      </c>
      <c r="C45" s="87">
        <f>标准成本!E8</f>
        <v>60.603185840707972</v>
      </c>
      <c r="D45" s="87">
        <f>标准成本!E20</f>
        <v>48.337699115044252</v>
      </c>
      <c r="E45" s="87">
        <f>标准成本!E33</f>
        <v>48.337699115044252</v>
      </c>
      <c r="F45" s="87">
        <f>标准成本!E46</f>
        <v>60.603185840707972</v>
      </c>
      <c r="G45" s="87">
        <f>标准成本!E59</f>
        <v>60.603185840707972</v>
      </c>
      <c r="H45" s="87">
        <f>标准成本!E72</f>
        <v>48.337699115044252</v>
      </c>
      <c r="I45" s="87">
        <f>标准成本!E85</f>
        <v>48.337699115044252</v>
      </c>
      <c r="J45" s="87">
        <f>标准成本!E98</f>
        <v>27.030796460176994</v>
      </c>
      <c r="K45" s="87">
        <f>标准成本!E111</f>
        <v>18.643539823008851</v>
      </c>
      <c r="L45" s="87">
        <f>标准成本!E124</f>
        <v>15.419469026548672</v>
      </c>
      <c r="M45" s="87">
        <f>标准成本!E137</f>
        <v>15.419469026548672</v>
      </c>
      <c r="N45" s="87">
        <f>标准成本!E150</f>
        <v>15.419469026548672</v>
      </c>
      <c r="O45" s="87">
        <f>标准成本!E163</f>
        <v>15.419469026548672</v>
      </c>
      <c r="P45" s="87">
        <f>标准成本!E176</f>
        <v>15.419469026548672</v>
      </c>
      <c r="Q45" s="87">
        <f>标准成本!E189</f>
        <v>60.603185840707972</v>
      </c>
      <c r="R45" s="87">
        <f>标准成本!E202</f>
        <v>26.98407079646018</v>
      </c>
      <c r="S45" s="87">
        <f>标准成本!E215</f>
        <v>18.643539823008851</v>
      </c>
      <c r="T45" s="89"/>
      <c r="AR45" s="78" t="s">
        <v>102</v>
      </c>
      <c r="AS45" s="78" t="s">
        <v>117</v>
      </c>
    </row>
    <row r="46" spans="1:45" s="73" customFormat="1">
      <c r="A46" s="75">
        <v>4</v>
      </c>
      <c r="B46" s="90" t="s">
        <v>118</v>
      </c>
      <c r="C46" s="95">
        <f>C21/C6</f>
        <v>8.1196581196581192</v>
      </c>
      <c r="D46" s="95">
        <f>D21/D6</f>
        <v>8.1196581196581192</v>
      </c>
      <c r="E46" s="95">
        <f t="shared" ref="E46:S46" si="44">E21/E6</f>
        <v>8.1196581196581192</v>
      </c>
      <c r="F46" s="95">
        <f t="shared" si="44"/>
        <v>8.1196581196581192</v>
      </c>
      <c r="G46" s="95">
        <f t="shared" si="44"/>
        <v>8.1196581196581192</v>
      </c>
      <c r="H46" s="95">
        <f t="shared" si="44"/>
        <v>8.1196581196581192</v>
      </c>
      <c r="I46" s="95">
        <f t="shared" si="44"/>
        <v>8.1196581196581192</v>
      </c>
      <c r="J46" s="95">
        <f t="shared" si="44"/>
        <v>8.1196581196581192</v>
      </c>
      <c r="K46" s="95">
        <f t="shared" si="44"/>
        <v>8.1196581196581192</v>
      </c>
      <c r="L46" s="95">
        <f t="shared" si="44"/>
        <v>8.1196581196581192</v>
      </c>
      <c r="M46" s="95">
        <f t="shared" si="44"/>
        <v>8.1196581196581192</v>
      </c>
      <c r="N46" s="95">
        <f t="shared" si="44"/>
        <v>8.1196581196581192</v>
      </c>
      <c r="O46" s="95">
        <f t="shared" si="44"/>
        <v>8.1196581196581192</v>
      </c>
      <c r="P46" s="95">
        <f t="shared" si="44"/>
        <v>8.1196581196581192</v>
      </c>
      <c r="Q46" s="95">
        <f t="shared" si="44"/>
        <v>8.1196581196581192</v>
      </c>
      <c r="R46" s="95">
        <f t="shared" si="44"/>
        <v>8.1196581196581192</v>
      </c>
      <c r="S46" s="95">
        <f t="shared" si="44"/>
        <v>8.1196581196581192</v>
      </c>
      <c r="T46" s="95"/>
      <c r="AR46" s="90" t="s">
        <v>62</v>
      </c>
      <c r="AS46" s="90" t="s">
        <v>120</v>
      </c>
    </row>
    <row r="47" spans="1:45" s="73" customFormat="1">
      <c r="A47" s="75">
        <v>5</v>
      </c>
      <c r="B47" s="90" t="s">
        <v>120</v>
      </c>
      <c r="C47" s="87">
        <f>标准成本!E11</f>
        <v>81.492920353982299</v>
      </c>
      <c r="D47" s="87">
        <f>标准成本!E23</f>
        <v>64.999557522123894</v>
      </c>
      <c r="E47" s="87">
        <f>标准成本!E36</f>
        <v>64.999557522123894</v>
      </c>
      <c r="F47" s="87">
        <f>标准成本!E49</f>
        <v>81.492920353982299</v>
      </c>
      <c r="G47" s="87">
        <f>标准成本!E62</f>
        <v>81.492920353982299</v>
      </c>
      <c r="H47" s="87">
        <f>标准成本!E75</f>
        <v>64.999557522123894</v>
      </c>
      <c r="I47" s="87">
        <f>标准成本!E88</f>
        <v>64.999557522123894</v>
      </c>
      <c r="J47" s="87">
        <f>标准成本!E101</f>
        <v>36.348230088495576</v>
      </c>
      <c r="K47" s="87">
        <f>标准成本!E114</f>
        <v>25.069911504424777</v>
      </c>
      <c r="L47" s="87">
        <f>标准成本!E127</f>
        <v>20.734513274336283</v>
      </c>
      <c r="M47" s="87">
        <f>标准成本!E140</f>
        <v>20.734513274336283</v>
      </c>
      <c r="N47" s="87">
        <f>标准成本!E153</f>
        <v>20.734513274336283</v>
      </c>
      <c r="O47" s="87">
        <f>标准成本!E166</f>
        <v>20.734513274336283</v>
      </c>
      <c r="P47" s="87">
        <f>标准成本!E179</f>
        <v>20.734513274336283</v>
      </c>
      <c r="Q47" s="87">
        <f>标准成本!E192</f>
        <v>81.492920353982299</v>
      </c>
      <c r="R47" s="87">
        <f>标准成本!E205</f>
        <v>36.285398230088497</v>
      </c>
      <c r="S47" s="87">
        <f>标准成本!E218</f>
        <v>25.069911504424777</v>
      </c>
      <c r="T47" s="95"/>
      <c r="AR47" s="90" t="s">
        <v>62</v>
      </c>
      <c r="AS47" s="90" t="s">
        <v>120</v>
      </c>
    </row>
    <row r="48" spans="1:45">
      <c r="A48" s="78" t="s">
        <v>113</v>
      </c>
      <c r="B48" s="83" t="s">
        <v>131</v>
      </c>
      <c r="C48" s="89">
        <f>C40-C43-C44-C45-C47-C46</f>
        <v>-44.617040341904229</v>
      </c>
      <c r="D48" s="89">
        <f>D40-D43-D44-D45-D47-D46</f>
        <v>-31.69644652045281</v>
      </c>
      <c r="E48" s="89">
        <f t="shared" ref="E48:S48" si="45">E40-E43-E44-E45-E47-E46</f>
        <v>-31.69644652045281</v>
      </c>
      <c r="F48" s="89">
        <f t="shared" si="45"/>
        <v>-44.585675983903982</v>
      </c>
      <c r="G48" s="89">
        <f t="shared" si="45"/>
        <v>-44.585675983903982</v>
      </c>
      <c r="H48" s="89">
        <f t="shared" si="45"/>
        <v>-31.665082162452563</v>
      </c>
      <c r="I48" s="89">
        <f t="shared" si="45"/>
        <v>-31.665082162452563</v>
      </c>
      <c r="J48" s="89">
        <f t="shared" si="45"/>
        <v>-140.46405035258735</v>
      </c>
      <c r="K48" s="89">
        <f t="shared" si="45"/>
        <v>-153.37532120557975</v>
      </c>
      <c r="L48" s="89">
        <f t="shared" si="45"/>
        <v>-65.190477459256755</v>
      </c>
      <c r="M48" s="89">
        <f t="shared" si="45"/>
        <v>-65.190477459256755</v>
      </c>
      <c r="N48" s="89">
        <f t="shared" si="45"/>
        <v>-65.743271459256761</v>
      </c>
      <c r="O48" s="89">
        <f t="shared" si="45"/>
        <v>-64.255104071496675</v>
      </c>
      <c r="P48" s="89">
        <f t="shared" si="45"/>
        <v>-63.702310071496676</v>
      </c>
      <c r="Q48" s="89">
        <f t="shared" si="45"/>
        <v>-44.617040341904229</v>
      </c>
      <c r="R48" s="89">
        <f t="shared" si="45"/>
        <v>-141.6330769012599</v>
      </c>
      <c r="S48" s="89">
        <f t="shared" si="45"/>
        <v>-152.82252720557969</v>
      </c>
      <c r="T48" s="89"/>
      <c r="AR48" s="78" t="s">
        <v>130</v>
      </c>
      <c r="AS48" s="83" t="s">
        <v>131</v>
      </c>
    </row>
    <row r="51" spans="2:25"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</row>
    <row r="54" spans="2:25">
      <c r="B54" s="2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2"/>
      <c r="V54" s="2"/>
      <c r="W54" s="2"/>
      <c r="X54" s="2"/>
      <c r="Y54" s="2"/>
    </row>
    <row r="55" spans="2:25">
      <c r="B55" s="2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2"/>
      <c r="V55" s="2"/>
      <c r="W55" s="2"/>
      <c r="X55" s="2"/>
      <c r="Y55" s="2"/>
    </row>
    <row r="56" spans="2:25">
      <c r="B56" s="2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2"/>
      <c r="V56" s="2"/>
      <c r="W56" s="2"/>
      <c r="X56" s="2"/>
      <c r="Y56" s="2"/>
    </row>
    <row r="57" spans="2:25">
      <c r="B57" s="2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2"/>
      <c r="V57" s="2"/>
      <c r="W57" s="2"/>
      <c r="X57" s="2"/>
      <c r="Y57" s="2"/>
    </row>
    <row r="58" spans="2:25">
      <c r="B58" s="2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2"/>
      <c r="V58" s="2"/>
      <c r="W58" s="2"/>
      <c r="X58" s="2"/>
      <c r="Y58" s="2"/>
    </row>
    <row r="59" spans="2:25">
      <c r="B59" s="2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2"/>
      <c r="V59" s="2"/>
      <c r="W59" s="2"/>
      <c r="X59" s="2"/>
      <c r="Y59" s="2"/>
    </row>
    <row r="60" spans="2:25">
      <c r="B60" s="2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2"/>
      <c r="V60" s="2"/>
      <c r="W60" s="2"/>
      <c r="X60" s="2"/>
      <c r="Y60" s="2"/>
    </row>
    <row r="61" spans="2:25">
      <c r="B61" s="2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2"/>
      <c r="V61" s="2"/>
      <c r="W61" s="2"/>
      <c r="X61" s="2"/>
      <c r="Y61" s="2"/>
    </row>
    <row r="62" spans="2:25">
      <c r="B62" s="2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2"/>
      <c r="V62" s="2"/>
      <c r="W62" s="2"/>
      <c r="X62" s="2"/>
      <c r="Y62" s="2"/>
    </row>
    <row r="63" spans="2:25">
      <c r="B63" s="2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2"/>
      <c r="V63" s="2"/>
      <c r="W63" s="2"/>
      <c r="X63" s="2"/>
      <c r="Y63" s="2"/>
    </row>
    <row r="64" spans="2:25">
      <c r="B64" s="2"/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2"/>
      <c r="V64" s="2"/>
      <c r="W64" s="2"/>
      <c r="X64" s="2"/>
      <c r="Y64" s="2"/>
    </row>
    <row r="65" spans="2:25">
      <c r="B65" s="2"/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2"/>
      <c r="V65" s="2"/>
      <c r="W65" s="2"/>
      <c r="X65" s="2"/>
      <c r="Y65" s="2"/>
    </row>
    <row r="66" spans="2:25">
      <c r="B66" s="2"/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2"/>
      <c r="V66" s="2"/>
      <c r="W66" s="2"/>
      <c r="X66" s="2"/>
      <c r="Y66" s="2"/>
    </row>
    <row r="67" spans="2:25">
      <c r="B67" s="2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2"/>
    </row>
    <row r="68" spans="2:25">
      <c r="B68" s="2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2"/>
    </row>
    <row r="69" spans="2:25">
      <c r="B69" s="2"/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2"/>
    </row>
    <row r="70" spans="2:25">
      <c r="B70" s="2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2"/>
    </row>
    <row r="71" spans="2:25">
      <c r="B71" s="2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2"/>
    </row>
    <row r="72" spans="2:25">
      <c r="B72" s="2"/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2"/>
    </row>
    <row r="73" spans="2:25">
      <c r="B73" s="2"/>
      <c r="C73" s="97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2"/>
    </row>
    <row r="74" spans="2:25">
      <c r="B74" s="2"/>
      <c r="C74" s="97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2"/>
    </row>
  </sheetData>
  <mergeCells count="8">
    <mergeCell ref="A4:B4"/>
    <mergeCell ref="A5:B5"/>
    <mergeCell ref="T3:T5"/>
    <mergeCell ref="A1:B1"/>
    <mergeCell ref="C1:T1"/>
    <mergeCell ref="A2:B2"/>
    <mergeCell ref="C2:T2"/>
    <mergeCell ref="A3:B3"/>
  </mergeCells>
  <phoneticPr fontId="45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4"/>
  <sheetViews>
    <sheetView zoomScale="85" zoomScaleNormal="85" workbookViewId="0">
      <pane xSplit="2" ySplit="7" topLeftCell="K8" activePane="bottomRight" state="frozen"/>
      <selection pane="topRight"/>
      <selection pane="bottomLeft"/>
      <selection pane="bottomRight" activeCell="S38" sqref="S38"/>
    </sheetView>
  </sheetViews>
  <sheetFormatPr defaultColWidth="9" defaultRowHeight="16.5"/>
  <cols>
    <col min="1" max="1" width="5.125" style="71" customWidth="1"/>
    <col min="2" max="2" width="17.5" style="71" customWidth="1"/>
    <col min="3" max="19" width="14.375" style="74" customWidth="1"/>
    <col min="20" max="20" width="18.75" style="74" customWidth="1"/>
    <col min="21" max="21" width="12.375" style="71" customWidth="1"/>
    <col min="22" max="22" width="10.125" style="71" customWidth="1"/>
    <col min="23" max="29" width="9" style="71" customWidth="1"/>
    <col min="30" max="45" width="9" style="71"/>
    <col min="46" max="46" width="4.375" style="71" customWidth="1"/>
    <col min="47" max="47" width="13.875" style="71" customWidth="1"/>
    <col min="48" max="16384" width="9" style="71"/>
  </cols>
  <sheetData>
    <row r="1" spans="1:48">
      <c r="A1" s="223" t="s">
        <v>141</v>
      </c>
      <c r="B1" s="223"/>
      <c r="C1" s="227" t="s">
        <v>263</v>
      </c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9"/>
    </row>
    <row r="2" spans="1:48">
      <c r="A2" s="223" t="s">
        <v>142</v>
      </c>
      <c r="B2" s="223"/>
      <c r="C2" s="230" t="str">
        <f>'2025年'!$C$2</f>
        <v>北汽福田戴姆勒</v>
      </c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</row>
    <row r="3" spans="1:48">
      <c r="A3" s="223" t="s">
        <v>143</v>
      </c>
      <c r="B3" s="223"/>
      <c r="C3" s="76" t="str">
        <f>'2025年'!C3</f>
        <v>A668100000203</v>
      </c>
      <c r="D3" s="76" t="str">
        <f>'2025年'!D3</f>
        <v>A668100000205</v>
      </c>
      <c r="E3" s="76" t="str">
        <f>'2025年'!E3</f>
        <v>A668100000206</v>
      </c>
      <c r="F3" s="76" t="str">
        <f>'2025年'!F3</f>
        <v>A668100000207</v>
      </c>
      <c r="G3" s="76" t="str">
        <f>'2025年'!G3</f>
        <v>A668100000208</v>
      </c>
      <c r="H3" s="76" t="str">
        <f>'2025年'!H3</f>
        <v>A668100000209</v>
      </c>
      <c r="I3" s="76" t="str">
        <f>'2025年'!I3</f>
        <v>A668100000210</v>
      </c>
      <c r="J3" s="76" t="str">
        <f>'2025年'!J3</f>
        <v>A668100000216</v>
      </c>
      <c r="K3" s="76" t="str">
        <f>'2025年'!K3</f>
        <v>A668100000218</v>
      </c>
      <c r="L3" s="76" t="str">
        <f>'2025年'!L3</f>
        <v>A668100000219</v>
      </c>
      <c r="M3" s="76" t="str">
        <f>'2025年'!M3</f>
        <v>A668100000220</v>
      </c>
      <c r="N3" s="76" t="str">
        <f>'2025年'!N3</f>
        <v>A668100000221</v>
      </c>
      <c r="O3" s="76" t="str">
        <f>'2025年'!O3</f>
        <v>A668100000222</v>
      </c>
      <c r="P3" s="76" t="str">
        <f>'2025年'!P3</f>
        <v>A668100000223</v>
      </c>
      <c r="Q3" s="76" t="str">
        <f>'2025年'!Q3</f>
        <v>A668100000204</v>
      </c>
      <c r="R3" s="76" t="str">
        <f>'2025年'!R3</f>
        <v>A668100000215</v>
      </c>
      <c r="S3" s="76" t="str">
        <f>'2025年'!S3</f>
        <v>A668100000217</v>
      </c>
      <c r="T3" s="224" t="s">
        <v>51</v>
      </c>
    </row>
    <row r="4" spans="1:48">
      <c r="A4" s="223" t="s">
        <v>144</v>
      </c>
      <c r="B4" s="223"/>
      <c r="C4" s="76" t="str">
        <f>'2025年'!C4</f>
        <v>驾驶员座椅总成</v>
      </c>
      <c r="D4" s="76" t="str">
        <f>'2025年'!D4</f>
        <v>驾驶员座椅总成</v>
      </c>
      <c r="E4" s="76" t="str">
        <f>'2025年'!E4</f>
        <v>驾驶员座椅总成</v>
      </c>
      <c r="F4" s="76" t="str">
        <f>'2025年'!F4</f>
        <v>驾驶员座椅总成</v>
      </c>
      <c r="G4" s="76" t="str">
        <f>'2025年'!G4</f>
        <v>驾驶员座椅总成</v>
      </c>
      <c r="H4" s="76" t="str">
        <f>'2025年'!H4</f>
        <v>驾驶员座椅总成</v>
      </c>
      <c r="I4" s="76" t="str">
        <f>'2025年'!I4</f>
        <v>驾驶员座椅总成</v>
      </c>
      <c r="J4" s="76" t="str">
        <f>'2025年'!J4</f>
        <v>副驾驶员座椅总成</v>
      </c>
      <c r="K4" s="76" t="str">
        <f>'2025年'!K4</f>
        <v>副驾驶员座椅总成</v>
      </c>
      <c r="L4" s="76" t="str">
        <f>'2025年'!L4</f>
        <v>副驾驶员座椅总成</v>
      </c>
      <c r="M4" s="76" t="str">
        <f>'2025年'!M4</f>
        <v>副驾驶员座椅总成</v>
      </c>
      <c r="N4" s="76" t="str">
        <f>'2025年'!N4</f>
        <v>副驾驶员座椅总成</v>
      </c>
      <c r="O4" s="76" t="str">
        <f>'2025年'!O4</f>
        <v>副驾驶员座椅总成</v>
      </c>
      <c r="P4" s="76" t="str">
        <f>'2025年'!P4</f>
        <v>副驾驶员座椅总成</v>
      </c>
      <c r="Q4" s="76" t="str">
        <f>'2025年'!Q4</f>
        <v>驾驶员座椅总成</v>
      </c>
      <c r="R4" s="76" t="str">
        <f>'2025年'!R4</f>
        <v>副驾驶员座椅总成</v>
      </c>
      <c r="S4" s="76" t="str">
        <f>'2025年'!S4</f>
        <v>副驾驶员座椅总成</v>
      </c>
      <c r="T4" s="225"/>
    </row>
    <row r="5" spans="1:48" ht="57">
      <c r="A5" s="223" t="s">
        <v>145</v>
      </c>
      <c r="B5" s="223"/>
      <c r="C5" s="77" t="str">
        <f>'2025年'!C5</f>
        <v>在A668100000010基础上去除头枕部位的福田模压LOGO</v>
      </c>
      <c r="D5" s="77" t="str">
        <f>'2025年'!D5</f>
        <v>在A668100000108基础上去除头枕部位的福田模压LOGO</v>
      </c>
      <c r="E5" s="77" t="str">
        <f>'2025年'!E5</f>
        <v>在A668100000004基础上去除头枕部位的福田模压LOGO</v>
      </c>
      <c r="F5" s="77" t="str">
        <f>'2025年'!F5</f>
        <v>在A668100000023基础上去除头枕部位的福田模压LOGO</v>
      </c>
      <c r="G5" s="77" t="str">
        <f>'2025年'!G5</f>
        <v>在A668100000099基础上去除头枕部位的福田模压LOGO</v>
      </c>
      <c r="H5" s="77" t="str">
        <f>'2025年'!H5</f>
        <v>在A668100000101基础上去除头枕部位的福田模压LOGO</v>
      </c>
      <c r="I5" s="77" t="str">
        <f>'2025年'!I5</f>
        <v>在A668100000026基础上去除头枕部位的福田模压LOGO</v>
      </c>
      <c r="J5" s="77" t="str">
        <f>'2025年'!J5</f>
        <v>在A668100000158基础上去除头枕部位的福田模压LOGO； 有安全带未系提醒</v>
      </c>
      <c r="K5" s="77" t="str">
        <f>'2025年'!K5</f>
        <v>在A668100000011基础上去除头枕部位的福田模压LOGO； 有安全带未系提醒</v>
      </c>
      <c r="L5" s="77" t="str">
        <f>'2025年'!L5</f>
        <v>在A668100000006基础上去除头枕部位的福田模压LOGO； 有安全带未系提醒</v>
      </c>
      <c r="M5" s="77" t="str">
        <f>'2025年'!M5</f>
        <v>在A668100000112基础上去除头枕部位的福田模压LOGO； 有安全带未系提醒</v>
      </c>
      <c r="N5" s="77" t="str">
        <f>'2025年'!N5</f>
        <v>在A668100000110基础上去除头枕部位的福田模压LOGO； 有安全带未系提醒</v>
      </c>
      <c r="O5" s="77" t="str">
        <f>'2025年'!O5</f>
        <v>在A668100000100基础上去除头枕部位的福田模压LOGO； 有安全带未系提醒</v>
      </c>
      <c r="P5" s="77" t="str">
        <f>'2025年'!P5</f>
        <v>在A668100000025基础上去除头枕部位的福田模压LOGO； 有安全带未系提醒</v>
      </c>
      <c r="Q5" s="77" t="str">
        <f>'2025年'!Q5</f>
        <v>在A668100000107基础上去除头枕部位的福田模压LOGO</v>
      </c>
      <c r="R5" s="77" t="str">
        <f>'2025年'!R5</f>
        <v>在A668100000154基础上去除头枕部位的福田模压LOGO； 有安全带未系提醒</v>
      </c>
      <c r="S5" s="77" t="str">
        <f>'2025年'!S5</f>
        <v>在A668100000109基础上去除头枕部位的福田模压LOGO； 有安全带未系提醒</v>
      </c>
      <c r="T5" s="226"/>
      <c r="AV5" s="71" t="s">
        <v>52</v>
      </c>
    </row>
    <row r="6" spans="1:48" ht="17.25">
      <c r="A6" s="78" t="s">
        <v>18</v>
      </c>
      <c r="B6" s="79" t="s">
        <v>146</v>
      </c>
      <c r="C6" s="98">
        <f>销量!C10</f>
        <v>2000</v>
      </c>
      <c r="D6" s="98">
        <f>销量!D10</f>
        <v>500</v>
      </c>
      <c r="E6" s="98">
        <f>销量!E10</f>
        <v>2000</v>
      </c>
      <c r="F6" s="98">
        <f>销量!F10</f>
        <v>3000</v>
      </c>
      <c r="G6" s="98">
        <f>销量!G10</f>
        <v>500</v>
      </c>
      <c r="H6" s="98">
        <f>销量!H10</f>
        <v>500</v>
      </c>
      <c r="I6" s="98">
        <f>销量!I10</f>
        <v>3000</v>
      </c>
      <c r="J6" s="98">
        <f>销量!J10</f>
        <v>500</v>
      </c>
      <c r="K6" s="98">
        <f>销量!K10</f>
        <v>200</v>
      </c>
      <c r="L6" s="98">
        <f>销量!L10</f>
        <v>2000</v>
      </c>
      <c r="M6" s="98">
        <f>销量!M10</f>
        <v>500</v>
      </c>
      <c r="N6" s="98">
        <f>销量!N10</f>
        <v>500</v>
      </c>
      <c r="O6" s="98">
        <f>销量!O10</f>
        <v>500</v>
      </c>
      <c r="P6" s="98">
        <f>销量!P10</f>
        <v>500</v>
      </c>
      <c r="Q6" s="98">
        <f>销量!Q10</f>
        <v>500</v>
      </c>
      <c r="R6" s="98">
        <f>销量!R10</f>
        <v>200</v>
      </c>
      <c r="S6" s="98">
        <f>销量!S10</f>
        <v>500</v>
      </c>
      <c r="T6" s="81">
        <f>+SUM(C6:S6)</f>
        <v>17400</v>
      </c>
      <c r="AT6" s="78" t="s">
        <v>18</v>
      </c>
      <c r="AU6" s="79" t="s">
        <v>3</v>
      </c>
      <c r="AV6" s="71" t="s">
        <v>53</v>
      </c>
    </row>
    <row r="7" spans="1:48">
      <c r="A7" s="75">
        <v>1</v>
      </c>
      <c r="B7" s="79" t="s">
        <v>54</v>
      </c>
      <c r="C7" s="81">
        <f>C6*销量!C8</f>
        <v>4591150.4424778773</v>
      </c>
      <c r="D7" s="81">
        <f>D6*销量!D8</f>
        <v>915486.7256637169</v>
      </c>
      <c r="E7" s="81">
        <f>E6*销量!E8</f>
        <v>3661946.9026548676</v>
      </c>
      <c r="F7" s="81">
        <f>F6*销量!F8</f>
        <v>6886725.6637168154</v>
      </c>
      <c r="G7" s="81">
        <f>G6*销量!G8</f>
        <v>1147787.6106194693</v>
      </c>
      <c r="H7" s="81">
        <f>H6*销量!H8</f>
        <v>915486.7256637169</v>
      </c>
      <c r="I7" s="81">
        <f>I6*销量!I8</f>
        <v>5492920.3539823014</v>
      </c>
      <c r="J7" s="81">
        <f>J6*销量!J8</f>
        <v>511946.90265486733</v>
      </c>
      <c r="K7" s="81">
        <f>K6*销量!K8</f>
        <v>141238.93805309734</v>
      </c>
      <c r="L7" s="81">
        <f>L6*销量!L8</f>
        <v>1168141.5929203541</v>
      </c>
      <c r="M7" s="81">
        <f>M6*销量!M8</f>
        <v>292035.39823008853</v>
      </c>
      <c r="N7" s="81">
        <f>N6*销量!N8</f>
        <v>292035.39823008853</v>
      </c>
      <c r="O7" s="81">
        <f>O6*销量!O8</f>
        <v>292035.39823008853</v>
      </c>
      <c r="P7" s="81">
        <f>P6*销量!P8</f>
        <v>292035.39823008853</v>
      </c>
      <c r="Q7" s="81">
        <f>Q6*销量!Q8</f>
        <v>1147787.6106194693</v>
      </c>
      <c r="R7" s="81">
        <f>R6*销量!R8</f>
        <v>204424.77876106199</v>
      </c>
      <c r="S7" s="81">
        <f>S6*销量!S8</f>
        <v>353097.34513274336</v>
      </c>
      <c r="T7" s="81">
        <f t="shared" ref="T7:T13" si="0">+SUM(C7:S7)</f>
        <v>28306283.185840711</v>
      </c>
      <c r="U7" s="74"/>
      <c r="AT7" s="78" t="s">
        <v>55</v>
      </c>
      <c r="AU7" s="79" t="s">
        <v>54</v>
      </c>
      <c r="AV7" s="71" t="s">
        <v>53</v>
      </c>
    </row>
    <row r="8" spans="1:48">
      <c r="A8" s="75">
        <v>2</v>
      </c>
      <c r="B8" s="75" t="s">
        <v>56</v>
      </c>
      <c r="C8" s="81">
        <f>C7*(1-销量!$W$7)</f>
        <v>229557.52212389407</v>
      </c>
      <c r="D8" s="81">
        <f>D7*(1-销量!$W$7)</f>
        <v>45774.336283185883</v>
      </c>
      <c r="E8" s="81">
        <f>E7*(1-销量!$W$7)</f>
        <v>183097.34513274353</v>
      </c>
      <c r="F8" s="81">
        <f>F7*(1-销量!$W$7)</f>
        <v>344336.28318584105</v>
      </c>
      <c r="G8" s="81">
        <f>G7*(1-销量!$W$7)</f>
        <v>57389.380530973518</v>
      </c>
      <c r="H8" s="81">
        <f>H7*(1-销量!$W$7)</f>
        <v>45774.336283185883</v>
      </c>
      <c r="I8" s="81">
        <f>I7*(1-销量!$W$7)</f>
        <v>274646.01769911533</v>
      </c>
      <c r="J8" s="81">
        <f>J7*(1-销量!$W$7)</f>
        <v>25597.34513274339</v>
      </c>
      <c r="K8" s="81">
        <f>K7*(1-销量!$W$7)</f>
        <v>7061.9469026548732</v>
      </c>
      <c r="L8" s="81">
        <f>L7*(1-销量!$W$7)</f>
        <v>58407.079646017759</v>
      </c>
      <c r="M8" s="81">
        <f>M7*(1-销量!$W$7)</f>
        <v>14601.76991150444</v>
      </c>
      <c r="N8" s="81">
        <f>N7*(1-销量!$W$7)</f>
        <v>14601.76991150444</v>
      </c>
      <c r="O8" s="81">
        <f>O7*(1-销量!$W$7)</f>
        <v>14601.76991150444</v>
      </c>
      <c r="P8" s="81">
        <f>P7*(1-销量!$W$7)</f>
        <v>14601.76991150444</v>
      </c>
      <c r="Q8" s="81">
        <f>Q7*(1-销量!$W$7)</f>
        <v>57389.380530973518</v>
      </c>
      <c r="R8" s="81">
        <f>R7*(1-销量!$W$7)</f>
        <v>10221.238938053108</v>
      </c>
      <c r="S8" s="81">
        <f>S7*(1-销量!$W$7)</f>
        <v>17654.867256637182</v>
      </c>
      <c r="T8" s="81">
        <f t="shared" si="0"/>
        <v>1415314.1592920364</v>
      </c>
      <c r="U8" s="82"/>
      <c r="AT8" s="78" t="s">
        <v>57</v>
      </c>
      <c r="AU8" s="75" t="s">
        <v>58</v>
      </c>
      <c r="AV8" s="71" t="s">
        <v>53</v>
      </c>
    </row>
    <row r="9" spans="1:48">
      <c r="A9" s="75">
        <v>3</v>
      </c>
      <c r="B9" s="79" t="s">
        <v>59</v>
      </c>
      <c r="C9" s="81">
        <f>+C7-C8</f>
        <v>4361592.9203539835</v>
      </c>
      <c r="D9" s="81">
        <f>+D7-D8</f>
        <v>869712.38938053104</v>
      </c>
      <c r="E9" s="81">
        <f t="shared" ref="E9:F9" si="1">+E7-E8</f>
        <v>3478849.5575221241</v>
      </c>
      <c r="F9" s="81">
        <f t="shared" si="1"/>
        <v>6542389.3805309739</v>
      </c>
      <c r="G9" s="81">
        <f t="shared" ref="G9:Q9" si="2">+G7-G8</f>
        <v>1090398.2300884959</v>
      </c>
      <c r="H9" s="81">
        <f t="shared" si="2"/>
        <v>869712.38938053104</v>
      </c>
      <c r="I9" s="81">
        <f t="shared" si="2"/>
        <v>5218274.3362831865</v>
      </c>
      <c r="J9" s="81">
        <f t="shared" si="2"/>
        <v>486349.55752212391</v>
      </c>
      <c r="K9" s="81">
        <f t="shared" si="2"/>
        <v>134176.99115044248</v>
      </c>
      <c r="L9" s="81">
        <f t="shared" si="2"/>
        <v>1109734.5132743362</v>
      </c>
      <c r="M9" s="81">
        <f t="shared" si="2"/>
        <v>277433.62831858406</v>
      </c>
      <c r="N9" s="81">
        <f t="shared" si="2"/>
        <v>277433.62831858406</v>
      </c>
      <c r="O9" s="81">
        <f t="shared" si="2"/>
        <v>277433.62831858406</v>
      </c>
      <c r="P9" s="81">
        <f t="shared" si="2"/>
        <v>277433.62831858406</v>
      </c>
      <c r="Q9" s="81">
        <f t="shared" si="2"/>
        <v>1090398.2300884959</v>
      </c>
      <c r="R9" s="81">
        <f t="shared" ref="R9:S9" si="3">+R7-R8</f>
        <v>194203.53982300888</v>
      </c>
      <c r="S9" s="81">
        <f t="shared" si="3"/>
        <v>335442.47787610616</v>
      </c>
      <c r="T9" s="81">
        <f t="shared" si="0"/>
        <v>26890969.026548684</v>
      </c>
      <c r="AT9" s="78" t="s">
        <v>60</v>
      </c>
      <c r="AU9" s="79" t="s">
        <v>59</v>
      </c>
      <c r="AV9" s="71" t="s">
        <v>61</v>
      </c>
    </row>
    <row r="10" spans="1:48">
      <c r="A10" s="75">
        <v>4</v>
      </c>
      <c r="B10" s="78" t="s">
        <v>63</v>
      </c>
      <c r="C10" s="81">
        <f>C6*C33</f>
        <v>2950177.1501160734</v>
      </c>
      <c r="D10" s="81">
        <f>D6*D33</f>
        <v>585644.00767621829</v>
      </c>
      <c r="E10" s="81">
        <f t="shared" ref="E10:F10" si="4">E6*E33</f>
        <v>2342576.0307048731</v>
      </c>
      <c r="F10" s="81">
        <f t="shared" si="4"/>
        <v>4425176.3367538098</v>
      </c>
      <c r="G10" s="81">
        <f t="shared" ref="G10:Q10" si="5">G6*G33</f>
        <v>737529.38945896819</v>
      </c>
      <c r="H10" s="81">
        <f t="shared" si="5"/>
        <v>585629.10960616812</v>
      </c>
      <c r="I10" s="81">
        <f t="shared" si="5"/>
        <v>3513774.6576370085</v>
      </c>
      <c r="J10" s="81">
        <f t="shared" si="5"/>
        <v>384097.46905400424</v>
      </c>
      <c r="K10" s="81">
        <f t="shared" si="5"/>
        <v>116222.47864119239</v>
      </c>
      <c r="L10" s="81">
        <f t="shared" si="5"/>
        <v>841414.20276293647</v>
      </c>
      <c r="M10" s="81">
        <f t="shared" si="5"/>
        <v>210353.55069073412</v>
      </c>
      <c r="N10" s="81">
        <f t="shared" si="5"/>
        <v>210616.12784073412</v>
      </c>
      <c r="O10" s="81">
        <f t="shared" si="5"/>
        <v>209909.24833154809</v>
      </c>
      <c r="P10" s="81">
        <f t="shared" si="5"/>
        <v>209646.6711815481</v>
      </c>
      <c r="Q10" s="81">
        <f t="shared" si="5"/>
        <v>737544.28752901836</v>
      </c>
      <c r="R10" s="81">
        <f t="shared" ref="R10:S10" si="6">R6*R33</f>
        <v>153638.9876216017</v>
      </c>
      <c r="S10" s="81">
        <f t="shared" si="6"/>
        <v>290293.61945298093</v>
      </c>
      <c r="T10" s="81">
        <f t="shared" si="0"/>
        <v>18504243.325059414</v>
      </c>
      <c r="AT10" s="78" t="s">
        <v>62</v>
      </c>
      <c r="AU10" s="78" t="s">
        <v>63</v>
      </c>
      <c r="AV10" s="71" t="s">
        <v>64</v>
      </c>
    </row>
    <row r="11" spans="1:48">
      <c r="A11" s="75">
        <v>5</v>
      </c>
      <c r="B11" s="78" t="s">
        <v>65</v>
      </c>
      <c r="C11" s="81">
        <f>+C6*C36</f>
        <v>318625.84070796461</v>
      </c>
      <c r="D11" s="81">
        <f>+D6*D36</f>
        <v>63534.778761061956</v>
      </c>
      <c r="E11" s="81">
        <f t="shared" ref="E11:F11" si="7">+E6*E36</f>
        <v>254139.11504424782</v>
      </c>
      <c r="F11" s="81">
        <f t="shared" si="7"/>
        <v>477938.76106194698</v>
      </c>
      <c r="G11" s="81">
        <f t="shared" ref="G11:Q11" si="8">+G6*G36</f>
        <v>79656.460176991153</v>
      </c>
      <c r="H11" s="81">
        <f t="shared" si="8"/>
        <v>63534.778761061956</v>
      </c>
      <c r="I11" s="81">
        <f t="shared" si="8"/>
        <v>381208.67256637174</v>
      </c>
      <c r="J11" s="81">
        <f t="shared" si="8"/>
        <v>35529.115044247796</v>
      </c>
      <c r="K11" s="81">
        <f t="shared" si="8"/>
        <v>9801.9823008849562</v>
      </c>
      <c r="L11" s="81">
        <f t="shared" si="8"/>
        <v>81069.026548672569</v>
      </c>
      <c r="M11" s="81">
        <f t="shared" si="8"/>
        <v>20267.256637168142</v>
      </c>
      <c r="N11" s="81">
        <f t="shared" si="8"/>
        <v>20267.256637168142</v>
      </c>
      <c r="O11" s="81">
        <f t="shared" si="8"/>
        <v>20267.256637168142</v>
      </c>
      <c r="P11" s="81">
        <f t="shared" si="8"/>
        <v>20267.256637168142</v>
      </c>
      <c r="Q11" s="81">
        <f t="shared" si="8"/>
        <v>79656.460176991153</v>
      </c>
      <c r="R11" s="81">
        <f t="shared" ref="R11:S11" si="9">+R6*R36</f>
        <v>14187.079646017703</v>
      </c>
      <c r="S11" s="81">
        <f t="shared" si="9"/>
        <v>24504.955752212394</v>
      </c>
      <c r="T11" s="81">
        <f t="shared" si="0"/>
        <v>1964456.0530973449</v>
      </c>
      <c r="AT11" s="78" t="s">
        <v>66</v>
      </c>
      <c r="AU11" s="78" t="s">
        <v>65</v>
      </c>
    </row>
    <row r="12" spans="1:48">
      <c r="A12" s="75">
        <v>6</v>
      </c>
      <c r="B12" s="78" t="s">
        <v>67</v>
      </c>
      <c r="C12" s="81">
        <f>+C6*C37</f>
        <v>199255.92920353985</v>
      </c>
      <c r="D12" s="81">
        <f>+D6*D37</f>
        <v>39732.123893805314</v>
      </c>
      <c r="E12" s="81">
        <f t="shared" ref="E12:F12" si="10">+E6*E37</f>
        <v>158928.49557522126</v>
      </c>
      <c r="F12" s="81">
        <f t="shared" si="10"/>
        <v>298883.89380530978</v>
      </c>
      <c r="G12" s="81">
        <f t="shared" ref="G12:Q12" si="11">+G6*G37</f>
        <v>49813.982300884963</v>
      </c>
      <c r="H12" s="81">
        <f t="shared" si="11"/>
        <v>39732.123893805314</v>
      </c>
      <c r="I12" s="81">
        <f t="shared" si="11"/>
        <v>238392.74336283188</v>
      </c>
      <c r="J12" s="81">
        <f t="shared" si="11"/>
        <v>22218.495575221241</v>
      </c>
      <c r="K12" s="81">
        <f t="shared" si="11"/>
        <v>6129.7699115044252</v>
      </c>
      <c r="L12" s="81">
        <f t="shared" si="11"/>
        <v>50697.345132743365</v>
      </c>
      <c r="M12" s="81">
        <f t="shared" si="11"/>
        <v>12674.336283185841</v>
      </c>
      <c r="N12" s="81">
        <f t="shared" si="11"/>
        <v>12674.336283185841</v>
      </c>
      <c r="O12" s="81">
        <f t="shared" si="11"/>
        <v>12674.336283185841</v>
      </c>
      <c r="P12" s="81">
        <f t="shared" si="11"/>
        <v>12674.336283185841</v>
      </c>
      <c r="Q12" s="81">
        <f t="shared" si="11"/>
        <v>49813.982300884963</v>
      </c>
      <c r="R12" s="81">
        <f t="shared" ref="R12:S12" si="12">+R6*R37</f>
        <v>8872.0353982300894</v>
      </c>
      <c r="S12" s="81">
        <f t="shared" si="12"/>
        <v>15324.424778761064</v>
      </c>
      <c r="T12" s="81">
        <f t="shared" si="0"/>
        <v>1228492.6902654867</v>
      </c>
      <c r="AT12" s="78" t="s">
        <v>68</v>
      </c>
      <c r="AU12" s="78" t="s">
        <v>67</v>
      </c>
    </row>
    <row r="13" spans="1:48">
      <c r="A13" s="75">
        <v>7</v>
      </c>
      <c r="B13" s="78" t="s">
        <v>69</v>
      </c>
      <c r="C13" s="81">
        <f>+C6*C38</f>
        <v>298883.89380530984</v>
      </c>
      <c r="D13" s="81">
        <f>+D6*D38</f>
        <v>59598.185840707978</v>
      </c>
      <c r="E13" s="81">
        <f t="shared" ref="E13:F13" si="13">+E6*E38</f>
        <v>238392.74336283191</v>
      </c>
      <c r="F13" s="81">
        <f t="shared" si="13"/>
        <v>448325.84070796473</v>
      </c>
      <c r="G13" s="81">
        <f t="shared" ref="G13:Q13" si="14">+G6*G38</f>
        <v>74720.97345132746</v>
      </c>
      <c r="H13" s="81">
        <f t="shared" si="14"/>
        <v>59598.185840707978</v>
      </c>
      <c r="I13" s="81">
        <f t="shared" si="14"/>
        <v>357589.11504424788</v>
      </c>
      <c r="J13" s="81">
        <f t="shared" si="14"/>
        <v>33327.743362831861</v>
      </c>
      <c r="K13" s="81">
        <f t="shared" si="14"/>
        <v>9194.6548672566387</v>
      </c>
      <c r="L13" s="81">
        <f t="shared" si="14"/>
        <v>76046.017699115051</v>
      </c>
      <c r="M13" s="81">
        <f t="shared" si="14"/>
        <v>19011.504424778763</v>
      </c>
      <c r="N13" s="81">
        <f t="shared" si="14"/>
        <v>19011.504424778763</v>
      </c>
      <c r="O13" s="81">
        <f t="shared" si="14"/>
        <v>19011.504424778763</v>
      </c>
      <c r="P13" s="81">
        <f t="shared" si="14"/>
        <v>19011.504424778763</v>
      </c>
      <c r="Q13" s="81">
        <f t="shared" si="14"/>
        <v>74720.97345132746</v>
      </c>
      <c r="R13" s="81">
        <f t="shared" ref="R13:S13" si="15">+R6*R38</f>
        <v>13308.053097345135</v>
      </c>
      <c r="S13" s="81">
        <f t="shared" si="15"/>
        <v>22986.637168141595</v>
      </c>
      <c r="T13" s="81">
        <f t="shared" si="0"/>
        <v>1842739.0353982304</v>
      </c>
      <c r="AT13" s="78" t="s">
        <v>70</v>
      </c>
      <c r="AU13" s="78" t="s">
        <v>69</v>
      </c>
      <c r="AV13" s="71" t="s">
        <v>53</v>
      </c>
    </row>
    <row r="14" spans="1:48">
      <c r="A14" s="75">
        <v>8</v>
      </c>
      <c r="B14" s="83" t="s">
        <v>71</v>
      </c>
      <c r="C14" s="81">
        <f>SUM(C11:C13)</f>
        <v>816765.66371681425</v>
      </c>
      <c r="D14" s="81">
        <f>SUM(D11:D13)</f>
        <v>162865.08849557524</v>
      </c>
      <c r="E14" s="81">
        <f t="shared" ref="E14:T14" si="16">SUM(E11:E13)</f>
        <v>651460.35398230096</v>
      </c>
      <c r="F14" s="81">
        <f t="shared" si="16"/>
        <v>1225148.4955752215</v>
      </c>
      <c r="G14" s="81">
        <f t="shared" ref="G14:Q14" si="17">SUM(G11:G13)</f>
        <v>204191.41592920356</v>
      </c>
      <c r="H14" s="81">
        <f t="shared" si="17"/>
        <v>162865.08849557524</v>
      </c>
      <c r="I14" s="81">
        <f t="shared" si="17"/>
        <v>977190.53097345144</v>
      </c>
      <c r="J14" s="81">
        <f t="shared" si="17"/>
        <v>91075.353982300905</v>
      </c>
      <c r="K14" s="81">
        <f t="shared" si="17"/>
        <v>25126.407079646022</v>
      </c>
      <c r="L14" s="81">
        <f t="shared" si="17"/>
        <v>207812.38938053098</v>
      </c>
      <c r="M14" s="81">
        <f t="shared" si="17"/>
        <v>51953.097345132745</v>
      </c>
      <c r="N14" s="81">
        <f t="shared" si="17"/>
        <v>51953.097345132745</v>
      </c>
      <c r="O14" s="81">
        <f t="shared" si="17"/>
        <v>51953.097345132745</v>
      </c>
      <c r="P14" s="81">
        <f t="shared" si="17"/>
        <v>51953.097345132745</v>
      </c>
      <c r="Q14" s="81">
        <f t="shared" si="17"/>
        <v>204191.41592920356</v>
      </c>
      <c r="R14" s="81">
        <f t="shared" ref="R14:S14" si="18">SUM(R11:R13)</f>
        <v>36367.168141592927</v>
      </c>
      <c r="S14" s="81">
        <f t="shared" si="18"/>
        <v>62816.017699115051</v>
      </c>
      <c r="T14" s="81">
        <f t="shared" si="16"/>
        <v>5035687.7787610628</v>
      </c>
      <c r="AT14" s="78" t="s">
        <v>72</v>
      </c>
      <c r="AU14" s="83" t="s">
        <v>71</v>
      </c>
    </row>
    <row r="15" spans="1:48">
      <c r="A15" s="75">
        <v>9</v>
      </c>
      <c r="B15" s="83" t="s">
        <v>73</v>
      </c>
      <c r="C15" s="81">
        <f>+C9-C10-C14</f>
        <v>594650.10652109585</v>
      </c>
      <c r="D15" s="81">
        <f>+D9-D10-D14</f>
        <v>121203.29320873751</v>
      </c>
      <c r="E15" s="81">
        <f t="shared" ref="E15:F15" si="19">+E9-E10-E14</f>
        <v>484813.17283495003</v>
      </c>
      <c r="F15" s="81">
        <f t="shared" si="19"/>
        <v>892064.54820194258</v>
      </c>
      <c r="G15" s="81">
        <f t="shared" ref="G15:Q15" si="20">+G9-G10-G14</f>
        <v>148677.42470032413</v>
      </c>
      <c r="H15" s="81">
        <f t="shared" si="20"/>
        <v>121218.19127878768</v>
      </c>
      <c r="I15" s="81">
        <f t="shared" si="20"/>
        <v>727309.14767272654</v>
      </c>
      <c r="J15" s="81">
        <f t="shared" si="20"/>
        <v>11176.734485818772</v>
      </c>
      <c r="K15" s="81">
        <f t="shared" si="20"/>
        <v>-7171.8945703959253</v>
      </c>
      <c r="L15" s="81">
        <f t="shared" si="20"/>
        <v>60507.921130868781</v>
      </c>
      <c r="M15" s="81">
        <f t="shared" si="20"/>
        <v>15126.980282717195</v>
      </c>
      <c r="N15" s="81">
        <f t="shared" si="20"/>
        <v>14864.403132717198</v>
      </c>
      <c r="O15" s="81">
        <f t="shared" si="20"/>
        <v>15571.282641903221</v>
      </c>
      <c r="P15" s="81">
        <f t="shared" si="20"/>
        <v>15833.859791903218</v>
      </c>
      <c r="Q15" s="81">
        <f t="shared" si="20"/>
        <v>148662.52663027396</v>
      </c>
      <c r="R15" s="81">
        <f t="shared" ref="R15:S15" si="21">+R9-R10-R14</f>
        <v>4197.3840598142488</v>
      </c>
      <c r="S15" s="81">
        <f t="shared" si="21"/>
        <v>-17667.159275989819</v>
      </c>
      <c r="T15" s="81">
        <f>+T9-T10-T14</f>
        <v>3351037.922728207</v>
      </c>
      <c r="AT15" s="78" t="s">
        <v>74</v>
      </c>
      <c r="AU15" s="83" t="s">
        <v>73</v>
      </c>
    </row>
    <row r="16" spans="1:48">
      <c r="A16" s="75">
        <v>10</v>
      </c>
      <c r="B16" s="78" t="s">
        <v>75</v>
      </c>
      <c r="C16" s="84">
        <f>+C15/C9</f>
        <v>0.13633782826133956</v>
      </c>
      <c r="D16" s="84">
        <f>+D15/D9</f>
        <v>0.13936020078438441</v>
      </c>
      <c r="E16" s="84">
        <f t="shared" ref="E16:F16" si="22">+E15/E9</f>
        <v>0.13936020078438441</v>
      </c>
      <c r="F16" s="84">
        <f t="shared" si="22"/>
        <v>0.13635149122376808</v>
      </c>
      <c r="G16" s="84">
        <f t="shared" ref="G16:Q16" si="23">+G15/G9</f>
        <v>0.13635149122376838</v>
      </c>
      <c r="H16" s="84">
        <f t="shared" si="23"/>
        <v>0.13937733066574756</v>
      </c>
      <c r="I16" s="84">
        <f t="shared" si="23"/>
        <v>0.13937733066574765</v>
      </c>
      <c r="J16" s="84">
        <f t="shared" si="23"/>
        <v>2.2980866977164557E-2</v>
      </c>
      <c r="K16" s="84">
        <f t="shared" si="23"/>
        <v>-5.3451001612896683E-2</v>
      </c>
      <c r="L16" s="84">
        <f t="shared" si="23"/>
        <v>5.4524681720798822E-2</v>
      </c>
      <c r="M16" s="84">
        <f t="shared" si="23"/>
        <v>5.4524681720798822E-2</v>
      </c>
      <c r="N16" s="84">
        <f t="shared" si="23"/>
        <v>5.3578231387465501E-2</v>
      </c>
      <c r="O16" s="84">
        <f t="shared" si="23"/>
        <v>5.6126154339236491E-2</v>
      </c>
      <c r="P16" s="84">
        <f t="shared" si="23"/>
        <v>5.7072604672569818E-2</v>
      </c>
      <c r="Q16" s="84">
        <f t="shared" si="23"/>
        <v>0.13633782826133956</v>
      </c>
      <c r="R16" s="84">
        <f t="shared" ref="R16:S16" si="24">+R15/R9</f>
        <v>2.161332416309E-2</v>
      </c>
      <c r="S16" s="84">
        <f t="shared" si="24"/>
        <v>-5.2668223141718762E-2</v>
      </c>
      <c r="T16" s="84">
        <f>+T15/T9</f>
        <v>0.12461573695688777</v>
      </c>
      <c r="AT16" s="78" t="s">
        <v>76</v>
      </c>
      <c r="AU16" s="78" t="s">
        <v>75</v>
      </c>
    </row>
    <row r="17" spans="1:48">
      <c r="A17" s="75">
        <v>11</v>
      </c>
      <c r="B17" s="78" t="s">
        <v>77</v>
      </c>
      <c r="C17" s="81">
        <f>C6*C43+C18</f>
        <v>378951.90384158958</v>
      </c>
      <c r="D17" s="81">
        <f>D6*D43+D18</f>
        <v>75573.152951547832</v>
      </c>
      <c r="E17" s="81">
        <f t="shared" ref="E17:F17" si="25">E6*E43+E18</f>
        <v>302292.61180619133</v>
      </c>
      <c r="F17" s="81">
        <f t="shared" si="25"/>
        <v>568427.85576238448</v>
      </c>
      <c r="G17" s="81">
        <f t="shared" ref="G17:Q17" si="26">G6*G43+G18</f>
        <v>94737.975960397394</v>
      </c>
      <c r="H17" s="81">
        <f t="shared" si="26"/>
        <v>75573.152951547832</v>
      </c>
      <c r="I17" s="81">
        <f t="shared" si="26"/>
        <v>453438.91770928696</v>
      </c>
      <c r="J17" s="81">
        <f t="shared" si="26"/>
        <v>42281.117553317745</v>
      </c>
      <c r="K17" s="81">
        <f t="shared" si="26"/>
        <v>11670.411623097008</v>
      </c>
      <c r="L17" s="81">
        <f t="shared" si="26"/>
        <v>96553.673753093957</v>
      </c>
      <c r="M17" s="81">
        <f t="shared" si="26"/>
        <v>24138.418438273489</v>
      </c>
      <c r="N17" s="81">
        <f t="shared" si="26"/>
        <v>24138.418438273489</v>
      </c>
      <c r="O17" s="81">
        <f t="shared" si="26"/>
        <v>24138.418438273489</v>
      </c>
      <c r="P17" s="81">
        <f t="shared" si="26"/>
        <v>24138.418438273489</v>
      </c>
      <c r="Q17" s="81">
        <f t="shared" si="26"/>
        <v>94737.975960397394</v>
      </c>
      <c r="R17" s="81">
        <f t="shared" ref="R17:S17" si="27">R6*R43+R18</f>
        <v>16883.243481504087</v>
      </c>
      <c r="S17" s="81">
        <f t="shared" si="27"/>
        <v>29176.029057742518</v>
      </c>
      <c r="T17" s="81">
        <f>+SUM(C17:S17)</f>
        <v>2336851.6961651929</v>
      </c>
      <c r="U17" s="82"/>
      <c r="AT17" s="78" t="s">
        <v>78</v>
      </c>
      <c r="AU17" s="78" t="s">
        <v>77</v>
      </c>
    </row>
    <row r="18" spans="1:48" s="72" customFormat="1">
      <c r="A18" s="75">
        <v>12</v>
      </c>
      <c r="B18" s="86" t="s">
        <v>147</v>
      </c>
      <c r="C18" s="87">
        <f t="shared" ref="C18:Q18" si="28">$T$18/$T$6*C6</f>
        <v>181.99233716475095</v>
      </c>
      <c r="D18" s="87">
        <f t="shared" si="28"/>
        <v>45.498084291187737</v>
      </c>
      <c r="E18" s="87">
        <f t="shared" si="28"/>
        <v>181.99233716475095</v>
      </c>
      <c r="F18" s="87">
        <f t="shared" si="28"/>
        <v>272.9885057471264</v>
      </c>
      <c r="G18" s="87">
        <f t="shared" si="28"/>
        <v>45.498084291187737</v>
      </c>
      <c r="H18" s="87">
        <f t="shared" si="28"/>
        <v>45.498084291187737</v>
      </c>
      <c r="I18" s="87">
        <f t="shared" si="28"/>
        <v>272.9885057471264</v>
      </c>
      <c r="J18" s="87">
        <f t="shared" si="28"/>
        <v>45.498084291187737</v>
      </c>
      <c r="K18" s="87">
        <f t="shared" si="28"/>
        <v>18.199233716475092</v>
      </c>
      <c r="L18" s="87">
        <f t="shared" si="28"/>
        <v>181.99233716475095</v>
      </c>
      <c r="M18" s="87">
        <f t="shared" si="28"/>
        <v>45.498084291187737</v>
      </c>
      <c r="N18" s="87">
        <f t="shared" si="28"/>
        <v>45.498084291187737</v>
      </c>
      <c r="O18" s="87">
        <f t="shared" si="28"/>
        <v>45.498084291187737</v>
      </c>
      <c r="P18" s="87">
        <f t="shared" si="28"/>
        <v>45.498084291187737</v>
      </c>
      <c r="Q18" s="87">
        <f t="shared" si="28"/>
        <v>45.498084291187737</v>
      </c>
      <c r="R18" s="87">
        <f t="shared" ref="R18:S18" si="29">$T$18/$T$6*R6</f>
        <v>18.199233716475092</v>
      </c>
      <c r="S18" s="87">
        <f t="shared" si="29"/>
        <v>45.498084291187737</v>
      </c>
      <c r="T18" s="81">
        <f>项目投资!E26</f>
        <v>1583.3333333333333</v>
      </c>
      <c r="U18" s="88" t="s">
        <v>148</v>
      </c>
      <c r="V18" s="88"/>
      <c r="W18" s="88"/>
    </row>
    <row r="19" spans="1:48">
      <c r="A19" s="75">
        <v>13</v>
      </c>
      <c r="B19" s="78" t="s">
        <v>79</v>
      </c>
      <c r="C19" s="81">
        <f>C6*C44</f>
        <v>78967.787610619474</v>
      </c>
      <c r="D19" s="81">
        <f>D6*D44</f>
        <v>15746.371681415932</v>
      </c>
      <c r="E19" s="81">
        <f t="shared" ref="E19:F19" si="30">E6*E44</f>
        <v>62985.48672566373</v>
      </c>
      <c r="F19" s="81">
        <f t="shared" si="30"/>
        <v>118451.68141592923</v>
      </c>
      <c r="G19" s="81">
        <f t="shared" ref="G19:Q19" si="31">G6*G44</f>
        <v>19741.946902654869</v>
      </c>
      <c r="H19" s="81">
        <f t="shared" si="31"/>
        <v>15746.371681415932</v>
      </c>
      <c r="I19" s="81">
        <f t="shared" si="31"/>
        <v>94478.230088495591</v>
      </c>
      <c r="J19" s="81">
        <f t="shared" si="31"/>
        <v>8805.4867256637172</v>
      </c>
      <c r="K19" s="81">
        <f t="shared" si="31"/>
        <v>2429.3097345132742</v>
      </c>
      <c r="L19" s="81">
        <f t="shared" si="31"/>
        <v>20092.035398230088</v>
      </c>
      <c r="M19" s="81">
        <f t="shared" si="31"/>
        <v>5023.0088495575219</v>
      </c>
      <c r="N19" s="81">
        <f t="shared" si="31"/>
        <v>5023.0088495575219</v>
      </c>
      <c r="O19" s="81">
        <f t="shared" si="31"/>
        <v>5023.0088495575219</v>
      </c>
      <c r="P19" s="81">
        <f t="shared" si="31"/>
        <v>5023.0088495575219</v>
      </c>
      <c r="Q19" s="81">
        <f t="shared" si="31"/>
        <v>19741.946902654869</v>
      </c>
      <c r="R19" s="81">
        <f t="shared" ref="R19:S19" si="32">R6*R44</f>
        <v>3516.1061946902664</v>
      </c>
      <c r="S19" s="81">
        <f t="shared" si="32"/>
        <v>6073.2743362831861</v>
      </c>
      <c r="T19" s="81">
        <f t="shared" ref="T19:T20" si="33">+SUM(C19:S19)</f>
        <v>486868.07079646044</v>
      </c>
      <c r="U19" s="72"/>
      <c r="AT19" s="78" t="s">
        <v>80</v>
      </c>
      <c r="AU19" s="78" t="s">
        <v>79</v>
      </c>
      <c r="AV19" s="71" t="s">
        <v>53</v>
      </c>
    </row>
    <row r="20" spans="1:48">
      <c r="A20" s="75">
        <v>14</v>
      </c>
      <c r="B20" s="78" t="s">
        <v>81</v>
      </c>
      <c r="C20" s="81">
        <f>C6*C45</f>
        <v>121206.37168141594</v>
      </c>
      <c r="D20" s="81">
        <f>D6*D45</f>
        <v>24168.849557522128</v>
      </c>
      <c r="E20" s="81">
        <f t="shared" ref="E20:F20" si="34">E6*E45</f>
        <v>96675.398230088511</v>
      </c>
      <c r="F20" s="81">
        <f t="shared" si="34"/>
        <v>181809.55752212391</v>
      </c>
      <c r="G20" s="81">
        <f t="shared" ref="G20:Q20" si="35">G6*G45</f>
        <v>30301.592920353985</v>
      </c>
      <c r="H20" s="81">
        <f t="shared" si="35"/>
        <v>24168.849557522128</v>
      </c>
      <c r="I20" s="81">
        <f t="shared" si="35"/>
        <v>145013.09734513276</v>
      </c>
      <c r="J20" s="81">
        <f t="shared" si="35"/>
        <v>13515.398230088496</v>
      </c>
      <c r="K20" s="81">
        <f t="shared" si="35"/>
        <v>3728.7079646017701</v>
      </c>
      <c r="L20" s="81">
        <f t="shared" si="35"/>
        <v>30838.938053097343</v>
      </c>
      <c r="M20" s="81">
        <f t="shared" si="35"/>
        <v>7709.7345132743358</v>
      </c>
      <c r="N20" s="81">
        <f t="shared" si="35"/>
        <v>7709.7345132743358</v>
      </c>
      <c r="O20" s="81">
        <f t="shared" si="35"/>
        <v>7709.7345132743358</v>
      </c>
      <c r="P20" s="81">
        <f t="shared" si="35"/>
        <v>7709.7345132743358</v>
      </c>
      <c r="Q20" s="81">
        <f t="shared" si="35"/>
        <v>30301.592920353985</v>
      </c>
      <c r="R20" s="81">
        <f t="shared" ref="R20:S20" si="36">R6*R45</f>
        <v>5396.8141592920365</v>
      </c>
      <c r="S20" s="81">
        <f t="shared" si="36"/>
        <v>9321.7699115044252</v>
      </c>
      <c r="T20" s="81">
        <f t="shared" si="33"/>
        <v>747285.87610619492</v>
      </c>
      <c r="AT20" s="78" t="s">
        <v>82</v>
      </c>
      <c r="AU20" s="78" t="s">
        <v>81</v>
      </c>
    </row>
    <row r="21" spans="1:48">
      <c r="A21" s="75">
        <v>15</v>
      </c>
      <c r="B21" s="78" t="s">
        <v>83</v>
      </c>
      <c r="C21" s="89">
        <f>$T$21/$T$6*C6</f>
        <v>3639.8467432950192</v>
      </c>
      <c r="D21" s="89">
        <f>$T$21/$T$6*D6</f>
        <v>909.96168582375481</v>
      </c>
      <c r="E21" s="89">
        <f t="shared" ref="E21:F21" si="37">$T$21/$T$6*E6</f>
        <v>3639.8467432950192</v>
      </c>
      <c r="F21" s="89">
        <f t="shared" si="37"/>
        <v>5459.7701149425293</v>
      </c>
      <c r="G21" s="89">
        <f t="shared" ref="G21:Q21" si="38">$T$21/$T$6*G6</f>
        <v>909.96168582375481</v>
      </c>
      <c r="H21" s="89">
        <f t="shared" si="38"/>
        <v>909.96168582375481</v>
      </c>
      <c r="I21" s="89">
        <f t="shared" si="38"/>
        <v>5459.7701149425293</v>
      </c>
      <c r="J21" s="89">
        <f t="shared" si="38"/>
        <v>909.96168582375481</v>
      </c>
      <c r="K21" s="89">
        <f t="shared" si="38"/>
        <v>363.9846743295019</v>
      </c>
      <c r="L21" s="89">
        <f t="shared" si="38"/>
        <v>3639.8467432950192</v>
      </c>
      <c r="M21" s="89">
        <f t="shared" si="38"/>
        <v>909.96168582375481</v>
      </c>
      <c r="N21" s="89">
        <f t="shared" si="38"/>
        <v>909.96168582375481</v>
      </c>
      <c r="O21" s="89">
        <f t="shared" si="38"/>
        <v>909.96168582375481</v>
      </c>
      <c r="P21" s="89">
        <f t="shared" si="38"/>
        <v>909.96168582375481</v>
      </c>
      <c r="Q21" s="89">
        <f t="shared" si="38"/>
        <v>909.96168582375481</v>
      </c>
      <c r="R21" s="89">
        <f t="shared" ref="R21:S21" si="39">$T$21/$T$6*R6</f>
        <v>363.9846743295019</v>
      </c>
      <c r="S21" s="89">
        <f t="shared" si="39"/>
        <v>909.96168582375481</v>
      </c>
      <c r="T21" s="81">
        <f>项目投资!E27</f>
        <v>31666.666666666668</v>
      </c>
      <c r="AT21" s="78"/>
      <c r="AU21" s="78"/>
    </row>
    <row r="22" spans="1:48">
      <c r="A22" s="75">
        <v>16</v>
      </c>
      <c r="B22" s="78" t="s">
        <v>84</v>
      </c>
      <c r="C22" s="81">
        <f>C6*C47</f>
        <v>162985.84070796461</v>
      </c>
      <c r="D22" s="81">
        <f>D6*D47</f>
        <v>32499.778761061945</v>
      </c>
      <c r="E22" s="81">
        <f t="shared" ref="E22:F22" si="40">E6*E47</f>
        <v>129999.11504424778</v>
      </c>
      <c r="F22" s="81">
        <f t="shared" si="40"/>
        <v>244478.76106194689</v>
      </c>
      <c r="G22" s="81">
        <f t="shared" ref="G22:Q22" si="41">G6*G47</f>
        <v>40746.460176991153</v>
      </c>
      <c r="H22" s="81">
        <f t="shared" si="41"/>
        <v>32499.778761061945</v>
      </c>
      <c r="I22" s="81">
        <f t="shared" si="41"/>
        <v>194998.67256637168</v>
      </c>
      <c r="J22" s="81">
        <f t="shared" si="41"/>
        <v>18174.115044247788</v>
      </c>
      <c r="K22" s="81">
        <f t="shared" si="41"/>
        <v>5013.9823008849553</v>
      </c>
      <c r="L22" s="81">
        <f t="shared" si="41"/>
        <v>41469.026548672569</v>
      </c>
      <c r="M22" s="81">
        <f t="shared" si="41"/>
        <v>10367.256637168142</v>
      </c>
      <c r="N22" s="81">
        <f t="shared" si="41"/>
        <v>10367.256637168142</v>
      </c>
      <c r="O22" s="81">
        <f t="shared" si="41"/>
        <v>10367.256637168142</v>
      </c>
      <c r="P22" s="81">
        <f t="shared" si="41"/>
        <v>10367.256637168142</v>
      </c>
      <c r="Q22" s="81">
        <f t="shared" si="41"/>
        <v>40746.460176991153</v>
      </c>
      <c r="R22" s="81">
        <f t="shared" ref="R22:S22" si="42">R6*R47</f>
        <v>7257.0796460176989</v>
      </c>
      <c r="S22" s="81">
        <f t="shared" si="42"/>
        <v>12534.955752212389</v>
      </c>
      <c r="T22" s="81">
        <f>+SUM(C22:S22)</f>
        <v>1004873.0530973453</v>
      </c>
      <c r="AT22" s="78" t="s">
        <v>85</v>
      </c>
      <c r="AU22" s="78" t="s">
        <v>84</v>
      </c>
    </row>
    <row r="23" spans="1:48">
      <c r="A23" s="75">
        <v>17</v>
      </c>
      <c r="B23" s="83" t="s">
        <v>86</v>
      </c>
      <c r="C23" s="89">
        <f>+C22+C21+C20+C19+C17</f>
        <v>745751.75058488466</v>
      </c>
      <c r="D23" s="89">
        <f>+D22+D21+D20+D19+D17</f>
        <v>148898.11463737159</v>
      </c>
      <c r="E23" s="89">
        <f t="shared" ref="E23:F23" si="43">+E22+E21+E20+E19+E17</f>
        <v>595592.45854948636</v>
      </c>
      <c r="F23" s="89">
        <f t="shared" si="43"/>
        <v>1118627.6258773271</v>
      </c>
      <c r="G23" s="89">
        <f t="shared" ref="G23:Q23" si="44">+G22+G21+G20+G19+G17</f>
        <v>186437.93764622117</v>
      </c>
      <c r="H23" s="89">
        <f t="shared" si="44"/>
        <v>148898.11463737159</v>
      </c>
      <c r="I23" s="89">
        <f t="shared" si="44"/>
        <v>893388.68782422948</v>
      </c>
      <c r="J23" s="89">
        <f t="shared" si="44"/>
        <v>83686.079239141502</v>
      </c>
      <c r="K23" s="89">
        <f t="shared" si="44"/>
        <v>23206.396297426509</v>
      </c>
      <c r="L23" s="89">
        <f t="shared" si="44"/>
        <v>192593.52049638896</v>
      </c>
      <c r="M23" s="89">
        <f t="shared" si="44"/>
        <v>48148.380124097239</v>
      </c>
      <c r="N23" s="89">
        <f t="shared" si="44"/>
        <v>48148.380124097239</v>
      </c>
      <c r="O23" s="89">
        <f t="shared" si="44"/>
        <v>48148.380124097239</v>
      </c>
      <c r="P23" s="89">
        <f t="shared" si="44"/>
        <v>48148.380124097239</v>
      </c>
      <c r="Q23" s="89">
        <f t="shared" si="44"/>
        <v>186437.93764622117</v>
      </c>
      <c r="R23" s="89">
        <f t="shared" ref="R23:S23" si="45">+R22+R21+R20+R19+R17</f>
        <v>33417.228155833596</v>
      </c>
      <c r="S23" s="89">
        <f t="shared" si="45"/>
        <v>58015.990743566275</v>
      </c>
      <c r="T23" s="89">
        <f>+T22+T21+T20+T19+T17</f>
        <v>4607545.3628318608</v>
      </c>
      <c r="AT23" s="78" t="s">
        <v>87</v>
      </c>
      <c r="AU23" s="83" t="s">
        <v>86</v>
      </c>
    </row>
    <row r="24" spans="1:48">
      <c r="A24" s="75">
        <v>18</v>
      </c>
      <c r="B24" s="90" t="s">
        <v>88</v>
      </c>
      <c r="C24" s="89">
        <f>+C15-C23</f>
        <v>-151101.64406378882</v>
      </c>
      <c r="D24" s="89">
        <f>+D15-D23</f>
        <v>-27694.821428634081</v>
      </c>
      <c r="E24" s="89">
        <f t="shared" ref="E24:F24" si="46">+E15-E23</f>
        <v>-110779.28571453632</v>
      </c>
      <c r="F24" s="89">
        <f t="shared" si="46"/>
        <v>-226563.07767538447</v>
      </c>
      <c r="G24" s="89">
        <f t="shared" ref="G24:Q24" si="47">+G15-G23</f>
        <v>-37760.512945897033</v>
      </c>
      <c r="H24" s="89">
        <f t="shared" si="47"/>
        <v>-27679.92335858391</v>
      </c>
      <c r="I24" s="89">
        <f t="shared" si="47"/>
        <v>-166079.54015150294</v>
      </c>
      <c r="J24" s="89">
        <f t="shared" si="47"/>
        <v>-72509.34475332273</v>
      </c>
      <c r="K24" s="89">
        <f t="shared" si="47"/>
        <v>-30378.290867822434</v>
      </c>
      <c r="L24" s="89">
        <f t="shared" si="47"/>
        <v>-132085.59936552017</v>
      </c>
      <c r="M24" s="89">
        <f t="shared" si="47"/>
        <v>-33021.399841380044</v>
      </c>
      <c r="N24" s="89">
        <f t="shared" si="47"/>
        <v>-33283.976991380041</v>
      </c>
      <c r="O24" s="89">
        <f t="shared" si="47"/>
        <v>-32577.097482194018</v>
      </c>
      <c r="P24" s="89">
        <f t="shared" si="47"/>
        <v>-32314.520332194021</v>
      </c>
      <c r="Q24" s="89">
        <f t="shared" si="47"/>
        <v>-37775.411015947204</v>
      </c>
      <c r="R24" s="89">
        <f t="shared" ref="R24:S24" si="48">+R15-R23</f>
        <v>-29219.844096019347</v>
      </c>
      <c r="S24" s="89">
        <f t="shared" si="48"/>
        <v>-75683.150019556095</v>
      </c>
      <c r="T24" s="89">
        <f>+T15-T23</f>
        <v>-1256507.4401036538</v>
      </c>
      <c r="V24" s="91"/>
      <c r="AT24" s="78" t="s">
        <v>89</v>
      </c>
      <c r="AU24" s="78" t="s">
        <v>88</v>
      </c>
    </row>
    <row r="25" spans="1:48">
      <c r="A25" s="75">
        <v>19</v>
      </c>
      <c r="B25" s="78" t="s">
        <v>274</v>
      </c>
      <c r="C25" s="89">
        <f>IF(C24&lt;0,0,C24*0.15)</f>
        <v>0</v>
      </c>
      <c r="D25" s="89">
        <f t="shared" ref="D25:T25" si="49">IF(D24&lt;0,0,D24*0.15)</f>
        <v>0</v>
      </c>
      <c r="E25" s="89">
        <f t="shared" ref="E25:F25" si="50">IF(E24&lt;0,0,E24*0.15)</f>
        <v>0</v>
      </c>
      <c r="F25" s="89">
        <f t="shared" si="50"/>
        <v>0</v>
      </c>
      <c r="G25" s="89">
        <f t="shared" ref="G25:Q25" si="51">IF(G24&lt;0,0,G24*0.15)</f>
        <v>0</v>
      </c>
      <c r="H25" s="89">
        <f t="shared" si="51"/>
        <v>0</v>
      </c>
      <c r="I25" s="89">
        <f t="shared" si="51"/>
        <v>0</v>
      </c>
      <c r="J25" s="89">
        <f t="shared" si="51"/>
        <v>0</v>
      </c>
      <c r="K25" s="89">
        <f t="shared" si="51"/>
        <v>0</v>
      </c>
      <c r="L25" s="89">
        <f t="shared" si="51"/>
        <v>0</v>
      </c>
      <c r="M25" s="89">
        <f t="shared" si="51"/>
        <v>0</v>
      </c>
      <c r="N25" s="89">
        <f t="shared" si="51"/>
        <v>0</v>
      </c>
      <c r="O25" s="89">
        <f t="shared" si="51"/>
        <v>0</v>
      </c>
      <c r="P25" s="89">
        <f t="shared" si="51"/>
        <v>0</v>
      </c>
      <c r="Q25" s="89">
        <f t="shared" si="51"/>
        <v>0</v>
      </c>
      <c r="R25" s="89">
        <f t="shared" ref="R25:S25" si="52">IF(R24&lt;0,0,R24*0.15)</f>
        <v>0</v>
      </c>
      <c r="S25" s="89">
        <f t="shared" si="52"/>
        <v>0</v>
      </c>
      <c r="T25" s="89">
        <f t="shared" si="49"/>
        <v>0</v>
      </c>
      <c r="U25" s="2"/>
      <c r="V25" s="2"/>
      <c r="W25" s="2"/>
      <c r="AT25" s="78" t="s">
        <v>90</v>
      </c>
      <c r="AU25" s="78" t="s">
        <v>35</v>
      </c>
    </row>
    <row r="26" spans="1:48">
      <c r="A26" s="75">
        <v>20</v>
      </c>
      <c r="B26" s="78" t="s">
        <v>91</v>
      </c>
      <c r="C26" s="89">
        <f>C24-C25</f>
        <v>-151101.64406378882</v>
      </c>
      <c r="D26" s="89">
        <f>D24-D25</f>
        <v>-27694.821428634081</v>
      </c>
      <c r="E26" s="89">
        <f t="shared" ref="E26:F26" si="53">E24-E25</f>
        <v>-110779.28571453632</v>
      </c>
      <c r="F26" s="89">
        <f t="shared" si="53"/>
        <v>-226563.07767538447</v>
      </c>
      <c r="G26" s="89">
        <f t="shared" ref="G26:Q26" si="54">G24-G25</f>
        <v>-37760.512945897033</v>
      </c>
      <c r="H26" s="89">
        <f t="shared" si="54"/>
        <v>-27679.92335858391</v>
      </c>
      <c r="I26" s="89">
        <f t="shared" si="54"/>
        <v>-166079.54015150294</v>
      </c>
      <c r="J26" s="89">
        <f t="shared" si="54"/>
        <v>-72509.34475332273</v>
      </c>
      <c r="K26" s="89">
        <f t="shared" si="54"/>
        <v>-30378.290867822434</v>
      </c>
      <c r="L26" s="89">
        <f t="shared" si="54"/>
        <v>-132085.59936552017</v>
      </c>
      <c r="M26" s="89">
        <f t="shared" si="54"/>
        <v>-33021.399841380044</v>
      </c>
      <c r="N26" s="89">
        <f t="shared" si="54"/>
        <v>-33283.976991380041</v>
      </c>
      <c r="O26" s="89">
        <f t="shared" si="54"/>
        <v>-32577.097482194018</v>
      </c>
      <c r="P26" s="89">
        <f t="shared" si="54"/>
        <v>-32314.520332194021</v>
      </c>
      <c r="Q26" s="89">
        <f t="shared" si="54"/>
        <v>-37775.411015947204</v>
      </c>
      <c r="R26" s="89">
        <f t="shared" ref="R26:S26" si="55">R24-R25</f>
        <v>-29219.844096019347</v>
      </c>
      <c r="S26" s="89">
        <f t="shared" si="55"/>
        <v>-75683.150019556095</v>
      </c>
      <c r="T26" s="89">
        <f>T24-T25</f>
        <v>-1256507.4401036538</v>
      </c>
      <c r="U26" s="2"/>
      <c r="V26" s="2"/>
      <c r="W26" s="2"/>
      <c r="AT26" s="78" t="s">
        <v>92</v>
      </c>
      <c r="AU26" s="78" t="s">
        <v>91</v>
      </c>
    </row>
    <row r="27" spans="1:48">
      <c r="A27" s="75">
        <v>21</v>
      </c>
      <c r="B27" s="78" t="s">
        <v>95</v>
      </c>
      <c r="C27" s="92">
        <f>C26/C9</f>
        <v>-3.4643683356750665E-2</v>
      </c>
      <c r="D27" s="92">
        <f t="shared" ref="D27:F27" si="56">D26/D9</f>
        <v>-3.1843655174741428E-2</v>
      </c>
      <c r="E27" s="92">
        <f t="shared" si="56"/>
        <v>-3.1843655174741428E-2</v>
      </c>
      <c r="F27" s="92">
        <f t="shared" si="56"/>
        <v>-3.4630020394322177E-2</v>
      </c>
      <c r="G27" s="92">
        <f t="shared" ref="G27:Q27" si="57">G26/G9</f>
        <v>-3.4630020394321823E-2</v>
      </c>
      <c r="H27" s="92">
        <f t="shared" si="57"/>
        <v>-3.1826525293378254E-2</v>
      </c>
      <c r="I27" s="92">
        <f t="shared" si="57"/>
        <v>-3.1826525293378156E-2</v>
      </c>
      <c r="J27" s="92">
        <f t="shared" si="57"/>
        <v>-0.14908894977256004</v>
      </c>
      <c r="K27" s="92">
        <f t="shared" si="57"/>
        <v>-0.22640462129428407</v>
      </c>
      <c r="L27" s="92">
        <f t="shared" si="57"/>
        <v>-0.11902450341550064</v>
      </c>
      <c r="M27" s="92">
        <f t="shared" si="57"/>
        <v>-0.11902450341550064</v>
      </c>
      <c r="N27" s="92">
        <f t="shared" si="57"/>
        <v>-0.11997095374883396</v>
      </c>
      <c r="O27" s="92">
        <f t="shared" si="57"/>
        <v>-0.11742303079706297</v>
      </c>
      <c r="P27" s="92">
        <f t="shared" si="57"/>
        <v>-0.11647658046372965</v>
      </c>
      <c r="Q27" s="92">
        <f t="shared" si="57"/>
        <v>-3.4643683356750665E-2</v>
      </c>
      <c r="R27" s="92">
        <f t="shared" ref="R27:S27" si="58">R26/R9</f>
        <v>-0.15045989441103605</v>
      </c>
      <c r="S27" s="92">
        <f t="shared" si="58"/>
        <v>-0.22562184282310618</v>
      </c>
      <c r="T27" s="92">
        <f>T26/T9</f>
        <v>-4.6726000794658606E-2</v>
      </c>
      <c r="U27" s="2"/>
      <c r="V27" s="2"/>
      <c r="W27" s="2"/>
      <c r="AT27" s="78" t="s">
        <v>94</v>
      </c>
      <c r="AU27" s="78" t="s">
        <v>95</v>
      </c>
    </row>
    <row r="28" spans="1:48">
      <c r="U28" s="2"/>
      <c r="V28" s="2"/>
      <c r="W28" s="2"/>
    </row>
    <row r="29" spans="1:48">
      <c r="A29" s="71" t="s">
        <v>96</v>
      </c>
      <c r="T29" s="74" t="s">
        <v>149</v>
      </c>
      <c r="U29" s="2"/>
      <c r="V29" s="2"/>
      <c r="W29" s="2"/>
      <c r="AT29" s="71" t="s">
        <v>96</v>
      </c>
    </row>
    <row r="30" spans="1:48">
      <c r="A30" s="78" t="s">
        <v>97</v>
      </c>
      <c r="B30" s="83" t="s">
        <v>98</v>
      </c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2"/>
      <c r="V30" s="2"/>
      <c r="W30" s="2"/>
      <c r="Y30" s="2"/>
      <c r="AT30" s="78" t="s">
        <v>99</v>
      </c>
      <c r="AU30" s="83" t="s">
        <v>98</v>
      </c>
    </row>
    <row r="31" spans="1:48">
      <c r="A31" s="75">
        <v>1</v>
      </c>
      <c r="B31" s="86" t="s">
        <v>100</v>
      </c>
      <c r="C31" s="93">
        <f>销量!C8</f>
        <v>2295.5752212389384</v>
      </c>
      <c r="D31" s="93">
        <f>销量!D8</f>
        <v>1830.9734513274338</v>
      </c>
      <c r="E31" s="93">
        <f>销量!E8</f>
        <v>1830.9734513274338</v>
      </c>
      <c r="F31" s="93">
        <f>销量!F8</f>
        <v>2295.5752212389384</v>
      </c>
      <c r="G31" s="93">
        <f>销量!G8</f>
        <v>2295.5752212389384</v>
      </c>
      <c r="H31" s="93">
        <f>销量!H8</f>
        <v>1830.9734513274338</v>
      </c>
      <c r="I31" s="93">
        <f>销量!I8</f>
        <v>1830.9734513274338</v>
      </c>
      <c r="J31" s="93">
        <f>销量!J8</f>
        <v>1023.8938053097346</v>
      </c>
      <c r="K31" s="93">
        <f>销量!K8</f>
        <v>706.19469026548677</v>
      </c>
      <c r="L31" s="93">
        <f>销量!L8</f>
        <v>584.07079646017701</v>
      </c>
      <c r="M31" s="93">
        <f>销量!M8</f>
        <v>584.07079646017701</v>
      </c>
      <c r="N31" s="93">
        <f>销量!N8</f>
        <v>584.07079646017701</v>
      </c>
      <c r="O31" s="93">
        <f>销量!O8</f>
        <v>584.07079646017701</v>
      </c>
      <c r="P31" s="93">
        <f>销量!P8</f>
        <v>584.07079646017701</v>
      </c>
      <c r="Q31" s="93">
        <f>销量!Q8</f>
        <v>2295.5752212389384</v>
      </c>
      <c r="R31" s="93">
        <f>销量!R8</f>
        <v>1022.1238938053099</v>
      </c>
      <c r="S31" s="93">
        <f>销量!S8</f>
        <v>706.19469026548677</v>
      </c>
      <c r="T31" s="89"/>
      <c r="U31" s="2"/>
      <c r="V31" s="2"/>
      <c r="W31" s="2"/>
      <c r="Y31" s="2"/>
      <c r="AT31" s="78" t="s">
        <v>55</v>
      </c>
      <c r="AU31" s="78" t="s">
        <v>100</v>
      </c>
    </row>
    <row r="32" spans="1:48">
      <c r="A32" s="75">
        <v>2</v>
      </c>
      <c r="B32" s="78" t="s">
        <v>150</v>
      </c>
      <c r="C32" s="81">
        <f>C9/C6</f>
        <v>2180.7964601769918</v>
      </c>
      <c r="D32" s="81">
        <f t="shared" ref="D32:F32" si="59">D9/D6</f>
        <v>1739.424778761062</v>
      </c>
      <c r="E32" s="81">
        <f t="shared" si="59"/>
        <v>1739.424778761062</v>
      </c>
      <c r="F32" s="81">
        <f t="shared" si="59"/>
        <v>2180.7964601769913</v>
      </c>
      <c r="G32" s="81">
        <f t="shared" ref="G32:Q32" si="60">G9/G6</f>
        <v>2180.7964601769918</v>
      </c>
      <c r="H32" s="81">
        <f t="shared" si="60"/>
        <v>1739.424778761062</v>
      </c>
      <c r="I32" s="81">
        <f t="shared" si="60"/>
        <v>1739.424778761062</v>
      </c>
      <c r="J32" s="81">
        <f t="shared" si="60"/>
        <v>972.69911504424783</v>
      </c>
      <c r="K32" s="81">
        <f t="shared" si="60"/>
        <v>670.88495575221236</v>
      </c>
      <c r="L32" s="81">
        <f t="shared" si="60"/>
        <v>554.86725663716811</v>
      </c>
      <c r="M32" s="81">
        <f t="shared" si="60"/>
        <v>554.86725663716811</v>
      </c>
      <c r="N32" s="81">
        <f t="shared" si="60"/>
        <v>554.86725663716811</v>
      </c>
      <c r="O32" s="81">
        <f t="shared" si="60"/>
        <v>554.86725663716811</v>
      </c>
      <c r="P32" s="81">
        <f t="shared" si="60"/>
        <v>554.86725663716811</v>
      </c>
      <c r="Q32" s="81">
        <f t="shared" si="60"/>
        <v>2180.7964601769918</v>
      </c>
      <c r="R32" s="81">
        <f t="shared" ref="R32:S32" si="61">R9/R6</f>
        <v>971.01769911504437</v>
      </c>
      <c r="S32" s="81">
        <f t="shared" si="61"/>
        <v>670.88495575221236</v>
      </c>
      <c r="T32" s="89"/>
      <c r="U32" s="2"/>
      <c r="V32" s="2"/>
      <c r="W32" s="2"/>
      <c r="X32" s="2"/>
      <c r="Y32" s="2"/>
      <c r="Z32" s="2"/>
      <c r="AA32" s="2"/>
      <c r="AT32" s="78"/>
      <c r="AU32" s="78"/>
    </row>
    <row r="33" spans="1:47">
      <c r="A33" s="75">
        <v>3</v>
      </c>
      <c r="B33" s="86" t="s">
        <v>101</v>
      </c>
      <c r="C33" s="81">
        <f>材料成本!D25</f>
        <v>1475.0885750580367</v>
      </c>
      <c r="D33" s="81">
        <f>材料成本!E25</f>
        <v>1171.2880153524366</v>
      </c>
      <c r="E33" s="81">
        <f>材料成本!F25</f>
        <v>1171.2880153524366</v>
      </c>
      <c r="F33" s="81">
        <f>材料成本!G25</f>
        <v>1475.0587789179365</v>
      </c>
      <c r="G33" s="81">
        <f>材料成本!H25</f>
        <v>1475.0587789179365</v>
      </c>
      <c r="H33" s="81">
        <f>材料成本!I25</f>
        <v>1171.2582192123361</v>
      </c>
      <c r="I33" s="81">
        <f>材料成本!J25</f>
        <v>1171.2582192123361</v>
      </c>
      <c r="J33" s="81">
        <f>材料成本!K25</f>
        <v>768.1949381080085</v>
      </c>
      <c r="K33" s="81">
        <f>材料成本!L25</f>
        <v>581.11239320596189</v>
      </c>
      <c r="L33" s="81">
        <f>材料成本!M25</f>
        <v>420.70710138146825</v>
      </c>
      <c r="M33" s="81">
        <f>材料成本!N25</f>
        <v>420.70710138146825</v>
      </c>
      <c r="N33" s="81">
        <f>材料成本!O25</f>
        <v>421.23225568146825</v>
      </c>
      <c r="O33" s="81">
        <f>材料成本!P25</f>
        <v>419.8184966630962</v>
      </c>
      <c r="P33" s="81">
        <f>材料成本!Q25</f>
        <v>419.2933423630962</v>
      </c>
      <c r="Q33" s="81">
        <f>材料成本!R25</f>
        <v>1475.0885750580367</v>
      </c>
      <c r="R33" s="81">
        <f>材料成本!S25</f>
        <v>768.1949381080085</v>
      </c>
      <c r="S33" s="81">
        <f>材料成本!T25</f>
        <v>580.58723890596184</v>
      </c>
      <c r="T33" s="89"/>
      <c r="V33" s="2"/>
      <c r="W33" s="2"/>
      <c r="X33" s="2"/>
      <c r="Y33" s="2"/>
      <c r="Z33" s="2"/>
      <c r="AA33" s="2"/>
      <c r="AT33" s="78" t="s">
        <v>57</v>
      </c>
      <c r="AU33" s="78" t="s">
        <v>101</v>
      </c>
    </row>
    <row r="34" spans="1:47" ht="17.25" customHeight="1">
      <c r="A34" s="75">
        <v>4</v>
      </c>
      <c r="B34" s="78" t="s">
        <v>103</v>
      </c>
      <c r="C34" s="94">
        <f>C32-C33</f>
        <v>705.70788511895512</v>
      </c>
      <c r="D34" s="94">
        <f t="shared" ref="D34:F34" si="62">D32-D33</f>
        <v>568.13676340862548</v>
      </c>
      <c r="E34" s="94">
        <f t="shared" si="62"/>
        <v>568.13676340862548</v>
      </c>
      <c r="F34" s="94">
        <f t="shared" si="62"/>
        <v>705.73768125905485</v>
      </c>
      <c r="G34" s="94">
        <f t="shared" ref="G34:Q34" si="63">G32-G33</f>
        <v>705.73768125905531</v>
      </c>
      <c r="H34" s="94">
        <f t="shared" si="63"/>
        <v>568.1665595487259</v>
      </c>
      <c r="I34" s="94">
        <f t="shared" si="63"/>
        <v>568.1665595487259</v>
      </c>
      <c r="J34" s="94">
        <f t="shared" si="63"/>
        <v>204.50417693623933</v>
      </c>
      <c r="K34" s="94">
        <f t="shared" si="63"/>
        <v>89.772562546250469</v>
      </c>
      <c r="L34" s="94">
        <f t="shared" si="63"/>
        <v>134.16015525569986</v>
      </c>
      <c r="M34" s="94">
        <f t="shared" si="63"/>
        <v>134.16015525569986</v>
      </c>
      <c r="N34" s="94">
        <f t="shared" si="63"/>
        <v>133.63500095569987</v>
      </c>
      <c r="O34" s="94">
        <f t="shared" si="63"/>
        <v>135.04875997407191</v>
      </c>
      <c r="P34" s="94">
        <f t="shared" si="63"/>
        <v>135.57391427407191</v>
      </c>
      <c r="Q34" s="94">
        <f t="shared" si="63"/>
        <v>705.70788511895512</v>
      </c>
      <c r="R34" s="94">
        <f t="shared" ref="R34:S34" si="64">R32-R33</f>
        <v>202.82276100703587</v>
      </c>
      <c r="S34" s="94">
        <f t="shared" si="64"/>
        <v>90.297716846250523</v>
      </c>
      <c r="T34" s="89"/>
      <c r="V34" s="2"/>
      <c r="W34" s="2"/>
      <c r="X34" s="2"/>
      <c r="Y34" s="2"/>
      <c r="Z34" s="2"/>
      <c r="AA34" s="2"/>
      <c r="AT34" s="78" t="s">
        <v>102</v>
      </c>
      <c r="AU34" s="78" t="s">
        <v>103</v>
      </c>
    </row>
    <row r="35" spans="1:47">
      <c r="A35" s="78" t="s">
        <v>99</v>
      </c>
      <c r="B35" s="83" t="s">
        <v>9</v>
      </c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2"/>
      <c r="V35" s="2"/>
      <c r="W35" s="2"/>
      <c r="X35" s="2"/>
      <c r="Y35" s="2"/>
      <c r="Z35" s="2"/>
      <c r="AA35" s="2"/>
      <c r="AB35" s="2"/>
      <c r="AC35" s="2"/>
      <c r="AD35" s="2"/>
      <c r="AT35" s="78" t="s">
        <v>105</v>
      </c>
      <c r="AU35" s="83" t="s">
        <v>9</v>
      </c>
    </row>
    <row r="36" spans="1:47">
      <c r="A36" s="75">
        <v>1</v>
      </c>
      <c r="B36" s="78" t="s">
        <v>106</v>
      </c>
      <c r="C36" s="87">
        <f>'2025年'!C36</f>
        <v>159.31292035398232</v>
      </c>
      <c r="D36" s="87">
        <f>'2025年'!D36</f>
        <v>127.06955752212392</v>
      </c>
      <c r="E36" s="87">
        <f>'2025年'!E36</f>
        <v>127.06955752212392</v>
      </c>
      <c r="F36" s="87">
        <f>'2025年'!F36</f>
        <v>159.31292035398232</v>
      </c>
      <c r="G36" s="87">
        <f>'2025年'!G36</f>
        <v>159.31292035398232</v>
      </c>
      <c r="H36" s="87">
        <f>'2025年'!H36</f>
        <v>127.06955752212392</v>
      </c>
      <c r="I36" s="87">
        <f>'2025年'!I36</f>
        <v>127.06955752212392</v>
      </c>
      <c r="J36" s="87">
        <f>'2025年'!J36</f>
        <v>71.058230088495591</v>
      </c>
      <c r="K36" s="87">
        <f>'2025年'!K36</f>
        <v>49.009911504424785</v>
      </c>
      <c r="L36" s="87">
        <f>'2025年'!L36</f>
        <v>40.534513274336284</v>
      </c>
      <c r="M36" s="87">
        <f>'2025年'!M36</f>
        <v>40.534513274336284</v>
      </c>
      <c r="N36" s="87">
        <f>'2025年'!N36</f>
        <v>40.534513274336284</v>
      </c>
      <c r="O36" s="87">
        <f>'2025年'!O36</f>
        <v>40.534513274336284</v>
      </c>
      <c r="P36" s="87">
        <f>'2025年'!P36</f>
        <v>40.534513274336284</v>
      </c>
      <c r="Q36" s="87">
        <f>'2025年'!Q36</f>
        <v>159.31292035398232</v>
      </c>
      <c r="R36" s="87">
        <f>'2025年'!R36</f>
        <v>70.935398230088509</v>
      </c>
      <c r="S36" s="87">
        <f>'2025年'!S36</f>
        <v>49.009911504424785</v>
      </c>
      <c r="T36" s="93"/>
      <c r="U36" s="2"/>
      <c r="V36" s="2"/>
      <c r="W36" s="2"/>
      <c r="X36" s="2"/>
      <c r="Y36" s="2"/>
      <c r="Z36" s="2"/>
      <c r="AA36" s="2"/>
      <c r="AB36" s="2"/>
      <c r="AC36" s="2"/>
      <c r="AD36" s="2"/>
      <c r="AT36" s="78" t="s">
        <v>102</v>
      </c>
      <c r="AU36" s="78" t="s">
        <v>106</v>
      </c>
    </row>
    <row r="37" spans="1:47">
      <c r="A37" s="75">
        <v>2</v>
      </c>
      <c r="B37" s="78" t="s">
        <v>107</v>
      </c>
      <c r="C37" s="87">
        <f>'2025年'!C37</f>
        <v>99.627964601769932</v>
      </c>
      <c r="D37" s="87">
        <f>'2025年'!D37</f>
        <v>79.464247787610631</v>
      </c>
      <c r="E37" s="87">
        <f>'2025年'!E37</f>
        <v>79.464247787610631</v>
      </c>
      <c r="F37" s="87">
        <f>'2025年'!F37</f>
        <v>99.627964601769932</v>
      </c>
      <c r="G37" s="87">
        <f>'2025年'!G37</f>
        <v>99.627964601769932</v>
      </c>
      <c r="H37" s="87">
        <f>'2025年'!H37</f>
        <v>79.464247787610631</v>
      </c>
      <c r="I37" s="87">
        <f>'2025年'!I37</f>
        <v>79.464247787610631</v>
      </c>
      <c r="J37" s="87">
        <f>'2025年'!J37</f>
        <v>44.436991150442481</v>
      </c>
      <c r="K37" s="87">
        <f>'2025年'!K37</f>
        <v>30.648849557522126</v>
      </c>
      <c r="L37" s="87">
        <f>'2025年'!L37</f>
        <v>25.348672566371683</v>
      </c>
      <c r="M37" s="87">
        <f>'2025年'!M37</f>
        <v>25.348672566371683</v>
      </c>
      <c r="N37" s="87">
        <f>'2025年'!N37</f>
        <v>25.348672566371683</v>
      </c>
      <c r="O37" s="87">
        <f>'2025年'!O37</f>
        <v>25.348672566371683</v>
      </c>
      <c r="P37" s="87">
        <f>'2025年'!P37</f>
        <v>25.348672566371683</v>
      </c>
      <c r="Q37" s="87">
        <f>'2025年'!Q37</f>
        <v>99.627964601769932</v>
      </c>
      <c r="R37" s="87">
        <f>'2025年'!R37</f>
        <v>44.360176991150446</v>
      </c>
      <c r="S37" s="87">
        <f>'2025年'!S37</f>
        <v>30.648849557522126</v>
      </c>
      <c r="T37" s="93"/>
      <c r="U37" s="2"/>
      <c r="V37" s="2"/>
      <c r="W37" s="2"/>
      <c r="X37" s="2"/>
      <c r="Y37" s="2"/>
      <c r="Z37" s="2"/>
      <c r="AA37" s="2"/>
      <c r="AB37" s="2"/>
      <c r="AC37" s="2"/>
      <c r="AD37" s="2"/>
      <c r="AT37" s="78" t="s">
        <v>60</v>
      </c>
      <c r="AU37" s="78" t="s">
        <v>107</v>
      </c>
    </row>
    <row r="38" spans="1:47">
      <c r="A38" s="75">
        <v>3</v>
      </c>
      <c r="B38" s="78" t="s">
        <v>108</v>
      </c>
      <c r="C38" s="87">
        <f>'2025年'!C38</f>
        <v>149.44194690265491</v>
      </c>
      <c r="D38" s="87">
        <f>'2025年'!D38</f>
        <v>119.19637168141595</v>
      </c>
      <c r="E38" s="87">
        <f>'2025年'!E38</f>
        <v>119.19637168141595</v>
      </c>
      <c r="F38" s="87">
        <f>'2025年'!F38</f>
        <v>149.44194690265491</v>
      </c>
      <c r="G38" s="87">
        <f>'2025年'!G38</f>
        <v>149.44194690265491</v>
      </c>
      <c r="H38" s="87">
        <f>'2025年'!H38</f>
        <v>119.19637168141595</v>
      </c>
      <c r="I38" s="87">
        <f>'2025年'!I38</f>
        <v>119.19637168141595</v>
      </c>
      <c r="J38" s="87">
        <f>'2025年'!J38</f>
        <v>66.655486725663721</v>
      </c>
      <c r="K38" s="87">
        <f>'2025年'!K38</f>
        <v>45.97327433628319</v>
      </c>
      <c r="L38" s="87">
        <f>'2025年'!L38</f>
        <v>38.023008849557527</v>
      </c>
      <c r="M38" s="87">
        <f>'2025年'!M38</f>
        <v>38.023008849557527</v>
      </c>
      <c r="N38" s="87">
        <f>'2025年'!N38</f>
        <v>38.023008849557527</v>
      </c>
      <c r="O38" s="87">
        <f>'2025年'!O38</f>
        <v>38.023008849557527</v>
      </c>
      <c r="P38" s="87">
        <f>'2025年'!P38</f>
        <v>38.023008849557527</v>
      </c>
      <c r="Q38" s="87">
        <f>'2025年'!Q38</f>
        <v>149.44194690265491</v>
      </c>
      <c r="R38" s="87">
        <f>'2025年'!R38</f>
        <v>66.540265486725673</v>
      </c>
      <c r="S38" s="87">
        <f>'2025年'!S38</f>
        <v>45.97327433628319</v>
      </c>
      <c r="T38" s="93"/>
      <c r="U38" s="2"/>
      <c r="V38" s="2"/>
      <c r="W38" s="2"/>
      <c r="X38" s="2"/>
      <c r="Y38" s="2"/>
      <c r="Z38" s="2"/>
      <c r="AA38" s="2"/>
      <c r="AB38" s="2"/>
      <c r="AC38" s="2"/>
      <c r="AD38" s="2"/>
      <c r="AT38" s="78" t="s">
        <v>66</v>
      </c>
      <c r="AU38" s="78" t="s">
        <v>108</v>
      </c>
    </row>
    <row r="39" spans="1:47">
      <c r="A39" s="78" t="s">
        <v>105</v>
      </c>
      <c r="B39" s="83" t="s">
        <v>110</v>
      </c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AT39" s="78" t="s">
        <v>109</v>
      </c>
      <c r="AU39" s="83" t="s">
        <v>110</v>
      </c>
    </row>
    <row r="40" spans="1:47">
      <c r="A40" s="75">
        <v>1</v>
      </c>
      <c r="B40" s="78" t="s">
        <v>111</v>
      </c>
      <c r="C40" s="89">
        <f>C34-C36-C37-C38</f>
        <v>297.32505326054797</v>
      </c>
      <c r="D40" s="89">
        <f>D34-D36-D37-D38</f>
        <v>242.40658641747501</v>
      </c>
      <c r="E40" s="89">
        <f t="shared" ref="E40:F40" si="65">E34-E36-E37-E38</f>
        <v>242.40658641747501</v>
      </c>
      <c r="F40" s="89">
        <f t="shared" si="65"/>
        <v>297.35484940064771</v>
      </c>
      <c r="G40" s="89">
        <f t="shared" ref="G40:Q40" si="66">G34-G36-G37-G38</f>
        <v>297.35484940064816</v>
      </c>
      <c r="H40" s="89">
        <f t="shared" si="66"/>
        <v>242.43638255757543</v>
      </c>
      <c r="I40" s="89">
        <f t="shared" si="66"/>
        <v>242.43638255757543</v>
      </c>
      <c r="J40" s="89">
        <f t="shared" si="66"/>
        <v>22.353468971637554</v>
      </c>
      <c r="K40" s="89">
        <f t="shared" si="66"/>
        <v>-35.859472851979632</v>
      </c>
      <c r="L40" s="89">
        <f t="shared" si="66"/>
        <v>30.253960565434369</v>
      </c>
      <c r="M40" s="89">
        <f t="shared" si="66"/>
        <v>30.253960565434369</v>
      </c>
      <c r="N40" s="89">
        <f t="shared" si="66"/>
        <v>29.728806265434372</v>
      </c>
      <c r="O40" s="89">
        <f t="shared" si="66"/>
        <v>31.14256528380642</v>
      </c>
      <c r="P40" s="89">
        <f t="shared" si="66"/>
        <v>31.667719583806416</v>
      </c>
      <c r="Q40" s="89">
        <f t="shared" si="66"/>
        <v>297.32505326054797</v>
      </c>
      <c r="R40" s="89">
        <f t="shared" ref="R40:S40" si="67">R34-R36-R37-R38</f>
        <v>20.986920299071244</v>
      </c>
      <c r="S40" s="89">
        <f t="shared" si="67"/>
        <v>-35.334318551979578</v>
      </c>
      <c r="T40" s="89"/>
      <c r="AT40" s="78" t="s">
        <v>55</v>
      </c>
      <c r="AU40" s="78" t="s">
        <v>111</v>
      </c>
    </row>
    <row r="41" spans="1:47">
      <c r="A41" s="75">
        <v>2</v>
      </c>
      <c r="B41" s="78" t="s">
        <v>112</v>
      </c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AT41" s="78" t="s">
        <v>57</v>
      </c>
      <c r="AU41" s="78" t="s">
        <v>112</v>
      </c>
    </row>
    <row r="42" spans="1:47">
      <c r="A42" s="78" t="s">
        <v>109</v>
      </c>
      <c r="B42" s="83" t="s">
        <v>114</v>
      </c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AT42" s="78" t="s">
        <v>113</v>
      </c>
      <c r="AU42" s="83" t="s">
        <v>114</v>
      </c>
    </row>
    <row r="43" spans="1:47">
      <c r="A43" s="75">
        <v>1</v>
      </c>
      <c r="B43" s="90" t="s">
        <v>115</v>
      </c>
      <c r="C43" s="87">
        <f>'2025年'!C43</f>
        <v>189.38495575221242</v>
      </c>
      <c r="D43" s="87">
        <f>'2025年'!D43</f>
        <v>151.05530973451329</v>
      </c>
      <c r="E43" s="87">
        <f>'2025年'!E43</f>
        <v>151.05530973451329</v>
      </c>
      <c r="F43" s="87">
        <f>'2025年'!F43</f>
        <v>189.38495575221242</v>
      </c>
      <c r="G43" s="87">
        <f>'2025年'!G43</f>
        <v>189.38495575221242</v>
      </c>
      <c r="H43" s="87">
        <f>'2025年'!H43</f>
        <v>151.05530973451329</v>
      </c>
      <c r="I43" s="87">
        <f>'2025年'!I43</f>
        <v>151.05530973451329</v>
      </c>
      <c r="J43" s="87">
        <f>'2025年'!J43</f>
        <v>84.471238938053105</v>
      </c>
      <c r="K43" s="87">
        <f>'2025年'!K43</f>
        <v>58.261061946902664</v>
      </c>
      <c r="L43" s="87">
        <f>'2025年'!L43</f>
        <v>48.185840707964608</v>
      </c>
      <c r="M43" s="87">
        <f>'2025年'!M43</f>
        <v>48.185840707964608</v>
      </c>
      <c r="N43" s="87">
        <f>'2025年'!N43</f>
        <v>48.185840707964608</v>
      </c>
      <c r="O43" s="87">
        <f>'2025年'!O43</f>
        <v>48.185840707964608</v>
      </c>
      <c r="P43" s="87">
        <f>'2025年'!P43</f>
        <v>48.185840707964608</v>
      </c>
      <c r="Q43" s="87">
        <f>'2025年'!Q43</f>
        <v>189.38495575221242</v>
      </c>
      <c r="R43" s="87">
        <f>'2025年'!R43</f>
        <v>84.32522123893807</v>
      </c>
      <c r="S43" s="87">
        <f>'2025年'!S43</f>
        <v>58.261061946902664</v>
      </c>
      <c r="T43" s="89"/>
      <c r="AT43" s="78" t="s">
        <v>55</v>
      </c>
      <c r="AU43" s="78" t="s">
        <v>115</v>
      </c>
    </row>
    <row r="44" spans="1:47">
      <c r="A44" s="75">
        <v>2</v>
      </c>
      <c r="B44" s="90" t="s">
        <v>116</v>
      </c>
      <c r="C44" s="87">
        <f>'2025年'!C44</f>
        <v>39.483893805309741</v>
      </c>
      <c r="D44" s="87">
        <f>'2025年'!D44</f>
        <v>31.492743362831863</v>
      </c>
      <c r="E44" s="87">
        <f>'2025年'!E44</f>
        <v>31.492743362831863</v>
      </c>
      <c r="F44" s="87">
        <f>'2025年'!F44</f>
        <v>39.483893805309741</v>
      </c>
      <c r="G44" s="87">
        <f>'2025年'!G44</f>
        <v>39.483893805309741</v>
      </c>
      <c r="H44" s="87">
        <f>'2025年'!H44</f>
        <v>31.492743362831863</v>
      </c>
      <c r="I44" s="87">
        <f>'2025年'!I44</f>
        <v>31.492743362831863</v>
      </c>
      <c r="J44" s="87">
        <f>'2025年'!J44</f>
        <v>17.610973451327435</v>
      </c>
      <c r="K44" s="87">
        <f>'2025年'!K44</f>
        <v>12.146548672566372</v>
      </c>
      <c r="L44" s="87">
        <f>'2025年'!L44</f>
        <v>10.046017699115044</v>
      </c>
      <c r="M44" s="87">
        <f>'2025年'!M44</f>
        <v>10.046017699115044</v>
      </c>
      <c r="N44" s="87">
        <f>'2025年'!N44</f>
        <v>10.046017699115044</v>
      </c>
      <c r="O44" s="87">
        <f>'2025年'!O44</f>
        <v>10.046017699115044</v>
      </c>
      <c r="P44" s="87">
        <f>'2025年'!P44</f>
        <v>10.046017699115044</v>
      </c>
      <c r="Q44" s="87">
        <f>'2025年'!Q44</f>
        <v>39.483893805309741</v>
      </c>
      <c r="R44" s="87">
        <f>'2025年'!R44</f>
        <v>17.580530973451332</v>
      </c>
      <c r="S44" s="87">
        <f>'2025年'!S44</f>
        <v>12.146548672566372</v>
      </c>
      <c r="T44" s="89"/>
      <c r="AT44" s="78" t="s">
        <v>57</v>
      </c>
      <c r="AU44" s="78" t="s">
        <v>116</v>
      </c>
    </row>
    <row r="45" spans="1:47">
      <c r="A45" s="75">
        <v>3</v>
      </c>
      <c r="B45" s="90" t="s">
        <v>117</v>
      </c>
      <c r="C45" s="87">
        <f>'2025年'!C45</f>
        <v>60.603185840707972</v>
      </c>
      <c r="D45" s="87">
        <f>'2025年'!D45</f>
        <v>48.337699115044252</v>
      </c>
      <c r="E45" s="87">
        <f>'2025年'!E45</f>
        <v>48.337699115044252</v>
      </c>
      <c r="F45" s="87">
        <f>'2025年'!F45</f>
        <v>60.603185840707972</v>
      </c>
      <c r="G45" s="87">
        <f>'2025年'!G45</f>
        <v>60.603185840707972</v>
      </c>
      <c r="H45" s="87">
        <f>'2025年'!H45</f>
        <v>48.337699115044252</v>
      </c>
      <c r="I45" s="87">
        <f>'2025年'!I45</f>
        <v>48.337699115044252</v>
      </c>
      <c r="J45" s="87">
        <f>'2025年'!J45</f>
        <v>27.030796460176994</v>
      </c>
      <c r="K45" s="87">
        <f>'2025年'!K45</f>
        <v>18.643539823008851</v>
      </c>
      <c r="L45" s="87">
        <f>'2025年'!L45</f>
        <v>15.419469026548672</v>
      </c>
      <c r="M45" s="87">
        <f>'2025年'!M45</f>
        <v>15.419469026548672</v>
      </c>
      <c r="N45" s="87">
        <f>'2025年'!N45</f>
        <v>15.419469026548672</v>
      </c>
      <c r="O45" s="87">
        <f>'2025年'!O45</f>
        <v>15.419469026548672</v>
      </c>
      <c r="P45" s="87">
        <f>'2025年'!P45</f>
        <v>15.419469026548672</v>
      </c>
      <c r="Q45" s="87">
        <f>'2025年'!Q45</f>
        <v>60.603185840707972</v>
      </c>
      <c r="R45" s="87">
        <f>'2025年'!R45</f>
        <v>26.98407079646018</v>
      </c>
      <c r="S45" s="87">
        <f>'2025年'!S45</f>
        <v>18.643539823008851</v>
      </c>
      <c r="T45" s="89"/>
      <c r="AT45" s="78" t="s">
        <v>102</v>
      </c>
      <c r="AU45" s="78" t="s">
        <v>117</v>
      </c>
    </row>
    <row r="46" spans="1:47" s="73" customFormat="1">
      <c r="A46" s="75">
        <v>4</v>
      </c>
      <c r="B46" s="90" t="s">
        <v>118</v>
      </c>
      <c r="C46" s="95">
        <f>C21/C6</f>
        <v>1.8199233716475096</v>
      </c>
      <c r="D46" s="95">
        <f>D21/D6</f>
        <v>1.8199233716475096</v>
      </c>
      <c r="E46" s="95">
        <f t="shared" ref="E46:F46" si="68">E21/E6</f>
        <v>1.8199233716475096</v>
      </c>
      <c r="F46" s="95">
        <f t="shared" si="68"/>
        <v>1.8199233716475098</v>
      </c>
      <c r="G46" s="95">
        <f t="shared" ref="G46:Q46" si="69">G21/G6</f>
        <v>1.8199233716475096</v>
      </c>
      <c r="H46" s="95">
        <f t="shared" si="69"/>
        <v>1.8199233716475096</v>
      </c>
      <c r="I46" s="95">
        <f t="shared" si="69"/>
        <v>1.8199233716475098</v>
      </c>
      <c r="J46" s="95">
        <f t="shared" si="69"/>
        <v>1.8199233716475096</v>
      </c>
      <c r="K46" s="95">
        <f t="shared" si="69"/>
        <v>1.8199233716475094</v>
      </c>
      <c r="L46" s="95">
        <f t="shared" si="69"/>
        <v>1.8199233716475096</v>
      </c>
      <c r="M46" s="95">
        <f t="shared" si="69"/>
        <v>1.8199233716475096</v>
      </c>
      <c r="N46" s="95">
        <f t="shared" si="69"/>
        <v>1.8199233716475096</v>
      </c>
      <c r="O46" s="95">
        <f t="shared" si="69"/>
        <v>1.8199233716475096</v>
      </c>
      <c r="P46" s="95">
        <f t="shared" si="69"/>
        <v>1.8199233716475096</v>
      </c>
      <c r="Q46" s="95">
        <f t="shared" si="69"/>
        <v>1.8199233716475096</v>
      </c>
      <c r="R46" s="95">
        <f t="shared" ref="R46:S46" si="70">R21/R6</f>
        <v>1.8199233716475094</v>
      </c>
      <c r="S46" s="95">
        <f t="shared" si="70"/>
        <v>1.8199233716475096</v>
      </c>
      <c r="T46" s="95"/>
      <c r="AT46" s="90" t="s">
        <v>62</v>
      </c>
      <c r="AU46" s="90" t="s">
        <v>120</v>
      </c>
    </row>
    <row r="47" spans="1:47" s="73" customFormat="1">
      <c r="A47" s="75">
        <v>5</v>
      </c>
      <c r="B47" s="90" t="s">
        <v>120</v>
      </c>
      <c r="C47" s="87">
        <f>'2025年'!C47</f>
        <v>81.492920353982299</v>
      </c>
      <c r="D47" s="87">
        <f>'2025年'!D47</f>
        <v>64.999557522123894</v>
      </c>
      <c r="E47" s="87">
        <f>'2025年'!E47</f>
        <v>64.999557522123894</v>
      </c>
      <c r="F47" s="87">
        <f>'2025年'!F47</f>
        <v>81.492920353982299</v>
      </c>
      <c r="G47" s="87">
        <f>'2025年'!G47</f>
        <v>81.492920353982299</v>
      </c>
      <c r="H47" s="87">
        <f>'2025年'!H47</f>
        <v>64.999557522123894</v>
      </c>
      <c r="I47" s="87">
        <f>'2025年'!I47</f>
        <v>64.999557522123894</v>
      </c>
      <c r="J47" s="87">
        <f>'2025年'!J47</f>
        <v>36.348230088495576</v>
      </c>
      <c r="K47" s="87">
        <f>'2025年'!K47</f>
        <v>25.069911504424777</v>
      </c>
      <c r="L47" s="87">
        <f>'2025年'!L47</f>
        <v>20.734513274336283</v>
      </c>
      <c r="M47" s="87">
        <f>'2025年'!M47</f>
        <v>20.734513274336283</v>
      </c>
      <c r="N47" s="87">
        <f>'2025年'!N47</f>
        <v>20.734513274336283</v>
      </c>
      <c r="O47" s="87">
        <f>'2025年'!O47</f>
        <v>20.734513274336283</v>
      </c>
      <c r="P47" s="87">
        <f>'2025年'!P47</f>
        <v>20.734513274336283</v>
      </c>
      <c r="Q47" s="87">
        <f>'2025年'!Q47</f>
        <v>81.492920353982299</v>
      </c>
      <c r="R47" s="87">
        <f>'2025年'!R47</f>
        <v>36.285398230088497</v>
      </c>
      <c r="S47" s="87">
        <f>'2025年'!S47</f>
        <v>25.069911504424777</v>
      </c>
      <c r="T47" s="95"/>
      <c r="AT47" s="90" t="s">
        <v>62</v>
      </c>
      <c r="AU47" s="90" t="s">
        <v>120</v>
      </c>
    </row>
    <row r="48" spans="1:47">
      <c r="A48" s="78" t="s">
        <v>113</v>
      </c>
      <c r="B48" s="83" t="s">
        <v>131</v>
      </c>
      <c r="C48" s="89">
        <f>C40-C43-C44-C45-C47-C46</f>
        <v>-75.459825863311963</v>
      </c>
      <c r="D48" s="89">
        <f>D40-D43-D44-D45-D47-D46</f>
        <v>-55.298646688685793</v>
      </c>
      <c r="E48" s="89">
        <f t="shared" ref="E48:F48" si="71">E40-E43-E44-E45-E47-E46</f>
        <v>-55.298646688685793</v>
      </c>
      <c r="F48" s="89">
        <f t="shared" si="71"/>
        <v>-75.430029723212229</v>
      </c>
      <c r="G48" s="89">
        <f t="shared" ref="G48:Q48" si="72">G40-G43-G44-G45-G47-G46</f>
        <v>-75.430029723211774</v>
      </c>
      <c r="H48" s="89">
        <f t="shared" si="72"/>
        <v>-55.268850548585377</v>
      </c>
      <c r="I48" s="89">
        <f t="shared" si="72"/>
        <v>-55.268850548585377</v>
      </c>
      <c r="J48" s="89">
        <f t="shared" si="72"/>
        <v>-144.92769333806308</v>
      </c>
      <c r="K48" s="89">
        <f t="shared" si="72"/>
        <v>-151.80045817052979</v>
      </c>
      <c r="L48" s="89">
        <f t="shared" si="72"/>
        <v>-65.95180351417774</v>
      </c>
      <c r="M48" s="89">
        <f t="shared" si="72"/>
        <v>-65.95180351417774</v>
      </c>
      <c r="N48" s="89">
        <f t="shared" si="72"/>
        <v>-66.476957814177737</v>
      </c>
      <c r="O48" s="89">
        <f t="shared" si="72"/>
        <v>-65.06319879580569</v>
      </c>
      <c r="P48" s="89">
        <f t="shared" si="72"/>
        <v>-64.538044495805693</v>
      </c>
      <c r="Q48" s="89">
        <f t="shared" si="72"/>
        <v>-75.459825863311963</v>
      </c>
      <c r="R48" s="89">
        <f t="shared" ref="R48:S48" si="73">R40-R43-R44-R45-R47-R46</f>
        <v>-146.00822431151437</v>
      </c>
      <c r="S48" s="89">
        <f t="shared" si="73"/>
        <v>-151.27530387052974</v>
      </c>
      <c r="T48" s="89"/>
      <c r="AT48" s="78" t="s">
        <v>130</v>
      </c>
      <c r="AU48" s="83" t="s">
        <v>131</v>
      </c>
    </row>
    <row r="51" spans="2:25"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</row>
    <row r="54" spans="2:25">
      <c r="B54" s="2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2"/>
      <c r="V54" s="2"/>
      <c r="W54" s="2"/>
      <c r="X54" s="2"/>
      <c r="Y54" s="2"/>
    </row>
    <row r="55" spans="2:25">
      <c r="B55" s="2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2"/>
      <c r="V55" s="2"/>
      <c r="W55" s="2"/>
      <c r="X55" s="2"/>
      <c r="Y55" s="2"/>
    </row>
    <row r="56" spans="2:25">
      <c r="B56" s="2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2"/>
      <c r="V56" s="2"/>
      <c r="W56" s="2"/>
      <c r="X56" s="2"/>
      <c r="Y56" s="2"/>
    </row>
    <row r="57" spans="2:25">
      <c r="B57" s="2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2"/>
      <c r="V57" s="2"/>
      <c r="W57" s="2"/>
      <c r="X57" s="2"/>
      <c r="Y57" s="2"/>
    </row>
    <row r="58" spans="2:25">
      <c r="B58" s="2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2"/>
      <c r="V58" s="2"/>
      <c r="W58" s="2"/>
      <c r="X58" s="2"/>
      <c r="Y58" s="2"/>
    </row>
    <row r="59" spans="2:25">
      <c r="B59" s="2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2"/>
      <c r="V59" s="2"/>
      <c r="W59" s="2"/>
      <c r="X59" s="2"/>
      <c r="Y59" s="2"/>
    </row>
    <row r="60" spans="2:25">
      <c r="B60" s="2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2"/>
      <c r="V60" s="2"/>
      <c r="W60" s="2"/>
      <c r="X60" s="2"/>
      <c r="Y60" s="2"/>
    </row>
    <row r="61" spans="2:25">
      <c r="B61" s="2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2"/>
      <c r="V61" s="2"/>
      <c r="W61" s="2"/>
      <c r="X61" s="2"/>
      <c r="Y61" s="2"/>
    </row>
    <row r="62" spans="2:25">
      <c r="B62" s="2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2"/>
      <c r="V62" s="2"/>
      <c r="W62" s="2"/>
      <c r="X62" s="2"/>
      <c r="Y62" s="2"/>
    </row>
    <row r="63" spans="2:25">
      <c r="B63" s="2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2"/>
      <c r="V63" s="2"/>
      <c r="W63" s="2"/>
      <c r="X63" s="2"/>
      <c r="Y63" s="2"/>
    </row>
    <row r="64" spans="2:25">
      <c r="B64" s="2"/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2"/>
      <c r="V64" s="2"/>
      <c r="W64" s="2"/>
      <c r="X64" s="2"/>
      <c r="Y64" s="2"/>
    </row>
    <row r="65" spans="2:25">
      <c r="B65" s="2"/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2"/>
      <c r="V65" s="2"/>
      <c r="W65" s="2"/>
      <c r="X65" s="2"/>
      <c r="Y65" s="2"/>
    </row>
    <row r="66" spans="2:25">
      <c r="B66" s="2"/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2"/>
      <c r="V66" s="2"/>
      <c r="W66" s="2"/>
      <c r="X66" s="2"/>
      <c r="Y66" s="2"/>
    </row>
    <row r="67" spans="2:25">
      <c r="B67" s="2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2"/>
    </row>
    <row r="68" spans="2:25">
      <c r="B68" s="2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2"/>
    </row>
    <row r="69" spans="2:25">
      <c r="B69" s="2"/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2"/>
    </row>
    <row r="70" spans="2:25">
      <c r="B70" s="2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2"/>
    </row>
    <row r="71" spans="2:25">
      <c r="B71" s="2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2"/>
    </row>
    <row r="72" spans="2:25">
      <c r="B72" s="2"/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2"/>
    </row>
    <row r="73" spans="2:25">
      <c r="B73" s="2"/>
      <c r="C73" s="97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2"/>
    </row>
    <row r="74" spans="2:25">
      <c r="B74" s="2"/>
      <c r="C74" s="97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2"/>
    </row>
  </sheetData>
  <mergeCells count="8">
    <mergeCell ref="A4:B4"/>
    <mergeCell ref="A5:B5"/>
    <mergeCell ref="T3:T5"/>
    <mergeCell ref="A1:B1"/>
    <mergeCell ref="C1:T1"/>
    <mergeCell ref="A2:B2"/>
    <mergeCell ref="C2:T2"/>
    <mergeCell ref="A3:B3"/>
  </mergeCells>
  <phoneticPr fontId="45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4"/>
  <sheetViews>
    <sheetView zoomScale="85" zoomScaleNormal="85" workbookViewId="0">
      <pane xSplit="2" ySplit="7" topLeftCell="L26" activePane="bottomRight" state="frozen"/>
      <selection pane="topRight"/>
      <selection pane="bottomLeft"/>
      <selection pane="bottomRight" activeCell="N50" sqref="N50"/>
    </sheetView>
  </sheetViews>
  <sheetFormatPr defaultColWidth="9" defaultRowHeight="16.5"/>
  <cols>
    <col min="1" max="1" width="5.125" style="71" customWidth="1"/>
    <col min="2" max="2" width="17.5" style="71" customWidth="1"/>
    <col min="3" max="3" width="15.375" style="74" customWidth="1"/>
    <col min="4" max="19" width="14.375" style="74" customWidth="1"/>
    <col min="20" max="20" width="18.75" style="74" customWidth="1"/>
    <col min="21" max="21" width="12.375" style="71" customWidth="1"/>
    <col min="22" max="22" width="10.125" style="71" customWidth="1"/>
    <col min="23" max="29" width="9" style="71" customWidth="1"/>
    <col min="30" max="45" width="9" style="71"/>
    <col min="46" max="46" width="4.375" style="71" customWidth="1"/>
    <col min="47" max="47" width="13.875" style="71" customWidth="1"/>
    <col min="48" max="16384" width="9" style="71"/>
  </cols>
  <sheetData>
    <row r="1" spans="1:48">
      <c r="A1" s="223" t="s">
        <v>141</v>
      </c>
      <c r="B1" s="223"/>
      <c r="C1" s="227" t="s">
        <v>262</v>
      </c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9"/>
    </row>
    <row r="2" spans="1:48">
      <c r="A2" s="223" t="s">
        <v>142</v>
      </c>
      <c r="B2" s="223"/>
      <c r="C2" s="230" t="str">
        <f>'2025年'!$C$2</f>
        <v>北汽福田戴姆勒</v>
      </c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</row>
    <row r="3" spans="1:48">
      <c r="A3" s="223" t="s">
        <v>143</v>
      </c>
      <c r="B3" s="223"/>
      <c r="C3" s="76" t="str">
        <f>'2025年'!C3</f>
        <v>A668100000203</v>
      </c>
      <c r="D3" s="76" t="str">
        <f>'2025年'!D3</f>
        <v>A668100000205</v>
      </c>
      <c r="E3" s="76" t="str">
        <f>'2025年'!E3</f>
        <v>A668100000206</v>
      </c>
      <c r="F3" s="76" t="str">
        <f>'2025年'!F3</f>
        <v>A668100000207</v>
      </c>
      <c r="G3" s="76" t="str">
        <f>'2025年'!G3</f>
        <v>A668100000208</v>
      </c>
      <c r="H3" s="76" t="str">
        <f>'2025年'!H3</f>
        <v>A668100000209</v>
      </c>
      <c r="I3" s="76" t="str">
        <f>'2025年'!I3</f>
        <v>A668100000210</v>
      </c>
      <c r="J3" s="76" t="str">
        <f>'2025年'!J3</f>
        <v>A668100000216</v>
      </c>
      <c r="K3" s="76" t="str">
        <f>'2025年'!K3</f>
        <v>A668100000218</v>
      </c>
      <c r="L3" s="76" t="str">
        <f>'2025年'!L3</f>
        <v>A668100000219</v>
      </c>
      <c r="M3" s="76" t="str">
        <f>'2025年'!M3</f>
        <v>A668100000220</v>
      </c>
      <c r="N3" s="76" t="str">
        <f>'2025年'!N3</f>
        <v>A668100000221</v>
      </c>
      <c r="O3" s="76" t="str">
        <f>'2025年'!O3</f>
        <v>A668100000222</v>
      </c>
      <c r="P3" s="76" t="str">
        <f>'2025年'!P3</f>
        <v>A668100000223</v>
      </c>
      <c r="Q3" s="76" t="str">
        <f>'2025年'!Q3</f>
        <v>A668100000204</v>
      </c>
      <c r="R3" s="76" t="str">
        <f>'2025年'!R3</f>
        <v>A668100000215</v>
      </c>
      <c r="S3" s="76" t="str">
        <f>'2025年'!S3</f>
        <v>A668100000217</v>
      </c>
      <c r="T3" s="224" t="s">
        <v>51</v>
      </c>
    </row>
    <row r="4" spans="1:48">
      <c r="A4" s="223" t="s">
        <v>144</v>
      </c>
      <c r="B4" s="223"/>
      <c r="C4" s="76" t="str">
        <f>'2025年'!C4</f>
        <v>驾驶员座椅总成</v>
      </c>
      <c r="D4" s="76" t="str">
        <f>'2025年'!D4</f>
        <v>驾驶员座椅总成</v>
      </c>
      <c r="E4" s="76" t="str">
        <f>'2025年'!E4</f>
        <v>驾驶员座椅总成</v>
      </c>
      <c r="F4" s="76" t="str">
        <f>'2025年'!F4</f>
        <v>驾驶员座椅总成</v>
      </c>
      <c r="G4" s="76" t="str">
        <f>'2025年'!G4</f>
        <v>驾驶员座椅总成</v>
      </c>
      <c r="H4" s="76" t="str">
        <f>'2025年'!H4</f>
        <v>驾驶员座椅总成</v>
      </c>
      <c r="I4" s="76" t="str">
        <f>'2025年'!I4</f>
        <v>驾驶员座椅总成</v>
      </c>
      <c r="J4" s="76" t="str">
        <f>'2025年'!J4</f>
        <v>副驾驶员座椅总成</v>
      </c>
      <c r="K4" s="76" t="str">
        <f>'2025年'!K4</f>
        <v>副驾驶员座椅总成</v>
      </c>
      <c r="L4" s="76" t="str">
        <f>'2025年'!L4</f>
        <v>副驾驶员座椅总成</v>
      </c>
      <c r="M4" s="76" t="str">
        <f>'2025年'!M4</f>
        <v>副驾驶员座椅总成</v>
      </c>
      <c r="N4" s="76" t="str">
        <f>'2025年'!N4</f>
        <v>副驾驶员座椅总成</v>
      </c>
      <c r="O4" s="76" t="str">
        <f>'2025年'!O4</f>
        <v>副驾驶员座椅总成</v>
      </c>
      <c r="P4" s="76" t="str">
        <f>'2025年'!P4</f>
        <v>副驾驶员座椅总成</v>
      </c>
      <c r="Q4" s="76" t="str">
        <f>'2025年'!Q4</f>
        <v>驾驶员座椅总成</v>
      </c>
      <c r="R4" s="76" t="str">
        <f>'2025年'!R4</f>
        <v>副驾驶员座椅总成</v>
      </c>
      <c r="S4" s="76" t="str">
        <f>'2025年'!S4</f>
        <v>副驾驶员座椅总成</v>
      </c>
      <c r="T4" s="225"/>
    </row>
    <row r="5" spans="1:48" ht="57">
      <c r="A5" s="223" t="s">
        <v>145</v>
      </c>
      <c r="B5" s="223"/>
      <c r="C5" s="77" t="str">
        <f>'2025年'!C5</f>
        <v>在A668100000010基础上去除头枕部位的福田模压LOGO</v>
      </c>
      <c r="D5" s="77" t="str">
        <f>'2025年'!D5</f>
        <v>在A668100000108基础上去除头枕部位的福田模压LOGO</v>
      </c>
      <c r="E5" s="77" t="str">
        <f>'2025年'!E5</f>
        <v>在A668100000004基础上去除头枕部位的福田模压LOGO</v>
      </c>
      <c r="F5" s="77" t="str">
        <f>'2025年'!F5</f>
        <v>在A668100000023基础上去除头枕部位的福田模压LOGO</v>
      </c>
      <c r="G5" s="77" t="str">
        <f>'2025年'!G5</f>
        <v>在A668100000099基础上去除头枕部位的福田模压LOGO</v>
      </c>
      <c r="H5" s="77" t="str">
        <f>'2025年'!H5</f>
        <v>在A668100000101基础上去除头枕部位的福田模压LOGO</v>
      </c>
      <c r="I5" s="77" t="str">
        <f>'2025年'!I5</f>
        <v>在A668100000026基础上去除头枕部位的福田模压LOGO</v>
      </c>
      <c r="J5" s="77" t="str">
        <f>'2025年'!J5</f>
        <v>在A668100000158基础上去除头枕部位的福田模压LOGO； 有安全带未系提醒</v>
      </c>
      <c r="K5" s="77" t="str">
        <f>'2025年'!K5</f>
        <v>在A668100000011基础上去除头枕部位的福田模压LOGO； 有安全带未系提醒</v>
      </c>
      <c r="L5" s="77" t="str">
        <f>'2025年'!L5</f>
        <v>在A668100000006基础上去除头枕部位的福田模压LOGO； 有安全带未系提醒</v>
      </c>
      <c r="M5" s="77" t="str">
        <f>'2025年'!M5</f>
        <v>在A668100000112基础上去除头枕部位的福田模压LOGO； 有安全带未系提醒</v>
      </c>
      <c r="N5" s="77" t="str">
        <f>'2025年'!N5</f>
        <v>在A668100000110基础上去除头枕部位的福田模压LOGO； 有安全带未系提醒</v>
      </c>
      <c r="O5" s="77" t="str">
        <f>'2025年'!O5</f>
        <v>在A668100000100基础上去除头枕部位的福田模压LOGO； 有安全带未系提醒</v>
      </c>
      <c r="P5" s="77" t="str">
        <f>'2025年'!P5</f>
        <v>在A668100000025基础上去除头枕部位的福田模压LOGO； 有安全带未系提醒</v>
      </c>
      <c r="Q5" s="77" t="str">
        <f>'2025年'!Q5</f>
        <v>在A668100000107基础上去除头枕部位的福田模压LOGO</v>
      </c>
      <c r="R5" s="77" t="str">
        <f>'2025年'!R5</f>
        <v>在A668100000154基础上去除头枕部位的福田模压LOGO； 有安全带未系提醒</v>
      </c>
      <c r="S5" s="77" t="str">
        <f>'2025年'!S5</f>
        <v>在A668100000109基础上去除头枕部位的福田模压LOGO； 有安全带未系提醒</v>
      </c>
      <c r="T5" s="226"/>
      <c r="AV5" s="71" t="s">
        <v>52</v>
      </c>
    </row>
    <row r="6" spans="1:48">
      <c r="A6" s="78" t="s">
        <v>18</v>
      </c>
      <c r="B6" s="79" t="s">
        <v>146</v>
      </c>
      <c r="C6" s="80">
        <f>销量!C11</f>
        <v>3000</v>
      </c>
      <c r="D6" s="80">
        <f>销量!D11</f>
        <v>500</v>
      </c>
      <c r="E6" s="80">
        <f>销量!E11</f>
        <v>3000</v>
      </c>
      <c r="F6" s="80">
        <f>销量!F11</f>
        <v>5000</v>
      </c>
      <c r="G6" s="80">
        <f>销量!G11</f>
        <v>500</v>
      </c>
      <c r="H6" s="80">
        <f>销量!H11</f>
        <v>500</v>
      </c>
      <c r="I6" s="80">
        <f>销量!I11</f>
        <v>5000</v>
      </c>
      <c r="J6" s="80">
        <f>销量!J11</f>
        <v>500</v>
      </c>
      <c r="K6" s="80">
        <f>销量!K11</f>
        <v>200</v>
      </c>
      <c r="L6" s="80">
        <f>销量!L11</f>
        <v>3000</v>
      </c>
      <c r="M6" s="80">
        <f>销量!M11</f>
        <v>500</v>
      </c>
      <c r="N6" s="80">
        <f>销量!N11</f>
        <v>500</v>
      </c>
      <c r="O6" s="80">
        <f>销量!O11</f>
        <v>500</v>
      </c>
      <c r="P6" s="80">
        <f>销量!P11</f>
        <v>500</v>
      </c>
      <c r="Q6" s="80">
        <f>销量!Q11</f>
        <v>500</v>
      </c>
      <c r="R6" s="80">
        <f>销量!R11</f>
        <v>200</v>
      </c>
      <c r="S6" s="80">
        <f>销量!S11</f>
        <v>500</v>
      </c>
      <c r="T6" s="81">
        <f>+SUM(C6:S6)</f>
        <v>24400</v>
      </c>
      <c r="AT6" s="78" t="s">
        <v>18</v>
      </c>
      <c r="AU6" s="79" t="s">
        <v>3</v>
      </c>
      <c r="AV6" s="71" t="s">
        <v>53</v>
      </c>
    </row>
    <row r="7" spans="1:48">
      <c r="A7" s="75">
        <v>1</v>
      </c>
      <c r="B7" s="79" t="s">
        <v>54</v>
      </c>
      <c r="C7" s="81">
        <f>C6*销量!C8</f>
        <v>6886725.6637168154</v>
      </c>
      <c r="D7" s="81">
        <f>D6*销量!D8</f>
        <v>915486.7256637169</v>
      </c>
      <c r="E7" s="81">
        <f>E6*销量!E8</f>
        <v>5492920.3539823014</v>
      </c>
      <c r="F7" s="81">
        <f>F6*销量!F8</f>
        <v>11477876.106194692</v>
      </c>
      <c r="G7" s="81">
        <f>G6*销量!G8</f>
        <v>1147787.6106194693</v>
      </c>
      <c r="H7" s="81">
        <f>H6*销量!H8</f>
        <v>915486.7256637169</v>
      </c>
      <c r="I7" s="81">
        <f>I6*销量!I8</f>
        <v>9154867.256637169</v>
      </c>
      <c r="J7" s="81">
        <f>J6*销量!J8</f>
        <v>511946.90265486733</v>
      </c>
      <c r="K7" s="81">
        <f>K6*销量!K8</f>
        <v>141238.93805309734</v>
      </c>
      <c r="L7" s="81">
        <f>L6*销量!L8</f>
        <v>1752212.3893805309</v>
      </c>
      <c r="M7" s="81">
        <f>M6*销量!M8</f>
        <v>292035.39823008853</v>
      </c>
      <c r="N7" s="81">
        <f>N6*销量!N8</f>
        <v>292035.39823008853</v>
      </c>
      <c r="O7" s="81">
        <f>O6*销量!O8</f>
        <v>292035.39823008853</v>
      </c>
      <c r="P7" s="81">
        <f>P6*销量!P8</f>
        <v>292035.39823008853</v>
      </c>
      <c r="Q7" s="81">
        <f>Q6*销量!Q8</f>
        <v>1147787.6106194693</v>
      </c>
      <c r="R7" s="81">
        <f>R6*销量!R8</f>
        <v>204424.77876106199</v>
      </c>
      <c r="S7" s="81">
        <f>S6*销量!S8</f>
        <v>353097.34513274336</v>
      </c>
      <c r="T7" s="81">
        <f t="shared" ref="T7:T13" si="0">+SUM(C7:S7)</f>
        <v>41270000.000000007</v>
      </c>
      <c r="U7" s="74"/>
      <c r="AT7" s="78" t="s">
        <v>55</v>
      </c>
      <c r="AU7" s="79" t="s">
        <v>54</v>
      </c>
      <c r="AV7" s="71" t="s">
        <v>53</v>
      </c>
    </row>
    <row r="8" spans="1:48">
      <c r="A8" s="75">
        <v>2</v>
      </c>
      <c r="B8" s="75" t="s">
        <v>56</v>
      </c>
      <c r="C8" s="81">
        <f>C7*(1-销量!$W$8)</f>
        <v>671455.75221238972</v>
      </c>
      <c r="D8" s="81">
        <f>D7*(1-销量!$W$8)</f>
        <v>89259.955752212423</v>
      </c>
      <c r="E8" s="81">
        <f>E7*(1-销量!$W$8)</f>
        <v>535559.73451327451</v>
      </c>
      <c r="F8" s="81">
        <f>F7*(1-销量!$W$8)</f>
        <v>1119092.9203539828</v>
      </c>
      <c r="G8" s="81">
        <f>G7*(1-销量!$W$8)</f>
        <v>111909.29203539829</v>
      </c>
      <c r="H8" s="81">
        <f>H7*(1-销量!$W$8)</f>
        <v>89259.955752212423</v>
      </c>
      <c r="I8" s="81">
        <f>I7*(1-销量!$W$8)</f>
        <v>892599.55752212426</v>
      </c>
      <c r="J8" s="81">
        <f>J7*(1-销量!$W$8)</f>
        <v>49914.823008849584</v>
      </c>
      <c r="K8" s="81">
        <f>K7*(1-销量!$W$8)</f>
        <v>13770.796460176995</v>
      </c>
      <c r="L8" s="81">
        <f>L7*(1-销量!$W$8)</f>
        <v>170840.70796460181</v>
      </c>
      <c r="M8" s="81">
        <f>M7*(1-销量!$W$8)</f>
        <v>28473.451327433639</v>
      </c>
      <c r="N8" s="81">
        <f>N7*(1-销量!$W$8)</f>
        <v>28473.451327433639</v>
      </c>
      <c r="O8" s="81">
        <f>O7*(1-销量!$W$8)</f>
        <v>28473.451327433639</v>
      </c>
      <c r="P8" s="81">
        <f>P7*(1-销量!$W$8)</f>
        <v>28473.451327433639</v>
      </c>
      <c r="Q8" s="81">
        <f>Q7*(1-销量!$W$8)</f>
        <v>111909.29203539829</v>
      </c>
      <c r="R8" s="81">
        <f>R7*(1-销量!$W$8)</f>
        <v>19931.415929203551</v>
      </c>
      <c r="S8" s="81">
        <f>S7*(1-销量!$W$8)</f>
        <v>34426.991150442489</v>
      </c>
      <c r="T8" s="81">
        <f t="shared" si="0"/>
        <v>4023825.0000000023</v>
      </c>
      <c r="U8" s="82"/>
      <c r="AT8" s="78" t="s">
        <v>57</v>
      </c>
      <c r="AU8" s="75" t="s">
        <v>58</v>
      </c>
      <c r="AV8" s="71" t="s">
        <v>53</v>
      </c>
    </row>
    <row r="9" spans="1:48">
      <c r="A9" s="75">
        <v>3</v>
      </c>
      <c r="B9" s="79" t="s">
        <v>59</v>
      </c>
      <c r="C9" s="81">
        <f>+C7-C8</f>
        <v>6215269.911504426</v>
      </c>
      <c r="D9" s="81">
        <f>+D7-D8</f>
        <v>826226.76991150447</v>
      </c>
      <c r="E9" s="81">
        <f t="shared" ref="E9:F9" si="1">+E7-E8</f>
        <v>4957360.619469027</v>
      </c>
      <c r="F9" s="81">
        <f t="shared" si="1"/>
        <v>10358783.185840709</v>
      </c>
      <c r="G9" s="81">
        <f t="shared" ref="G9:Q9" si="2">+G7-G8</f>
        <v>1035878.318584071</v>
      </c>
      <c r="H9" s="81">
        <f t="shared" si="2"/>
        <v>826226.76991150447</v>
      </c>
      <c r="I9" s="81">
        <f t="shared" si="2"/>
        <v>8262267.6991150444</v>
      </c>
      <c r="J9" s="81">
        <f t="shared" si="2"/>
        <v>462032.07964601775</v>
      </c>
      <c r="K9" s="81">
        <f t="shared" si="2"/>
        <v>127468.14159292035</v>
      </c>
      <c r="L9" s="81">
        <f t="shared" si="2"/>
        <v>1581371.681415929</v>
      </c>
      <c r="M9" s="81">
        <f t="shared" si="2"/>
        <v>263561.94690265489</v>
      </c>
      <c r="N9" s="81">
        <f t="shared" si="2"/>
        <v>263561.94690265489</v>
      </c>
      <c r="O9" s="81">
        <f t="shared" si="2"/>
        <v>263561.94690265489</v>
      </c>
      <c r="P9" s="81">
        <f t="shared" si="2"/>
        <v>263561.94690265489</v>
      </c>
      <c r="Q9" s="81">
        <f t="shared" si="2"/>
        <v>1035878.318584071</v>
      </c>
      <c r="R9" s="81">
        <f t="shared" ref="R9:S9" si="3">+R7-R8</f>
        <v>184493.36283185842</v>
      </c>
      <c r="S9" s="81">
        <f t="shared" si="3"/>
        <v>318670.35398230085</v>
      </c>
      <c r="T9" s="81">
        <f t="shared" si="0"/>
        <v>37246175</v>
      </c>
      <c r="AT9" s="78" t="s">
        <v>60</v>
      </c>
      <c r="AU9" s="79" t="s">
        <v>59</v>
      </c>
      <c r="AV9" s="71" t="s">
        <v>61</v>
      </c>
    </row>
    <row r="10" spans="1:48">
      <c r="A10" s="75">
        <v>4</v>
      </c>
      <c r="B10" s="78" t="s">
        <v>63</v>
      </c>
      <c r="C10" s="81">
        <f>C6*C33</f>
        <v>4204002.4389154045</v>
      </c>
      <c r="D10" s="81">
        <f>D6*D33</f>
        <v>556361.80729240738</v>
      </c>
      <c r="E10" s="81">
        <f t="shared" ref="E10:F10" si="4">E6*E33</f>
        <v>3338170.8437544438</v>
      </c>
      <c r="F10" s="81">
        <f t="shared" si="4"/>
        <v>7006529.1998601984</v>
      </c>
      <c r="G10" s="81">
        <f t="shared" ref="G10:Q10" si="5">G6*G33</f>
        <v>700652.91998601984</v>
      </c>
      <c r="H10" s="81">
        <f t="shared" si="5"/>
        <v>556347.65412585961</v>
      </c>
      <c r="I10" s="81">
        <f t="shared" si="5"/>
        <v>5563476.5412585968</v>
      </c>
      <c r="J10" s="81">
        <f t="shared" si="5"/>
        <v>364892.59560130403</v>
      </c>
      <c r="K10" s="81">
        <f t="shared" si="5"/>
        <v>110411.35470913275</v>
      </c>
      <c r="L10" s="81">
        <f t="shared" si="5"/>
        <v>1199015.2389371844</v>
      </c>
      <c r="M10" s="81">
        <f t="shared" si="5"/>
        <v>199835.8731561974</v>
      </c>
      <c r="N10" s="81">
        <f t="shared" si="5"/>
        <v>200085.32144869742</v>
      </c>
      <c r="O10" s="81">
        <f t="shared" si="5"/>
        <v>199413.78591497068</v>
      </c>
      <c r="P10" s="81">
        <f t="shared" si="5"/>
        <v>199164.33762247069</v>
      </c>
      <c r="Q10" s="81">
        <f t="shared" si="5"/>
        <v>700667.07315256738</v>
      </c>
      <c r="R10" s="81">
        <f t="shared" ref="R10:S10" si="6">R6*R33</f>
        <v>145957.03824052162</v>
      </c>
      <c r="S10" s="81">
        <f t="shared" si="6"/>
        <v>275778.93848033185</v>
      </c>
      <c r="T10" s="81">
        <f t="shared" si="0"/>
        <v>25520762.962456316</v>
      </c>
      <c r="AT10" s="78" t="s">
        <v>62</v>
      </c>
      <c r="AU10" s="78" t="s">
        <v>63</v>
      </c>
      <c r="AV10" s="71" t="s">
        <v>64</v>
      </c>
    </row>
    <row r="11" spans="1:48">
      <c r="A11" s="75">
        <v>5</v>
      </c>
      <c r="B11" s="78" t="s">
        <v>65</v>
      </c>
      <c r="C11" s="81">
        <f>+C6*C36</f>
        <v>477938.76106194698</v>
      </c>
      <c r="D11" s="81">
        <f>+D6*D36</f>
        <v>63534.778761061956</v>
      </c>
      <c r="E11" s="81">
        <f t="shared" ref="E11:F11" si="7">+E6*E36</f>
        <v>381208.67256637174</v>
      </c>
      <c r="F11" s="81">
        <f t="shared" si="7"/>
        <v>796564.60176991159</v>
      </c>
      <c r="G11" s="81">
        <f t="shared" ref="G11:Q11" si="8">+G6*G36</f>
        <v>79656.460176991153</v>
      </c>
      <c r="H11" s="81">
        <f t="shared" si="8"/>
        <v>63534.778761061956</v>
      </c>
      <c r="I11" s="81">
        <f t="shared" si="8"/>
        <v>635347.78761061956</v>
      </c>
      <c r="J11" s="81">
        <f t="shared" si="8"/>
        <v>35529.115044247796</v>
      </c>
      <c r="K11" s="81">
        <f t="shared" si="8"/>
        <v>9801.9823008849562</v>
      </c>
      <c r="L11" s="81">
        <f t="shared" si="8"/>
        <v>121603.53982300885</v>
      </c>
      <c r="M11" s="81">
        <f t="shared" si="8"/>
        <v>20267.256637168142</v>
      </c>
      <c r="N11" s="81">
        <f t="shared" si="8"/>
        <v>20267.256637168142</v>
      </c>
      <c r="O11" s="81">
        <f t="shared" si="8"/>
        <v>20267.256637168142</v>
      </c>
      <c r="P11" s="81">
        <f t="shared" si="8"/>
        <v>20267.256637168142</v>
      </c>
      <c r="Q11" s="81">
        <f t="shared" si="8"/>
        <v>79656.460176991153</v>
      </c>
      <c r="R11" s="81">
        <f t="shared" ref="R11:S11" si="9">+R6*R36</f>
        <v>14187.079646017703</v>
      </c>
      <c r="S11" s="81">
        <f t="shared" si="9"/>
        <v>24504.955752212394</v>
      </c>
      <c r="T11" s="81">
        <f t="shared" si="0"/>
        <v>2864138.0000000009</v>
      </c>
      <c r="AT11" s="78" t="s">
        <v>66</v>
      </c>
      <c r="AU11" s="78" t="s">
        <v>65</v>
      </c>
    </row>
    <row r="12" spans="1:48">
      <c r="A12" s="75">
        <v>6</v>
      </c>
      <c r="B12" s="78" t="s">
        <v>67</v>
      </c>
      <c r="C12" s="81">
        <f>+C6*C37</f>
        <v>298883.89380530978</v>
      </c>
      <c r="D12" s="81">
        <f>+D6*D37</f>
        <v>39732.123893805314</v>
      </c>
      <c r="E12" s="81">
        <f t="shared" ref="E12:F12" si="10">+E6*E37</f>
        <v>238392.74336283188</v>
      </c>
      <c r="F12" s="81">
        <f t="shared" si="10"/>
        <v>498139.82300884963</v>
      </c>
      <c r="G12" s="81">
        <f t="shared" ref="G12:Q12" si="11">+G6*G37</f>
        <v>49813.982300884963</v>
      </c>
      <c r="H12" s="81">
        <f t="shared" si="11"/>
        <v>39732.123893805314</v>
      </c>
      <c r="I12" s="81">
        <f t="shared" si="11"/>
        <v>397321.23893805314</v>
      </c>
      <c r="J12" s="81">
        <f t="shared" si="11"/>
        <v>22218.495575221241</v>
      </c>
      <c r="K12" s="81">
        <f t="shared" si="11"/>
        <v>6129.7699115044252</v>
      </c>
      <c r="L12" s="81">
        <f t="shared" si="11"/>
        <v>76046.017699115051</v>
      </c>
      <c r="M12" s="81">
        <f t="shared" si="11"/>
        <v>12674.336283185841</v>
      </c>
      <c r="N12" s="81">
        <f t="shared" si="11"/>
        <v>12674.336283185841</v>
      </c>
      <c r="O12" s="81">
        <f t="shared" si="11"/>
        <v>12674.336283185841</v>
      </c>
      <c r="P12" s="81">
        <f t="shared" si="11"/>
        <v>12674.336283185841</v>
      </c>
      <c r="Q12" s="81">
        <f t="shared" si="11"/>
        <v>49813.982300884963</v>
      </c>
      <c r="R12" s="81">
        <f t="shared" ref="R12:S12" si="12">+R6*R37</f>
        <v>8872.0353982300894</v>
      </c>
      <c r="S12" s="81">
        <f t="shared" si="12"/>
        <v>15324.424778761064</v>
      </c>
      <c r="T12" s="81">
        <f t="shared" si="0"/>
        <v>1791118</v>
      </c>
      <c r="AT12" s="78" t="s">
        <v>68</v>
      </c>
      <c r="AU12" s="78" t="s">
        <v>67</v>
      </c>
    </row>
    <row r="13" spans="1:48">
      <c r="A13" s="75">
        <v>7</v>
      </c>
      <c r="B13" s="78" t="s">
        <v>69</v>
      </c>
      <c r="C13" s="81">
        <f>+C6*C38</f>
        <v>448325.84070796473</v>
      </c>
      <c r="D13" s="81">
        <f>+D6*D38</f>
        <v>59598.185840707978</v>
      </c>
      <c r="E13" s="81">
        <f t="shared" ref="E13:F13" si="13">+E6*E38</f>
        <v>357589.11504424788</v>
      </c>
      <c r="F13" s="81">
        <f t="shared" si="13"/>
        <v>747209.73451327451</v>
      </c>
      <c r="G13" s="81">
        <f t="shared" ref="G13:Q13" si="14">+G6*G38</f>
        <v>74720.97345132746</v>
      </c>
      <c r="H13" s="81">
        <f t="shared" si="14"/>
        <v>59598.185840707978</v>
      </c>
      <c r="I13" s="81">
        <f t="shared" si="14"/>
        <v>595981.85840707982</v>
      </c>
      <c r="J13" s="81">
        <f t="shared" si="14"/>
        <v>33327.743362831861</v>
      </c>
      <c r="K13" s="81">
        <f t="shared" si="14"/>
        <v>9194.6548672566387</v>
      </c>
      <c r="L13" s="81">
        <f t="shared" si="14"/>
        <v>114069.02654867258</v>
      </c>
      <c r="M13" s="81">
        <f t="shared" si="14"/>
        <v>19011.504424778763</v>
      </c>
      <c r="N13" s="81">
        <f t="shared" si="14"/>
        <v>19011.504424778763</v>
      </c>
      <c r="O13" s="81">
        <f t="shared" si="14"/>
        <v>19011.504424778763</v>
      </c>
      <c r="P13" s="81">
        <f t="shared" si="14"/>
        <v>19011.504424778763</v>
      </c>
      <c r="Q13" s="81">
        <f t="shared" si="14"/>
        <v>74720.97345132746</v>
      </c>
      <c r="R13" s="81">
        <f t="shared" ref="R13:S13" si="15">+R6*R38</f>
        <v>13308.053097345135</v>
      </c>
      <c r="S13" s="81">
        <f t="shared" si="15"/>
        <v>22986.637168141595</v>
      </c>
      <c r="T13" s="81">
        <f t="shared" si="0"/>
        <v>2686677.0000000005</v>
      </c>
      <c r="AT13" s="78" t="s">
        <v>70</v>
      </c>
      <c r="AU13" s="78" t="s">
        <v>69</v>
      </c>
      <c r="AV13" s="71" t="s">
        <v>53</v>
      </c>
    </row>
    <row r="14" spans="1:48">
      <c r="A14" s="75">
        <v>8</v>
      </c>
      <c r="B14" s="83" t="s">
        <v>71</v>
      </c>
      <c r="C14" s="81">
        <f>SUM(C11:C13)</f>
        <v>1225148.4955752215</v>
      </c>
      <c r="D14" s="81">
        <f>SUM(D11:D13)</f>
        <v>162865.08849557524</v>
      </c>
      <c r="E14" s="81">
        <f t="shared" ref="E14:T14" si="16">SUM(E11:E13)</f>
        <v>977190.53097345144</v>
      </c>
      <c r="F14" s="81">
        <f t="shared" si="16"/>
        <v>2041914.1592920357</v>
      </c>
      <c r="G14" s="81">
        <f t="shared" ref="G14:Q14" si="17">SUM(G11:G13)</f>
        <v>204191.41592920356</v>
      </c>
      <c r="H14" s="81">
        <f t="shared" si="17"/>
        <v>162865.08849557524</v>
      </c>
      <c r="I14" s="81">
        <f t="shared" si="17"/>
        <v>1628650.8849557526</v>
      </c>
      <c r="J14" s="81">
        <f t="shared" si="17"/>
        <v>91075.353982300905</v>
      </c>
      <c r="K14" s="81">
        <f t="shared" si="17"/>
        <v>25126.407079646022</v>
      </c>
      <c r="L14" s="81">
        <f t="shared" si="17"/>
        <v>311718.5840707965</v>
      </c>
      <c r="M14" s="81">
        <f t="shared" si="17"/>
        <v>51953.097345132745</v>
      </c>
      <c r="N14" s="81">
        <f t="shared" si="17"/>
        <v>51953.097345132745</v>
      </c>
      <c r="O14" s="81">
        <f t="shared" si="17"/>
        <v>51953.097345132745</v>
      </c>
      <c r="P14" s="81">
        <f t="shared" si="17"/>
        <v>51953.097345132745</v>
      </c>
      <c r="Q14" s="81">
        <f t="shared" si="17"/>
        <v>204191.41592920356</v>
      </c>
      <c r="R14" s="81">
        <f t="shared" ref="R14:S14" si="18">SUM(R11:R13)</f>
        <v>36367.168141592927</v>
      </c>
      <c r="S14" s="81">
        <f t="shared" si="18"/>
        <v>62816.017699115051</v>
      </c>
      <c r="T14" s="81">
        <f t="shared" si="16"/>
        <v>7341933.0000000019</v>
      </c>
      <c r="AT14" s="78" t="s">
        <v>72</v>
      </c>
      <c r="AU14" s="83" t="s">
        <v>71</v>
      </c>
    </row>
    <row r="15" spans="1:48">
      <c r="A15" s="75">
        <v>9</v>
      </c>
      <c r="B15" s="83" t="s">
        <v>73</v>
      </c>
      <c r="C15" s="81">
        <f>+C9-C10-C14</f>
        <v>786118.97701380006</v>
      </c>
      <c r="D15" s="81">
        <f>+D9-D10-D14</f>
        <v>106999.87412352185</v>
      </c>
      <c r="E15" s="81">
        <f t="shared" ref="E15:T15" si="19">+E9-E10-E14</f>
        <v>641999.24474113178</v>
      </c>
      <c r="F15" s="81">
        <f t="shared" si="19"/>
        <v>1310339.826688475</v>
      </c>
      <c r="G15" s="81">
        <f t="shared" ref="G15:Q15" si="20">+G9-G10-G14</f>
        <v>131033.9826688476</v>
      </c>
      <c r="H15" s="81">
        <f t="shared" si="20"/>
        <v>107014.02729006961</v>
      </c>
      <c r="I15" s="81">
        <f t="shared" si="20"/>
        <v>1070140.272900695</v>
      </c>
      <c r="J15" s="81">
        <f t="shared" si="20"/>
        <v>6064.1300624128198</v>
      </c>
      <c r="K15" s="81">
        <f t="shared" si="20"/>
        <v>-8069.6201958584206</v>
      </c>
      <c r="L15" s="81">
        <f t="shared" si="20"/>
        <v>70637.85840794805</v>
      </c>
      <c r="M15" s="81">
        <f t="shared" si="20"/>
        <v>11772.976401324748</v>
      </c>
      <c r="N15" s="81">
        <f t="shared" si="20"/>
        <v>11523.528108824728</v>
      </c>
      <c r="O15" s="81">
        <f t="shared" si="20"/>
        <v>12195.063642551468</v>
      </c>
      <c r="P15" s="81">
        <f t="shared" si="20"/>
        <v>12444.511935051458</v>
      </c>
      <c r="Q15" s="81">
        <f t="shared" si="20"/>
        <v>131019.82950230007</v>
      </c>
      <c r="R15" s="81">
        <f t="shared" ref="R15:S15" si="21">+R9-R10-R14</f>
        <v>2169.156449743874</v>
      </c>
      <c r="S15" s="81">
        <f t="shared" si="21"/>
        <v>-19924.602197146058</v>
      </c>
      <c r="T15" s="81">
        <f t="shared" si="19"/>
        <v>4383479.0375436824</v>
      </c>
      <c r="AT15" s="78" t="s">
        <v>74</v>
      </c>
      <c r="AU15" s="83" t="s">
        <v>73</v>
      </c>
    </row>
    <row r="16" spans="1:48">
      <c r="A16" s="75">
        <v>10</v>
      </c>
      <c r="B16" s="78" t="s">
        <v>75</v>
      </c>
      <c r="C16" s="84">
        <f>+C15/C9</f>
        <v>0.12648187258266913</v>
      </c>
      <c r="D16" s="84">
        <f>+D15/D9</f>
        <v>0.12950424510571401</v>
      </c>
      <c r="E16" s="84">
        <f t="shared" ref="E16:F16" si="22">+E15/E9</f>
        <v>0.12950424510571415</v>
      </c>
      <c r="F16" s="84">
        <f t="shared" si="22"/>
        <v>0.12649553554509782</v>
      </c>
      <c r="G16" s="84">
        <f t="shared" ref="G16:Q16" si="23">+G15/G9</f>
        <v>0.1264955355450979</v>
      </c>
      <c r="H16" s="84">
        <f t="shared" si="23"/>
        <v>0.1295213749870773</v>
      </c>
      <c r="I16" s="84">
        <f t="shared" si="23"/>
        <v>0.12952137498707716</v>
      </c>
      <c r="J16" s="84">
        <f t="shared" si="23"/>
        <v>1.3124911298494264E-2</v>
      </c>
      <c r="K16" s="84">
        <f t="shared" si="23"/>
        <v>-6.3306957291566976E-2</v>
      </c>
      <c r="L16" s="84">
        <f t="shared" si="23"/>
        <v>4.4668726042128376E-2</v>
      </c>
      <c r="M16" s="84">
        <f t="shared" si="23"/>
        <v>4.4668726042128647E-2</v>
      </c>
      <c r="N16" s="84">
        <f t="shared" si="23"/>
        <v>4.3722275708795236E-2</v>
      </c>
      <c r="O16" s="84">
        <f t="shared" si="23"/>
        <v>4.6270198660566295E-2</v>
      </c>
      <c r="P16" s="84">
        <f t="shared" si="23"/>
        <v>4.7216648993899595E-2</v>
      </c>
      <c r="Q16" s="84">
        <f t="shared" si="23"/>
        <v>0.12648187258266919</v>
      </c>
      <c r="R16" s="84">
        <f t="shared" ref="R16:S16" si="24">+R15/R9</f>
        <v>1.1757368484419554E-2</v>
      </c>
      <c r="S16" s="84">
        <f t="shared" si="24"/>
        <v>-6.2524178820389062E-2</v>
      </c>
      <c r="T16" s="84">
        <f>+T15/T9</f>
        <v>0.11768937448056566</v>
      </c>
      <c r="AT16" s="78" t="s">
        <v>76</v>
      </c>
      <c r="AU16" s="78" t="s">
        <v>75</v>
      </c>
    </row>
    <row r="17" spans="1:48">
      <c r="A17" s="75">
        <v>11</v>
      </c>
      <c r="B17" s="78" t="s">
        <v>77</v>
      </c>
      <c r="C17" s="81">
        <f>C6*C43+C18</f>
        <v>568349.5393877849</v>
      </c>
      <c r="D17" s="81">
        <f>D6*D43+D18</f>
        <v>75560.100222447902</v>
      </c>
      <c r="E17" s="81">
        <f t="shared" ref="E17:F17" si="25">E6*E43+E18</f>
        <v>453360.60133468738</v>
      </c>
      <c r="F17" s="81">
        <f t="shared" si="25"/>
        <v>947249.23231297464</v>
      </c>
      <c r="G17" s="81">
        <f t="shared" ref="G17:Q17" si="26">G6*G43+G18</f>
        <v>94724.923231297464</v>
      </c>
      <c r="H17" s="81">
        <f t="shared" si="26"/>
        <v>75560.100222447902</v>
      </c>
      <c r="I17" s="81">
        <f t="shared" si="26"/>
        <v>755601.00222447899</v>
      </c>
      <c r="J17" s="81">
        <f t="shared" si="26"/>
        <v>42268.064824217814</v>
      </c>
      <c r="K17" s="81">
        <f t="shared" si="26"/>
        <v>11665.190531457036</v>
      </c>
      <c r="L17" s="81">
        <f t="shared" si="26"/>
        <v>144752.19425504137</v>
      </c>
      <c r="M17" s="81">
        <f t="shared" si="26"/>
        <v>24125.365709173559</v>
      </c>
      <c r="N17" s="81">
        <f t="shared" si="26"/>
        <v>24125.365709173559</v>
      </c>
      <c r="O17" s="81">
        <f t="shared" si="26"/>
        <v>24125.365709173559</v>
      </c>
      <c r="P17" s="81">
        <f t="shared" si="26"/>
        <v>24125.365709173559</v>
      </c>
      <c r="Q17" s="81">
        <f t="shared" si="26"/>
        <v>94724.923231297464</v>
      </c>
      <c r="R17" s="81">
        <f t="shared" ref="R17:S17" si="27">R6*R43+R18</f>
        <v>16878.022389864116</v>
      </c>
      <c r="S17" s="81">
        <f t="shared" si="27"/>
        <v>29162.976328642588</v>
      </c>
      <c r="T17" s="81">
        <f>+SUM(C17:S17)</f>
        <v>3406358.3333333335</v>
      </c>
      <c r="U17" s="82"/>
      <c r="AT17" s="78" t="s">
        <v>78</v>
      </c>
      <c r="AU17" s="78" t="s">
        <v>77</v>
      </c>
    </row>
    <row r="18" spans="1:48" s="72" customFormat="1">
      <c r="A18" s="75">
        <v>12</v>
      </c>
      <c r="B18" s="86" t="s">
        <v>147</v>
      </c>
      <c r="C18" s="87">
        <f t="shared" ref="C18:Q18" si="28">$T$18/$T$6*C6</f>
        <v>194.67213114754099</v>
      </c>
      <c r="D18" s="87">
        <f t="shared" si="28"/>
        <v>32.44535519125683</v>
      </c>
      <c r="E18" s="87">
        <f t="shared" si="28"/>
        <v>194.67213114754099</v>
      </c>
      <c r="F18" s="87">
        <f t="shared" si="28"/>
        <v>324.45355191256834</v>
      </c>
      <c r="G18" s="87">
        <f t="shared" si="28"/>
        <v>32.44535519125683</v>
      </c>
      <c r="H18" s="87">
        <f t="shared" si="28"/>
        <v>32.44535519125683</v>
      </c>
      <c r="I18" s="87">
        <f t="shared" si="28"/>
        <v>324.45355191256834</v>
      </c>
      <c r="J18" s="87">
        <f t="shared" si="28"/>
        <v>32.44535519125683</v>
      </c>
      <c r="K18" s="87">
        <f t="shared" si="28"/>
        <v>12.978142076502733</v>
      </c>
      <c r="L18" s="87">
        <f t="shared" si="28"/>
        <v>194.67213114754099</v>
      </c>
      <c r="M18" s="87">
        <f t="shared" si="28"/>
        <v>32.44535519125683</v>
      </c>
      <c r="N18" s="87">
        <f t="shared" si="28"/>
        <v>32.44535519125683</v>
      </c>
      <c r="O18" s="87">
        <f t="shared" si="28"/>
        <v>32.44535519125683</v>
      </c>
      <c r="P18" s="87">
        <f t="shared" si="28"/>
        <v>32.44535519125683</v>
      </c>
      <c r="Q18" s="87">
        <f t="shared" si="28"/>
        <v>32.44535519125683</v>
      </c>
      <c r="R18" s="87">
        <f t="shared" ref="R18:S18" si="29">$T$18/$T$6*R6</f>
        <v>12.978142076502733</v>
      </c>
      <c r="S18" s="87">
        <f t="shared" si="29"/>
        <v>32.44535519125683</v>
      </c>
      <c r="T18" s="81">
        <f>项目投资!F26</f>
        <v>1583.3333333333333</v>
      </c>
      <c r="U18" s="88" t="s">
        <v>148</v>
      </c>
      <c r="V18" s="88"/>
      <c r="W18" s="88"/>
    </row>
    <row r="19" spans="1:48">
      <c r="A19" s="75">
        <v>13</v>
      </c>
      <c r="B19" s="78" t="s">
        <v>79</v>
      </c>
      <c r="C19" s="81">
        <f>C6*C44</f>
        <v>118451.68141592923</v>
      </c>
      <c r="D19" s="81">
        <f>D6*D44</f>
        <v>15746.371681415932</v>
      </c>
      <c r="E19" s="81">
        <f t="shared" ref="E19:F19" si="30">E6*E44</f>
        <v>94478.230088495591</v>
      </c>
      <c r="F19" s="81">
        <f t="shared" si="30"/>
        <v>197419.4690265487</v>
      </c>
      <c r="G19" s="81">
        <f t="shared" ref="G19:Q19" si="31">G6*G44</f>
        <v>19741.946902654869</v>
      </c>
      <c r="H19" s="81">
        <f t="shared" si="31"/>
        <v>15746.371681415932</v>
      </c>
      <c r="I19" s="81">
        <f t="shared" si="31"/>
        <v>157463.71681415933</v>
      </c>
      <c r="J19" s="81">
        <f t="shared" si="31"/>
        <v>8805.4867256637172</v>
      </c>
      <c r="K19" s="81">
        <f t="shared" si="31"/>
        <v>2429.3097345132742</v>
      </c>
      <c r="L19" s="81">
        <f t="shared" si="31"/>
        <v>30138.053097345131</v>
      </c>
      <c r="M19" s="81">
        <f t="shared" si="31"/>
        <v>5023.0088495575219</v>
      </c>
      <c r="N19" s="81">
        <f t="shared" si="31"/>
        <v>5023.0088495575219</v>
      </c>
      <c r="O19" s="81">
        <f t="shared" si="31"/>
        <v>5023.0088495575219</v>
      </c>
      <c r="P19" s="81">
        <f t="shared" si="31"/>
        <v>5023.0088495575219</v>
      </c>
      <c r="Q19" s="81">
        <f t="shared" si="31"/>
        <v>19741.946902654869</v>
      </c>
      <c r="R19" s="81">
        <f t="shared" ref="R19:S19" si="32">R6*R44</f>
        <v>3516.1061946902664</v>
      </c>
      <c r="S19" s="81">
        <f t="shared" si="32"/>
        <v>6073.2743362831861</v>
      </c>
      <c r="T19" s="81">
        <f>+SUM(C19:S19)</f>
        <v>709844.00000000012</v>
      </c>
      <c r="U19" s="72"/>
      <c r="AT19" s="78" t="s">
        <v>80</v>
      </c>
      <c r="AU19" s="78" t="s">
        <v>79</v>
      </c>
      <c r="AV19" s="71" t="s">
        <v>53</v>
      </c>
    </row>
    <row r="20" spans="1:48">
      <c r="A20" s="75">
        <v>14</v>
      </c>
      <c r="B20" s="78" t="s">
        <v>81</v>
      </c>
      <c r="C20" s="81">
        <f>C6*C45</f>
        <v>181809.55752212391</v>
      </c>
      <c r="D20" s="81">
        <f>D6*D45</f>
        <v>24168.849557522128</v>
      </c>
      <c r="E20" s="81">
        <f t="shared" ref="E20:F20" si="33">E6*E45</f>
        <v>145013.09734513276</v>
      </c>
      <c r="F20" s="81">
        <f t="shared" si="33"/>
        <v>303015.92920353985</v>
      </c>
      <c r="G20" s="81">
        <f t="shared" ref="G20:Q20" si="34">G6*G45</f>
        <v>30301.592920353985</v>
      </c>
      <c r="H20" s="81">
        <f t="shared" si="34"/>
        <v>24168.849557522128</v>
      </c>
      <c r="I20" s="81">
        <f t="shared" si="34"/>
        <v>241688.49557522126</v>
      </c>
      <c r="J20" s="81">
        <f t="shared" si="34"/>
        <v>13515.398230088496</v>
      </c>
      <c r="K20" s="81">
        <f t="shared" si="34"/>
        <v>3728.7079646017701</v>
      </c>
      <c r="L20" s="81">
        <f t="shared" si="34"/>
        <v>46258.407079646015</v>
      </c>
      <c r="M20" s="81">
        <f t="shared" si="34"/>
        <v>7709.7345132743358</v>
      </c>
      <c r="N20" s="81">
        <f t="shared" si="34"/>
        <v>7709.7345132743358</v>
      </c>
      <c r="O20" s="81">
        <f t="shared" si="34"/>
        <v>7709.7345132743358</v>
      </c>
      <c r="P20" s="81">
        <f t="shared" si="34"/>
        <v>7709.7345132743358</v>
      </c>
      <c r="Q20" s="81">
        <f t="shared" si="34"/>
        <v>30301.592920353985</v>
      </c>
      <c r="R20" s="81">
        <f t="shared" ref="R20:S20" si="35">R6*R45</f>
        <v>5396.8141592920365</v>
      </c>
      <c r="S20" s="81">
        <f t="shared" si="35"/>
        <v>9321.7699115044252</v>
      </c>
      <c r="T20" s="81">
        <f>+SUM(C20:S20)</f>
        <v>1089528.0000000002</v>
      </c>
      <c r="AT20" s="78" t="s">
        <v>82</v>
      </c>
      <c r="AU20" s="78" t="s">
        <v>81</v>
      </c>
    </row>
    <row r="21" spans="1:48">
      <c r="A21" s="75">
        <v>15</v>
      </c>
      <c r="B21" s="78" t="s">
        <v>83</v>
      </c>
      <c r="C21" s="89">
        <f t="shared" ref="C21:Q21" si="36">$T$21/$T$6*C6</f>
        <v>3893.4426229508194</v>
      </c>
      <c r="D21" s="89">
        <f t="shared" si="36"/>
        <v>648.90710382513657</v>
      </c>
      <c r="E21" s="89">
        <f t="shared" si="36"/>
        <v>3893.4426229508194</v>
      </c>
      <c r="F21" s="89">
        <f t="shared" si="36"/>
        <v>6489.0710382513662</v>
      </c>
      <c r="G21" s="89">
        <f t="shared" si="36"/>
        <v>648.90710382513657</v>
      </c>
      <c r="H21" s="89">
        <f t="shared" si="36"/>
        <v>648.90710382513657</v>
      </c>
      <c r="I21" s="89">
        <f t="shared" si="36"/>
        <v>6489.0710382513662</v>
      </c>
      <c r="J21" s="89">
        <f t="shared" si="36"/>
        <v>648.90710382513657</v>
      </c>
      <c r="K21" s="89">
        <f t="shared" si="36"/>
        <v>259.56284153005464</v>
      </c>
      <c r="L21" s="89">
        <f t="shared" si="36"/>
        <v>3893.4426229508194</v>
      </c>
      <c r="M21" s="89">
        <f t="shared" si="36"/>
        <v>648.90710382513657</v>
      </c>
      <c r="N21" s="89">
        <f t="shared" si="36"/>
        <v>648.90710382513657</v>
      </c>
      <c r="O21" s="89">
        <f t="shared" si="36"/>
        <v>648.90710382513657</v>
      </c>
      <c r="P21" s="89">
        <f t="shared" si="36"/>
        <v>648.90710382513657</v>
      </c>
      <c r="Q21" s="89">
        <f t="shared" si="36"/>
        <v>648.90710382513657</v>
      </c>
      <c r="R21" s="89">
        <f t="shared" ref="R21:S21" si="37">$T$21/$T$6*R6</f>
        <v>259.56284153005464</v>
      </c>
      <c r="S21" s="89">
        <f t="shared" si="37"/>
        <v>648.90710382513657</v>
      </c>
      <c r="T21" s="81">
        <f>项目投资!F27</f>
        <v>31666.666666666668</v>
      </c>
      <c r="AT21" s="78"/>
      <c r="AU21" s="78"/>
    </row>
    <row r="22" spans="1:48">
      <c r="A22" s="75">
        <v>16</v>
      </c>
      <c r="B22" s="78" t="s">
        <v>84</v>
      </c>
      <c r="C22" s="81">
        <f>C6*C47</f>
        <v>244478.76106194689</v>
      </c>
      <c r="D22" s="81">
        <f>D6*D47</f>
        <v>32499.778761061945</v>
      </c>
      <c r="E22" s="81">
        <f t="shared" ref="E22:F22" si="38">E6*E47</f>
        <v>194998.67256637168</v>
      </c>
      <c r="F22" s="81">
        <f t="shared" si="38"/>
        <v>407464.60176991147</v>
      </c>
      <c r="G22" s="81">
        <f t="shared" ref="G22:Q22" si="39">G6*G47</f>
        <v>40746.460176991153</v>
      </c>
      <c r="H22" s="81">
        <f t="shared" si="39"/>
        <v>32499.778761061945</v>
      </c>
      <c r="I22" s="81">
        <f t="shared" si="39"/>
        <v>324997.78761061945</v>
      </c>
      <c r="J22" s="81">
        <f t="shared" si="39"/>
        <v>18174.115044247788</v>
      </c>
      <c r="K22" s="81">
        <f t="shared" si="39"/>
        <v>5013.9823008849553</v>
      </c>
      <c r="L22" s="81">
        <f t="shared" si="39"/>
        <v>62203.539823008847</v>
      </c>
      <c r="M22" s="81">
        <f t="shared" si="39"/>
        <v>10367.256637168142</v>
      </c>
      <c r="N22" s="81">
        <f t="shared" si="39"/>
        <v>10367.256637168142</v>
      </c>
      <c r="O22" s="81">
        <f t="shared" si="39"/>
        <v>10367.256637168142</v>
      </c>
      <c r="P22" s="81">
        <f t="shared" si="39"/>
        <v>10367.256637168142</v>
      </c>
      <c r="Q22" s="81">
        <f t="shared" si="39"/>
        <v>40746.460176991153</v>
      </c>
      <c r="R22" s="81">
        <f t="shared" ref="R22:S22" si="40">R6*R47</f>
        <v>7257.0796460176989</v>
      </c>
      <c r="S22" s="81">
        <f t="shared" si="40"/>
        <v>12534.955752212389</v>
      </c>
      <c r="T22" s="81">
        <f t="shared" ref="T22:T23" si="41">+SUM(C22:S22)</f>
        <v>1465085</v>
      </c>
      <c r="AT22" s="78" t="s">
        <v>85</v>
      </c>
      <c r="AU22" s="78" t="s">
        <v>84</v>
      </c>
    </row>
    <row r="23" spans="1:48">
      <c r="A23" s="75">
        <v>17</v>
      </c>
      <c r="B23" s="83" t="s">
        <v>86</v>
      </c>
      <c r="C23" s="89">
        <f>+C22+C21+C20+C19+C17</f>
        <v>1116982.9820107357</v>
      </c>
      <c r="D23" s="89">
        <f>+D22+D21+D20+D19+D17</f>
        <v>148624.00732627304</v>
      </c>
      <c r="E23" s="89">
        <f t="shared" ref="E23:F23" si="42">+E22+E21+E20+E19+E17</f>
        <v>891744.04395763821</v>
      </c>
      <c r="F23" s="89">
        <f t="shared" si="42"/>
        <v>1861638.303351226</v>
      </c>
      <c r="G23" s="89">
        <f t="shared" ref="G23:Q23" si="43">+G22+G21+G20+G19+G17</f>
        <v>186163.83033512259</v>
      </c>
      <c r="H23" s="89">
        <f t="shared" si="43"/>
        <v>148624.00732627304</v>
      </c>
      <c r="I23" s="89">
        <f t="shared" si="43"/>
        <v>1486240.0732627304</v>
      </c>
      <c r="J23" s="89">
        <f t="shared" si="43"/>
        <v>83411.971928042942</v>
      </c>
      <c r="K23" s="89">
        <f t="shared" si="43"/>
        <v>23096.753372987088</v>
      </c>
      <c r="L23" s="89">
        <f t="shared" si="43"/>
        <v>287245.63687799219</v>
      </c>
      <c r="M23" s="89">
        <f t="shared" si="43"/>
        <v>47874.272812998694</v>
      </c>
      <c r="N23" s="89">
        <f t="shared" si="43"/>
        <v>47874.272812998694</v>
      </c>
      <c r="O23" s="89">
        <f t="shared" si="43"/>
        <v>47874.272812998694</v>
      </c>
      <c r="P23" s="89">
        <f t="shared" si="43"/>
        <v>47874.272812998694</v>
      </c>
      <c r="Q23" s="89">
        <f t="shared" si="43"/>
        <v>186163.83033512259</v>
      </c>
      <c r="R23" s="89">
        <f t="shared" ref="R23:S23" si="44">+R22+R21+R20+R19+R17</f>
        <v>33307.585231394172</v>
      </c>
      <c r="S23" s="89">
        <f t="shared" si="44"/>
        <v>57741.88343246773</v>
      </c>
      <c r="T23" s="81">
        <f t="shared" si="41"/>
        <v>6702482.0000000019</v>
      </c>
      <c r="AT23" s="78" t="s">
        <v>87</v>
      </c>
      <c r="AU23" s="83" t="s">
        <v>86</v>
      </c>
    </row>
    <row r="24" spans="1:48">
      <c r="A24" s="75">
        <v>18</v>
      </c>
      <c r="B24" s="90" t="s">
        <v>88</v>
      </c>
      <c r="C24" s="89">
        <f>+C15-C23</f>
        <v>-330864.0049969356</v>
      </c>
      <c r="D24" s="89">
        <f>+D15-D23</f>
        <v>-41624.133202751196</v>
      </c>
      <c r="E24" s="89">
        <f t="shared" ref="E24:F24" si="45">+E15-E23</f>
        <v>-249744.79921650642</v>
      </c>
      <c r="F24" s="89">
        <f t="shared" si="45"/>
        <v>-551298.47666275105</v>
      </c>
      <c r="G24" s="89">
        <f t="shared" ref="G24:Q24" si="46">+G15-G23</f>
        <v>-55129.847666274989</v>
      </c>
      <c r="H24" s="89">
        <f t="shared" si="46"/>
        <v>-41609.980036203429</v>
      </c>
      <c r="I24" s="89">
        <f t="shared" si="46"/>
        <v>-416099.8003620354</v>
      </c>
      <c r="J24" s="89">
        <f t="shared" si="46"/>
        <v>-77347.841865630122</v>
      </c>
      <c r="K24" s="89">
        <f t="shared" si="46"/>
        <v>-31166.373568845509</v>
      </c>
      <c r="L24" s="89">
        <f t="shared" si="46"/>
        <v>-216607.77847004414</v>
      </c>
      <c r="M24" s="89">
        <f t="shared" si="46"/>
        <v>-36101.296411673946</v>
      </c>
      <c r="N24" s="89">
        <f t="shared" si="46"/>
        <v>-36350.744704173965</v>
      </c>
      <c r="O24" s="89">
        <f t="shared" si="46"/>
        <v>-35679.209170447226</v>
      </c>
      <c r="P24" s="89">
        <f t="shared" si="46"/>
        <v>-35429.760877947236</v>
      </c>
      <c r="Q24" s="89">
        <f t="shared" si="46"/>
        <v>-55144.000832822523</v>
      </c>
      <c r="R24" s="89">
        <f t="shared" ref="R24:S24" si="47">+R15-R23</f>
        <v>-31138.428781650298</v>
      </c>
      <c r="S24" s="89">
        <f t="shared" si="47"/>
        <v>-77666.485629613788</v>
      </c>
      <c r="T24" s="89">
        <f>+T15-T23</f>
        <v>-2319002.9624563195</v>
      </c>
      <c r="V24" s="91"/>
      <c r="AT24" s="78" t="s">
        <v>89</v>
      </c>
      <c r="AU24" s="78" t="s">
        <v>88</v>
      </c>
    </row>
    <row r="25" spans="1:48">
      <c r="A25" s="75">
        <v>19</v>
      </c>
      <c r="B25" s="78" t="s">
        <v>274</v>
      </c>
      <c r="C25" s="89">
        <f>IF(C24&lt;0,0,C24*0.15)</f>
        <v>0</v>
      </c>
      <c r="D25" s="89">
        <f t="shared" ref="D25:T25" si="48">IF(D24&lt;0,0,D24*0.15)</f>
        <v>0</v>
      </c>
      <c r="E25" s="89">
        <f t="shared" ref="E25:F25" si="49">IF(E24&lt;0,0,E24*0.15)</f>
        <v>0</v>
      </c>
      <c r="F25" s="89">
        <f t="shared" si="49"/>
        <v>0</v>
      </c>
      <c r="G25" s="89">
        <f t="shared" ref="G25:Q25" si="50">IF(G24&lt;0,0,G24*0.15)</f>
        <v>0</v>
      </c>
      <c r="H25" s="89">
        <f t="shared" si="50"/>
        <v>0</v>
      </c>
      <c r="I25" s="89">
        <f t="shared" si="50"/>
        <v>0</v>
      </c>
      <c r="J25" s="89">
        <f t="shared" si="50"/>
        <v>0</v>
      </c>
      <c r="K25" s="89">
        <f t="shared" si="50"/>
        <v>0</v>
      </c>
      <c r="L25" s="89">
        <f t="shared" si="50"/>
        <v>0</v>
      </c>
      <c r="M25" s="89">
        <f t="shared" si="50"/>
        <v>0</v>
      </c>
      <c r="N25" s="89">
        <f t="shared" si="50"/>
        <v>0</v>
      </c>
      <c r="O25" s="89">
        <f t="shared" si="50"/>
        <v>0</v>
      </c>
      <c r="P25" s="89">
        <f t="shared" si="50"/>
        <v>0</v>
      </c>
      <c r="Q25" s="89">
        <f t="shared" si="50"/>
        <v>0</v>
      </c>
      <c r="R25" s="89">
        <f t="shared" ref="R25:S25" si="51">IF(R24&lt;0,0,R24*0.15)</f>
        <v>0</v>
      </c>
      <c r="S25" s="89">
        <f t="shared" si="51"/>
        <v>0</v>
      </c>
      <c r="T25" s="89">
        <f t="shared" si="48"/>
        <v>0</v>
      </c>
      <c r="U25" s="2"/>
      <c r="V25" s="2"/>
      <c r="W25" s="2"/>
      <c r="AT25" s="78" t="s">
        <v>90</v>
      </c>
      <c r="AU25" s="78" t="s">
        <v>35</v>
      </c>
    </row>
    <row r="26" spans="1:48">
      <c r="A26" s="75">
        <v>20</v>
      </c>
      <c r="B26" s="78" t="s">
        <v>91</v>
      </c>
      <c r="C26" s="89">
        <f>C24-C25</f>
        <v>-330864.0049969356</v>
      </c>
      <c r="D26" s="89">
        <f>D24-D25</f>
        <v>-41624.133202751196</v>
      </c>
      <c r="E26" s="89">
        <f t="shared" ref="E26:T26" si="52">E24-E25</f>
        <v>-249744.79921650642</v>
      </c>
      <c r="F26" s="89">
        <f t="shared" si="52"/>
        <v>-551298.47666275105</v>
      </c>
      <c r="G26" s="89">
        <f t="shared" ref="G26:Q26" si="53">G24-G25</f>
        <v>-55129.847666274989</v>
      </c>
      <c r="H26" s="89">
        <f t="shared" si="53"/>
        <v>-41609.980036203429</v>
      </c>
      <c r="I26" s="89">
        <f t="shared" si="53"/>
        <v>-416099.8003620354</v>
      </c>
      <c r="J26" s="89">
        <f t="shared" si="53"/>
        <v>-77347.841865630122</v>
      </c>
      <c r="K26" s="89">
        <f t="shared" si="53"/>
        <v>-31166.373568845509</v>
      </c>
      <c r="L26" s="89">
        <f t="shared" si="53"/>
        <v>-216607.77847004414</v>
      </c>
      <c r="M26" s="89">
        <f t="shared" si="53"/>
        <v>-36101.296411673946</v>
      </c>
      <c r="N26" s="89">
        <f t="shared" si="53"/>
        <v>-36350.744704173965</v>
      </c>
      <c r="O26" s="89">
        <f t="shared" si="53"/>
        <v>-35679.209170447226</v>
      </c>
      <c r="P26" s="89">
        <f t="shared" si="53"/>
        <v>-35429.760877947236</v>
      </c>
      <c r="Q26" s="89">
        <f t="shared" si="53"/>
        <v>-55144.000832822523</v>
      </c>
      <c r="R26" s="89">
        <f t="shared" ref="R26:S26" si="54">R24-R25</f>
        <v>-31138.428781650298</v>
      </c>
      <c r="S26" s="89">
        <f t="shared" si="54"/>
        <v>-77666.485629613788</v>
      </c>
      <c r="T26" s="89">
        <f t="shared" si="52"/>
        <v>-2319002.9624563195</v>
      </c>
      <c r="U26" s="2"/>
      <c r="V26" s="2"/>
      <c r="W26" s="2"/>
      <c r="AT26" s="78" t="s">
        <v>92</v>
      </c>
      <c r="AU26" s="78" t="s">
        <v>91</v>
      </c>
    </row>
    <row r="27" spans="1:48">
      <c r="A27" s="75">
        <v>21</v>
      </c>
      <c r="B27" s="78" t="s">
        <v>95</v>
      </c>
      <c r="C27" s="92">
        <f>C26/C9</f>
        <v>-5.3234052536400449E-2</v>
      </c>
      <c r="D27" s="92">
        <f t="shared" ref="D27:T27" si="55">D26/D9</f>
        <v>-5.0378582150284811E-2</v>
      </c>
      <c r="E27" s="92">
        <f t="shared" si="55"/>
        <v>-5.0378582150284658E-2</v>
      </c>
      <c r="F27" s="92">
        <f t="shared" si="55"/>
        <v>-5.322038957397178E-2</v>
      </c>
      <c r="G27" s="92">
        <f t="shared" ref="G27:Q27" si="56">G26/G9</f>
        <v>-5.3220389573971662E-2</v>
      </c>
      <c r="H27" s="92">
        <f t="shared" si="56"/>
        <v>-5.0361452268921511E-2</v>
      </c>
      <c r="I27" s="92">
        <f t="shared" si="56"/>
        <v>-5.036145226892165E-2</v>
      </c>
      <c r="J27" s="92">
        <f t="shared" si="56"/>
        <v>-0.16740794692197469</v>
      </c>
      <c r="K27" s="92">
        <f t="shared" si="56"/>
        <v>-0.24450323962812451</v>
      </c>
      <c r="L27" s="92">
        <f t="shared" si="56"/>
        <v>-0.13697461578172299</v>
      </c>
      <c r="M27" s="92">
        <f t="shared" si="56"/>
        <v>-0.13697461578172268</v>
      </c>
      <c r="N27" s="92">
        <f t="shared" si="56"/>
        <v>-0.13792106611505608</v>
      </c>
      <c r="O27" s="92">
        <f t="shared" si="56"/>
        <v>-0.13537314316328503</v>
      </c>
      <c r="P27" s="92">
        <f t="shared" si="56"/>
        <v>-0.13442669282995173</v>
      </c>
      <c r="Q27" s="92">
        <f t="shared" si="56"/>
        <v>-5.3234052536400379E-2</v>
      </c>
      <c r="R27" s="92">
        <f t="shared" ref="R27:S27" si="57">R26/R9</f>
        <v>-0.16877804330570365</v>
      </c>
      <c r="S27" s="92">
        <f t="shared" si="57"/>
        <v>-0.24372046115694662</v>
      </c>
      <c r="T27" s="92">
        <f t="shared" si="55"/>
        <v>-6.2261506381697439E-2</v>
      </c>
      <c r="U27" s="2"/>
      <c r="V27" s="2"/>
      <c r="W27" s="2"/>
      <c r="AT27" s="78" t="s">
        <v>94</v>
      </c>
      <c r="AU27" s="78" t="s">
        <v>95</v>
      </c>
    </row>
    <row r="28" spans="1:48">
      <c r="U28" s="2"/>
      <c r="V28" s="2"/>
      <c r="W28" s="2"/>
    </row>
    <row r="29" spans="1:48">
      <c r="A29" s="71" t="s">
        <v>96</v>
      </c>
      <c r="T29" s="74" t="s">
        <v>149</v>
      </c>
      <c r="U29" s="2"/>
      <c r="V29" s="2"/>
      <c r="W29" s="2"/>
      <c r="AT29" s="71" t="s">
        <v>96</v>
      </c>
    </row>
    <row r="30" spans="1:48">
      <c r="A30" s="78" t="s">
        <v>97</v>
      </c>
      <c r="B30" s="83" t="s">
        <v>98</v>
      </c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2"/>
      <c r="V30" s="2"/>
      <c r="W30" s="2"/>
      <c r="Y30" s="2"/>
      <c r="AT30" s="78" t="s">
        <v>99</v>
      </c>
      <c r="AU30" s="83" t="s">
        <v>98</v>
      </c>
    </row>
    <row r="31" spans="1:48">
      <c r="A31" s="75">
        <v>1</v>
      </c>
      <c r="B31" s="86" t="s">
        <v>100</v>
      </c>
      <c r="C31" s="93">
        <f>销量!C8</f>
        <v>2295.5752212389384</v>
      </c>
      <c r="D31" s="93">
        <f>销量!D8</f>
        <v>1830.9734513274338</v>
      </c>
      <c r="E31" s="93">
        <f>销量!E8</f>
        <v>1830.9734513274338</v>
      </c>
      <c r="F31" s="93">
        <f>销量!F8</f>
        <v>2295.5752212389384</v>
      </c>
      <c r="G31" s="93">
        <f>销量!G8</f>
        <v>2295.5752212389384</v>
      </c>
      <c r="H31" s="93">
        <f>销量!H8</f>
        <v>1830.9734513274338</v>
      </c>
      <c r="I31" s="93">
        <f>销量!I8</f>
        <v>1830.9734513274338</v>
      </c>
      <c r="J31" s="93">
        <f>销量!J8</f>
        <v>1023.8938053097346</v>
      </c>
      <c r="K31" s="93">
        <f>销量!K8</f>
        <v>706.19469026548677</v>
      </c>
      <c r="L31" s="93">
        <f>销量!L8</f>
        <v>584.07079646017701</v>
      </c>
      <c r="M31" s="93">
        <f>销量!M8</f>
        <v>584.07079646017701</v>
      </c>
      <c r="N31" s="93">
        <f>销量!N8</f>
        <v>584.07079646017701</v>
      </c>
      <c r="O31" s="93">
        <f>销量!O8</f>
        <v>584.07079646017701</v>
      </c>
      <c r="P31" s="93">
        <f>销量!P8</f>
        <v>584.07079646017701</v>
      </c>
      <c r="Q31" s="93">
        <f>销量!Q8</f>
        <v>2295.5752212389384</v>
      </c>
      <c r="R31" s="93">
        <f>销量!R8</f>
        <v>1022.1238938053099</v>
      </c>
      <c r="S31" s="93">
        <f>销量!S8</f>
        <v>706.19469026548677</v>
      </c>
      <c r="T31" s="89"/>
      <c r="U31" s="2"/>
      <c r="V31" s="2"/>
      <c r="W31" s="2"/>
      <c r="Y31" s="2"/>
      <c r="AT31" s="78" t="s">
        <v>55</v>
      </c>
      <c r="AU31" s="78" t="s">
        <v>100</v>
      </c>
    </row>
    <row r="32" spans="1:48">
      <c r="A32" s="75">
        <v>2</v>
      </c>
      <c r="B32" s="78" t="s">
        <v>150</v>
      </c>
      <c r="C32" s="81">
        <f>C9/C6</f>
        <v>2071.7566371681419</v>
      </c>
      <c r="D32" s="81">
        <f t="shared" ref="D32:F32" si="58">D9/D6</f>
        <v>1652.4535398230089</v>
      </c>
      <c r="E32" s="81">
        <f t="shared" si="58"/>
        <v>1652.4535398230091</v>
      </c>
      <c r="F32" s="81">
        <f t="shared" si="58"/>
        <v>2071.7566371681419</v>
      </c>
      <c r="G32" s="81">
        <f t="shared" ref="G32:Q32" si="59">G9/G6</f>
        <v>2071.7566371681419</v>
      </c>
      <c r="H32" s="81">
        <f t="shared" si="59"/>
        <v>1652.4535398230089</v>
      </c>
      <c r="I32" s="81">
        <f t="shared" si="59"/>
        <v>1652.4535398230089</v>
      </c>
      <c r="J32" s="81">
        <f t="shared" si="59"/>
        <v>924.06415929203547</v>
      </c>
      <c r="K32" s="81">
        <f t="shared" si="59"/>
        <v>637.34070796460173</v>
      </c>
      <c r="L32" s="81">
        <f t="shared" si="59"/>
        <v>527.12389380530965</v>
      </c>
      <c r="M32" s="81">
        <f t="shared" si="59"/>
        <v>527.12389380530976</v>
      </c>
      <c r="N32" s="81">
        <f t="shared" si="59"/>
        <v>527.12389380530976</v>
      </c>
      <c r="O32" s="81">
        <f t="shared" si="59"/>
        <v>527.12389380530976</v>
      </c>
      <c r="P32" s="81">
        <f t="shared" si="59"/>
        <v>527.12389380530976</v>
      </c>
      <c r="Q32" s="81">
        <f t="shared" si="59"/>
        <v>2071.7566371681419</v>
      </c>
      <c r="R32" s="81">
        <f t="shared" ref="R32:S32" si="60">R9/R6</f>
        <v>922.46681415929208</v>
      </c>
      <c r="S32" s="81">
        <f t="shared" si="60"/>
        <v>637.34070796460173</v>
      </c>
      <c r="T32" s="89"/>
      <c r="U32" s="2"/>
      <c r="V32" s="2"/>
      <c r="W32" s="2"/>
      <c r="X32" s="2"/>
      <c r="Y32" s="2"/>
      <c r="Z32" s="2"/>
      <c r="AA32" s="2"/>
      <c r="AT32" s="78"/>
      <c r="AU32" s="78"/>
    </row>
    <row r="33" spans="1:47">
      <c r="A33" s="75">
        <v>3</v>
      </c>
      <c r="B33" s="86" t="s">
        <v>101</v>
      </c>
      <c r="C33" s="81">
        <f>材料成本!D26</f>
        <v>1401.3341463051347</v>
      </c>
      <c r="D33" s="81">
        <f>材料成本!E26</f>
        <v>1112.7236145848146</v>
      </c>
      <c r="E33" s="81">
        <f>材料成本!F26</f>
        <v>1112.7236145848146</v>
      </c>
      <c r="F33" s="81">
        <f>材料成本!G26</f>
        <v>1401.3058399720396</v>
      </c>
      <c r="G33" s="81">
        <f>材料成本!H26</f>
        <v>1401.3058399720396</v>
      </c>
      <c r="H33" s="81">
        <f>材料成本!I26</f>
        <v>1112.6953082517193</v>
      </c>
      <c r="I33" s="81">
        <f>材料成本!J26</f>
        <v>1112.6953082517193</v>
      </c>
      <c r="J33" s="81">
        <f>材料成本!K26</f>
        <v>729.78519120260808</v>
      </c>
      <c r="K33" s="81">
        <f>材料成本!L26</f>
        <v>552.05677354566376</v>
      </c>
      <c r="L33" s="81">
        <f>材料成本!M26</f>
        <v>399.67174631239482</v>
      </c>
      <c r="M33" s="81">
        <f>材料成本!N26</f>
        <v>399.67174631239482</v>
      </c>
      <c r="N33" s="81">
        <f>材料成本!O26</f>
        <v>400.17064289739483</v>
      </c>
      <c r="O33" s="81">
        <f>材料成本!P26</f>
        <v>398.82757182994135</v>
      </c>
      <c r="P33" s="81">
        <f>材料成本!Q26</f>
        <v>398.32867524494139</v>
      </c>
      <c r="Q33" s="81">
        <f>材料成本!R26</f>
        <v>1401.3341463051347</v>
      </c>
      <c r="R33" s="81">
        <f>材料成本!S26</f>
        <v>729.78519120260808</v>
      </c>
      <c r="S33" s="81">
        <f>材料成本!T26</f>
        <v>551.55787696066375</v>
      </c>
      <c r="T33" s="89"/>
      <c r="V33" s="2"/>
      <c r="W33" s="2"/>
      <c r="X33" s="2"/>
      <c r="Y33" s="2"/>
      <c r="Z33" s="2"/>
      <c r="AA33" s="2"/>
      <c r="AT33" s="78" t="s">
        <v>57</v>
      </c>
      <c r="AU33" s="78" t="s">
        <v>101</v>
      </c>
    </row>
    <row r="34" spans="1:47" ht="17.25" customHeight="1">
      <c r="A34" s="75">
        <v>4</v>
      </c>
      <c r="B34" s="78" t="s">
        <v>103</v>
      </c>
      <c r="C34" s="94">
        <f>C32-C33</f>
        <v>670.42249086300717</v>
      </c>
      <c r="D34" s="94">
        <f>D32-D33</f>
        <v>539.72992523819426</v>
      </c>
      <c r="E34" s="94">
        <f t="shared" ref="E34:F34" si="61">E32-E33</f>
        <v>539.72992523819448</v>
      </c>
      <c r="F34" s="94">
        <f t="shared" si="61"/>
        <v>670.45079719610226</v>
      </c>
      <c r="G34" s="94">
        <f t="shared" ref="G34:Q34" si="62">G32-G33</f>
        <v>670.45079719610226</v>
      </c>
      <c r="H34" s="94">
        <f t="shared" si="62"/>
        <v>539.75823157128957</v>
      </c>
      <c r="I34" s="94">
        <f t="shared" si="62"/>
        <v>539.75823157128957</v>
      </c>
      <c r="J34" s="94">
        <f t="shared" si="62"/>
        <v>194.27896808942739</v>
      </c>
      <c r="K34" s="94">
        <f t="shared" si="62"/>
        <v>85.283934418937974</v>
      </c>
      <c r="L34" s="94">
        <f t="shared" si="62"/>
        <v>127.45214749291483</v>
      </c>
      <c r="M34" s="94">
        <f t="shared" si="62"/>
        <v>127.45214749291495</v>
      </c>
      <c r="N34" s="94">
        <f t="shared" si="62"/>
        <v>126.95325090791493</v>
      </c>
      <c r="O34" s="94">
        <f t="shared" si="62"/>
        <v>128.29632197536841</v>
      </c>
      <c r="P34" s="94">
        <f t="shared" si="62"/>
        <v>128.79521856036837</v>
      </c>
      <c r="Q34" s="94">
        <f t="shared" si="62"/>
        <v>670.42249086300717</v>
      </c>
      <c r="R34" s="94">
        <f t="shared" ref="R34:S34" si="63">R32-R33</f>
        <v>192.68162295668401</v>
      </c>
      <c r="S34" s="94">
        <f t="shared" si="63"/>
        <v>85.782831003937986</v>
      </c>
      <c r="T34" s="89"/>
      <c r="V34" s="2"/>
      <c r="W34" s="2"/>
      <c r="X34" s="2"/>
      <c r="Y34" s="2"/>
      <c r="Z34" s="2"/>
      <c r="AA34" s="2"/>
      <c r="AT34" s="78" t="s">
        <v>102</v>
      </c>
      <c r="AU34" s="78" t="s">
        <v>103</v>
      </c>
    </row>
    <row r="35" spans="1:47">
      <c r="A35" s="78" t="s">
        <v>99</v>
      </c>
      <c r="B35" s="83" t="s">
        <v>9</v>
      </c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2"/>
      <c r="V35" s="2"/>
      <c r="W35" s="2"/>
      <c r="X35" s="2"/>
      <c r="Y35" s="2"/>
      <c r="Z35" s="2"/>
      <c r="AA35" s="2"/>
      <c r="AB35" s="2"/>
      <c r="AC35" s="2"/>
      <c r="AD35" s="2"/>
      <c r="AT35" s="78" t="s">
        <v>105</v>
      </c>
      <c r="AU35" s="83" t="s">
        <v>9</v>
      </c>
    </row>
    <row r="36" spans="1:47">
      <c r="A36" s="75">
        <v>1</v>
      </c>
      <c r="B36" s="78" t="s">
        <v>106</v>
      </c>
      <c r="C36" s="87">
        <f>'2025年'!C36</f>
        <v>159.31292035398232</v>
      </c>
      <c r="D36" s="87">
        <f>'2025年'!D36</f>
        <v>127.06955752212392</v>
      </c>
      <c r="E36" s="87">
        <f>'2025年'!E36</f>
        <v>127.06955752212392</v>
      </c>
      <c r="F36" s="87">
        <f>'2025年'!F36</f>
        <v>159.31292035398232</v>
      </c>
      <c r="G36" s="87">
        <f>'2025年'!G36</f>
        <v>159.31292035398232</v>
      </c>
      <c r="H36" s="87">
        <f>'2025年'!H36</f>
        <v>127.06955752212392</v>
      </c>
      <c r="I36" s="87">
        <f>'2025年'!I36</f>
        <v>127.06955752212392</v>
      </c>
      <c r="J36" s="87">
        <f>'2025年'!J36</f>
        <v>71.058230088495591</v>
      </c>
      <c r="K36" s="87">
        <f>'2025年'!K36</f>
        <v>49.009911504424785</v>
      </c>
      <c r="L36" s="87">
        <f>'2025年'!L36</f>
        <v>40.534513274336284</v>
      </c>
      <c r="M36" s="87">
        <f>'2025年'!M36</f>
        <v>40.534513274336284</v>
      </c>
      <c r="N36" s="87">
        <f>'2025年'!N36</f>
        <v>40.534513274336284</v>
      </c>
      <c r="O36" s="87">
        <f>'2025年'!O36</f>
        <v>40.534513274336284</v>
      </c>
      <c r="P36" s="87">
        <f>'2025年'!P36</f>
        <v>40.534513274336284</v>
      </c>
      <c r="Q36" s="87">
        <f>'2025年'!Q36</f>
        <v>159.31292035398232</v>
      </c>
      <c r="R36" s="87">
        <f>'2025年'!R36</f>
        <v>70.935398230088509</v>
      </c>
      <c r="S36" s="87">
        <f>'2025年'!S36</f>
        <v>49.009911504424785</v>
      </c>
      <c r="T36" s="93"/>
      <c r="U36" s="2"/>
      <c r="V36" s="2"/>
      <c r="W36" s="2"/>
      <c r="X36" s="2"/>
      <c r="Y36" s="2"/>
      <c r="Z36" s="2"/>
      <c r="AA36" s="2"/>
      <c r="AB36" s="2"/>
      <c r="AC36" s="2"/>
      <c r="AD36" s="2"/>
      <c r="AT36" s="78" t="s">
        <v>102</v>
      </c>
      <c r="AU36" s="78" t="s">
        <v>106</v>
      </c>
    </row>
    <row r="37" spans="1:47">
      <c r="A37" s="75">
        <v>2</v>
      </c>
      <c r="B37" s="78" t="s">
        <v>107</v>
      </c>
      <c r="C37" s="87">
        <f>'2025年'!C37</f>
        <v>99.627964601769932</v>
      </c>
      <c r="D37" s="87">
        <f>'2025年'!D37</f>
        <v>79.464247787610631</v>
      </c>
      <c r="E37" s="87">
        <f>'2025年'!E37</f>
        <v>79.464247787610631</v>
      </c>
      <c r="F37" s="87">
        <f>'2025年'!F37</f>
        <v>99.627964601769932</v>
      </c>
      <c r="G37" s="87">
        <f>'2025年'!G37</f>
        <v>99.627964601769932</v>
      </c>
      <c r="H37" s="87">
        <f>'2025年'!H37</f>
        <v>79.464247787610631</v>
      </c>
      <c r="I37" s="87">
        <f>'2025年'!I37</f>
        <v>79.464247787610631</v>
      </c>
      <c r="J37" s="87">
        <f>'2025年'!J37</f>
        <v>44.436991150442481</v>
      </c>
      <c r="K37" s="87">
        <f>'2025年'!K37</f>
        <v>30.648849557522126</v>
      </c>
      <c r="L37" s="87">
        <f>'2025年'!L37</f>
        <v>25.348672566371683</v>
      </c>
      <c r="M37" s="87">
        <f>'2025年'!M37</f>
        <v>25.348672566371683</v>
      </c>
      <c r="N37" s="87">
        <f>'2025年'!N37</f>
        <v>25.348672566371683</v>
      </c>
      <c r="O37" s="87">
        <f>'2025年'!O37</f>
        <v>25.348672566371683</v>
      </c>
      <c r="P37" s="87">
        <f>'2025年'!P37</f>
        <v>25.348672566371683</v>
      </c>
      <c r="Q37" s="87">
        <f>'2025年'!Q37</f>
        <v>99.627964601769932</v>
      </c>
      <c r="R37" s="87">
        <f>'2025年'!R37</f>
        <v>44.360176991150446</v>
      </c>
      <c r="S37" s="87">
        <f>'2025年'!S37</f>
        <v>30.648849557522126</v>
      </c>
      <c r="T37" s="93"/>
      <c r="U37" s="2"/>
      <c r="V37" s="2"/>
      <c r="W37" s="2"/>
      <c r="X37" s="2"/>
      <c r="Y37" s="2"/>
      <c r="Z37" s="2"/>
      <c r="AA37" s="2"/>
      <c r="AB37" s="2"/>
      <c r="AC37" s="2"/>
      <c r="AD37" s="2"/>
      <c r="AT37" s="78" t="s">
        <v>60</v>
      </c>
      <c r="AU37" s="78" t="s">
        <v>107</v>
      </c>
    </row>
    <row r="38" spans="1:47">
      <c r="A38" s="75">
        <v>3</v>
      </c>
      <c r="B38" s="78" t="s">
        <v>108</v>
      </c>
      <c r="C38" s="87">
        <f>'2025年'!C38</f>
        <v>149.44194690265491</v>
      </c>
      <c r="D38" s="87">
        <f>'2025年'!D38</f>
        <v>119.19637168141595</v>
      </c>
      <c r="E38" s="87">
        <f>'2025年'!E38</f>
        <v>119.19637168141595</v>
      </c>
      <c r="F38" s="87">
        <f>'2025年'!F38</f>
        <v>149.44194690265491</v>
      </c>
      <c r="G38" s="87">
        <f>'2025年'!G38</f>
        <v>149.44194690265491</v>
      </c>
      <c r="H38" s="87">
        <f>'2025年'!H38</f>
        <v>119.19637168141595</v>
      </c>
      <c r="I38" s="87">
        <f>'2025年'!I38</f>
        <v>119.19637168141595</v>
      </c>
      <c r="J38" s="87">
        <f>'2025年'!J38</f>
        <v>66.655486725663721</v>
      </c>
      <c r="K38" s="87">
        <f>'2025年'!K38</f>
        <v>45.97327433628319</v>
      </c>
      <c r="L38" s="87">
        <f>'2025年'!L38</f>
        <v>38.023008849557527</v>
      </c>
      <c r="M38" s="87">
        <f>'2025年'!M38</f>
        <v>38.023008849557527</v>
      </c>
      <c r="N38" s="87">
        <f>'2025年'!N38</f>
        <v>38.023008849557527</v>
      </c>
      <c r="O38" s="87">
        <f>'2025年'!O38</f>
        <v>38.023008849557527</v>
      </c>
      <c r="P38" s="87">
        <f>'2025年'!P38</f>
        <v>38.023008849557527</v>
      </c>
      <c r="Q38" s="87">
        <f>'2025年'!Q38</f>
        <v>149.44194690265491</v>
      </c>
      <c r="R38" s="87">
        <f>'2025年'!R38</f>
        <v>66.540265486725673</v>
      </c>
      <c r="S38" s="87">
        <f>'2025年'!S38</f>
        <v>45.97327433628319</v>
      </c>
      <c r="T38" s="93"/>
      <c r="U38" s="2"/>
      <c r="V38" s="2"/>
      <c r="W38" s="2"/>
      <c r="X38" s="2"/>
      <c r="Y38" s="2"/>
      <c r="Z38" s="2"/>
      <c r="AA38" s="2"/>
      <c r="AB38" s="2"/>
      <c r="AC38" s="2"/>
      <c r="AD38" s="2"/>
      <c r="AT38" s="78" t="s">
        <v>66</v>
      </c>
      <c r="AU38" s="78" t="s">
        <v>108</v>
      </c>
    </row>
    <row r="39" spans="1:47">
      <c r="A39" s="78" t="s">
        <v>105</v>
      </c>
      <c r="B39" s="83" t="s">
        <v>110</v>
      </c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AT39" s="78" t="s">
        <v>109</v>
      </c>
      <c r="AU39" s="83" t="s">
        <v>110</v>
      </c>
    </row>
    <row r="40" spans="1:47">
      <c r="A40" s="75">
        <v>1</v>
      </c>
      <c r="B40" s="78" t="s">
        <v>111</v>
      </c>
      <c r="C40" s="89">
        <f>C34-C36-C37-C38</f>
        <v>262.03965900460003</v>
      </c>
      <c r="D40" s="89">
        <f>D34-D36-D37-D38</f>
        <v>213.99974824704378</v>
      </c>
      <c r="E40" s="89">
        <f t="shared" ref="E40:F40" si="64">E34-E36-E37-E38</f>
        <v>213.99974824704401</v>
      </c>
      <c r="F40" s="89">
        <f t="shared" si="64"/>
        <v>262.06796533769511</v>
      </c>
      <c r="G40" s="89">
        <f t="shared" ref="G40:Q40" si="65">G34-G36-G37-G38</f>
        <v>262.06796533769511</v>
      </c>
      <c r="H40" s="89">
        <f t="shared" si="65"/>
        <v>214.0280545801391</v>
      </c>
      <c r="I40" s="89">
        <f t="shared" si="65"/>
        <v>214.0280545801391</v>
      </c>
      <c r="J40" s="89">
        <f t="shared" si="65"/>
        <v>12.128260124825601</v>
      </c>
      <c r="K40" s="89">
        <f t="shared" si="65"/>
        <v>-40.348100979292127</v>
      </c>
      <c r="L40" s="89">
        <f t="shared" si="65"/>
        <v>23.545952802649332</v>
      </c>
      <c r="M40" s="89">
        <f t="shared" si="65"/>
        <v>23.545952802649445</v>
      </c>
      <c r="N40" s="89">
        <f t="shared" si="65"/>
        <v>23.047056217649434</v>
      </c>
      <c r="O40" s="89">
        <f t="shared" si="65"/>
        <v>24.390127285102913</v>
      </c>
      <c r="P40" s="89">
        <f t="shared" si="65"/>
        <v>24.889023870102868</v>
      </c>
      <c r="Q40" s="89">
        <f t="shared" si="65"/>
        <v>262.03965900460003</v>
      </c>
      <c r="R40" s="89">
        <f t="shared" ref="R40:S40" si="66">R34-R36-R37-R38</f>
        <v>10.845782248719388</v>
      </c>
      <c r="S40" s="89">
        <f t="shared" si="66"/>
        <v>-39.849204394292116</v>
      </c>
      <c r="T40" s="89"/>
      <c r="AT40" s="78" t="s">
        <v>55</v>
      </c>
      <c r="AU40" s="78" t="s">
        <v>111</v>
      </c>
    </row>
    <row r="41" spans="1:47">
      <c r="A41" s="75">
        <v>2</v>
      </c>
      <c r="B41" s="78" t="s">
        <v>112</v>
      </c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AT41" s="78" t="s">
        <v>57</v>
      </c>
      <c r="AU41" s="78" t="s">
        <v>112</v>
      </c>
    </row>
    <row r="42" spans="1:47">
      <c r="A42" s="78" t="s">
        <v>109</v>
      </c>
      <c r="B42" s="83" t="s">
        <v>114</v>
      </c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AT42" s="78" t="s">
        <v>113</v>
      </c>
      <c r="AU42" s="83" t="s">
        <v>114</v>
      </c>
    </row>
    <row r="43" spans="1:47">
      <c r="A43" s="75">
        <v>1</v>
      </c>
      <c r="B43" s="90" t="s">
        <v>115</v>
      </c>
      <c r="C43" s="87">
        <f>'2025年'!C43</f>
        <v>189.38495575221242</v>
      </c>
      <c r="D43" s="87">
        <f>'2025年'!D43</f>
        <v>151.05530973451329</v>
      </c>
      <c r="E43" s="87">
        <f>'2025年'!E43</f>
        <v>151.05530973451329</v>
      </c>
      <c r="F43" s="87">
        <f>'2025年'!F43</f>
        <v>189.38495575221242</v>
      </c>
      <c r="G43" s="87">
        <f>'2025年'!G43</f>
        <v>189.38495575221242</v>
      </c>
      <c r="H43" s="87">
        <f>'2025年'!H43</f>
        <v>151.05530973451329</v>
      </c>
      <c r="I43" s="87">
        <f>'2025年'!I43</f>
        <v>151.05530973451329</v>
      </c>
      <c r="J43" s="87">
        <f>'2025年'!J43</f>
        <v>84.471238938053105</v>
      </c>
      <c r="K43" s="87">
        <f>'2025年'!K43</f>
        <v>58.261061946902664</v>
      </c>
      <c r="L43" s="87">
        <f>'2025年'!L43</f>
        <v>48.185840707964608</v>
      </c>
      <c r="M43" s="87">
        <f>'2025年'!M43</f>
        <v>48.185840707964608</v>
      </c>
      <c r="N43" s="87">
        <f>'2025年'!N43</f>
        <v>48.185840707964608</v>
      </c>
      <c r="O43" s="87">
        <f>'2025年'!O43</f>
        <v>48.185840707964608</v>
      </c>
      <c r="P43" s="87">
        <f>'2025年'!P43</f>
        <v>48.185840707964608</v>
      </c>
      <c r="Q43" s="87">
        <f>'2025年'!Q43</f>
        <v>189.38495575221242</v>
      </c>
      <c r="R43" s="87">
        <f>'2025年'!R43</f>
        <v>84.32522123893807</v>
      </c>
      <c r="S43" s="87">
        <f>'2025年'!S43</f>
        <v>58.261061946902664</v>
      </c>
      <c r="T43" s="89"/>
      <c r="AT43" s="78" t="s">
        <v>55</v>
      </c>
      <c r="AU43" s="78" t="s">
        <v>115</v>
      </c>
    </row>
    <row r="44" spans="1:47">
      <c r="A44" s="75">
        <v>2</v>
      </c>
      <c r="B44" s="90" t="s">
        <v>116</v>
      </c>
      <c r="C44" s="87">
        <f>'2025年'!C44</f>
        <v>39.483893805309741</v>
      </c>
      <c r="D44" s="87">
        <f>'2025年'!D44</f>
        <v>31.492743362831863</v>
      </c>
      <c r="E44" s="87">
        <f>'2025年'!E44</f>
        <v>31.492743362831863</v>
      </c>
      <c r="F44" s="87">
        <f>'2025年'!F44</f>
        <v>39.483893805309741</v>
      </c>
      <c r="G44" s="87">
        <f>'2025年'!G44</f>
        <v>39.483893805309741</v>
      </c>
      <c r="H44" s="87">
        <f>'2025年'!H44</f>
        <v>31.492743362831863</v>
      </c>
      <c r="I44" s="87">
        <f>'2025年'!I44</f>
        <v>31.492743362831863</v>
      </c>
      <c r="J44" s="87">
        <f>'2025年'!J44</f>
        <v>17.610973451327435</v>
      </c>
      <c r="K44" s="87">
        <f>'2025年'!K44</f>
        <v>12.146548672566372</v>
      </c>
      <c r="L44" s="87">
        <f>'2025年'!L44</f>
        <v>10.046017699115044</v>
      </c>
      <c r="M44" s="87">
        <f>'2025年'!M44</f>
        <v>10.046017699115044</v>
      </c>
      <c r="N44" s="87">
        <f>'2025年'!N44</f>
        <v>10.046017699115044</v>
      </c>
      <c r="O44" s="87">
        <f>'2025年'!O44</f>
        <v>10.046017699115044</v>
      </c>
      <c r="P44" s="87">
        <f>'2025年'!P44</f>
        <v>10.046017699115044</v>
      </c>
      <c r="Q44" s="87">
        <f>'2025年'!Q44</f>
        <v>39.483893805309741</v>
      </c>
      <c r="R44" s="87">
        <f>'2025年'!R44</f>
        <v>17.580530973451332</v>
      </c>
      <c r="S44" s="87">
        <f>'2025年'!S44</f>
        <v>12.146548672566372</v>
      </c>
      <c r="T44" s="89"/>
      <c r="AT44" s="78" t="s">
        <v>57</v>
      </c>
      <c r="AU44" s="78" t="s">
        <v>116</v>
      </c>
    </row>
    <row r="45" spans="1:47">
      <c r="A45" s="75">
        <v>3</v>
      </c>
      <c r="B45" s="90" t="s">
        <v>117</v>
      </c>
      <c r="C45" s="87">
        <f>'2025年'!C45</f>
        <v>60.603185840707972</v>
      </c>
      <c r="D45" s="87">
        <f>'2025年'!D45</f>
        <v>48.337699115044252</v>
      </c>
      <c r="E45" s="87">
        <f>'2025年'!E45</f>
        <v>48.337699115044252</v>
      </c>
      <c r="F45" s="87">
        <f>'2025年'!F45</f>
        <v>60.603185840707972</v>
      </c>
      <c r="G45" s="87">
        <f>'2025年'!G45</f>
        <v>60.603185840707972</v>
      </c>
      <c r="H45" s="87">
        <f>'2025年'!H45</f>
        <v>48.337699115044252</v>
      </c>
      <c r="I45" s="87">
        <f>'2025年'!I45</f>
        <v>48.337699115044252</v>
      </c>
      <c r="J45" s="87">
        <f>'2025年'!J45</f>
        <v>27.030796460176994</v>
      </c>
      <c r="K45" s="87">
        <f>'2025年'!K45</f>
        <v>18.643539823008851</v>
      </c>
      <c r="L45" s="87">
        <f>'2025年'!L45</f>
        <v>15.419469026548672</v>
      </c>
      <c r="M45" s="87">
        <f>'2025年'!M45</f>
        <v>15.419469026548672</v>
      </c>
      <c r="N45" s="87">
        <f>'2025年'!N45</f>
        <v>15.419469026548672</v>
      </c>
      <c r="O45" s="87">
        <f>'2025年'!O45</f>
        <v>15.419469026548672</v>
      </c>
      <c r="P45" s="87">
        <f>'2025年'!P45</f>
        <v>15.419469026548672</v>
      </c>
      <c r="Q45" s="87">
        <f>'2025年'!Q45</f>
        <v>60.603185840707972</v>
      </c>
      <c r="R45" s="87">
        <f>'2025年'!R45</f>
        <v>26.98407079646018</v>
      </c>
      <c r="S45" s="87">
        <f>'2025年'!S45</f>
        <v>18.643539823008851</v>
      </c>
      <c r="T45" s="89"/>
      <c r="AT45" s="78" t="s">
        <v>102</v>
      </c>
      <c r="AU45" s="78" t="s">
        <v>117</v>
      </c>
    </row>
    <row r="46" spans="1:47" s="73" customFormat="1">
      <c r="A46" s="75">
        <v>4</v>
      </c>
      <c r="B46" s="90" t="s">
        <v>118</v>
      </c>
      <c r="C46" s="95">
        <f>C21/C6</f>
        <v>1.2978142076502732</v>
      </c>
      <c r="D46" s="95">
        <f>D21/D6</f>
        <v>1.2978142076502732</v>
      </c>
      <c r="E46" s="95">
        <f t="shared" ref="E46:F46" si="67">E21/E6</f>
        <v>1.2978142076502732</v>
      </c>
      <c r="F46" s="95">
        <f t="shared" si="67"/>
        <v>1.2978142076502732</v>
      </c>
      <c r="G46" s="95">
        <f t="shared" ref="G46:Q46" si="68">G21/G6</f>
        <v>1.2978142076502732</v>
      </c>
      <c r="H46" s="95">
        <f t="shared" si="68"/>
        <v>1.2978142076502732</v>
      </c>
      <c r="I46" s="95">
        <f t="shared" si="68"/>
        <v>1.2978142076502732</v>
      </c>
      <c r="J46" s="95">
        <f t="shared" si="68"/>
        <v>1.2978142076502732</v>
      </c>
      <c r="K46" s="95">
        <f t="shared" si="68"/>
        <v>1.2978142076502732</v>
      </c>
      <c r="L46" s="95">
        <f t="shared" si="68"/>
        <v>1.2978142076502732</v>
      </c>
      <c r="M46" s="95">
        <f t="shared" si="68"/>
        <v>1.2978142076502732</v>
      </c>
      <c r="N46" s="95">
        <f t="shared" si="68"/>
        <v>1.2978142076502732</v>
      </c>
      <c r="O46" s="95">
        <f t="shared" si="68"/>
        <v>1.2978142076502732</v>
      </c>
      <c r="P46" s="95">
        <f t="shared" si="68"/>
        <v>1.2978142076502732</v>
      </c>
      <c r="Q46" s="95">
        <f t="shared" si="68"/>
        <v>1.2978142076502732</v>
      </c>
      <c r="R46" s="95">
        <f t="shared" ref="R46:S46" si="69">R21/R6</f>
        <v>1.2978142076502732</v>
      </c>
      <c r="S46" s="95">
        <f t="shared" si="69"/>
        <v>1.2978142076502732</v>
      </c>
      <c r="T46" s="95"/>
      <c r="AT46" s="90" t="s">
        <v>62</v>
      </c>
      <c r="AU46" s="90" t="s">
        <v>120</v>
      </c>
    </row>
    <row r="47" spans="1:47" s="73" customFormat="1">
      <c r="A47" s="75">
        <v>5</v>
      </c>
      <c r="B47" s="90" t="s">
        <v>120</v>
      </c>
      <c r="C47" s="87">
        <f>'2025年'!C47</f>
        <v>81.492920353982299</v>
      </c>
      <c r="D47" s="87">
        <f>'2025年'!D47</f>
        <v>64.999557522123894</v>
      </c>
      <c r="E47" s="87">
        <f>'2025年'!E47</f>
        <v>64.999557522123894</v>
      </c>
      <c r="F47" s="87">
        <f>'2025年'!F47</f>
        <v>81.492920353982299</v>
      </c>
      <c r="G47" s="87">
        <f>'2025年'!G47</f>
        <v>81.492920353982299</v>
      </c>
      <c r="H47" s="87">
        <f>'2025年'!H47</f>
        <v>64.999557522123894</v>
      </c>
      <c r="I47" s="87">
        <f>'2025年'!I47</f>
        <v>64.999557522123894</v>
      </c>
      <c r="J47" s="87">
        <f>'2025年'!J47</f>
        <v>36.348230088495576</v>
      </c>
      <c r="K47" s="87">
        <f>'2025年'!K47</f>
        <v>25.069911504424777</v>
      </c>
      <c r="L47" s="87">
        <f>'2025年'!L47</f>
        <v>20.734513274336283</v>
      </c>
      <c r="M47" s="87">
        <f>'2025年'!M47</f>
        <v>20.734513274336283</v>
      </c>
      <c r="N47" s="87">
        <f>'2025年'!N47</f>
        <v>20.734513274336283</v>
      </c>
      <c r="O47" s="87">
        <f>'2025年'!O47</f>
        <v>20.734513274336283</v>
      </c>
      <c r="P47" s="87">
        <f>'2025年'!P47</f>
        <v>20.734513274336283</v>
      </c>
      <c r="Q47" s="87">
        <f>'2025年'!Q47</f>
        <v>81.492920353982299</v>
      </c>
      <c r="R47" s="87">
        <f>'2025年'!R47</f>
        <v>36.285398230088497</v>
      </c>
      <c r="S47" s="87">
        <f>'2025年'!S47</f>
        <v>25.069911504424777</v>
      </c>
      <c r="T47" s="95"/>
      <c r="AT47" s="90" t="s">
        <v>62</v>
      </c>
      <c r="AU47" s="90" t="s">
        <v>120</v>
      </c>
    </row>
    <row r="48" spans="1:47">
      <c r="A48" s="78" t="s">
        <v>113</v>
      </c>
      <c r="B48" s="83" t="s">
        <v>131</v>
      </c>
      <c r="C48" s="89">
        <f>C40-C43-C44-C45-C47-C46</f>
        <v>-110.22311095526268</v>
      </c>
      <c r="D48" s="89">
        <f>D40-D43-D44-D45-D47-D46</f>
        <v>-83.183375695119793</v>
      </c>
      <c r="E48" s="89">
        <f t="shared" ref="E48:F48" si="70">E40-E43-E44-E45-E47-E46</f>
        <v>-83.183375695119565</v>
      </c>
      <c r="F48" s="89">
        <f t="shared" si="70"/>
        <v>-110.1948046221676</v>
      </c>
      <c r="G48" s="89">
        <f t="shared" ref="G48:Q48" si="71">G40-G43-G44-G45-G47-G46</f>
        <v>-110.1948046221676</v>
      </c>
      <c r="H48" s="89">
        <f t="shared" si="71"/>
        <v>-83.155069362024477</v>
      </c>
      <c r="I48" s="89">
        <f t="shared" si="71"/>
        <v>-83.155069362024477</v>
      </c>
      <c r="J48" s="89">
        <f t="shared" si="71"/>
        <v>-154.63079302087777</v>
      </c>
      <c r="K48" s="89">
        <f t="shared" si="71"/>
        <v>-155.76697713384505</v>
      </c>
      <c r="L48" s="89">
        <f t="shared" si="71"/>
        <v>-72.137702112965542</v>
      </c>
      <c r="M48" s="89">
        <f t="shared" si="71"/>
        <v>-72.137702112965428</v>
      </c>
      <c r="N48" s="89">
        <f t="shared" si="71"/>
        <v>-72.636598697965439</v>
      </c>
      <c r="O48" s="89">
        <f t="shared" si="71"/>
        <v>-71.29352763051196</v>
      </c>
      <c r="P48" s="89">
        <f t="shared" si="71"/>
        <v>-70.794631045512006</v>
      </c>
      <c r="Q48" s="89">
        <f t="shared" si="71"/>
        <v>-110.22311095526268</v>
      </c>
      <c r="R48" s="89">
        <f t="shared" ref="R48:S48" si="72">R40-R43-R44-R45-R47-R46</f>
        <v>-155.62725319786898</v>
      </c>
      <c r="S48" s="89">
        <f t="shared" si="72"/>
        <v>-155.26808054884503</v>
      </c>
      <c r="T48" s="89"/>
      <c r="AT48" s="78" t="s">
        <v>130</v>
      </c>
      <c r="AU48" s="83" t="s">
        <v>131</v>
      </c>
    </row>
    <row r="51" spans="2:25"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</row>
    <row r="54" spans="2:25">
      <c r="B54" s="2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2"/>
      <c r="V54" s="2"/>
      <c r="W54" s="2"/>
      <c r="X54" s="2"/>
      <c r="Y54" s="2"/>
    </row>
    <row r="55" spans="2:25">
      <c r="B55" s="2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2"/>
      <c r="V55" s="2"/>
      <c r="W55" s="2"/>
      <c r="X55" s="2"/>
      <c r="Y55" s="2"/>
    </row>
    <row r="56" spans="2:25">
      <c r="B56" s="2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2"/>
      <c r="V56" s="2"/>
      <c r="W56" s="2"/>
      <c r="X56" s="2"/>
      <c r="Y56" s="2"/>
    </row>
    <row r="57" spans="2:25">
      <c r="B57" s="2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2"/>
      <c r="V57" s="2"/>
      <c r="W57" s="2"/>
      <c r="X57" s="2"/>
      <c r="Y57" s="2"/>
    </row>
    <row r="58" spans="2:25">
      <c r="B58" s="2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2"/>
      <c r="V58" s="2"/>
      <c r="W58" s="2"/>
      <c r="X58" s="2"/>
      <c r="Y58" s="2"/>
    </row>
    <row r="59" spans="2:25">
      <c r="B59" s="2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2"/>
      <c r="V59" s="2"/>
      <c r="W59" s="2"/>
      <c r="X59" s="2"/>
      <c r="Y59" s="2"/>
    </row>
    <row r="60" spans="2:25">
      <c r="B60" s="2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2"/>
      <c r="V60" s="2"/>
      <c r="W60" s="2"/>
      <c r="X60" s="2"/>
      <c r="Y60" s="2"/>
    </row>
    <row r="61" spans="2:25">
      <c r="B61" s="2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2"/>
      <c r="V61" s="2"/>
      <c r="W61" s="2"/>
      <c r="X61" s="2"/>
      <c r="Y61" s="2"/>
    </row>
    <row r="62" spans="2:25">
      <c r="B62" s="2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2"/>
      <c r="V62" s="2"/>
      <c r="W62" s="2"/>
      <c r="X62" s="2"/>
      <c r="Y62" s="2"/>
    </row>
    <row r="63" spans="2:25">
      <c r="B63" s="2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2"/>
      <c r="V63" s="2"/>
      <c r="W63" s="2"/>
      <c r="X63" s="2"/>
      <c r="Y63" s="2"/>
    </row>
    <row r="64" spans="2:25">
      <c r="B64" s="2"/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2"/>
      <c r="V64" s="2"/>
      <c r="W64" s="2"/>
      <c r="X64" s="2"/>
      <c r="Y64" s="2"/>
    </row>
    <row r="65" spans="2:25">
      <c r="B65" s="2"/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2"/>
      <c r="V65" s="2"/>
      <c r="W65" s="2"/>
      <c r="X65" s="2"/>
      <c r="Y65" s="2"/>
    </row>
    <row r="66" spans="2:25">
      <c r="B66" s="2"/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2"/>
      <c r="V66" s="2"/>
      <c r="W66" s="2"/>
      <c r="X66" s="2"/>
      <c r="Y66" s="2"/>
    </row>
    <row r="67" spans="2:25">
      <c r="B67" s="2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2"/>
    </row>
    <row r="68" spans="2:25">
      <c r="B68" s="2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2"/>
    </row>
    <row r="69" spans="2:25">
      <c r="B69" s="2"/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2"/>
    </row>
    <row r="70" spans="2:25">
      <c r="B70" s="2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2"/>
    </row>
    <row r="71" spans="2:25">
      <c r="B71" s="2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2"/>
    </row>
    <row r="72" spans="2:25">
      <c r="B72" s="2"/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2"/>
    </row>
    <row r="73" spans="2:25">
      <c r="B73" s="2"/>
      <c r="C73" s="97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2"/>
    </row>
    <row r="74" spans="2:25">
      <c r="B74" s="2"/>
      <c r="C74" s="97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2"/>
    </row>
  </sheetData>
  <mergeCells count="8">
    <mergeCell ref="A4:B4"/>
    <mergeCell ref="A5:B5"/>
    <mergeCell ref="T3:T5"/>
    <mergeCell ref="A1:B1"/>
    <mergeCell ref="C1:T1"/>
    <mergeCell ref="A2:B2"/>
    <mergeCell ref="C2:T2"/>
    <mergeCell ref="A3:B3"/>
  </mergeCells>
  <phoneticPr fontId="45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4"/>
  <sheetViews>
    <sheetView zoomScale="85" zoomScaleNormal="85" workbookViewId="0">
      <pane xSplit="2" ySplit="7" topLeftCell="L26" activePane="bottomRight" state="frozen"/>
      <selection pane="topRight"/>
      <selection pane="bottomLeft"/>
      <selection pane="bottomRight" activeCell="O50" sqref="O50"/>
    </sheetView>
  </sheetViews>
  <sheetFormatPr defaultColWidth="9" defaultRowHeight="16.5"/>
  <cols>
    <col min="1" max="1" width="5.125" style="71" customWidth="1"/>
    <col min="2" max="2" width="17.5" style="71" customWidth="1"/>
    <col min="3" max="19" width="14.375" style="74" customWidth="1"/>
    <col min="20" max="20" width="18.75" style="74" customWidth="1"/>
    <col min="21" max="21" width="12.375" style="71" customWidth="1"/>
    <col min="22" max="22" width="10.125" style="71" customWidth="1"/>
    <col min="23" max="29" width="9" style="71" customWidth="1"/>
    <col min="30" max="45" width="9" style="71"/>
    <col min="46" max="46" width="4.375" style="71" customWidth="1"/>
    <col min="47" max="47" width="13.875" style="71" customWidth="1"/>
    <col min="48" max="16384" width="9" style="71"/>
  </cols>
  <sheetData>
    <row r="1" spans="1:48">
      <c r="A1" s="223" t="s">
        <v>141</v>
      </c>
      <c r="B1" s="223"/>
      <c r="C1" s="227" t="s">
        <v>261</v>
      </c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9"/>
    </row>
    <row r="2" spans="1:48">
      <c r="A2" s="223" t="s">
        <v>142</v>
      </c>
      <c r="B2" s="223"/>
      <c r="C2" s="230" t="str">
        <f>'2025年'!$C$2</f>
        <v>北汽福田戴姆勒</v>
      </c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</row>
    <row r="3" spans="1:48">
      <c r="A3" s="223" t="s">
        <v>143</v>
      </c>
      <c r="B3" s="223"/>
      <c r="C3" s="76" t="str">
        <f>'2025年'!C3</f>
        <v>A668100000203</v>
      </c>
      <c r="D3" s="76" t="str">
        <f>'2025年'!D3</f>
        <v>A668100000205</v>
      </c>
      <c r="E3" s="76" t="str">
        <f>'2025年'!E3</f>
        <v>A668100000206</v>
      </c>
      <c r="F3" s="76" t="str">
        <f>'2025年'!F3</f>
        <v>A668100000207</v>
      </c>
      <c r="G3" s="76" t="str">
        <f>'2025年'!G3</f>
        <v>A668100000208</v>
      </c>
      <c r="H3" s="76" t="str">
        <f>'2025年'!H3</f>
        <v>A668100000209</v>
      </c>
      <c r="I3" s="76" t="str">
        <f>'2025年'!I3</f>
        <v>A668100000210</v>
      </c>
      <c r="J3" s="76" t="str">
        <f>'2025年'!J3</f>
        <v>A668100000216</v>
      </c>
      <c r="K3" s="76" t="str">
        <f>'2025年'!K3</f>
        <v>A668100000218</v>
      </c>
      <c r="L3" s="76" t="str">
        <f>'2025年'!L3</f>
        <v>A668100000219</v>
      </c>
      <c r="M3" s="76" t="str">
        <f>'2025年'!M3</f>
        <v>A668100000220</v>
      </c>
      <c r="N3" s="76" t="str">
        <f>'2025年'!N3</f>
        <v>A668100000221</v>
      </c>
      <c r="O3" s="76" t="str">
        <f>'2025年'!O3</f>
        <v>A668100000222</v>
      </c>
      <c r="P3" s="76" t="str">
        <f>'2025年'!P3</f>
        <v>A668100000223</v>
      </c>
      <c r="Q3" s="76" t="str">
        <f>'2025年'!Q3</f>
        <v>A668100000204</v>
      </c>
      <c r="R3" s="76" t="str">
        <f>'2025年'!R3</f>
        <v>A668100000215</v>
      </c>
      <c r="S3" s="76" t="str">
        <f>'2025年'!S3</f>
        <v>A668100000217</v>
      </c>
      <c r="T3" s="224" t="s">
        <v>51</v>
      </c>
    </row>
    <row r="4" spans="1:48">
      <c r="A4" s="223" t="s">
        <v>144</v>
      </c>
      <c r="B4" s="223"/>
      <c r="C4" s="76" t="str">
        <f>'2025年'!C4</f>
        <v>驾驶员座椅总成</v>
      </c>
      <c r="D4" s="76" t="str">
        <f>'2025年'!D4</f>
        <v>驾驶员座椅总成</v>
      </c>
      <c r="E4" s="76" t="str">
        <f>'2025年'!E4</f>
        <v>驾驶员座椅总成</v>
      </c>
      <c r="F4" s="76" t="str">
        <f>'2025年'!F4</f>
        <v>驾驶员座椅总成</v>
      </c>
      <c r="G4" s="76" t="str">
        <f>'2025年'!G4</f>
        <v>驾驶员座椅总成</v>
      </c>
      <c r="H4" s="76" t="str">
        <f>'2025年'!H4</f>
        <v>驾驶员座椅总成</v>
      </c>
      <c r="I4" s="76" t="str">
        <f>'2025年'!I4</f>
        <v>驾驶员座椅总成</v>
      </c>
      <c r="J4" s="76" t="str">
        <f>'2025年'!J4</f>
        <v>副驾驶员座椅总成</v>
      </c>
      <c r="K4" s="76" t="str">
        <f>'2025年'!K4</f>
        <v>副驾驶员座椅总成</v>
      </c>
      <c r="L4" s="76" t="str">
        <f>'2025年'!L4</f>
        <v>副驾驶员座椅总成</v>
      </c>
      <c r="M4" s="76" t="str">
        <f>'2025年'!M4</f>
        <v>副驾驶员座椅总成</v>
      </c>
      <c r="N4" s="76" t="str">
        <f>'2025年'!N4</f>
        <v>副驾驶员座椅总成</v>
      </c>
      <c r="O4" s="76" t="str">
        <f>'2025年'!O4</f>
        <v>副驾驶员座椅总成</v>
      </c>
      <c r="P4" s="76" t="str">
        <f>'2025年'!P4</f>
        <v>副驾驶员座椅总成</v>
      </c>
      <c r="Q4" s="76" t="str">
        <f>'2025年'!Q4</f>
        <v>驾驶员座椅总成</v>
      </c>
      <c r="R4" s="76" t="str">
        <f>'2025年'!R4</f>
        <v>副驾驶员座椅总成</v>
      </c>
      <c r="S4" s="76" t="str">
        <f>'2025年'!S4</f>
        <v>副驾驶员座椅总成</v>
      </c>
      <c r="T4" s="225"/>
    </row>
    <row r="5" spans="1:48" ht="57">
      <c r="A5" s="223" t="s">
        <v>145</v>
      </c>
      <c r="B5" s="223"/>
      <c r="C5" s="77" t="str">
        <f>'2025年'!C5</f>
        <v>在A668100000010基础上去除头枕部位的福田模压LOGO</v>
      </c>
      <c r="D5" s="77" t="str">
        <f>'2025年'!D5</f>
        <v>在A668100000108基础上去除头枕部位的福田模压LOGO</v>
      </c>
      <c r="E5" s="77" t="str">
        <f>'2025年'!E5</f>
        <v>在A668100000004基础上去除头枕部位的福田模压LOGO</v>
      </c>
      <c r="F5" s="77" t="str">
        <f>'2025年'!F5</f>
        <v>在A668100000023基础上去除头枕部位的福田模压LOGO</v>
      </c>
      <c r="G5" s="77" t="str">
        <f>'2025年'!G5</f>
        <v>在A668100000099基础上去除头枕部位的福田模压LOGO</v>
      </c>
      <c r="H5" s="77" t="str">
        <f>'2025年'!H5</f>
        <v>在A668100000101基础上去除头枕部位的福田模压LOGO</v>
      </c>
      <c r="I5" s="77" t="str">
        <f>'2025年'!I5</f>
        <v>在A668100000026基础上去除头枕部位的福田模压LOGO</v>
      </c>
      <c r="J5" s="77" t="str">
        <f>'2025年'!J5</f>
        <v>在A668100000158基础上去除头枕部位的福田模压LOGO； 有安全带未系提醒</v>
      </c>
      <c r="K5" s="77" t="str">
        <f>'2025年'!K5</f>
        <v>在A668100000011基础上去除头枕部位的福田模压LOGO； 有安全带未系提醒</v>
      </c>
      <c r="L5" s="77" t="str">
        <f>'2025年'!L5</f>
        <v>在A668100000006基础上去除头枕部位的福田模压LOGO； 有安全带未系提醒</v>
      </c>
      <c r="M5" s="77" t="str">
        <f>'2025年'!M5</f>
        <v>在A668100000112基础上去除头枕部位的福田模压LOGO； 有安全带未系提醒</v>
      </c>
      <c r="N5" s="77" t="str">
        <f>'2025年'!N5</f>
        <v>在A668100000110基础上去除头枕部位的福田模压LOGO； 有安全带未系提醒</v>
      </c>
      <c r="O5" s="77" t="str">
        <f>'2025年'!O5</f>
        <v>在A668100000100基础上去除头枕部位的福田模压LOGO； 有安全带未系提醒</v>
      </c>
      <c r="P5" s="77" t="str">
        <f>'2025年'!P5</f>
        <v>在A668100000025基础上去除头枕部位的福田模压LOGO； 有安全带未系提醒</v>
      </c>
      <c r="Q5" s="77" t="str">
        <f>'2025年'!Q5</f>
        <v>在A668100000107基础上去除头枕部位的福田模压LOGO</v>
      </c>
      <c r="R5" s="77" t="str">
        <f>'2025年'!R5</f>
        <v>在A668100000154基础上去除头枕部位的福田模压LOGO； 有安全带未系提醒</v>
      </c>
      <c r="S5" s="77" t="str">
        <f>'2025年'!S5</f>
        <v>在A668100000109基础上去除头枕部位的福田模压LOGO； 有安全带未系提醒</v>
      </c>
      <c r="T5" s="226"/>
      <c r="AV5" s="71" t="s">
        <v>52</v>
      </c>
    </row>
    <row r="6" spans="1:48" ht="17.25">
      <c r="A6" s="78" t="s">
        <v>18</v>
      </c>
      <c r="B6" s="79" t="s">
        <v>146</v>
      </c>
      <c r="C6" s="98">
        <f>销量!C12</f>
        <v>0</v>
      </c>
      <c r="D6" s="98">
        <f>销量!D12</f>
        <v>0</v>
      </c>
      <c r="E6" s="98">
        <f>销量!E12</f>
        <v>0</v>
      </c>
      <c r="F6" s="98">
        <f>销量!F12</f>
        <v>0</v>
      </c>
      <c r="G6" s="98">
        <f>销量!G12</f>
        <v>0</v>
      </c>
      <c r="H6" s="98">
        <f>销量!H12</f>
        <v>0</v>
      </c>
      <c r="I6" s="98">
        <f>销量!I12</f>
        <v>0</v>
      </c>
      <c r="J6" s="98">
        <f>销量!J12</f>
        <v>0</v>
      </c>
      <c r="K6" s="98">
        <f>销量!K12</f>
        <v>0</v>
      </c>
      <c r="L6" s="98">
        <f>销量!L12</f>
        <v>0</v>
      </c>
      <c r="M6" s="98">
        <f>销量!M12</f>
        <v>0</v>
      </c>
      <c r="N6" s="98">
        <f>销量!N12</f>
        <v>0</v>
      </c>
      <c r="O6" s="98">
        <f>销量!O12</f>
        <v>0</v>
      </c>
      <c r="P6" s="98">
        <f>销量!P12</f>
        <v>0</v>
      </c>
      <c r="Q6" s="98">
        <f>销量!Q12</f>
        <v>0</v>
      </c>
      <c r="R6" s="98">
        <f>销量!R12</f>
        <v>0</v>
      </c>
      <c r="S6" s="98">
        <f>销量!S12</f>
        <v>0</v>
      </c>
      <c r="T6" s="81">
        <f>+SUM(C6:S6)</f>
        <v>0</v>
      </c>
      <c r="AT6" s="78" t="s">
        <v>18</v>
      </c>
      <c r="AU6" s="79" t="s">
        <v>3</v>
      </c>
      <c r="AV6" s="71" t="s">
        <v>53</v>
      </c>
    </row>
    <row r="7" spans="1:48">
      <c r="A7" s="75">
        <v>1</v>
      </c>
      <c r="B7" s="79" t="s">
        <v>54</v>
      </c>
      <c r="C7" s="81">
        <f>C6*销量!C8</f>
        <v>0</v>
      </c>
      <c r="D7" s="81">
        <f>D6*销量!D8</f>
        <v>0</v>
      </c>
      <c r="E7" s="81">
        <f>E6*销量!E8</f>
        <v>0</v>
      </c>
      <c r="F7" s="81">
        <f>F6*销量!F8</f>
        <v>0</v>
      </c>
      <c r="G7" s="81">
        <f>G6*销量!G8</f>
        <v>0</v>
      </c>
      <c r="H7" s="81">
        <f>H6*销量!H8</f>
        <v>0</v>
      </c>
      <c r="I7" s="81">
        <f>I6*销量!I8</f>
        <v>0</v>
      </c>
      <c r="J7" s="81">
        <f>J6*销量!J8</f>
        <v>0</v>
      </c>
      <c r="K7" s="81">
        <f>K6*销量!K8</f>
        <v>0</v>
      </c>
      <c r="L7" s="81">
        <f>L6*销量!L8</f>
        <v>0</v>
      </c>
      <c r="M7" s="81">
        <f>M6*销量!M8</f>
        <v>0</v>
      </c>
      <c r="N7" s="81">
        <f>N6*销量!N8</f>
        <v>0</v>
      </c>
      <c r="O7" s="81">
        <f>O6*销量!O8</f>
        <v>0</v>
      </c>
      <c r="P7" s="81">
        <f>P6*销量!P8</f>
        <v>0</v>
      </c>
      <c r="Q7" s="81">
        <f>Q6*销量!Q8</f>
        <v>0</v>
      </c>
      <c r="R7" s="81">
        <f>R6*销量!R8</f>
        <v>0</v>
      </c>
      <c r="S7" s="81">
        <f>S6*销量!S8</f>
        <v>0</v>
      </c>
      <c r="T7" s="81">
        <f t="shared" ref="T7:T13" si="0">+SUM(C7:S7)</f>
        <v>0</v>
      </c>
      <c r="U7" s="74"/>
      <c r="AT7" s="78" t="s">
        <v>55</v>
      </c>
      <c r="AU7" s="79" t="s">
        <v>54</v>
      </c>
      <c r="AV7" s="71" t="s">
        <v>53</v>
      </c>
    </row>
    <row r="8" spans="1:48">
      <c r="A8" s="75">
        <v>2</v>
      </c>
      <c r="B8" s="75" t="s">
        <v>56</v>
      </c>
      <c r="C8" s="81">
        <f>C7*(1-销量!$W$9)</f>
        <v>0</v>
      </c>
      <c r="D8" s="81">
        <f>D7*(1-销量!$W$9)</f>
        <v>0</v>
      </c>
      <c r="E8" s="81">
        <f>E7*(1-销量!$W$9)</f>
        <v>0</v>
      </c>
      <c r="F8" s="81">
        <f>F7*(1-销量!$W$9)</f>
        <v>0</v>
      </c>
      <c r="G8" s="81">
        <f>G7*(1-销量!$W$9)</f>
        <v>0</v>
      </c>
      <c r="H8" s="81">
        <f>H7*(1-销量!$W$9)</f>
        <v>0</v>
      </c>
      <c r="I8" s="81">
        <f>I7*(1-销量!$W$9)</f>
        <v>0</v>
      </c>
      <c r="J8" s="81">
        <f>J7*(1-销量!$W$9)</f>
        <v>0</v>
      </c>
      <c r="K8" s="81">
        <f>K7*(1-销量!$W$9)</f>
        <v>0</v>
      </c>
      <c r="L8" s="81">
        <f>L7*(1-销量!$W$9)</f>
        <v>0</v>
      </c>
      <c r="M8" s="81">
        <f>M7*(1-销量!$W$9)</f>
        <v>0</v>
      </c>
      <c r="N8" s="81">
        <f>N7*(1-销量!$W$9)</f>
        <v>0</v>
      </c>
      <c r="O8" s="81">
        <f>O7*(1-销量!$W$9)</f>
        <v>0</v>
      </c>
      <c r="P8" s="81">
        <f>P7*(1-销量!$W$9)</f>
        <v>0</v>
      </c>
      <c r="Q8" s="81">
        <f>Q7*(1-销量!$W$9)</f>
        <v>0</v>
      </c>
      <c r="R8" s="81">
        <f>R7*(1-销量!$W$9)</f>
        <v>0</v>
      </c>
      <c r="S8" s="81">
        <f>S7*(1-销量!$W$9)</f>
        <v>0</v>
      </c>
      <c r="T8" s="81">
        <f t="shared" si="0"/>
        <v>0</v>
      </c>
      <c r="U8" s="82"/>
      <c r="AT8" s="78" t="s">
        <v>57</v>
      </c>
      <c r="AU8" s="75" t="s">
        <v>58</v>
      </c>
      <c r="AV8" s="71" t="s">
        <v>53</v>
      </c>
    </row>
    <row r="9" spans="1:48">
      <c r="A9" s="75">
        <v>3</v>
      </c>
      <c r="B9" s="79" t="s">
        <v>59</v>
      </c>
      <c r="C9" s="81">
        <f>+C7-C8</f>
        <v>0</v>
      </c>
      <c r="D9" s="81">
        <f>+D7-D8</f>
        <v>0</v>
      </c>
      <c r="E9" s="81">
        <f t="shared" ref="E9:T9" si="1">+E7-E8</f>
        <v>0</v>
      </c>
      <c r="F9" s="81">
        <f t="shared" si="1"/>
        <v>0</v>
      </c>
      <c r="G9" s="81">
        <f t="shared" ref="G9:Q9" si="2">+G7-G8</f>
        <v>0</v>
      </c>
      <c r="H9" s="81">
        <f t="shared" si="2"/>
        <v>0</v>
      </c>
      <c r="I9" s="81">
        <f t="shared" si="2"/>
        <v>0</v>
      </c>
      <c r="J9" s="81">
        <f t="shared" si="2"/>
        <v>0</v>
      </c>
      <c r="K9" s="81">
        <f t="shared" si="2"/>
        <v>0</v>
      </c>
      <c r="L9" s="81">
        <f t="shared" si="2"/>
        <v>0</v>
      </c>
      <c r="M9" s="81">
        <f t="shared" si="2"/>
        <v>0</v>
      </c>
      <c r="N9" s="81">
        <f t="shared" si="2"/>
        <v>0</v>
      </c>
      <c r="O9" s="81">
        <f t="shared" si="2"/>
        <v>0</v>
      </c>
      <c r="P9" s="81">
        <f t="shared" si="2"/>
        <v>0</v>
      </c>
      <c r="Q9" s="81">
        <f t="shared" si="2"/>
        <v>0</v>
      </c>
      <c r="R9" s="81">
        <f t="shared" ref="R9:S9" si="3">+R7-R8</f>
        <v>0</v>
      </c>
      <c r="S9" s="81">
        <f t="shared" si="3"/>
        <v>0</v>
      </c>
      <c r="T9" s="81">
        <f t="shared" si="1"/>
        <v>0</v>
      </c>
      <c r="AT9" s="78" t="s">
        <v>60</v>
      </c>
      <c r="AU9" s="79" t="s">
        <v>59</v>
      </c>
      <c r="AV9" s="71" t="s">
        <v>61</v>
      </c>
    </row>
    <row r="10" spans="1:48">
      <c r="A10" s="75">
        <v>4</v>
      </c>
      <c r="B10" s="78" t="s">
        <v>63</v>
      </c>
      <c r="C10" s="81">
        <f>C6*C33</f>
        <v>0</v>
      </c>
      <c r="D10" s="81">
        <f>D6*D33</f>
        <v>0</v>
      </c>
      <c r="E10" s="81">
        <f t="shared" ref="E10:F10" si="4">E6*E33</f>
        <v>0</v>
      </c>
      <c r="F10" s="81">
        <f t="shared" si="4"/>
        <v>0</v>
      </c>
      <c r="G10" s="81">
        <f t="shared" ref="G10:Q10" si="5">G6*G33</f>
        <v>0</v>
      </c>
      <c r="H10" s="81">
        <f t="shared" si="5"/>
        <v>0</v>
      </c>
      <c r="I10" s="81">
        <f t="shared" si="5"/>
        <v>0</v>
      </c>
      <c r="J10" s="81">
        <f t="shared" si="5"/>
        <v>0</v>
      </c>
      <c r="K10" s="81">
        <f t="shared" si="5"/>
        <v>0</v>
      </c>
      <c r="L10" s="81">
        <f t="shared" si="5"/>
        <v>0</v>
      </c>
      <c r="M10" s="81">
        <f t="shared" si="5"/>
        <v>0</v>
      </c>
      <c r="N10" s="81">
        <f t="shared" si="5"/>
        <v>0</v>
      </c>
      <c r="O10" s="81">
        <f t="shared" si="5"/>
        <v>0</v>
      </c>
      <c r="P10" s="81">
        <f t="shared" si="5"/>
        <v>0</v>
      </c>
      <c r="Q10" s="81">
        <f t="shared" si="5"/>
        <v>0</v>
      </c>
      <c r="R10" s="81">
        <f t="shared" ref="R10:S10" si="6">R6*R33</f>
        <v>0</v>
      </c>
      <c r="S10" s="81">
        <f t="shared" si="6"/>
        <v>0</v>
      </c>
      <c r="T10" s="81">
        <f t="shared" si="0"/>
        <v>0</v>
      </c>
      <c r="AT10" s="78" t="s">
        <v>62</v>
      </c>
      <c r="AU10" s="78" t="s">
        <v>63</v>
      </c>
      <c r="AV10" s="71" t="s">
        <v>64</v>
      </c>
    </row>
    <row r="11" spans="1:48">
      <c r="A11" s="75">
        <v>5</v>
      </c>
      <c r="B11" s="78" t="s">
        <v>65</v>
      </c>
      <c r="C11" s="81">
        <f>+C6*C36</f>
        <v>0</v>
      </c>
      <c r="D11" s="81">
        <f>+D6*D36</f>
        <v>0</v>
      </c>
      <c r="E11" s="81">
        <f t="shared" ref="E11:F11" si="7">+E6*E36</f>
        <v>0</v>
      </c>
      <c r="F11" s="81">
        <f t="shared" si="7"/>
        <v>0</v>
      </c>
      <c r="G11" s="81">
        <f t="shared" ref="G11:Q11" si="8">+G6*G36</f>
        <v>0</v>
      </c>
      <c r="H11" s="81">
        <f t="shared" si="8"/>
        <v>0</v>
      </c>
      <c r="I11" s="81">
        <f t="shared" si="8"/>
        <v>0</v>
      </c>
      <c r="J11" s="81">
        <f t="shared" si="8"/>
        <v>0</v>
      </c>
      <c r="K11" s="81">
        <f t="shared" si="8"/>
        <v>0</v>
      </c>
      <c r="L11" s="81">
        <f t="shared" si="8"/>
        <v>0</v>
      </c>
      <c r="M11" s="81">
        <f t="shared" si="8"/>
        <v>0</v>
      </c>
      <c r="N11" s="81">
        <f t="shared" si="8"/>
        <v>0</v>
      </c>
      <c r="O11" s="81">
        <f t="shared" si="8"/>
        <v>0</v>
      </c>
      <c r="P11" s="81">
        <f t="shared" si="8"/>
        <v>0</v>
      </c>
      <c r="Q11" s="81">
        <f t="shared" si="8"/>
        <v>0</v>
      </c>
      <c r="R11" s="81">
        <f t="shared" ref="R11:S11" si="9">+R6*R36</f>
        <v>0</v>
      </c>
      <c r="S11" s="81">
        <f t="shared" si="9"/>
        <v>0</v>
      </c>
      <c r="T11" s="81">
        <f t="shared" si="0"/>
        <v>0</v>
      </c>
      <c r="AT11" s="78" t="s">
        <v>66</v>
      </c>
      <c r="AU11" s="78" t="s">
        <v>65</v>
      </c>
    </row>
    <row r="12" spans="1:48">
      <c r="A12" s="75">
        <v>6</v>
      </c>
      <c r="B12" s="78" t="s">
        <v>67</v>
      </c>
      <c r="C12" s="81">
        <f>+C6*C37</f>
        <v>0</v>
      </c>
      <c r="D12" s="81">
        <f>+D6*D37</f>
        <v>0</v>
      </c>
      <c r="E12" s="81">
        <f t="shared" ref="E12:F12" si="10">+E6*E37</f>
        <v>0</v>
      </c>
      <c r="F12" s="81">
        <f t="shared" si="10"/>
        <v>0</v>
      </c>
      <c r="G12" s="81">
        <f t="shared" ref="G12:Q12" si="11">+G6*G37</f>
        <v>0</v>
      </c>
      <c r="H12" s="81">
        <f t="shared" si="11"/>
        <v>0</v>
      </c>
      <c r="I12" s="81">
        <f t="shared" si="11"/>
        <v>0</v>
      </c>
      <c r="J12" s="81">
        <f t="shared" si="11"/>
        <v>0</v>
      </c>
      <c r="K12" s="81">
        <f t="shared" si="11"/>
        <v>0</v>
      </c>
      <c r="L12" s="81">
        <f t="shared" si="11"/>
        <v>0</v>
      </c>
      <c r="M12" s="81">
        <f t="shared" si="11"/>
        <v>0</v>
      </c>
      <c r="N12" s="81">
        <f t="shared" si="11"/>
        <v>0</v>
      </c>
      <c r="O12" s="81">
        <f t="shared" si="11"/>
        <v>0</v>
      </c>
      <c r="P12" s="81">
        <f t="shared" si="11"/>
        <v>0</v>
      </c>
      <c r="Q12" s="81">
        <f t="shared" si="11"/>
        <v>0</v>
      </c>
      <c r="R12" s="81">
        <f t="shared" ref="R12:S12" si="12">+R6*R37</f>
        <v>0</v>
      </c>
      <c r="S12" s="81">
        <f t="shared" si="12"/>
        <v>0</v>
      </c>
      <c r="T12" s="81">
        <f t="shared" si="0"/>
        <v>0</v>
      </c>
      <c r="AT12" s="78" t="s">
        <v>68</v>
      </c>
      <c r="AU12" s="78" t="s">
        <v>67</v>
      </c>
    </row>
    <row r="13" spans="1:48">
      <c r="A13" s="75">
        <v>7</v>
      </c>
      <c r="B13" s="78" t="s">
        <v>69</v>
      </c>
      <c r="C13" s="81">
        <f>+C6*C38</f>
        <v>0</v>
      </c>
      <c r="D13" s="81">
        <f>+D6*D38</f>
        <v>0</v>
      </c>
      <c r="E13" s="81">
        <f t="shared" ref="E13:F13" si="13">+E6*E38</f>
        <v>0</v>
      </c>
      <c r="F13" s="81">
        <f t="shared" si="13"/>
        <v>0</v>
      </c>
      <c r="G13" s="81">
        <f t="shared" ref="G13:Q13" si="14">+G6*G38</f>
        <v>0</v>
      </c>
      <c r="H13" s="81">
        <f t="shared" si="14"/>
        <v>0</v>
      </c>
      <c r="I13" s="81">
        <f t="shared" si="14"/>
        <v>0</v>
      </c>
      <c r="J13" s="81">
        <f t="shared" si="14"/>
        <v>0</v>
      </c>
      <c r="K13" s="81">
        <f t="shared" si="14"/>
        <v>0</v>
      </c>
      <c r="L13" s="81">
        <f t="shared" si="14"/>
        <v>0</v>
      </c>
      <c r="M13" s="81">
        <f t="shared" si="14"/>
        <v>0</v>
      </c>
      <c r="N13" s="81">
        <f t="shared" si="14"/>
        <v>0</v>
      </c>
      <c r="O13" s="81">
        <f t="shared" si="14"/>
        <v>0</v>
      </c>
      <c r="P13" s="81">
        <f t="shared" si="14"/>
        <v>0</v>
      </c>
      <c r="Q13" s="81">
        <f t="shared" si="14"/>
        <v>0</v>
      </c>
      <c r="R13" s="81">
        <f t="shared" ref="R13:S13" si="15">+R6*R38</f>
        <v>0</v>
      </c>
      <c r="S13" s="81">
        <f t="shared" si="15"/>
        <v>0</v>
      </c>
      <c r="T13" s="81">
        <f t="shared" si="0"/>
        <v>0</v>
      </c>
      <c r="AT13" s="78" t="s">
        <v>70</v>
      </c>
      <c r="AU13" s="78" t="s">
        <v>69</v>
      </c>
      <c r="AV13" s="71" t="s">
        <v>53</v>
      </c>
    </row>
    <row r="14" spans="1:48">
      <c r="A14" s="75">
        <v>8</v>
      </c>
      <c r="B14" s="83" t="s">
        <v>71</v>
      </c>
      <c r="C14" s="81">
        <f>SUM(C11:C13)</f>
        <v>0</v>
      </c>
      <c r="D14" s="81">
        <f>SUM(D11:D13)</f>
        <v>0</v>
      </c>
      <c r="E14" s="81">
        <f t="shared" ref="E14:T14" si="16">SUM(E11:E13)</f>
        <v>0</v>
      </c>
      <c r="F14" s="81">
        <f t="shared" si="16"/>
        <v>0</v>
      </c>
      <c r="G14" s="81">
        <f t="shared" ref="G14:Q14" si="17">SUM(G11:G13)</f>
        <v>0</v>
      </c>
      <c r="H14" s="81">
        <f t="shared" si="17"/>
        <v>0</v>
      </c>
      <c r="I14" s="81">
        <f t="shared" si="17"/>
        <v>0</v>
      </c>
      <c r="J14" s="81">
        <f t="shared" si="17"/>
        <v>0</v>
      </c>
      <c r="K14" s="81">
        <f t="shared" si="17"/>
        <v>0</v>
      </c>
      <c r="L14" s="81">
        <f t="shared" si="17"/>
        <v>0</v>
      </c>
      <c r="M14" s="81">
        <f t="shared" si="17"/>
        <v>0</v>
      </c>
      <c r="N14" s="81">
        <f t="shared" si="17"/>
        <v>0</v>
      </c>
      <c r="O14" s="81">
        <f t="shared" si="17"/>
        <v>0</v>
      </c>
      <c r="P14" s="81">
        <f t="shared" si="17"/>
        <v>0</v>
      </c>
      <c r="Q14" s="81">
        <f t="shared" si="17"/>
        <v>0</v>
      </c>
      <c r="R14" s="81">
        <f t="shared" ref="R14:S14" si="18">SUM(R11:R13)</f>
        <v>0</v>
      </c>
      <c r="S14" s="81">
        <f t="shared" si="18"/>
        <v>0</v>
      </c>
      <c r="T14" s="81">
        <f t="shared" si="16"/>
        <v>0</v>
      </c>
      <c r="AT14" s="78" t="s">
        <v>72</v>
      </c>
      <c r="AU14" s="83" t="s">
        <v>71</v>
      </c>
    </row>
    <row r="15" spans="1:48">
      <c r="A15" s="75">
        <v>9</v>
      </c>
      <c r="B15" s="83" t="s">
        <v>73</v>
      </c>
      <c r="C15" s="81">
        <f>+C9-C10-C14</f>
        <v>0</v>
      </c>
      <c r="D15" s="81">
        <f>+D9-D10-D14</f>
        <v>0</v>
      </c>
      <c r="E15" s="81">
        <f t="shared" ref="E15:T15" si="19">+E9-E10-E14</f>
        <v>0</v>
      </c>
      <c r="F15" s="81">
        <f t="shared" si="19"/>
        <v>0</v>
      </c>
      <c r="G15" s="81">
        <f t="shared" ref="G15:Q15" si="20">+G9-G10-G14</f>
        <v>0</v>
      </c>
      <c r="H15" s="81">
        <f t="shared" si="20"/>
        <v>0</v>
      </c>
      <c r="I15" s="81">
        <f t="shared" si="20"/>
        <v>0</v>
      </c>
      <c r="J15" s="81">
        <f t="shared" si="20"/>
        <v>0</v>
      </c>
      <c r="K15" s="81">
        <f t="shared" si="20"/>
        <v>0</v>
      </c>
      <c r="L15" s="81">
        <f t="shared" si="20"/>
        <v>0</v>
      </c>
      <c r="M15" s="81">
        <f t="shared" si="20"/>
        <v>0</v>
      </c>
      <c r="N15" s="81">
        <f t="shared" si="20"/>
        <v>0</v>
      </c>
      <c r="O15" s="81">
        <f t="shared" si="20"/>
        <v>0</v>
      </c>
      <c r="P15" s="81">
        <f t="shared" si="20"/>
        <v>0</v>
      </c>
      <c r="Q15" s="81">
        <f t="shared" si="20"/>
        <v>0</v>
      </c>
      <c r="R15" s="81">
        <f t="shared" ref="R15:S15" si="21">+R9-R10-R14</f>
        <v>0</v>
      </c>
      <c r="S15" s="81">
        <f t="shared" si="21"/>
        <v>0</v>
      </c>
      <c r="T15" s="81">
        <f t="shared" si="19"/>
        <v>0</v>
      </c>
      <c r="AT15" s="78" t="s">
        <v>74</v>
      </c>
      <c r="AU15" s="83" t="s">
        <v>73</v>
      </c>
    </row>
    <row r="16" spans="1:48">
      <c r="A16" s="75">
        <v>10</v>
      </c>
      <c r="B16" s="78" t="s">
        <v>75</v>
      </c>
      <c r="C16" s="84" t="e">
        <f>+C15/C9</f>
        <v>#DIV/0!</v>
      </c>
      <c r="D16" s="84" t="e">
        <f>+D15/D9</f>
        <v>#DIV/0!</v>
      </c>
      <c r="E16" s="84" t="e">
        <f t="shared" ref="E16:F16" si="22">+E15/E9</f>
        <v>#DIV/0!</v>
      </c>
      <c r="F16" s="84" t="e">
        <f t="shared" si="22"/>
        <v>#DIV/0!</v>
      </c>
      <c r="G16" s="84" t="e">
        <f t="shared" ref="G16:Q16" si="23">+G15/G9</f>
        <v>#DIV/0!</v>
      </c>
      <c r="H16" s="84" t="e">
        <f t="shared" si="23"/>
        <v>#DIV/0!</v>
      </c>
      <c r="I16" s="84" t="e">
        <f t="shared" si="23"/>
        <v>#DIV/0!</v>
      </c>
      <c r="J16" s="84" t="e">
        <f t="shared" si="23"/>
        <v>#DIV/0!</v>
      </c>
      <c r="K16" s="84" t="e">
        <f t="shared" si="23"/>
        <v>#DIV/0!</v>
      </c>
      <c r="L16" s="84" t="e">
        <f t="shared" si="23"/>
        <v>#DIV/0!</v>
      </c>
      <c r="M16" s="84" t="e">
        <f t="shared" si="23"/>
        <v>#DIV/0!</v>
      </c>
      <c r="N16" s="84" t="e">
        <f t="shared" si="23"/>
        <v>#DIV/0!</v>
      </c>
      <c r="O16" s="84" t="e">
        <f t="shared" si="23"/>
        <v>#DIV/0!</v>
      </c>
      <c r="P16" s="84" t="e">
        <f t="shared" si="23"/>
        <v>#DIV/0!</v>
      </c>
      <c r="Q16" s="84" t="e">
        <f t="shared" si="23"/>
        <v>#DIV/0!</v>
      </c>
      <c r="R16" s="84" t="e">
        <f t="shared" ref="R16:S16" si="24">+R15/R9</f>
        <v>#DIV/0!</v>
      </c>
      <c r="S16" s="84" t="e">
        <f t="shared" si="24"/>
        <v>#DIV/0!</v>
      </c>
      <c r="T16" s="84" t="e">
        <f>+T15/T9</f>
        <v>#DIV/0!</v>
      </c>
      <c r="U16" s="85"/>
      <c r="V16" s="85"/>
      <c r="W16" s="85"/>
      <c r="AT16" s="78" t="s">
        <v>76</v>
      </c>
      <c r="AU16" s="78" t="s">
        <v>75</v>
      </c>
    </row>
    <row r="17" spans="1:48">
      <c r="A17" s="75">
        <v>11</v>
      </c>
      <c r="B17" s="78" t="s">
        <v>77</v>
      </c>
      <c r="C17" s="81" t="e">
        <f>C6*C43+C18</f>
        <v>#DIV/0!</v>
      </c>
      <c r="D17" s="81" t="e">
        <f>D6*D43+D18</f>
        <v>#DIV/0!</v>
      </c>
      <c r="E17" s="81" t="e">
        <f t="shared" ref="E17:F17" si="25">E6*E43+E18</f>
        <v>#DIV/0!</v>
      </c>
      <c r="F17" s="81" t="e">
        <f t="shared" si="25"/>
        <v>#DIV/0!</v>
      </c>
      <c r="G17" s="81" t="e">
        <f t="shared" ref="G17:Q17" si="26">G6*G43+G18</f>
        <v>#DIV/0!</v>
      </c>
      <c r="H17" s="81" t="e">
        <f t="shared" si="26"/>
        <v>#DIV/0!</v>
      </c>
      <c r="I17" s="81" t="e">
        <f t="shared" si="26"/>
        <v>#DIV/0!</v>
      </c>
      <c r="J17" s="81" t="e">
        <f t="shared" si="26"/>
        <v>#DIV/0!</v>
      </c>
      <c r="K17" s="81" t="e">
        <f t="shared" si="26"/>
        <v>#DIV/0!</v>
      </c>
      <c r="L17" s="81" t="e">
        <f t="shared" si="26"/>
        <v>#DIV/0!</v>
      </c>
      <c r="M17" s="81" t="e">
        <f t="shared" si="26"/>
        <v>#DIV/0!</v>
      </c>
      <c r="N17" s="81" t="e">
        <f t="shared" si="26"/>
        <v>#DIV/0!</v>
      </c>
      <c r="O17" s="81" t="e">
        <f t="shared" si="26"/>
        <v>#DIV/0!</v>
      </c>
      <c r="P17" s="81" t="e">
        <f t="shared" si="26"/>
        <v>#DIV/0!</v>
      </c>
      <c r="Q17" s="81" t="e">
        <f t="shared" si="26"/>
        <v>#DIV/0!</v>
      </c>
      <c r="R17" s="81" t="e">
        <f t="shared" ref="R17:S17" si="27">R6*R43+R18</f>
        <v>#DIV/0!</v>
      </c>
      <c r="S17" s="81" t="e">
        <f t="shared" si="27"/>
        <v>#DIV/0!</v>
      </c>
      <c r="T17" s="81" t="e">
        <f>+SUM(C17:S17)</f>
        <v>#DIV/0!</v>
      </c>
      <c r="U17" s="82"/>
      <c r="AT17" s="78" t="s">
        <v>78</v>
      </c>
      <c r="AU17" s="78" t="s">
        <v>77</v>
      </c>
    </row>
    <row r="18" spans="1:48" s="72" customFormat="1">
      <c r="A18" s="75">
        <v>12</v>
      </c>
      <c r="B18" s="86" t="s">
        <v>147</v>
      </c>
      <c r="C18" s="87" t="e">
        <f t="shared" ref="C18:Q18" si="28">$T$18/$T$6*C6</f>
        <v>#DIV/0!</v>
      </c>
      <c r="D18" s="87" t="e">
        <f t="shared" si="28"/>
        <v>#DIV/0!</v>
      </c>
      <c r="E18" s="87" t="e">
        <f t="shared" si="28"/>
        <v>#DIV/0!</v>
      </c>
      <c r="F18" s="87" t="e">
        <f t="shared" si="28"/>
        <v>#DIV/0!</v>
      </c>
      <c r="G18" s="87" t="e">
        <f t="shared" si="28"/>
        <v>#DIV/0!</v>
      </c>
      <c r="H18" s="87" t="e">
        <f t="shared" si="28"/>
        <v>#DIV/0!</v>
      </c>
      <c r="I18" s="87" t="e">
        <f t="shared" si="28"/>
        <v>#DIV/0!</v>
      </c>
      <c r="J18" s="87" t="e">
        <f t="shared" si="28"/>
        <v>#DIV/0!</v>
      </c>
      <c r="K18" s="87" t="e">
        <f t="shared" si="28"/>
        <v>#DIV/0!</v>
      </c>
      <c r="L18" s="87" t="e">
        <f t="shared" si="28"/>
        <v>#DIV/0!</v>
      </c>
      <c r="M18" s="87" t="e">
        <f t="shared" si="28"/>
        <v>#DIV/0!</v>
      </c>
      <c r="N18" s="87" t="e">
        <f t="shared" si="28"/>
        <v>#DIV/0!</v>
      </c>
      <c r="O18" s="87" t="e">
        <f t="shared" si="28"/>
        <v>#DIV/0!</v>
      </c>
      <c r="P18" s="87" t="e">
        <f t="shared" si="28"/>
        <v>#DIV/0!</v>
      </c>
      <c r="Q18" s="87" t="e">
        <f t="shared" si="28"/>
        <v>#DIV/0!</v>
      </c>
      <c r="R18" s="87" t="e">
        <f t="shared" ref="R18:S18" si="29">$T$18/$T$6*R6</f>
        <v>#DIV/0!</v>
      </c>
      <c r="S18" s="87" t="e">
        <f t="shared" si="29"/>
        <v>#DIV/0!</v>
      </c>
      <c r="T18" s="81">
        <f>项目投资!G26</f>
        <v>0</v>
      </c>
      <c r="U18" s="88" t="s">
        <v>148</v>
      </c>
      <c r="V18" s="88"/>
      <c r="W18" s="88"/>
    </row>
    <row r="19" spans="1:48">
      <c r="A19" s="75">
        <v>13</v>
      </c>
      <c r="B19" s="78" t="s">
        <v>79</v>
      </c>
      <c r="C19" s="81">
        <f>C6*C44</f>
        <v>0</v>
      </c>
      <c r="D19" s="81">
        <f>D6*D44</f>
        <v>0</v>
      </c>
      <c r="E19" s="81">
        <f t="shared" ref="E19:F19" si="30">E6*E44</f>
        <v>0</v>
      </c>
      <c r="F19" s="81">
        <f t="shared" si="30"/>
        <v>0</v>
      </c>
      <c r="G19" s="81">
        <f t="shared" ref="G19:Q19" si="31">G6*G44</f>
        <v>0</v>
      </c>
      <c r="H19" s="81">
        <f t="shared" si="31"/>
        <v>0</v>
      </c>
      <c r="I19" s="81">
        <f t="shared" si="31"/>
        <v>0</v>
      </c>
      <c r="J19" s="81">
        <f t="shared" si="31"/>
        <v>0</v>
      </c>
      <c r="K19" s="81">
        <f t="shared" si="31"/>
        <v>0</v>
      </c>
      <c r="L19" s="81">
        <f t="shared" si="31"/>
        <v>0</v>
      </c>
      <c r="M19" s="81">
        <f t="shared" si="31"/>
        <v>0</v>
      </c>
      <c r="N19" s="81">
        <f t="shared" si="31"/>
        <v>0</v>
      </c>
      <c r="O19" s="81">
        <f t="shared" si="31"/>
        <v>0</v>
      </c>
      <c r="P19" s="81">
        <f t="shared" si="31"/>
        <v>0</v>
      </c>
      <c r="Q19" s="81">
        <f t="shared" si="31"/>
        <v>0</v>
      </c>
      <c r="R19" s="81">
        <f t="shared" ref="R19:S19" si="32">R6*R44</f>
        <v>0</v>
      </c>
      <c r="S19" s="81">
        <f t="shared" si="32"/>
        <v>0</v>
      </c>
      <c r="T19" s="81">
        <f t="shared" ref="T19:T20" si="33">+SUM(C19:S19)</f>
        <v>0</v>
      </c>
      <c r="U19" s="72"/>
      <c r="AT19" s="78" t="s">
        <v>80</v>
      </c>
      <c r="AU19" s="78" t="s">
        <v>79</v>
      </c>
      <c r="AV19" s="71" t="s">
        <v>53</v>
      </c>
    </row>
    <row r="20" spans="1:48">
      <c r="A20" s="75">
        <v>14</v>
      </c>
      <c r="B20" s="78" t="s">
        <v>81</v>
      </c>
      <c r="C20" s="81">
        <f>C6*C45</f>
        <v>0</v>
      </c>
      <c r="D20" s="81">
        <f>D6*D45</f>
        <v>0</v>
      </c>
      <c r="E20" s="81">
        <f t="shared" ref="E20:F20" si="34">E6*E45</f>
        <v>0</v>
      </c>
      <c r="F20" s="81">
        <f t="shared" si="34"/>
        <v>0</v>
      </c>
      <c r="G20" s="81">
        <f t="shared" ref="G20:Q20" si="35">G6*G45</f>
        <v>0</v>
      </c>
      <c r="H20" s="81">
        <f t="shared" si="35"/>
        <v>0</v>
      </c>
      <c r="I20" s="81">
        <f t="shared" si="35"/>
        <v>0</v>
      </c>
      <c r="J20" s="81">
        <f t="shared" si="35"/>
        <v>0</v>
      </c>
      <c r="K20" s="81">
        <f t="shared" si="35"/>
        <v>0</v>
      </c>
      <c r="L20" s="81">
        <f t="shared" si="35"/>
        <v>0</v>
      </c>
      <c r="M20" s="81">
        <f t="shared" si="35"/>
        <v>0</v>
      </c>
      <c r="N20" s="81">
        <f t="shared" si="35"/>
        <v>0</v>
      </c>
      <c r="O20" s="81">
        <f t="shared" si="35"/>
        <v>0</v>
      </c>
      <c r="P20" s="81">
        <f t="shared" si="35"/>
        <v>0</v>
      </c>
      <c r="Q20" s="81">
        <f t="shared" si="35"/>
        <v>0</v>
      </c>
      <c r="R20" s="81">
        <f t="shared" ref="R20:S20" si="36">R6*R45</f>
        <v>0</v>
      </c>
      <c r="S20" s="81">
        <f t="shared" si="36"/>
        <v>0</v>
      </c>
      <c r="T20" s="81">
        <f t="shared" si="33"/>
        <v>0</v>
      </c>
      <c r="AT20" s="78" t="s">
        <v>82</v>
      </c>
      <c r="AU20" s="78" t="s">
        <v>81</v>
      </c>
    </row>
    <row r="21" spans="1:48">
      <c r="A21" s="75">
        <v>15</v>
      </c>
      <c r="B21" s="78" t="s">
        <v>83</v>
      </c>
      <c r="C21" s="89" t="e">
        <f>$T$21/$T$6*C6</f>
        <v>#DIV/0!</v>
      </c>
      <c r="D21" s="89" t="e">
        <f>$T$21/$T$6*D6</f>
        <v>#DIV/0!</v>
      </c>
      <c r="E21" s="89" t="e">
        <f t="shared" ref="E21:F21" si="37">$T$21/$T$6*E6</f>
        <v>#DIV/0!</v>
      </c>
      <c r="F21" s="89" t="e">
        <f t="shared" si="37"/>
        <v>#DIV/0!</v>
      </c>
      <c r="G21" s="89" t="e">
        <f t="shared" ref="G21:Q21" si="38">$T$21/$T$6*G6</f>
        <v>#DIV/0!</v>
      </c>
      <c r="H21" s="89" t="e">
        <f t="shared" si="38"/>
        <v>#DIV/0!</v>
      </c>
      <c r="I21" s="89" t="e">
        <f t="shared" si="38"/>
        <v>#DIV/0!</v>
      </c>
      <c r="J21" s="89" t="e">
        <f t="shared" si="38"/>
        <v>#DIV/0!</v>
      </c>
      <c r="K21" s="89" t="e">
        <f t="shared" si="38"/>
        <v>#DIV/0!</v>
      </c>
      <c r="L21" s="89" t="e">
        <f t="shared" si="38"/>
        <v>#DIV/0!</v>
      </c>
      <c r="M21" s="89" t="e">
        <f t="shared" si="38"/>
        <v>#DIV/0!</v>
      </c>
      <c r="N21" s="89" t="e">
        <f t="shared" si="38"/>
        <v>#DIV/0!</v>
      </c>
      <c r="O21" s="89" t="e">
        <f t="shared" si="38"/>
        <v>#DIV/0!</v>
      </c>
      <c r="P21" s="89" t="e">
        <f t="shared" si="38"/>
        <v>#DIV/0!</v>
      </c>
      <c r="Q21" s="89" t="e">
        <f t="shared" si="38"/>
        <v>#DIV/0!</v>
      </c>
      <c r="R21" s="89" t="e">
        <f t="shared" ref="R21:S21" si="39">$T$21/$T$6*R6</f>
        <v>#DIV/0!</v>
      </c>
      <c r="S21" s="89" t="e">
        <f t="shared" si="39"/>
        <v>#DIV/0!</v>
      </c>
      <c r="T21" s="81">
        <f>项目投资!G27</f>
        <v>0</v>
      </c>
      <c r="AT21" s="78"/>
      <c r="AU21" s="78"/>
    </row>
    <row r="22" spans="1:48">
      <c r="A22" s="75">
        <v>16</v>
      </c>
      <c r="B22" s="78" t="s">
        <v>84</v>
      </c>
      <c r="C22" s="81">
        <f>C6*C47</f>
        <v>0</v>
      </c>
      <c r="D22" s="81">
        <f>D6*D47</f>
        <v>0</v>
      </c>
      <c r="E22" s="81">
        <f t="shared" ref="E22:F22" si="40">E6*E47</f>
        <v>0</v>
      </c>
      <c r="F22" s="81">
        <f t="shared" si="40"/>
        <v>0</v>
      </c>
      <c r="G22" s="81">
        <f t="shared" ref="G22:Q22" si="41">G6*G47</f>
        <v>0</v>
      </c>
      <c r="H22" s="81">
        <f t="shared" si="41"/>
        <v>0</v>
      </c>
      <c r="I22" s="81">
        <f t="shared" si="41"/>
        <v>0</v>
      </c>
      <c r="J22" s="81">
        <f t="shared" si="41"/>
        <v>0</v>
      </c>
      <c r="K22" s="81">
        <f t="shared" si="41"/>
        <v>0</v>
      </c>
      <c r="L22" s="81">
        <f t="shared" si="41"/>
        <v>0</v>
      </c>
      <c r="M22" s="81">
        <f t="shared" si="41"/>
        <v>0</v>
      </c>
      <c r="N22" s="81">
        <f t="shared" si="41"/>
        <v>0</v>
      </c>
      <c r="O22" s="81">
        <f t="shared" si="41"/>
        <v>0</v>
      </c>
      <c r="P22" s="81">
        <f t="shared" si="41"/>
        <v>0</v>
      </c>
      <c r="Q22" s="81">
        <f t="shared" si="41"/>
        <v>0</v>
      </c>
      <c r="R22" s="81">
        <f t="shared" ref="R22:S22" si="42">R6*R47</f>
        <v>0</v>
      </c>
      <c r="S22" s="81">
        <f t="shared" si="42"/>
        <v>0</v>
      </c>
      <c r="T22" s="81">
        <f>+SUM(C22:S22)</f>
        <v>0</v>
      </c>
      <c r="AT22" s="78" t="s">
        <v>85</v>
      </c>
      <c r="AU22" s="78" t="s">
        <v>84</v>
      </c>
    </row>
    <row r="23" spans="1:48">
      <c r="A23" s="75">
        <v>17</v>
      </c>
      <c r="B23" s="83" t="s">
        <v>86</v>
      </c>
      <c r="C23" s="89" t="e">
        <f>+C22+C21+C20+C19+C17</f>
        <v>#DIV/0!</v>
      </c>
      <c r="D23" s="89" t="e">
        <f>+D22+D21+D20+D19+D17</f>
        <v>#DIV/0!</v>
      </c>
      <c r="E23" s="89" t="e">
        <f t="shared" ref="E23:F23" si="43">+E22+E21+E20+E19+E17</f>
        <v>#DIV/0!</v>
      </c>
      <c r="F23" s="89" t="e">
        <f t="shared" si="43"/>
        <v>#DIV/0!</v>
      </c>
      <c r="G23" s="89" t="e">
        <f t="shared" ref="G23:Q23" si="44">+G22+G21+G20+G19+G17</f>
        <v>#DIV/0!</v>
      </c>
      <c r="H23" s="89" t="e">
        <f t="shared" si="44"/>
        <v>#DIV/0!</v>
      </c>
      <c r="I23" s="89" t="e">
        <f t="shared" si="44"/>
        <v>#DIV/0!</v>
      </c>
      <c r="J23" s="89" t="e">
        <f t="shared" si="44"/>
        <v>#DIV/0!</v>
      </c>
      <c r="K23" s="89" t="e">
        <f t="shared" si="44"/>
        <v>#DIV/0!</v>
      </c>
      <c r="L23" s="89" t="e">
        <f t="shared" si="44"/>
        <v>#DIV/0!</v>
      </c>
      <c r="M23" s="89" t="e">
        <f t="shared" si="44"/>
        <v>#DIV/0!</v>
      </c>
      <c r="N23" s="89" t="e">
        <f t="shared" si="44"/>
        <v>#DIV/0!</v>
      </c>
      <c r="O23" s="89" t="e">
        <f t="shared" si="44"/>
        <v>#DIV/0!</v>
      </c>
      <c r="P23" s="89" t="e">
        <f t="shared" si="44"/>
        <v>#DIV/0!</v>
      </c>
      <c r="Q23" s="89" t="e">
        <f t="shared" si="44"/>
        <v>#DIV/0!</v>
      </c>
      <c r="R23" s="89" t="e">
        <f t="shared" ref="R23:S23" si="45">+R22+R21+R20+R19+R17</f>
        <v>#DIV/0!</v>
      </c>
      <c r="S23" s="89" t="e">
        <f t="shared" si="45"/>
        <v>#DIV/0!</v>
      </c>
      <c r="T23" s="89" t="e">
        <f>+T22+T21+T20+T19+T17</f>
        <v>#DIV/0!</v>
      </c>
      <c r="AT23" s="78" t="s">
        <v>87</v>
      </c>
      <c r="AU23" s="83" t="s">
        <v>86</v>
      </c>
    </row>
    <row r="24" spans="1:48">
      <c r="A24" s="75">
        <v>18</v>
      </c>
      <c r="B24" s="90" t="s">
        <v>88</v>
      </c>
      <c r="C24" s="89" t="e">
        <f>+C15-C23</f>
        <v>#DIV/0!</v>
      </c>
      <c r="D24" s="89" t="e">
        <f>+D15-D23</f>
        <v>#DIV/0!</v>
      </c>
      <c r="E24" s="89" t="e">
        <f t="shared" ref="E24:F24" si="46">+E15-E23</f>
        <v>#DIV/0!</v>
      </c>
      <c r="F24" s="89" t="e">
        <f t="shared" si="46"/>
        <v>#DIV/0!</v>
      </c>
      <c r="G24" s="89" t="e">
        <f t="shared" ref="G24:Q24" si="47">+G15-G23</f>
        <v>#DIV/0!</v>
      </c>
      <c r="H24" s="89" t="e">
        <f t="shared" si="47"/>
        <v>#DIV/0!</v>
      </c>
      <c r="I24" s="89" t="e">
        <f t="shared" si="47"/>
        <v>#DIV/0!</v>
      </c>
      <c r="J24" s="89" t="e">
        <f t="shared" si="47"/>
        <v>#DIV/0!</v>
      </c>
      <c r="K24" s="89" t="e">
        <f t="shared" si="47"/>
        <v>#DIV/0!</v>
      </c>
      <c r="L24" s="89" t="e">
        <f t="shared" si="47"/>
        <v>#DIV/0!</v>
      </c>
      <c r="M24" s="89" t="e">
        <f t="shared" si="47"/>
        <v>#DIV/0!</v>
      </c>
      <c r="N24" s="89" t="e">
        <f t="shared" si="47"/>
        <v>#DIV/0!</v>
      </c>
      <c r="O24" s="89" t="e">
        <f t="shared" si="47"/>
        <v>#DIV/0!</v>
      </c>
      <c r="P24" s="89" t="e">
        <f t="shared" si="47"/>
        <v>#DIV/0!</v>
      </c>
      <c r="Q24" s="89" t="e">
        <f t="shared" si="47"/>
        <v>#DIV/0!</v>
      </c>
      <c r="R24" s="89" t="e">
        <f t="shared" ref="R24:S24" si="48">+R15-R23</f>
        <v>#DIV/0!</v>
      </c>
      <c r="S24" s="89" t="e">
        <f t="shared" si="48"/>
        <v>#DIV/0!</v>
      </c>
      <c r="T24" s="89" t="e">
        <f>+T15-T23</f>
        <v>#DIV/0!</v>
      </c>
      <c r="V24" s="91"/>
      <c r="AT24" s="78" t="s">
        <v>89</v>
      </c>
      <c r="AU24" s="78" t="s">
        <v>88</v>
      </c>
    </row>
    <row r="25" spans="1:48">
      <c r="A25" s="75">
        <v>19</v>
      </c>
      <c r="B25" s="78" t="s">
        <v>274</v>
      </c>
      <c r="C25" s="89" t="e">
        <f>IF(C24&lt;0,0,C24*0.15)</f>
        <v>#DIV/0!</v>
      </c>
      <c r="D25" s="89" t="e">
        <f t="shared" ref="D25:T25" si="49">IF(D24&lt;0,0,D24*0.15)</f>
        <v>#DIV/0!</v>
      </c>
      <c r="E25" s="89" t="e">
        <f t="shared" ref="E25:F25" si="50">IF(E24&lt;0,0,E24*0.15)</f>
        <v>#DIV/0!</v>
      </c>
      <c r="F25" s="89" t="e">
        <f t="shared" si="50"/>
        <v>#DIV/0!</v>
      </c>
      <c r="G25" s="89" t="e">
        <f t="shared" ref="G25:Q25" si="51">IF(G24&lt;0,0,G24*0.15)</f>
        <v>#DIV/0!</v>
      </c>
      <c r="H25" s="89" t="e">
        <f t="shared" si="51"/>
        <v>#DIV/0!</v>
      </c>
      <c r="I25" s="89" t="e">
        <f t="shared" si="51"/>
        <v>#DIV/0!</v>
      </c>
      <c r="J25" s="89" t="e">
        <f t="shared" si="51"/>
        <v>#DIV/0!</v>
      </c>
      <c r="K25" s="89" t="e">
        <f t="shared" si="51"/>
        <v>#DIV/0!</v>
      </c>
      <c r="L25" s="89" t="e">
        <f t="shared" si="51"/>
        <v>#DIV/0!</v>
      </c>
      <c r="M25" s="89" t="e">
        <f t="shared" si="51"/>
        <v>#DIV/0!</v>
      </c>
      <c r="N25" s="89" t="e">
        <f t="shared" si="51"/>
        <v>#DIV/0!</v>
      </c>
      <c r="O25" s="89" t="e">
        <f t="shared" si="51"/>
        <v>#DIV/0!</v>
      </c>
      <c r="P25" s="89" t="e">
        <f t="shared" si="51"/>
        <v>#DIV/0!</v>
      </c>
      <c r="Q25" s="89" t="e">
        <f t="shared" si="51"/>
        <v>#DIV/0!</v>
      </c>
      <c r="R25" s="89" t="e">
        <f t="shared" ref="R25:S25" si="52">IF(R24&lt;0,0,R24*0.15)</f>
        <v>#DIV/0!</v>
      </c>
      <c r="S25" s="89" t="e">
        <f t="shared" si="52"/>
        <v>#DIV/0!</v>
      </c>
      <c r="T25" s="89" t="e">
        <f t="shared" si="49"/>
        <v>#DIV/0!</v>
      </c>
      <c r="U25" s="2"/>
      <c r="V25" s="2"/>
      <c r="W25" s="2"/>
      <c r="AT25" s="78" t="s">
        <v>90</v>
      </c>
      <c r="AU25" s="78" t="s">
        <v>35</v>
      </c>
    </row>
    <row r="26" spans="1:48">
      <c r="A26" s="75">
        <v>20</v>
      </c>
      <c r="B26" s="78" t="s">
        <v>91</v>
      </c>
      <c r="C26" s="89" t="e">
        <f>C24-C25</f>
        <v>#DIV/0!</v>
      </c>
      <c r="D26" s="89" t="e">
        <f>D24-D25</f>
        <v>#DIV/0!</v>
      </c>
      <c r="E26" s="89" t="e">
        <f t="shared" ref="E26:T26" si="53">E24-E25</f>
        <v>#DIV/0!</v>
      </c>
      <c r="F26" s="89" t="e">
        <f t="shared" si="53"/>
        <v>#DIV/0!</v>
      </c>
      <c r="G26" s="89" t="e">
        <f t="shared" ref="G26:Q26" si="54">G24-G25</f>
        <v>#DIV/0!</v>
      </c>
      <c r="H26" s="89" t="e">
        <f t="shared" si="54"/>
        <v>#DIV/0!</v>
      </c>
      <c r="I26" s="89" t="e">
        <f t="shared" si="54"/>
        <v>#DIV/0!</v>
      </c>
      <c r="J26" s="89" t="e">
        <f t="shared" si="54"/>
        <v>#DIV/0!</v>
      </c>
      <c r="K26" s="89" t="e">
        <f t="shared" si="54"/>
        <v>#DIV/0!</v>
      </c>
      <c r="L26" s="89" t="e">
        <f t="shared" si="54"/>
        <v>#DIV/0!</v>
      </c>
      <c r="M26" s="89" t="e">
        <f t="shared" si="54"/>
        <v>#DIV/0!</v>
      </c>
      <c r="N26" s="89" t="e">
        <f t="shared" si="54"/>
        <v>#DIV/0!</v>
      </c>
      <c r="O26" s="89" t="e">
        <f t="shared" si="54"/>
        <v>#DIV/0!</v>
      </c>
      <c r="P26" s="89" t="e">
        <f t="shared" si="54"/>
        <v>#DIV/0!</v>
      </c>
      <c r="Q26" s="89" t="e">
        <f t="shared" si="54"/>
        <v>#DIV/0!</v>
      </c>
      <c r="R26" s="89" t="e">
        <f t="shared" ref="R26:S26" si="55">R24-R25</f>
        <v>#DIV/0!</v>
      </c>
      <c r="S26" s="89" t="e">
        <f t="shared" si="55"/>
        <v>#DIV/0!</v>
      </c>
      <c r="T26" s="89" t="e">
        <f t="shared" si="53"/>
        <v>#DIV/0!</v>
      </c>
      <c r="U26" s="2"/>
      <c r="V26" s="2"/>
      <c r="W26" s="2"/>
      <c r="AT26" s="78" t="s">
        <v>92</v>
      </c>
      <c r="AU26" s="78" t="s">
        <v>91</v>
      </c>
    </row>
    <row r="27" spans="1:48">
      <c r="A27" s="75">
        <v>21</v>
      </c>
      <c r="B27" s="78" t="s">
        <v>95</v>
      </c>
      <c r="C27" s="92" t="e">
        <f>C26/C9</f>
        <v>#DIV/0!</v>
      </c>
      <c r="D27" s="92" t="e">
        <f t="shared" ref="D27:T27" si="56">D26/D9</f>
        <v>#DIV/0!</v>
      </c>
      <c r="E27" s="92" t="e">
        <f t="shared" si="56"/>
        <v>#DIV/0!</v>
      </c>
      <c r="F27" s="92" t="e">
        <f t="shared" si="56"/>
        <v>#DIV/0!</v>
      </c>
      <c r="G27" s="92" t="e">
        <f t="shared" ref="G27:Q27" si="57">G26/G9</f>
        <v>#DIV/0!</v>
      </c>
      <c r="H27" s="92" t="e">
        <f t="shared" si="57"/>
        <v>#DIV/0!</v>
      </c>
      <c r="I27" s="92" t="e">
        <f t="shared" si="57"/>
        <v>#DIV/0!</v>
      </c>
      <c r="J27" s="92" t="e">
        <f t="shared" si="57"/>
        <v>#DIV/0!</v>
      </c>
      <c r="K27" s="92" t="e">
        <f t="shared" si="57"/>
        <v>#DIV/0!</v>
      </c>
      <c r="L27" s="92" t="e">
        <f t="shared" si="57"/>
        <v>#DIV/0!</v>
      </c>
      <c r="M27" s="92" t="e">
        <f t="shared" si="57"/>
        <v>#DIV/0!</v>
      </c>
      <c r="N27" s="92" t="e">
        <f t="shared" si="57"/>
        <v>#DIV/0!</v>
      </c>
      <c r="O27" s="92" t="e">
        <f t="shared" si="57"/>
        <v>#DIV/0!</v>
      </c>
      <c r="P27" s="92" t="e">
        <f t="shared" si="57"/>
        <v>#DIV/0!</v>
      </c>
      <c r="Q27" s="92" t="e">
        <f t="shared" si="57"/>
        <v>#DIV/0!</v>
      </c>
      <c r="R27" s="92" t="e">
        <f t="shared" ref="R27:S27" si="58">R26/R9</f>
        <v>#DIV/0!</v>
      </c>
      <c r="S27" s="92" t="e">
        <f t="shared" si="58"/>
        <v>#DIV/0!</v>
      </c>
      <c r="T27" s="92" t="e">
        <f t="shared" si="56"/>
        <v>#DIV/0!</v>
      </c>
      <c r="U27" s="2"/>
      <c r="V27" s="2"/>
      <c r="W27" s="2"/>
      <c r="AT27" s="78" t="s">
        <v>94</v>
      </c>
      <c r="AU27" s="78" t="s">
        <v>95</v>
      </c>
    </row>
    <row r="28" spans="1:48">
      <c r="U28" s="2"/>
      <c r="V28" s="2"/>
      <c r="W28" s="2"/>
    </row>
    <row r="29" spans="1:48">
      <c r="A29" s="71" t="s">
        <v>96</v>
      </c>
      <c r="T29" s="74" t="s">
        <v>149</v>
      </c>
      <c r="U29" s="2"/>
      <c r="V29" s="2"/>
      <c r="W29" s="2"/>
      <c r="AT29" s="71" t="s">
        <v>96</v>
      </c>
    </row>
    <row r="30" spans="1:48">
      <c r="A30" s="78" t="s">
        <v>97</v>
      </c>
      <c r="B30" s="83" t="s">
        <v>98</v>
      </c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2"/>
      <c r="V30" s="2"/>
      <c r="W30" s="2"/>
      <c r="Y30" s="2"/>
      <c r="AT30" s="78" t="s">
        <v>99</v>
      </c>
      <c r="AU30" s="83" t="s">
        <v>98</v>
      </c>
    </row>
    <row r="31" spans="1:48">
      <c r="A31" s="75">
        <v>1</v>
      </c>
      <c r="B31" s="86" t="s">
        <v>100</v>
      </c>
      <c r="C31" s="93">
        <f>销量!C8</f>
        <v>2295.5752212389384</v>
      </c>
      <c r="D31" s="93">
        <f>销量!D8</f>
        <v>1830.9734513274338</v>
      </c>
      <c r="E31" s="93">
        <f>销量!E8</f>
        <v>1830.9734513274338</v>
      </c>
      <c r="F31" s="93">
        <f>销量!F8</f>
        <v>2295.5752212389384</v>
      </c>
      <c r="G31" s="93">
        <f>销量!G8</f>
        <v>2295.5752212389384</v>
      </c>
      <c r="H31" s="93">
        <f>销量!H8</f>
        <v>1830.9734513274338</v>
      </c>
      <c r="I31" s="93">
        <f>销量!I8</f>
        <v>1830.9734513274338</v>
      </c>
      <c r="J31" s="93">
        <f>销量!J8</f>
        <v>1023.8938053097346</v>
      </c>
      <c r="K31" s="93">
        <f>销量!K8</f>
        <v>706.19469026548677</v>
      </c>
      <c r="L31" s="93">
        <f>销量!L8</f>
        <v>584.07079646017701</v>
      </c>
      <c r="M31" s="93">
        <f>销量!M8</f>
        <v>584.07079646017701</v>
      </c>
      <c r="N31" s="93">
        <f>销量!N8</f>
        <v>584.07079646017701</v>
      </c>
      <c r="O31" s="93">
        <f>销量!O8</f>
        <v>584.07079646017701</v>
      </c>
      <c r="P31" s="93">
        <f>销量!P8</f>
        <v>584.07079646017701</v>
      </c>
      <c r="Q31" s="93">
        <f>销量!Q8</f>
        <v>2295.5752212389384</v>
      </c>
      <c r="R31" s="93">
        <f>销量!R8</f>
        <v>1022.1238938053099</v>
      </c>
      <c r="S31" s="93">
        <f>销量!S8</f>
        <v>706.19469026548677</v>
      </c>
      <c r="T31" s="89"/>
      <c r="U31" s="2"/>
      <c r="V31" s="2"/>
      <c r="W31" s="2"/>
      <c r="Y31" s="2"/>
      <c r="AT31" s="78" t="s">
        <v>55</v>
      </c>
      <c r="AU31" s="78" t="s">
        <v>100</v>
      </c>
    </row>
    <row r="32" spans="1:48">
      <c r="A32" s="75">
        <v>2</v>
      </c>
      <c r="B32" s="78" t="s">
        <v>150</v>
      </c>
      <c r="C32" s="81" t="e">
        <f>C9/C6</f>
        <v>#DIV/0!</v>
      </c>
      <c r="D32" s="81" t="e">
        <f t="shared" ref="D32:F32" si="59">D9/D6</f>
        <v>#DIV/0!</v>
      </c>
      <c r="E32" s="81" t="e">
        <f t="shared" si="59"/>
        <v>#DIV/0!</v>
      </c>
      <c r="F32" s="81" t="e">
        <f t="shared" si="59"/>
        <v>#DIV/0!</v>
      </c>
      <c r="G32" s="81" t="e">
        <f t="shared" ref="G32:Q32" si="60">G9/G6</f>
        <v>#DIV/0!</v>
      </c>
      <c r="H32" s="81" t="e">
        <f t="shared" si="60"/>
        <v>#DIV/0!</v>
      </c>
      <c r="I32" s="81" t="e">
        <f t="shared" si="60"/>
        <v>#DIV/0!</v>
      </c>
      <c r="J32" s="81" t="e">
        <f t="shared" si="60"/>
        <v>#DIV/0!</v>
      </c>
      <c r="K32" s="81" t="e">
        <f t="shared" si="60"/>
        <v>#DIV/0!</v>
      </c>
      <c r="L32" s="81" t="e">
        <f t="shared" si="60"/>
        <v>#DIV/0!</v>
      </c>
      <c r="M32" s="81" t="e">
        <f t="shared" si="60"/>
        <v>#DIV/0!</v>
      </c>
      <c r="N32" s="81" t="e">
        <f t="shared" si="60"/>
        <v>#DIV/0!</v>
      </c>
      <c r="O32" s="81" t="e">
        <f t="shared" si="60"/>
        <v>#DIV/0!</v>
      </c>
      <c r="P32" s="81" t="e">
        <f t="shared" si="60"/>
        <v>#DIV/0!</v>
      </c>
      <c r="Q32" s="81" t="e">
        <f t="shared" si="60"/>
        <v>#DIV/0!</v>
      </c>
      <c r="R32" s="81" t="e">
        <f t="shared" ref="R32:S32" si="61">R9/R6</f>
        <v>#DIV/0!</v>
      </c>
      <c r="S32" s="81" t="e">
        <f t="shared" si="61"/>
        <v>#DIV/0!</v>
      </c>
      <c r="T32" s="89"/>
      <c r="U32" s="2"/>
      <c r="V32" s="2"/>
      <c r="W32" s="2"/>
      <c r="X32" s="2"/>
      <c r="Y32" s="2"/>
      <c r="Z32" s="2"/>
      <c r="AA32" s="2"/>
      <c r="AT32" s="78"/>
      <c r="AU32" s="78"/>
    </row>
    <row r="33" spans="1:47">
      <c r="A33" s="75">
        <v>3</v>
      </c>
      <c r="B33" s="86" t="s">
        <v>101</v>
      </c>
      <c r="C33" s="81">
        <f>材料成本!D27</f>
        <v>0</v>
      </c>
      <c r="D33" s="81">
        <f>材料成本!E27</f>
        <v>0</v>
      </c>
      <c r="E33" s="81">
        <f>材料成本!F27</f>
        <v>0</v>
      </c>
      <c r="F33" s="81">
        <f>材料成本!G27</f>
        <v>0</v>
      </c>
      <c r="G33" s="81">
        <f>材料成本!H27</f>
        <v>0</v>
      </c>
      <c r="H33" s="81">
        <f>材料成本!I27</f>
        <v>0</v>
      </c>
      <c r="I33" s="81">
        <f>材料成本!J27</f>
        <v>0</v>
      </c>
      <c r="J33" s="81">
        <f>材料成本!K27</f>
        <v>0</v>
      </c>
      <c r="K33" s="81">
        <f>材料成本!L27</f>
        <v>0</v>
      </c>
      <c r="L33" s="81">
        <f>材料成本!M27</f>
        <v>0</v>
      </c>
      <c r="M33" s="81">
        <f>材料成本!N27</f>
        <v>0</v>
      </c>
      <c r="N33" s="81">
        <f>材料成本!O27</f>
        <v>0</v>
      </c>
      <c r="O33" s="81">
        <f>材料成本!P27</f>
        <v>0</v>
      </c>
      <c r="P33" s="81">
        <f>材料成本!Q27</f>
        <v>0</v>
      </c>
      <c r="Q33" s="81">
        <f>材料成本!R27</f>
        <v>0</v>
      </c>
      <c r="R33" s="81">
        <f>材料成本!S27</f>
        <v>0</v>
      </c>
      <c r="S33" s="81">
        <f>材料成本!T27</f>
        <v>0</v>
      </c>
      <c r="T33" s="89"/>
      <c r="V33" s="2"/>
      <c r="W33" s="2"/>
      <c r="X33" s="2"/>
      <c r="Y33" s="2"/>
      <c r="Z33" s="2"/>
      <c r="AA33" s="2"/>
      <c r="AT33" s="78" t="s">
        <v>57</v>
      </c>
      <c r="AU33" s="78" t="s">
        <v>101</v>
      </c>
    </row>
    <row r="34" spans="1:47" ht="17.25" customHeight="1">
      <c r="A34" s="75">
        <v>4</v>
      </c>
      <c r="B34" s="78" t="s">
        <v>103</v>
      </c>
      <c r="C34" s="94" t="e">
        <f>C32-C33</f>
        <v>#DIV/0!</v>
      </c>
      <c r="D34" s="94" t="e">
        <f>D32-D33</f>
        <v>#DIV/0!</v>
      </c>
      <c r="E34" s="94" t="e">
        <f t="shared" ref="E34:F34" si="62">E32-E33</f>
        <v>#DIV/0!</v>
      </c>
      <c r="F34" s="94" t="e">
        <f t="shared" si="62"/>
        <v>#DIV/0!</v>
      </c>
      <c r="G34" s="94" t="e">
        <f t="shared" ref="G34:Q34" si="63">G32-G33</f>
        <v>#DIV/0!</v>
      </c>
      <c r="H34" s="94" t="e">
        <f t="shared" si="63"/>
        <v>#DIV/0!</v>
      </c>
      <c r="I34" s="94" t="e">
        <f t="shared" si="63"/>
        <v>#DIV/0!</v>
      </c>
      <c r="J34" s="94" t="e">
        <f t="shared" si="63"/>
        <v>#DIV/0!</v>
      </c>
      <c r="K34" s="94" t="e">
        <f t="shared" si="63"/>
        <v>#DIV/0!</v>
      </c>
      <c r="L34" s="94" t="e">
        <f t="shared" si="63"/>
        <v>#DIV/0!</v>
      </c>
      <c r="M34" s="94" t="e">
        <f t="shared" si="63"/>
        <v>#DIV/0!</v>
      </c>
      <c r="N34" s="94" t="e">
        <f t="shared" si="63"/>
        <v>#DIV/0!</v>
      </c>
      <c r="O34" s="94" t="e">
        <f t="shared" si="63"/>
        <v>#DIV/0!</v>
      </c>
      <c r="P34" s="94" t="e">
        <f t="shared" si="63"/>
        <v>#DIV/0!</v>
      </c>
      <c r="Q34" s="94" t="e">
        <f t="shared" si="63"/>
        <v>#DIV/0!</v>
      </c>
      <c r="R34" s="94" t="e">
        <f t="shared" ref="R34:S34" si="64">R32-R33</f>
        <v>#DIV/0!</v>
      </c>
      <c r="S34" s="94" t="e">
        <f t="shared" si="64"/>
        <v>#DIV/0!</v>
      </c>
      <c r="T34" s="89"/>
      <c r="V34" s="2"/>
      <c r="W34" s="2"/>
      <c r="X34" s="2"/>
      <c r="Y34" s="2"/>
      <c r="Z34" s="2"/>
      <c r="AA34" s="2"/>
      <c r="AT34" s="78" t="s">
        <v>102</v>
      </c>
      <c r="AU34" s="78" t="s">
        <v>103</v>
      </c>
    </row>
    <row r="35" spans="1:47">
      <c r="A35" s="78" t="s">
        <v>99</v>
      </c>
      <c r="B35" s="83" t="s">
        <v>9</v>
      </c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2"/>
      <c r="V35" s="2"/>
      <c r="W35" s="2"/>
      <c r="X35" s="2"/>
      <c r="Y35" s="2"/>
      <c r="Z35" s="2"/>
      <c r="AA35" s="2"/>
      <c r="AB35" s="2"/>
      <c r="AC35" s="2"/>
      <c r="AD35" s="2"/>
      <c r="AT35" s="78" t="s">
        <v>105</v>
      </c>
      <c r="AU35" s="83" t="s">
        <v>9</v>
      </c>
    </row>
    <row r="36" spans="1:47">
      <c r="A36" s="75">
        <v>1</v>
      </c>
      <c r="B36" s="78" t="s">
        <v>106</v>
      </c>
      <c r="C36" s="87">
        <f>'2025年'!C36</f>
        <v>159.31292035398232</v>
      </c>
      <c r="D36" s="87">
        <f>'2025年'!D36</f>
        <v>127.06955752212392</v>
      </c>
      <c r="E36" s="87">
        <f>'2025年'!E36</f>
        <v>127.06955752212392</v>
      </c>
      <c r="F36" s="87">
        <f>'2025年'!F36</f>
        <v>159.31292035398232</v>
      </c>
      <c r="G36" s="87">
        <f>'2025年'!G36</f>
        <v>159.31292035398232</v>
      </c>
      <c r="H36" s="87">
        <f>'2025年'!H36</f>
        <v>127.06955752212392</v>
      </c>
      <c r="I36" s="87">
        <f>'2025年'!I36</f>
        <v>127.06955752212392</v>
      </c>
      <c r="J36" s="87">
        <f>'2025年'!J36</f>
        <v>71.058230088495591</v>
      </c>
      <c r="K36" s="87">
        <f>'2025年'!K36</f>
        <v>49.009911504424785</v>
      </c>
      <c r="L36" s="87">
        <f>'2025年'!L36</f>
        <v>40.534513274336284</v>
      </c>
      <c r="M36" s="87">
        <f>'2025年'!M36</f>
        <v>40.534513274336284</v>
      </c>
      <c r="N36" s="87">
        <f>'2025年'!N36</f>
        <v>40.534513274336284</v>
      </c>
      <c r="O36" s="87">
        <f>'2025年'!O36</f>
        <v>40.534513274336284</v>
      </c>
      <c r="P36" s="87">
        <f>'2025年'!P36</f>
        <v>40.534513274336284</v>
      </c>
      <c r="Q36" s="87">
        <f>'2025年'!Q36</f>
        <v>159.31292035398232</v>
      </c>
      <c r="R36" s="87">
        <f>'2025年'!R36</f>
        <v>70.935398230088509</v>
      </c>
      <c r="S36" s="87">
        <f>'2025年'!S36</f>
        <v>49.009911504424785</v>
      </c>
      <c r="T36" s="93"/>
      <c r="U36" s="2"/>
      <c r="V36" s="2"/>
      <c r="W36" s="2"/>
      <c r="X36" s="2"/>
      <c r="Y36" s="2"/>
      <c r="Z36" s="2"/>
      <c r="AA36" s="2"/>
      <c r="AB36" s="2"/>
      <c r="AC36" s="2"/>
      <c r="AD36" s="2"/>
      <c r="AT36" s="78" t="s">
        <v>102</v>
      </c>
      <c r="AU36" s="78" t="s">
        <v>106</v>
      </c>
    </row>
    <row r="37" spans="1:47">
      <c r="A37" s="75">
        <v>2</v>
      </c>
      <c r="B37" s="78" t="s">
        <v>107</v>
      </c>
      <c r="C37" s="87">
        <f>'2025年'!C37</f>
        <v>99.627964601769932</v>
      </c>
      <c r="D37" s="87">
        <f>'2025年'!D37</f>
        <v>79.464247787610631</v>
      </c>
      <c r="E37" s="87">
        <f>'2025年'!E37</f>
        <v>79.464247787610631</v>
      </c>
      <c r="F37" s="87">
        <f>'2025年'!F37</f>
        <v>99.627964601769932</v>
      </c>
      <c r="G37" s="87">
        <f>'2025年'!G37</f>
        <v>99.627964601769932</v>
      </c>
      <c r="H37" s="87">
        <f>'2025年'!H37</f>
        <v>79.464247787610631</v>
      </c>
      <c r="I37" s="87">
        <f>'2025年'!I37</f>
        <v>79.464247787610631</v>
      </c>
      <c r="J37" s="87">
        <f>'2025年'!J37</f>
        <v>44.436991150442481</v>
      </c>
      <c r="K37" s="87">
        <f>'2025年'!K37</f>
        <v>30.648849557522126</v>
      </c>
      <c r="L37" s="87">
        <f>'2025年'!L37</f>
        <v>25.348672566371683</v>
      </c>
      <c r="M37" s="87">
        <f>'2025年'!M37</f>
        <v>25.348672566371683</v>
      </c>
      <c r="N37" s="87">
        <f>'2025年'!N37</f>
        <v>25.348672566371683</v>
      </c>
      <c r="O37" s="87">
        <f>'2025年'!O37</f>
        <v>25.348672566371683</v>
      </c>
      <c r="P37" s="87">
        <f>'2025年'!P37</f>
        <v>25.348672566371683</v>
      </c>
      <c r="Q37" s="87">
        <f>'2025年'!Q37</f>
        <v>99.627964601769932</v>
      </c>
      <c r="R37" s="87">
        <f>'2025年'!R37</f>
        <v>44.360176991150446</v>
      </c>
      <c r="S37" s="87">
        <f>'2025年'!S37</f>
        <v>30.648849557522126</v>
      </c>
      <c r="T37" s="93"/>
      <c r="U37" s="2"/>
      <c r="V37" s="2"/>
      <c r="W37" s="2"/>
      <c r="X37" s="2"/>
      <c r="Y37" s="2"/>
      <c r="Z37" s="2"/>
      <c r="AA37" s="2"/>
      <c r="AB37" s="2"/>
      <c r="AC37" s="2"/>
      <c r="AD37" s="2"/>
      <c r="AT37" s="78" t="s">
        <v>60</v>
      </c>
      <c r="AU37" s="78" t="s">
        <v>107</v>
      </c>
    </row>
    <row r="38" spans="1:47">
      <c r="A38" s="75">
        <v>3</v>
      </c>
      <c r="B38" s="78" t="s">
        <v>108</v>
      </c>
      <c r="C38" s="87">
        <f>'2025年'!C38</f>
        <v>149.44194690265491</v>
      </c>
      <c r="D38" s="87">
        <f>'2025年'!D38</f>
        <v>119.19637168141595</v>
      </c>
      <c r="E38" s="87">
        <f>'2025年'!E38</f>
        <v>119.19637168141595</v>
      </c>
      <c r="F38" s="87">
        <f>'2025年'!F38</f>
        <v>149.44194690265491</v>
      </c>
      <c r="G38" s="87">
        <f>'2025年'!G38</f>
        <v>149.44194690265491</v>
      </c>
      <c r="H38" s="87">
        <f>'2025年'!H38</f>
        <v>119.19637168141595</v>
      </c>
      <c r="I38" s="87">
        <f>'2025年'!I38</f>
        <v>119.19637168141595</v>
      </c>
      <c r="J38" s="87">
        <f>'2025年'!J38</f>
        <v>66.655486725663721</v>
      </c>
      <c r="K38" s="87">
        <f>'2025年'!K38</f>
        <v>45.97327433628319</v>
      </c>
      <c r="L38" s="87">
        <f>'2025年'!L38</f>
        <v>38.023008849557527</v>
      </c>
      <c r="M38" s="87">
        <f>'2025年'!M38</f>
        <v>38.023008849557527</v>
      </c>
      <c r="N38" s="87">
        <f>'2025年'!N38</f>
        <v>38.023008849557527</v>
      </c>
      <c r="O38" s="87">
        <f>'2025年'!O38</f>
        <v>38.023008849557527</v>
      </c>
      <c r="P38" s="87">
        <f>'2025年'!P38</f>
        <v>38.023008849557527</v>
      </c>
      <c r="Q38" s="87">
        <f>'2025年'!Q38</f>
        <v>149.44194690265491</v>
      </c>
      <c r="R38" s="87">
        <f>'2025年'!R38</f>
        <v>66.540265486725673</v>
      </c>
      <c r="S38" s="87">
        <f>'2025年'!S38</f>
        <v>45.97327433628319</v>
      </c>
      <c r="T38" s="93"/>
      <c r="U38" s="2"/>
      <c r="V38" s="2"/>
      <c r="W38" s="2"/>
      <c r="X38" s="2"/>
      <c r="Y38" s="2"/>
      <c r="Z38" s="2"/>
      <c r="AA38" s="2"/>
      <c r="AB38" s="2"/>
      <c r="AC38" s="2"/>
      <c r="AD38" s="2"/>
      <c r="AT38" s="78" t="s">
        <v>66</v>
      </c>
      <c r="AU38" s="78" t="s">
        <v>108</v>
      </c>
    </row>
    <row r="39" spans="1:47">
      <c r="A39" s="78" t="s">
        <v>105</v>
      </c>
      <c r="B39" s="83" t="s">
        <v>110</v>
      </c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AT39" s="78" t="s">
        <v>109</v>
      </c>
      <c r="AU39" s="83" t="s">
        <v>110</v>
      </c>
    </row>
    <row r="40" spans="1:47">
      <c r="A40" s="75">
        <v>1</v>
      </c>
      <c r="B40" s="78" t="s">
        <v>111</v>
      </c>
      <c r="C40" s="89" t="e">
        <f>C34-C36-C37-C38</f>
        <v>#DIV/0!</v>
      </c>
      <c r="D40" s="89" t="e">
        <f>D34-D36-D37-D38</f>
        <v>#DIV/0!</v>
      </c>
      <c r="E40" s="89" t="e">
        <f t="shared" ref="E40:F40" si="65">E34-E36-E37-E38</f>
        <v>#DIV/0!</v>
      </c>
      <c r="F40" s="89" t="e">
        <f t="shared" si="65"/>
        <v>#DIV/0!</v>
      </c>
      <c r="G40" s="89" t="e">
        <f t="shared" ref="G40:Q40" si="66">G34-G36-G37-G38</f>
        <v>#DIV/0!</v>
      </c>
      <c r="H40" s="89" t="e">
        <f t="shared" si="66"/>
        <v>#DIV/0!</v>
      </c>
      <c r="I40" s="89" t="e">
        <f t="shared" si="66"/>
        <v>#DIV/0!</v>
      </c>
      <c r="J40" s="89" t="e">
        <f t="shared" si="66"/>
        <v>#DIV/0!</v>
      </c>
      <c r="K40" s="89" t="e">
        <f t="shared" si="66"/>
        <v>#DIV/0!</v>
      </c>
      <c r="L40" s="89" t="e">
        <f t="shared" si="66"/>
        <v>#DIV/0!</v>
      </c>
      <c r="M40" s="89" t="e">
        <f t="shared" si="66"/>
        <v>#DIV/0!</v>
      </c>
      <c r="N40" s="89" t="e">
        <f t="shared" si="66"/>
        <v>#DIV/0!</v>
      </c>
      <c r="O40" s="89" t="e">
        <f t="shared" si="66"/>
        <v>#DIV/0!</v>
      </c>
      <c r="P40" s="89" t="e">
        <f t="shared" si="66"/>
        <v>#DIV/0!</v>
      </c>
      <c r="Q40" s="89" t="e">
        <f t="shared" si="66"/>
        <v>#DIV/0!</v>
      </c>
      <c r="R40" s="89" t="e">
        <f t="shared" ref="R40:S40" si="67">R34-R36-R37-R38</f>
        <v>#DIV/0!</v>
      </c>
      <c r="S40" s="89" t="e">
        <f t="shared" si="67"/>
        <v>#DIV/0!</v>
      </c>
      <c r="T40" s="89"/>
      <c r="AT40" s="78" t="s">
        <v>55</v>
      </c>
      <c r="AU40" s="78" t="s">
        <v>111</v>
      </c>
    </row>
    <row r="41" spans="1:47">
      <c r="A41" s="75">
        <v>2</v>
      </c>
      <c r="B41" s="78" t="s">
        <v>112</v>
      </c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AT41" s="78" t="s">
        <v>57</v>
      </c>
      <c r="AU41" s="78" t="s">
        <v>112</v>
      </c>
    </row>
    <row r="42" spans="1:47">
      <c r="A42" s="78" t="s">
        <v>109</v>
      </c>
      <c r="B42" s="83" t="s">
        <v>114</v>
      </c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AT42" s="78" t="s">
        <v>113</v>
      </c>
      <c r="AU42" s="83" t="s">
        <v>114</v>
      </c>
    </row>
    <row r="43" spans="1:47">
      <c r="A43" s="75">
        <v>1</v>
      </c>
      <c r="B43" s="90" t="s">
        <v>115</v>
      </c>
      <c r="C43" s="87">
        <f>'2025年'!C43</f>
        <v>189.38495575221242</v>
      </c>
      <c r="D43" s="87">
        <f>'2025年'!D43</f>
        <v>151.05530973451329</v>
      </c>
      <c r="E43" s="87">
        <f>'2025年'!E43</f>
        <v>151.05530973451329</v>
      </c>
      <c r="F43" s="87">
        <f>'2025年'!F43</f>
        <v>189.38495575221242</v>
      </c>
      <c r="G43" s="87">
        <f>'2025年'!G43</f>
        <v>189.38495575221242</v>
      </c>
      <c r="H43" s="87">
        <f>'2025年'!H43</f>
        <v>151.05530973451329</v>
      </c>
      <c r="I43" s="87">
        <f>'2025年'!I43</f>
        <v>151.05530973451329</v>
      </c>
      <c r="J43" s="87">
        <f>'2025年'!J43</f>
        <v>84.471238938053105</v>
      </c>
      <c r="K43" s="87">
        <f>'2025年'!K43</f>
        <v>58.261061946902664</v>
      </c>
      <c r="L43" s="87">
        <f>'2025年'!L43</f>
        <v>48.185840707964608</v>
      </c>
      <c r="M43" s="87">
        <f>'2025年'!M43</f>
        <v>48.185840707964608</v>
      </c>
      <c r="N43" s="87">
        <f>'2025年'!N43</f>
        <v>48.185840707964608</v>
      </c>
      <c r="O43" s="87">
        <f>'2025年'!O43</f>
        <v>48.185840707964608</v>
      </c>
      <c r="P43" s="87">
        <f>'2025年'!P43</f>
        <v>48.185840707964608</v>
      </c>
      <c r="Q43" s="87">
        <f>'2025年'!Q43</f>
        <v>189.38495575221242</v>
      </c>
      <c r="R43" s="87">
        <f>'2025年'!R43</f>
        <v>84.32522123893807</v>
      </c>
      <c r="S43" s="87">
        <f>'2025年'!S43</f>
        <v>58.261061946902664</v>
      </c>
      <c r="T43" s="89"/>
      <c r="AT43" s="78" t="s">
        <v>55</v>
      </c>
      <c r="AU43" s="78" t="s">
        <v>115</v>
      </c>
    </row>
    <row r="44" spans="1:47">
      <c r="A44" s="75">
        <v>2</v>
      </c>
      <c r="B44" s="90" t="s">
        <v>116</v>
      </c>
      <c r="C44" s="87">
        <f>'2025年'!C44</f>
        <v>39.483893805309741</v>
      </c>
      <c r="D44" s="87">
        <f>'2025年'!D44</f>
        <v>31.492743362831863</v>
      </c>
      <c r="E44" s="87">
        <f>'2025年'!E44</f>
        <v>31.492743362831863</v>
      </c>
      <c r="F44" s="87">
        <f>'2025年'!F44</f>
        <v>39.483893805309741</v>
      </c>
      <c r="G44" s="87">
        <f>'2025年'!G44</f>
        <v>39.483893805309741</v>
      </c>
      <c r="H44" s="87">
        <f>'2025年'!H44</f>
        <v>31.492743362831863</v>
      </c>
      <c r="I44" s="87">
        <f>'2025年'!I44</f>
        <v>31.492743362831863</v>
      </c>
      <c r="J44" s="87">
        <f>'2025年'!J44</f>
        <v>17.610973451327435</v>
      </c>
      <c r="K44" s="87">
        <f>'2025年'!K44</f>
        <v>12.146548672566372</v>
      </c>
      <c r="L44" s="87">
        <f>'2025年'!L44</f>
        <v>10.046017699115044</v>
      </c>
      <c r="M44" s="87">
        <f>'2025年'!M44</f>
        <v>10.046017699115044</v>
      </c>
      <c r="N44" s="87">
        <f>'2025年'!N44</f>
        <v>10.046017699115044</v>
      </c>
      <c r="O44" s="87">
        <f>'2025年'!O44</f>
        <v>10.046017699115044</v>
      </c>
      <c r="P44" s="87">
        <f>'2025年'!P44</f>
        <v>10.046017699115044</v>
      </c>
      <c r="Q44" s="87">
        <f>'2025年'!Q44</f>
        <v>39.483893805309741</v>
      </c>
      <c r="R44" s="87">
        <f>'2025年'!R44</f>
        <v>17.580530973451332</v>
      </c>
      <c r="S44" s="87">
        <f>'2025年'!S44</f>
        <v>12.146548672566372</v>
      </c>
      <c r="T44" s="89"/>
      <c r="AT44" s="78" t="s">
        <v>57</v>
      </c>
      <c r="AU44" s="78" t="s">
        <v>116</v>
      </c>
    </row>
    <row r="45" spans="1:47">
      <c r="A45" s="75">
        <v>3</v>
      </c>
      <c r="B45" s="90" t="s">
        <v>117</v>
      </c>
      <c r="C45" s="87">
        <f>'2025年'!C45</f>
        <v>60.603185840707972</v>
      </c>
      <c r="D45" s="87">
        <f>'2025年'!D45</f>
        <v>48.337699115044252</v>
      </c>
      <c r="E45" s="87">
        <f>'2025年'!E45</f>
        <v>48.337699115044252</v>
      </c>
      <c r="F45" s="87">
        <f>'2025年'!F45</f>
        <v>60.603185840707972</v>
      </c>
      <c r="G45" s="87">
        <f>'2025年'!G45</f>
        <v>60.603185840707972</v>
      </c>
      <c r="H45" s="87">
        <f>'2025年'!H45</f>
        <v>48.337699115044252</v>
      </c>
      <c r="I45" s="87">
        <f>'2025年'!I45</f>
        <v>48.337699115044252</v>
      </c>
      <c r="J45" s="87">
        <f>'2025年'!J45</f>
        <v>27.030796460176994</v>
      </c>
      <c r="K45" s="87">
        <f>'2025年'!K45</f>
        <v>18.643539823008851</v>
      </c>
      <c r="L45" s="87">
        <f>'2025年'!L45</f>
        <v>15.419469026548672</v>
      </c>
      <c r="M45" s="87">
        <f>'2025年'!M45</f>
        <v>15.419469026548672</v>
      </c>
      <c r="N45" s="87">
        <f>'2025年'!N45</f>
        <v>15.419469026548672</v>
      </c>
      <c r="O45" s="87">
        <f>'2025年'!O45</f>
        <v>15.419469026548672</v>
      </c>
      <c r="P45" s="87">
        <f>'2025年'!P45</f>
        <v>15.419469026548672</v>
      </c>
      <c r="Q45" s="87">
        <f>'2025年'!Q45</f>
        <v>60.603185840707972</v>
      </c>
      <c r="R45" s="87">
        <f>'2025年'!R45</f>
        <v>26.98407079646018</v>
      </c>
      <c r="S45" s="87">
        <f>'2025年'!S45</f>
        <v>18.643539823008851</v>
      </c>
      <c r="T45" s="89"/>
      <c r="AT45" s="78" t="s">
        <v>102</v>
      </c>
      <c r="AU45" s="78" t="s">
        <v>117</v>
      </c>
    </row>
    <row r="46" spans="1:47" s="73" customFormat="1">
      <c r="A46" s="75">
        <v>4</v>
      </c>
      <c r="B46" s="90" t="s">
        <v>118</v>
      </c>
      <c r="C46" s="95" t="e">
        <f>C21/C6</f>
        <v>#DIV/0!</v>
      </c>
      <c r="D46" s="95" t="e">
        <f>D21/D6</f>
        <v>#DIV/0!</v>
      </c>
      <c r="E46" s="95" t="e">
        <f t="shared" ref="E46:F46" si="68">E21/E6</f>
        <v>#DIV/0!</v>
      </c>
      <c r="F46" s="95" t="e">
        <f t="shared" si="68"/>
        <v>#DIV/0!</v>
      </c>
      <c r="G46" s="95" t="e">
        <f t="shared" ref="G46:Q46" si="69">G21/G6</f>
        <v>#DIV/0!</v>
      </c>
      <c r="H46" s="95" t="e">
        <f t="shared" si="69"/>
        <v>#DIV/0!</v>
      </c>
      <c r="I46" s="95" t="e">
        <f t="shared" si="69"/>
        <v>#DIV/0!</v>
      </c>
      <c r="J46" s="95" t="e">
        <f t="shared" si="69"/>
        <v>#DIV/0!</v>
      </c>
      <c r="K46" s="95" t="e">
        <f t="shared" si="69"/>
        <v>#DIV/0!</v>
      </c>
      <c r="L46" s="95" t="e">
        <f t="shared" si="69"/>
        <v>#DIV/0!</v>
      </c>
      <c r="M46" s="95" t="e">
        <f t="shared" si="69"/>
        <v>#DIV/0!</v>
      </c>
      <c r="N46" s="95" t="e">
        <f t="shared" si="69"/>
        <v>#DIV/0!</v>
      </c>
      <c r="O46" s="95" t="e">
        <f t="shared" si="69"/>
        <v>#DIV/0!</v>
      </c>
      <c r="P46" s="95" t="e">
        <f t="shared" si="69"/>
        <v>#DIV/0!</v>
      </c>
      <c r="Q46" s="95" t="e">
        <f t="shared" si="69"/>
        <v>#DIV/0!</v>
      </c>
      <c r="R46" s="95" t="e">
        <f t="shared" ref="R46:S46" si="70">R21/R6</f>
        <v>#DIV/0!</v>
      </c>
      <c r="S46" s="95" t="e">
        <f t="shared" si="70"/>
        <v>#DIV/0!</v>
      </c>
      <c r="T46" s="95"/>
      <c r="AT46" s="90" t="s">
        <v>62</v>
      </c>
      <c r="AU46" s="90" t="s">
        <v>120</v>
      </c>
    </row>
    <row r="47" spans="1:47" s="73" customFormat="1">
      <c r="A47" s="75">
        <v>5</v>
      </c>
      <c r="B47" s="90" t="s">
        <v>120</v>
      </c>
      <c r="C47" s="87">
        <f>'2025年'!C47</f>
        <v>81.492920353982299</v>
      </c>
      <c r="D47" s="87">
        <f>'2025年'!D47</f>
        <v>64.999557522123894</v>
      </c>
      <c r="E47" s="87">
        <f>'2025年'!E47</f>
        <v>64.999557522123894</v>
      </c>
      <c r="F47" s="87">
        <f>'2025年'!F47</f>
        <v>81.492920353982299</v>
      </c>
      <c r="G47" s="87">
        <f>'2025年'!G47</f>
        <v>81.492920353982299</v>
      </c>
      <c r="H47" s="87">
        <f>'2025年'!H47</f>
        <v>64.999557522123894</v>
      </c>
      <c r="I47" s="87">
        <f>'2025年'!I47</f>
        <v>64.999557522123894</v>
      </c>
      <c r="J47" s="87">
        <f>'2025年'!J47</f>
        <v>36.348230088495576</v>
      </c>
      <c r="K47" s="87">
        <f>'2025年'!K47</f>
        <v>25.069911504424777</v>
      </c>
      <c r="L47" s="87">
        <f>'2025年'!L47</f>
        <v>20.734513274336283</v>
      </c>
      <c r="M47" s="87">
        <f>'2025年'!M47</f>
        <v>20.734513274336283</v>
      </c>
      <c r="N47" s="87">
        <f>'2025年'!N47</f>
        <v>20.734513274336283</v>
      </c>
      <c r="O47" s="87">
        <f>'2025年'!O47</f>
        <v>20.734513274336283</v>
      </c>
      <c r="P47" s="87">
        <f>'2025年'!P47</f>
        <v>20.734513274336283</v>
      </c>
      <c r="Q47" s="87">
        <f>'2025年'!Q47</f>
        <v>81.492920353982299</v>
      </c>
      <c r="R47" s="87">
        <f>'2025年'!R47</f>
        <v>36.285398230088497</v>
      </c>
      <c r="S47" s="87">
        <f>'2025年'!S47</f>
        <v>25.069911504424777</v>
      </c>
      <c r="T47" s="95"/>
      <c r="AT47" s="90" t="s">
        <v>62</v>
      </c>
      <c r="AU47" s="90" t="s">
        <v>120</v>
      </c>
    </row>
    <row r="48" spans="1:47">
      <c r="A48" s="78" t="s">
        <v>113</v>
      </c>
      <c r="B48" s="83" t="s">
        <v>131</v>
      </c>
      <c r="C48" s="89" t="e">
        <f>C40-C43-C44-C45-C47-C46</f>
        <v>#DIV/0!</v>
      </c>
      <c r="D48" s="89" t="e">
        <f>D40-D43-D44-D45-D47-D46</f>
        <v>#DIV/0!</v>
      </c>
      <c r="E48" s="89" t="e">
        <f t="shared" ref="E48:F48" si="71">E40-E43-E44-E45-E47-E46</f>
        <v>#DIV/0!</v>
      </c>
      <c r="F48" s="89" t="e">
        <f t="shared" si="71"/>
        <v>#DIV/0!</v>
      </c>
      <c r="G48" s="89" t="e">
        <f t="shared" ref="G48:Q48" si="72">G40-G43-G44-G45-G47-G46</f>
        <v>#DIV/0!</v>
      </c>
      <c r="H48" s="89" t="e">
        <f t="shared" si="72"/>
        <v>#DIV/0!</v>
      </c>
      <c r="I48" s="89" t="e">
        <f t="shared" si="72"/>
        <v>#DIV/0!</v>
      </c>
      <c r="J48" s="89" t="e">
        <f t="shared" si="72"/>
        <v>#DIV/0!</v>
      </c>
      <c r="K48" s="89" t="e">
        <f t="shared" si="72"/>
        <v>#DIV/0!</v>
      </c>
      <c r="L48" s="89" t="e">
        <f t="shared" si="72"/>
        <v>#DIV/0!</v>
      </c>
      <c r="M48" s="89" t="e">
        <f t="shared" si="72"/>
        <v>#DIV/0!</v>
      </c>
      <c r="N48" s="89" t="e">
        <f t="shared" si="72"/>
        <v>#DIV/0!</v>
      </c>
      <c r="O48" s="89" t="e">
        <f t="shared" si="72"/>
        <v>#DIV/0!</v>
      </c>
      <c r="P48" s="89" t="e">
        <f t="shared" si="72"/>
        <v>#DIV/0!</v>
      </c>
      <c r="Q48" s="89" t="e">
        <f t="shared" si="72"/>
        <v>#DIV/0!</v>
      </c>
      <c r="R48" s="89" t="e">
        <f t="shared" ref="R48:S48" si="73">R40-R43-R44-R45-R47-R46</f>
        <v>#DIV/0!</v>
      </c>
      <c r="S48" s="89" t="e">
        <f t="shared" si="73"/>
        <v>#DIV/0!</v>
      </c>
      <c r="T48" s="89"/>
      <c r="AT48" s="78" t="s">
        <v>130</v>
      </c>
      <c r="AU48" s="83" t="s">
        <v>131</v>
      </c>
    </row>
    <row r="51" spans="2:25"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</row>
    <row r="54" spans="2:25">
      <c r="B54" s="2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2"/>
      <c r="V54" s="2"/>
      <c r="W54" s="2"/>
      <c r="X54" s="2"/>
      <c r="Y54" s="2"/>
    </row>
    <row r="55" spans="2:25">
      <c r="B55" s="2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2"/>
      <c r="V55" s="2"/>
      <c r="W55" s="2"/>
      <c r="X55" s="2"/>
      <c r="Y55" s="2"/>
    </row>
    <row r="56" spans="2:25">
      <c r="B56" s="2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2"/>
      <c r="V56" s="2"/>
      <c r="W56" s="2"/>
      <c r="X56" s="2"/>
      <c r="Y56" s="2"/>
    </row>
    <row r="57" spans="2:25">
      <c r="B57" s="2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2"/>
      <c r="V57" s="2"/>
      <c r="W57" s="2"/>
      <c r="X57" s="2"/>
      <c r="Y57" s="2"/>
    </row>
    <row r="58" spans="2:25">
      <c r="B58" s="2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2"/>
      <c r="V58" s="2"/>
      <c r="W58" s="2"/>
      <c r="X58" s="2"/>
      <c r="Y58" s="2"/>
    </row>
    <row r="59" spans="2:25">
      <c r="B59" s="2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2"/>
      <c r="V59" s="2"/>
      <c r="W59" s="2"/>
      <c r="X59" s="2"/>
      <c r="Y59" s="2"/>
    </row>
    <row r="60" spans="2:25">
      <c r="B60" s="2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2"/>
      <c r="V60" s="2"/>
      <c r="W60" s="2"/>
      <c r="X60" s="2"/>
      <c r="Y60" s="2"/>
    </row>
    <row r="61" spans="2:25">
      <c r="B61" s="2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2"/>
      <c r="V61" s="2"/>
      <c r="W61" s="2"/>
      <c r="X61" s="2"/>
      <c r="Y61" s="2"/>
    </row>
    <row r="62" spans="2:25">
      <c r="B62" s="2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2"/>
      <c r="V62" s="2"/>
      <c r="W62" s="2"/>
      <c r="X62" s="2"/>
      <c r="Y62" s="2"/>
    </row>
    <row r="63" spans="2:25">
      <c r="B63" s="2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2"/>
      <c r="V63" s="2"/>
      <c r="W63" s="2"/>
      <c r="X63" s="2"/>
      <c r="Y63" s="2"/>
    </row>
    <row r="64" spans="2:25">
      <c r="B64" s="2"/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2"/>
      <c r="V64" s="2"/>
      <c r="W64" s="2"/>
      <c r="X64" s="2"/>
      <c r="Y64" s="2"/>
    </row>
    <row r="65" spans="2:25">
      <c r="B65" s="2"/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2"/>
      <c r="V65" s="2"/>
      <c r="W65" s="2"/>
      <c r="X65" s="2"/>
      <c r="Y65" s="2"/>
    </row>
    <row r="66" spans="2:25">
      <c r="B66" s="2"/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2"/>
      <c r="V66" s="2"/>
      <c r="W66" s="2"/>
      <c r="X66" s="2"/>
      <c r="Y66" s="2"/>
    </row>
    <row r="67" spans="2:25">
      <c r="B67" s="2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2"/>
    </row>
    <row r="68" spans="2:25">
      <c r="B68" s="2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2"/>
    </row>
    <row r="69" spans="2:25">
      <c r="B69" s="2"/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2"/>
    </row>
    <row r="70" spans="2:25">
      <c r="B70" s="2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2"/>
    </row>
    <row r="71" spans="2:25">
      <c r="B71" s="2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2"/>
    </row>
    <row r="72" spans="2:25">
      <c r="B72" s="2"/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2"/>
    </row>
    <row r="73" spans="2:25">
      <c r="B73" s="2"/>
      <c r="C73" s="97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2"/>
    </row>
    <row r="74" spans="2:25">
      <c r="B74" s="2"/>
      <c r="C74" s="97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2"/>
    </row>
  </sheetData>
  <mergeCells count="8">
    <mergeCell ref="A4:B4"/>
    <mergeCell ref="A5:B5"/>
    <mergeCell ref="T3:T5"/>
    <mergeCell ref="A1:B1"/>
    <mergeCell ref="C1:T1"/>
    <mergeCell ref="A2:B2"/>
    <mergeCell ref="C2:T2"/>
    <mergeCell ref="A3:B3"/>
  </mergeCells>
  <phoneticPr fontId="45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4"/>
  <sheetViews>
    <sheetView zoomScale="90" zoomScaleNormal="90" workbookViewId="0">
      <pane xSplit="2" ySplit="6" topLeftCell="M28" activePane="bottomRight" state="frozen"/>
      <selection pane="topRight" activeCell="C1" sqref="C1"/>
      <selection pane="bottomLeft" activeCell="A7" sqref="A7"/>
      <selection pane="bottomRight" activeCell="R34" sqref="R34"/>
    </sheetView>
  </sheetViews>
  <sheetFormatPr defaultColWidth="9" defaultRowHeight="16.5"/>
  <cols>
    <col min="1" max="1" width="5.125" style="71" customWidth="1"/>
    <col min="2" max="2" width="17.5" style="71" customWidth="1"/>
    <col min="3" max="19" width="14.375" style="74" customWidth="1"/>
    <col min="20" max="20" width="18.75" style="74" customWidth="1"/>
    <col min="21" max="21" width="12.375" style="71" customWidth="1"/>
    <col min="22" max="22" width="10.125" style="71" customWidth="1"/>
    <col min="23" max="29" width="9" style="71" customWidth="1"/>
    <col min="30" max="45" width="9" style="71"/>
    <col min="46" max="46" width="4.375" style="71" customWidth="1"/>
    <col min="47" max="47" width="13.875" style="71" customWidth="1"/>
    <col min="48" max="16384" width="9" style="71"/>
  </cols>
  <sheetData>
    <row r="1" spans="1:48">
      <c r="A1" s="223" t="s">
        <v>141</v>
      </c>
      <c r="B1" s="223"/>
      <c r="C1" s="227" t="s">
        <v>260</v>
      </c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9"/>
    </row>
    <row r="2" spans="1:48">
      <c r="A2" s="223" t="s">
        <v>142</v>
      </c>
      <c r="B2" s="223"/>
      <c r="C2" s="230" t="str">
        <f>'2025年'!$C$2</f>
        <v>北汽福田戴姆勒</v>
      </c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</row>
    <row r="3" spans="1:48">
      <c r="A3" s="223" t="s">
        <v>143</v>
      </c>
      <c r="B3" s="223"/>
      <c r="C3" s="76" t="str">
        <f>'2025年'!C3</f>
        <v>A668100000203</v>
      </c>
      <c r="D3" s="76" t="str">
        <f>'2025年'!D3</f>
        <v>A668100000205</v>
      </c>
      <c r="E3" s="76" t="str">
        <f>'2025年'!E3</f>
        <v>A668100000206</v>
      </c>
      <c r="F3" s="76" t="str">
        <f>'2025年'!F3</f>
        <v>A668100000207</v>
      </c>
      <c r="G3" s="76" t="str">
        <f>'2025年'!G3</f>
        <v>A668100000208</v>
      </c>
      <c r="H3" s="76" t="str">
        <f>'2025年'!H3</f>
        <v>A668100000209</v>
      </c>
      <c r="I3" s="76" t="str">
        <f>'2025年'!I3</f>
        <v>A668100000210</v>
      </c>
      <c r="J3" s="76" t="str">
        <f>'2025年'!J3</f>
        <v>A668100000216</v>
      </c>
      <c r="K3" s="76" t="str">
        <f>'2025年'!K3</f>
        <v>A668100000218</v>
      </c>
      <c r="L3" s="76" t="str">
        <f>'2025年'!L3</f>
        <v>A668100000219</v>
      </c>
      <c r="M3" s="76" t="str">
        <f>'2025年'!M3</f>
        <v>A668100000220</v>
      </c>
      <c r="N3" s="76" t="str">
        <f>'2025年'!N3</f>
        <v>A668100000221</v>
      </c>
      <c r="O3" s="76" t="str">
        <f>'2025年'!O3</f>
        <v>A668100000222</v>
      </c>
      <c r="P3" s="76" t="str">
        <f>'2025年'!P3</f>
        <v>A668100000223</v>
      </c>
      <c r="Q3" s="76" t="str">
        <f>'2025年'!Q3</f>
        <v>A668100000204</v>
      </c>
      <c r="R3" s="76" t="str">
        <f>'2025年'!R3</f>
        <v>A668100000215</v>
      </c>
      <c r="S3" s="76" t="str">
        <f>'2025年'!S3</f>
        <v>A668100000217</v>
      </c>
      <c r="T3" s="224" t="s">
        <v>51</v>
      </c>
    </row>
    <row r="4" spans="1:48">
      <c r="A4" s="223" t="s">
        <v>144</v>
      </c>
      <c r="B4" s="223"/>
      <c r="C4" s="76" t="str">
        <f>'2025年'!C4</f>
        <v>驾驶员座椅总成</v>
      </c>
      <c r="D4" s="76" t="str">
        <f>'2025年'!D4</f>
        <v>驾驶员座椅总成</v>
      </c>
      <c r="E4" s="76" t="str">
        <f>'2025年'!E4</f>
        <v>驾驶员座椅总成</v>
      </c>
      <c r="F4" s="76" t="str">
        <f>'2025年'!F4</f>
        <v>驾驶员座椅总成</v>
      </c>
      <c r="G4" s="76" t="str">
        <f>'2025年'!G4</f>
        <v>驾驶员座椅总成</v>
      </c>
      <c r="H4" s="76" t="str">
        <f>'2025年'!H4</f>
        <v>驾驶员座椅总成</v>
      </c>
      <c r="I4" s="76" t="str">
        <f>'2025年'!I4</f>
        <v>驾驶员座椅总成</v>
      </c>
      <c r="J4" s="76" t="str">
        <f>'2025年'!J4</f>
        <v>副驾驶员座椅总成</v>
      </c>
      <c r="K4" s="76" t="str">
        <f>'2025年'!K4</f>
        <v>副驾驶员座椅总成</v>
      </c>
      <c r="L4" s="76" t="str">
        <f>'2025年'!L4</f>
        <v>副驾驶员座椅总成</v>
      </c>
      <c r="M4" s="76" t="str">
        <f>'2025年'!M4</f>
        <v>副驾驶员座椅总成</v>
      </c>
      <c r="N4" s="76" t="str">
        <f>'2025年'!N4</f>
        <v>副驾驶员座椅总成</v>
      </c>
      <c r="O4" s="76" t="str">
        <f>'2025年'!O4</f>
        <v>副驾驶员座椅总成</v>
      </c>
      <c r="P4" s="76" t="str">
        <f>'2025年'!P4</f>
        <v>副驾驶员座椅总成</v>
      </c>
      <c r="Q4" s="76" t="str">
        <f>'2025年'!Q4</f>
        <v>驾驶员座椅总成</v>
      </c>
      <c r="R4" s="76" t="str">
        <f>'2025年'!R4</f>
        <v>副驾驶员座椅总成</v>
      </c>
      <c r="S4" s="76" t="str">
        <f>'2025年'!S4</f>
        <v>副驾驶员座椅总成</v>
      </c>
      <c r="T4" s="225"/>
    </row>
    <row r="5" spans="1:48" ht="57">
      <c r="A5" s="223" t="s">
        <v>145</v>
      </c>
      <c r="B5" s="223"/>
      <c r="C5" s="77" t="str">
        <f>'2025年'!C5</f>
        <v>在A668100000010基础上去除头枕部位的福田模压LOGO</v>
      </c>
      <c r="D5" s="77" t="str">
        <f>'2025年'!D5</f>
        <v>在A668100000108基础上去除头枕部位的福田模压LOGO</v>
      </c>
      <c r="E5" s="77" t="str">
        <f>'2025年'!E5</f>
        <v>在A668100000004基础上去除头枕部位的福田模压LOGO</v>
      </c>
      <c r="F5" s="77" t="str">
        <f>'2025年'!F5</f>
        <v>在A668100000023基础上去除头枕部位的福田模压LOGO</v>
      </c>
      <c r="G5" s="77" t="str">
        <f>'2025年'!G5</f>
        <v>在A668100000099基础上去除头枕部位的福田模压LOGO</v>
      </c>
      <c r="H5" s="77" t="str">
        <f>'2025年'!H5</f>
        <v>在A668100000101基础上去除头枕部位的福田模压LOGO</v>
      </c>
      <c r="I5" s="77" t="str">
        <f>'2025年'!I5</f>
        <v>在A668100000026基础上去除头枕部位的福田模压LOGO</v>
      </c>
      <c r="J5" s="77" t="str">
        <f>'2025年'!J5</f>
        <v>在A668100000158基础上去除头枕部位的福田模压LOGO； 有安全带未系提醒</v>
      </c>
      <c r="K5" s="77" t="str">
        <f>'2025年'!K5</f>
        <v>在A668100000011基础上去除头枕部位的福田模压LOGO； 有安全带未系提醒</v>
      </c>
      <c r="L5" s="77" t="str">
        <f>'2025年'!L5</f>
        <v>在A668100000006基础上去除头枕部位的福田模压LOGO； 有安全带未系提醒</v>
      </c>
      <c r="M5" s="77" t="str">
        <f>'2025年'!M5</f>
        <v>在A668100000112基础上去除头枕部位的福田模压LOGO； 有安全带未系提醒</v>
      </c>
      <c r="N5" s="77" t="str">
        <f>'2025年'!N5</f>
        <v>在A668100000110基础上去除头枕部位的福田模压LOGO； 有安全带未系提醒</v>
      </c>
      <c r="O5" s="77" t="str">
        <f>'2025年'!O5</f>
        <v>在A668100000100基础上去除头枕部位的福田模压LOGO； 有安全带未系提醒</v>
      </c>
      <c r="P5" s="77" t="str">
        <f>'2025年'!P5</f>
        <v>在A668100000025基础上去除头枕部位的福田模压LOGO； 有安全带未系提醒</v>
      </c>
      <c r="Q5" s="77" t="str">
        <f>'2025年'!Q5</f>
        <v>在A668100000107基础上去除头枕部位的福田模压LOGO</v>
      </c>
      <c r="R5" s="77" t="str">
        <f>'2025年'!R5</f>
        <v>在A668100000154基础上去除头枕部位的福田模压LOGO； 有安全带未系提醒</v>
      </c>
      <c r="S5" s="77" t="str">
        <f>'2025年'!S5</f>
        <v>在A668100000109基础上去除头枕部位的福田模压LOGO； 有安全带未系提醒</v>
      </c>
      <c r="T5" s="226"/>
      <c r="AV5" s="71" t="s">
        <v>52</v>
      </c>
    </row>
    <row r="6" spans="1:48">
      <c r="A6" s="78" t="s">
        <v>18</v>
      </c>
      <c r="B6" s="79" t="s">
        <v>146</v>
      </c>
      <c r="C6" s="80">
        <f>销量!C13</f>
        <v>0</v>
      </c>
      <c r="D6" s="80">
        <f>销量!D13</f>
        <v>0</v>
      </c>
      <c r="E6" s="80">
        <f>销量!E13</f>
        <v>0</v>
      </c>
      <c r="F6" s="80">
        <f>销量!F13</f>
        <v>0</v>
      </c>
      <c r="G6" s="80">
        <f>销量!G13</f>
        <v>0</v>
      </c>
      <c r="H6" s="80">
        <f>销量!H13</f>
        <v>0</v>
      </c>
      <c r="I6" s="80">
        <f>销量!I13</f>
        <v>0</v>
      </c>
      <c r="J6" s="80">
        <f>销量!J13</f>
        <v>0</v>
      </c>
      <c r="K6" s="80">
        <f>销量!K13</f>
        <v>0</v>
      </c>
      <c r="L6" s="80">
        <f>销量!L13</f>
        <v>0</v>
      </c>
      <c r="M6" s="80">
        <f>销量!M13</f>
        <v>0</v>
      </c>
      <c r="N6" s="80">
        <f>销量!N13</f>
        <v>0</v>
      </c>
      <c r="O6" s="80">
        <f>销量!O13</f>
        <v>0</v>
      </c>
      <c r="P6" s="80">
        <f>销量!P13</f>
        <v>0</v>
      </c>
      <c r="Q6" s="80">
        <f>销量!Q13</f>
        <v>0</v>
      </c>
      <c r="R6" s="80">
        <f>销量!R13</f>
        <v>0</v>
      </c>
      <c r="S6" s="80">
        <f>销量!S13</f>
        <v>0</v>
      </c>
      <c r="T6" s="81">
        <f>+SUM(C6:S6)</f>
        <v>0</v>
      </c>
      <c r="AT6" s="78" t="s">
        <v>18</v>
      </c>
      <c r="AU6" s="79" t="s">
        <v>3</v>
      </c>
      <c r="AV6" s="71" t="s">
        <v>53</v>
      </c>
    </row>
    <row r="7" spans="1:48">
      <c r="A7" s="75">
        <v>1</v>
      </c>
      <c r="B7" s="79" t="s">
        <v>54</v>
      </c>
      <c r="C7" s="81">
        <f>C6*销量!C8</f>
        <v>0</v>
      </c>
      <c r="D7" s="81">
        <f>D6*销量!D8</f>
        <v>0</v>
      </c>
      <c r="E7" s="81">
        <f>E6*销量!E8</f>
        <v>0</v>
      </c>
      <c r="F7" s="81">
        <f>F6*销量!F8</f>
        <v>0</v>
      </c>
      <c r="G7" s="81">
        <f>G6*销量!G8</f>
        <v>0</v>
      </c>
      <c r="H7" s="81">
        <f>H6*销量!H8</f>
        <v>0</v>
      </c>
      <c r="I7" s="81">
        <f>I6*销量!I8</f>
        <v>0</v>
      </c>
      <c r="J7" s="81">
        <f>J6*销量!J8</f>
        <v>0</v>
      </c>
      <c r="K7" s="81">
        <f>K6*销量!K8</f>
        <v>0</v>
      </c>
      <c r="L7" s="81">
        <f>L6*销量!L8</f>
        <v>0</v>
      </c>
      <c r="M7" s="81">
        <f>M6*销量!M8</f>
        <v>0</v>
      </c>
      <c r="N7" s="81">
        <f>N6*销量!N8</f>
        <v>0</v>
      </c>
      <c r="O7" s="81">
        <f>O6*销量!O8</f>
        <v>0</v>
      </c>
      <c r="P7" s="81">
        <f>P6*销量!P8</f>
        <v>0</v>
      </c>
      <c r="Q7" s="81">
        <f>Q6*销量!Q8</f>
        <v>0</v>
      </c>
      <c r="R7" s="81">
        <f>R6*销量!R8</f>
        <v>0</v>
      </c>
      <c r="S7" s="81">
        <f>S6*销量!S8</f>
        <v>0</v>
      </c>
      <c r="T7" s="81">
        <f t="shared" ref="T7:T13" si="0">+SUM(C7:S7)</f>
        <v>0</v>
      </c>
      <c r="U7" s="74"/>
      <c r="AT7" s="78" t="s">
        <v>55</v>
      </c>
      <c r="AU7" s="79" t="s">
        <v>54</v>
      </c>
      <c r="AV7" s="71" t="s">
        <v>53</v>
      </c>
    </row>
    <row r="8" spans="1:48">
      <c r="A8" s="75">
        <v>2</v>
      </c>
      <c r="B8" s="75" t="s">
        <v>56</v>
      </c>
      <c r="C8" s="81">
        <f>C7*(1-销量!$W$10)</f>
        <v>0</v>
      </c>
      <c r="D8" s="81">
        <f>D7*(1-销量!$W$10)</f>
        <v>0</v>
      </c>
      <c r="E8" s="81">
        <f>E7*(1-销量!$W$10)</f>
        <v>0</v>
      </c>
      <c r="F8" s="81">
        <f>F7*(1-销量!$W$10)</f>
        <v>0</v>
      </c>
      <c r="G8" s="81">
        <f>G7*(1-销量!$W$10)</f>
        <v>0</v>
      </c>
      <c r="H8" s="81">
        <f>H7*(1-销量!$W$10)</f>
        <v>0</v>
      </c>
      <c r="I8" s="81">
        <f>I7*(1-销量!$W$10)</f>
        <v>0</v>
      </c>
      <c r="J8" s="81">
        <f>J7*(1-销量!$W$10)</f>
        <v>0</v>
      </c>
      <c r="K8" s="81">
        <f>K7*(1-销量!$W$10)</f>
        <v>0</v>
      </c>
      <c r="L8" s="81">
        <f>L7*(1-销量!$W$10)</f>
        <v>0</v>
      </c>
      <c r="M8" s="81">
        <f>M7*(1-销量!$W$10)</f>
        <v>0</v>
      </c>
      <c r="N8" s="81">
        <f>N7*(1-销量!$W$10)</f>
        <v>0</v>
      </c>
      <c r="O8" s="81">
        <f>O7*(1-销量!$W$10)</f>
        <v>0</v>
      </c>
      <c r="P8" s="81">
        <f>P7*(1-销量!$W$10)</f>
        <v>0</v>
      </c>
      <c r="Q8" s="81">
        <f>Q7*(1-销量!$W$10)</f>
        <v>0</v>
      </c>
      <c r="R8" s="81">
        <f>R7*(1-销量!$W$10)</f>
        <v>0</v>
      </c>
      <c r="S8" s="81">
        <f>S7*(1-销量!$W$10)</f>
        <v>0</v>
      </c>
      <c r="T8" s="81">
        <f t="shared" si="0"/>
        <v>0</v>
      </c>
      <c r="U8" s="82"/>
      <c r="AT8" s="78" t="s">
        <v>57</v>
      </c>
      <c r="AU8" s="75" t="s">
        <v>58</v>
      </c>
      <c r="AV8" s="71" t="s">
        <v>53</v>
      </c>
    </row>
    <row r="9" spans="1:48">
      <c r="A9" s="75">
        <v>3</v>
      </c>
      <c r="B9" s="79" t="s">
        <v>59</v>
      </c>
      <c r="C9" s="81">
        <f>+C7-C8</f>
        <v>0</v>
      </c>
      <c r="D9" s="81">
        <f>+D7-D8</f>
        <v>0</v>
      </c>
      <c r="E9" s="81">
        <f t="shared" ref="E9:T9" si="1">+E7-E8</f>
        <v>0</v>
      </c>
      <c r="F9" s="81">
        <f t="shared" si="1"/>
        <v>0</v>
      </c>
      <c r="G9" s="81">
        <f t="shared" ref="G9:Q9" si="2">+G7-G8</f>
        <v>0</v>
      </c>
      <c r="H9" s="81">
        <f t="shared" si="2"/>
        <v>0</v>
      </c>
      <c r="I9" s="81">
        <f t="shared" si="2"/>
        <v>0</v>
      </c>
      <c r="J9" s="81">
        <f t="shared" si="2"/>
        <v>0</v>
      </c>
      <c r="K9" s="81">
        <f t="shared" si="2"/>
        <v>0</v>
      </c>
      <c r="L9" s="81">
        <f t="shared" si="2"/>
        <v>0</v>
      </c>
      <c r="M9" s="81">
        <f t="shared" si="2"/>
        <v>0</v>
      </c>
      <c r="N9" s="81">
        <f t="shared" si="2"/>
        <v>0</v>
      </c>
      <c r="O9" s="81">
        <f t="shared" si="2"/>
        <v>0</v>
      </c>
      <c r="P9" s="81">
        <f t="shared" si="2"/>
        <v>0</v>
      </c>
      <c r="Q9" s="81">
        <f t="shared" si="2"/>
        <v>0</v>
      </c>
      <c r="R9" s="81">
        <f t="shared" ref="R9:S9" si="3">+R7-R8</f>
        <v>0</v>
      </c>
      <c r="S9" s="81">
        <f t="shared" si="3"/>
        <v>0</v>
      </c>
      <c r="T9" s="81">
        <f t="shared" si="1"/>
        <v>0</v>
      </c>
      <c r="AT9" s="78" t="s">
        <v>60</v>
      </c>
      <c r="AU9" s="79" t="s">
        <v>59</v>
      </c>
      <c r="AV9" s="71" t="s">
        <v>61</v>
      </c>
    </row>
    <row r="10" spans="1:48">
      <c r="A10" s="75">
        <v>4</v>
      </c>
      <c r="B10" s="78" t="s">
        <v>63</v>
      </c>
      <c r="C10" s="81">
        <f>C6*C33</f>
        <v>0</v>
      </c>
      <c r="D10" s="81">
        <f>D6*D33</f>
        <v>0</v>
      </c>
      <c r="E10" s="81">
        <f t="shared" ref="E10:F10" si="4">E6*E33</f>
        <v>0</v>
      </c>
      <c r="F10" s="81">
        <f t="shared" si="4"/>
        <v>0</v>
      </c>
      <c r="G10" s="81">
        <f t="shared" ref="G10:Q10" si="5">G6*G33</f>
        <v>0</v>
      </c>
      <c r="H10" s="81">
        <f t="shared" si="5"/>
        <v>0</v>
      </c>
      <c r="I10" s="81">
        <f t="shared" si="5"/>
        <v>0</v>
      </c>
      <c r="J10" s="81">
        <f t="shared" si="5"/>
        <v>0</v>
      </c>
      <c r="K10" s="81">
        <f t="shared" si="5"/>
        <v>0</v>
      </c>
      <c r="L10" s="81">
        <f t="shared" si="5"/>
        <v>0</v>
      </c>
      <c r="M10" s="81">
        <f t="shared" si="5"/>
        <v>0</v>
      </c>
      <c r="N10" s="81">
        <f t="shared" si="5"/>
        <v>0</v>
      </c>
      <c r="O10" s="81">
        <f t="shared" si="5"/>
        <v>0</v>
      </c>
      <c r="P10" s="81">
        <f t="shared" si="5"/>
        <v>0</v>
      </c>
      <c r="Q10" s="81">
        <f t="shared" si="5"/>
        <v>0</v>
      </c>
      <c r="R10" s="81">
        <f t="shared" ref="R10:S10" si="6">R6*R33</f>
        <v>0</v>
      </c>
      <c r="S10" s="81">
        <f t="shared" si="6"/>
        <v>0</v>
      </c>
      <c r="T10" s="81">
        <f t="shared" si="0"/>
        <v>0</v>
      </c>
      <c r="AT10" s="78" t="s">
        <v>62</v>
      </c>
      <c r="AU10" s="78" t="s">
        <v>63</v>
      </c>
      <c r="AV10" s="71" t="s">
        <v>64</v>
      </c>
    </row>
    <row r="11" spans="1:48">
      <c r="A11" s="75">
        <v>5</v>
      </c>
      <c r="B11" s="78" t="s">
        <v>65</v>
      </c>
      <c r="C11" s="81">
        <f>+C6*C36</f>
        <v>0</v>
      </c>
      <c r="D11" s="81">
        <f>+D6*D36</f>
        <v>0</v>
      </c>
      <c r="E11" s="81">
        <f t="shared" ref="E11:F11" si="7">+E6*E36</f>
        <v>0</v>
      </c>
      <c r="F11" s="81">
        <f t="shared" si="7"/>
        <v>0</v>
      </c>
      <c r="G11" s="81">
        <f t="shared" ref="G11:Q11" si="8">+G6*G36</f>
        <v>0</v>
      </c>
      <c r="H11" s="81">
        <f t="shared" si="8"/>
        <v>0</v>
      </c>
      <c r="I11" s="81">
        <f t="shared" si="8"/>
        <v>0</v>
      </c>
      <c r="J11" s="81">
        <f t="shared" si="8"/>
        <v>0</v>
      </c>
      <c r="K11" s="81">
        <f t="shared" si="8"/>
        <v>0</v>
      </c>
      <c r="L11" s="81">
        <f t="shared" si="8"/>
        <v>0</v>
      </c>
      <c r="M11" s="81">
        <f t="shared" si="8"/>
        <v>0</v>
      </c>
      <c r="N11" s="81">
        <f t="shared" si="8"/>
        <v>0</v>
      </c>
      <c r="O11" s="81">
        <f t="shared" si="8"/>
        <v>0</v>
      </c>
      <c r="P11" s="81">
        <f t="shared" si="8"/>
        <v>0</v>
      </c>
      <c r="Q11" s="81">
        <f t="shared" si="8"/>
        <v>0</v>
      </c>
      <c r="R11" s="81">
        <f t="shared" ref="R11:S11" si="9">+R6*R36</f>
        <v>0</v>
      </c>
      <c r="S11" s="81">
        <f t="shared" si="9"/>
        <v>0</v>
      </c>
      <c r="T11" s="81">
        <f t="shared" si="0"/>
        <v>0</v>
      </c>
      <c r="AT11" s="78" t="s">
        <v>66</v>
      </c>
      <c r="AU11" s="78" t="s">
        <v>65</v>
      </c>
    </row>
    <row r="12" spans="1:48">
      <c r="A12" s="75">
        <v>6</v>
      </c>
      <c r="B12" s="78" t="s">
        <v>67</v>
      </c>
      <c r="C12" s="81">
        <f>+C6*C37</f>
        <v>0</v>
      </c>
      <c r="D12" s="81">
        <f>+D6*D37</f>
        <v>0</v>
      </c>
      <c r="E12" s="81">
        <f t="shared" ref="E12:F12" si="10">+E6*E37</f>
        <v>0</v>
      </c>
      <c r="F12" s="81">
        <f t="shared" si="10"/>
        <v>0</v>
      </c>
      <c r="G12" s="81">
        <f t="shared" ref="G12:Q12" si="11">+G6*G37</f>
        <v>0</v>
      </c>
      <c r="H12" s="81">
        <f t="shared" si="11"/>
        <v>0</v>
      </c>
      <c r="I12" s="81">
        <f t="shared" si="11"/>
        <v>0</v>
      </c>
      <c r="J12" s="81">
        <f t="shared" si="11"/>
        <v>0</v>
      </c>
      <c r="K12" s="81">
        <f t="shared" si="11"/>
        <v>0</v>
      </c>
      <c r="L12" s="81">
        <f t="shared" si="11"/>
        <v>0</v>
      </c>
      <c r="M12" s="81">
        <f t="shared" si="11"/>
        <v>0</v>
      </c>
      <c r="N12" s="81">
        <f t="shared" si="11"/>
        <v>0</v>
      </c>
      <c r="O12" s="81">
        <f t="shared" si="11"/>
        <v>0</v>
      </c>
      <c r="P12" s="81">
        <f t="shared" si="11"/>
        <v>0</v>
      </c>
      <c r="Q12" s="81">
        <f t="shared" si="11"/>
        <v>0</v>
      </c>
      <c r="R12" s="81">
        <f t="shared" ref="R12:S12" si="12">+R6*R37</f>
        <v>0</v>
      </c>
      <c r="S12" s="81">
        <f t="shared" si="12"/>
        <v>0</v>
      </c>
      <c r="T12" s="81">
        <f t="shared" si="0"/>
        <v>0</v>
      </c>
      <c r="AT12" s="78" t="s">
        <v>68</v>
      </c>
      <c r="AU12" s="78" t="s">
        <v>67</v>
      </c>
    </row>
    <row r="13" spans="1:48">
      <c r="A13" s="75">
        <v>7</v>
      </c>
      <c r="B13" s="78" t="s">
        <v>69</v>
      </c>
      <c r="C13" s="81">
        <f>+C6*C38</f>
        <v>0</v>
      </c>
      <c r="D13" s="81">
        <f>+D6*D38</f>
        <v>0</v>
      </c>
      <c r="E13" s="81">
        <f t="shared" ref="E13:F13" si="13">+E6*E38</f>
        <v>0</v>
      </c>
      <c r="F13" s="81">
        <f t="shared" si="13"/>
        <v>0</v>
      </c>
      <c r="G13" s="81">
        <f t="shared" ref="G13:Q13" si="14">+G6*G38</f>
        <v>0</v>
      </c>
      <c r="H13" s="81">
        <f t="shared" si="14"/>
        <v>0</v>
      </c>
      <c r="I13" s="81">
        <f t="shared" si="14"/>
        <v>0</v>
      </c>
      <c r="J13" s="81">
        <f t="shared" si="14"/>
        <v>0</v>
      </c>
      <c r="K13" s="81">
        <f t="shared" si="14"/>
        <v>0</v>
      </c>
      <c r="L13" s="81">
        <f t="shared" si="14"/>
        <v>0</v>
      </c>
      <c r="M13" s="81">
        <f t="shared" si="14"/>
        <v>0</v>
      </c>
      <c r="N13" s="81">
        <f t="shared" si="14"/>
        <v>0</v>
      </c>
      <c r="O13" s="81">
        <f t="shared" si="14"/>
        <v>0</v>
      </c>
      <c r="P13" s="81">
        <f t="shared" si="14"/>
        <v>0</v>
      </c>
      <c r="Q13" s="81">
        <f t="shared" si="14"/>
        <v>0</v>
      </c>
      <c r="R13" s="81">
        <f t="shared" ref="R13:S13" si="15">+R6*R38</f>
        <v>0</v>
      </c>
      <c r="S13" s="81">
        <f t="shared" si="15"/>
        <v>0</v>
      </c>
      <c r="T13" s="81">
        <f t="shared" si="0"/>
        <v>0</v>
      </c>
      <c r="AT13" s="78" t="s">
        <v>70</v>
      </c>
      <c r="AU13" s="78" t="s">
        <v>69</v>
      </c>
      <c r="AV13" s="71" t="s">
        <v>53</v>
      </c>
    </row>
    <row r="14" spans="1:48">
      <c r="A14" s="75">
        <v>8</v>
      </c>
      <c r="B14" s="83" t="s">
        <v>71</v>
      </c>
      <c r="C14" s="81">
        <f>SUM(C11:C13)</f>
        <v>0</v>
      </c>
      <c r="D14" s="81">
        <f>SUM(D11:D13)</f>
        <v>0</v>
      </c>
      <c r="E14" s="81">
        <f t="shared" ref="E14:T14" si="16">SUM(E11:E13)</f>
        <v>0</v>
      </c>
      <c r="F14" s="81">
        <f t="shared" si="16"/>
        <v>0</v>
      </c>
      <c r="G14" s="81">
        <f t="shared" ref="G14:Q14" si="17">SUM(G11:G13)</f>
        <v>0</v>
      </c>
      <c r="H14" s="81">
        <f t="shared" si="17"/>
        <v>0</v>
      </c>
      <c r="I14" s="81">
        <f t="shared" si="17"/>
        <v>0</v>
      </c>
      <c r="J14" s="81">
        <f t="shared" si="17"/>
        <v>0</v>
      </c>
      <c r="K14" s="81">
        <f t="shared" si="17"/>
        <v>0</v>
      </c>
      <c r="L14" s="81">
        <f t="shared" si="17"/>
        <v>0</v>
      </c>
      <c r="M14" s="81">
        <f t="shared" si="17"/>
        <v>0</v>
      </c>
      <c r="N14" s="81">
        <f t="shared" si="17"/>
        <v>0</v>
      </c>
      <c r="O14" s="81">
        <f t="shared" si="17"/>
        <v>0</v>
      </c>
      <c r="P14" s="81">
        <f t="shared" si="17"/>
        <v>0</v>
      </c>
      <c r="Q14" s="81">
        <f t="shared" si="17"/>
        <v>0</v>
      </c>
      <c r="R14" s="81">
        <f t="shared" ref="R14:S14" si="18">SUM(R11:R13)</f>
        <v>0</v>
      </c>
      <c r="S14" s="81">
        <f t="shared" si="18"/>
        <v>0</v>
      </c>
      <c r="T14" s="81">
        <f t="shared" si="16"/>
        <v>0</v>
      </c>
      <c r="AT14" s="78" t="s">
        <v>72</v>
      </c>
      <c r="AU14" s="83" t="s">
        <v>71</v>
      </c>
    </row>
    <row r="15" spans="1:48">
      <c r="A15" s="75">
        <v>9</v>
      </c>
      <c r="B15" s="83" t="s">
        <v>73</v>
      </c>
      <c r="C15" s="81">
        <f>+C9-C10-C14</f>
        <v>0</v>
      </c>
      <c r="D15" s="81">
        <f>+D9-D10-D14</f>
        <v>0</v>
      </c>
      <c r="E15" s="81">
        <f t="shared" ref="E15:T15" si="19">+E9-E10-E14</f>
        <v>0</v>
      </c>
      <c r="F15" s="81">
        <f t="shared" si="19"/>
        <v>0</v>
      </c>
      <c r="G15" s="81">
        <f t="shared" ref="G15:Q15" si="20">+G9-G10-G14</f>
        <v>0</v>
      </c>
      <c r="H15" s="81">
        <f t="shared" si="20"/>
        <v>0</v>
      </c>
      <c r="I15" s="81">
        <f t="shared" si="20"/>
        <v>0</v>
      </c>
      <c r="J15" s="81">
        <f t="shared" si="20"/>
        <v>0</v>
      </c>
      <c r="K15" s="81">
        <f t="shared" si="20"/>
        <v>0</v>
      </c>
      <c r="L15" s="81">
        <f t="shared" si="20"/>
        <v>0</v>
      </c>
      <c r="M15" s="81">
        <f t="shared" si="20"/>
        <v>0</v>
      </c>
      <c r="N15" s="81">
        <f t="shared" si="20"/>
        <v>0</v>
      </c>
      <c r="O15" s="81">
        <f t="shared" si="20"/>
        <v>0</v>
      </c>
      <c r="P15" s="81">
        <f t="shared" si="20"/>
        <v>0</v>
      </c>
      <c r="Q15" s="81">
        <f t="shared" si="20"/>
        <v>0</v>
      </c>
      <c r="R15" s="81">
        <f t="shared" ref="R15:S15" si="21">+R9-R10-R14</f>
        <v>0</v>
      </c>
      <c r="S15" s="81">
        <f t="shared" si="21"/>
        <v>0</v>
      </c>
      <c r="T15" s="81">
        <f t="shared" si="19"/>
        <v>0</v>
      </c>
      <c r="AT15" s="78" t="s">
        <v>74</v>
      </c>
      <c r="AU15" s="83" t="s">
        <v>73</v>
      </c>
    </row>
    <row r="16" spans="1:48">
      <c r="A16" s="75">
        <v>10</v>
      </c>
      <c r="B16" s="78" t="s">
        <v>75</v>
      </c>
      <c r="C16" s="84" t="e">
        <f>+C15/C9</f>
        <v>#DIV/0!</v>
      </c>
      <c r="D16" s="84" t="e">
        <f>+D15/D9</f>
        <v>#DIV/0!</v>
      </c>
      <c r="E16" s="84" t="e">
        <f t="shared" ref="E16:F16" si="22">+E15/E9</f>
        <v>#DIV/0!</v>
      </c>
      <c r="F16" s="84" t="e">
        <f t="shared" si="22"/>
        <v>#DIV/0!</v>
      </c>
      <c r="G16" s="84" t="e">
        <f t="shared" ref="G16:Q16" si="23">+G15/G9</f>
        <v>#DIV/0!</v>
      </c>
      <c r="H16" s="84" t="e">
        <f t="shared" si="23"/>
        <v>#DIV/0!</v>
      </c>
      <c r="I16" s="84" t="e">
        <f t="shared" si="23"/>
        <v>#DIV/0!</v>
      </c>
      <c r="J16" s="84" t="e">
        <f t="shared" si="23"/>
        <v>#DIV/0!</v>
      </c>
      <c r="K16" s="84" t="e">
        <f t="shared" si="23"/>
        <v>#DIV/0!</v>
      </c>
      <c r="L16" s="84" t="e">
        <f t="shared" si="23"/>
        <v>#DIV/0!</v>
      </c>
      <c r="M16" s="84" t="e">
        <f t="shared" si="23"/>
        <v>#DIV/0!</v>
      </c>
      <c r="N16" s="84" t="e">
        <f t="shared" si="23"/>
        <v>#DIV/0!</v>
      </c>
      <c r="O16" s="84" t="e">
        <f t="shared" si="23"/>
        <v>#DIV/0!</v>
      </c>
      <c r="P16" s="84" t="e">
        <f t="shared" si="23"/>
        <v>#DIV/0!</v>
      </c>
      <c r="Q16" s="84" t="e">
        <f t="shared" si="23"/>
        <v>#DIV/0!</v>
      </c>
      <c r="R16" s="84" t="e">
        <f t="shared" ref="R16:S16" si="24">+R15/R9</f>
        <v>#DIV/0!</v>
      </c>
      <c r="S16" s="84" t="e">
        <f t="shared" si="24"/>
        <v>#DIV/0!</v>
      </c>
      <c r="T16" s="84" t="e">
        <f>+T15/T9</f>
        <v>#DIV/0!</v>
      </c>
      <c r="U16" s="85"/>
      <c r="V16" s="85"/>
      <c r="W16" s="85"/>
      <c r="AT16" s="78" t="s">
        <v>76</v>
      </c>
      <c r="AU16" s="78" t="s">
        <v>75</v>
      </c>
    </row>
    <row r="17" spans="1:48">
      <c r="A17" s="75">
        <v>11</v>
      </c>
      <c r="B17" s="78" t="s">
        <v>77</v>
      </c>
      <c r="C17" s="81" t="e">
        <f>C6*C43+C18</f>
        <v>#DIV/0!</v>
      </c>
      <c r="D17" s="81" t="e">
        <f>D6*D43+D18</f>
        <v>#DIV/0!</v>
      </c>
      <c r="E17" s="81" t="e">
        <f t="shared" ref="E17:F17" si="25">E6*E43+E18</f>
        <v>#DIV/0!</v>
      </c>
      <c r="F17" s="81" t="e">
        <f t="shared" si="25"/>
        <v>#DIV/0!</v>
      </c>
      <c r="G17" s="81" t="e">
        <f t="shared" ref="G17:Q17" si="26">G6*G43+G18</f>
        <v>#DIV/0!</v>
      </c>
      <c r="H17" s="81" t="e">
        <f t="shared" si="26"/>
        <v>#DIV/0!</v>
      </c>
      <c r="I17" s="81" t="e">
        <f t="shared" si="26"/>
        <v>#DIV/0!</v>
      </c>
      <c r="J17" s="81" t="e">
        <f t="shared" si="26"/>
        <v>#DIV/0!</v>
      </c>
      <c r="K17" s="81" t="e">
        <f t="shared" si="26"/>
        <v>#DIV/0!</v>
      </c>
      <c r="L17" s="81" t="e">
        <f t="shared" si="26"/>
        <v>#DIV/0!</v>
      </c>
      <c r="M17" s="81" t="e">
        <f t="shared" si="26"/>
        <v>#DIV/0!</v>
      </c>
      <c r="N17" s="81" t="e">
        <f t="shared" si="26"/>
        <v>#DIV/0!</v>
      </c>
      <c r="O17" s="81" t="e">
        <f t="shared" si="26"/>
        <v>#DIV/0!</v>
      </c>
      <c r="P17" s="81" t="e">
        <f t="shared" si="26"/>
        <v>#DIV/0!</v>
      </c>
      <c r="Q17" s="81" t="e">
        <f t="shared" si="26"/>
        <v>#DIV/0!</v>
      </c>
      <c r="R17" s="81" t="e">
        <f t="shared" ref="R17:S17" si="27">R6*R43+R18</f>
        <v>#DIV/0!</v>
      </c>
      <c r="S17" s="81" t="e">
        <f t="shared" si="27"/>
        <v>#DIV/0!</v>
      </c>
      <c r="T17" s="81" t="e">
        <f t="shared" ref="T17" si="28">+SUM(C17:S17)</f>
        <v>#DIV/0!</v>
      </c>
      <c r="U17" s="82"/>
      <c r="AT17" s="78" t="s">
        <v>78</v>
      </c>
      <c r="AU17" s="78" t="s">
        <v>77</v>
      </c>
    </row>
    <row r="18" spans="1:48" s="72" customFormat="1">
      <c r="A18" s="75">
        <v>12</v>
      </c>
      <c r="B18" s="86" t="s">
        <v>147</v>
      </c>
      <c r="C18" s="87" t="e">
        <f t="shared" ref="C18:Q18" si="29">$T$18/$T$6*C6</f>
        <v>#DIV/0!</v>
      </c>
      <c r="D18" s="87" t="e">
        <f t="shared" si="29"/>
        <v>#DIV/0!</v>
      </c>
      <c r="E18" s="87" t="e">
        <f t="shared" si="29"/>
        <v>#DIV/0!</v>
      </c>
      <c r="F18" s="87" t="e">
        <f t="shared" si="29"/>
        <v>#DIV/0!</v>
      </c>
      <c r="G18" s="87" t="e">
        <f t="shared" si="29"/>
        <v>#DIV/0!</v>
      </c>
      <c r="H18" s="87" t="e">
        <f t="shared" si="29"/>
        <v>#DIV/0!</v>
      </c>
      <c r="I18" s="87" t="e">
        <f t="shared" si="29"/>
        <v>#DIV/0!</v>
      </c>
      <c r="J18" s="87" t="e">
        <f t="shared" si="29"/>
        <v>#DIV/0!</v>
      </c>
      <c r="K18" s="87" t="e">
        <f t="shared" si="29"/>
        <v>#DIV/0!</v>
      </c>
      <c r="L18" s="87" t="e">
        <f t="shared" si="29"/>
        <v>#DIV/0!</v>
      </c>
      <c r="M18" s="87" t="e">
        <f t="shared" si="29"/>
        <v>#DIV/0!</v>
      </c>
      <c r="N18" s="87" t="e">
        <f t="shared" si="29"/>
        <v>#DIV/0!</v>
      </c>
      <c r="O18" s="87" t="e">
        <f t="shared" si="29"/>
        <v>#DIV/0!</v>
      </c>
      <c r="P18" s="87" t="e">
        <f t="shared" si="29"/>
        <v>#DIV/0!</v>
      </c>
      <c r="Q18" s="87" t="e">
        <f t="shared" si="29"/>
        <v>#DIV/0!</v>
      </c>
      <c r="R18" s="87" t="e">
        <f t="shared" ref="R18:S18" si="30">$T$18/$T$6*R6</f>
        <v>#DIV/0!</v>
      </c>
      <c r="S18" s="87" t="e">
        <f t="shared" si="30"/>
        <v>#DIV/0!</v>
      </c>
      <c r="T18" s="81">
        <f>项目投资!H26</f>
        <v>0</v>
      </c>
      <c r="U18" s="88" t="s">
        <v>148</v>
      </c>
      <c r="V18" s="88"/>
      <c r="W18" s="88"/>
    </row>
    <row r="19" spans="1:48">
      <c r="A19" s="75">
        <v>13</v>
      </c>
      <c r="B19" s="78" t="s">
        <v>79</v>
      </c>
      <c r="C19" s="81">
        <f>C6*C44</f>
        <v>0</v>
      </c>
      <c r="D19" s="81">
        <f>D6*D44</f>
        <v>0</v>
      </c>
      <c r="E19" s="81">
        <f t="shared" ref="E19:F19" si="31">E6*E44</f>
        <v>0</v>
      </c>
      <c r="F19" s="81">
        <f t="shared" si="31"/>
        <v>0</v>
      </c>
      <c r="G19" s="81">
        <f t="shared" ref="G19:Q19" si="32">G6*G44</f>
        <v>0</v>
      </c>
      <c r="H19" s="81">
        <f t="shared" si="32"/>
        <v>0</v>
      </c>
      <c r="I19" s="81">
        <f t="shared" si="32"/>
        <v>0</v>
      </c>
      <c r="J19" s="81">
        <f t="shared" si="32"/>
        <v>0</v>
      </c>
      <c r="K19" s="81">
        <f t="shared" si="32"/>
        <v>0</v>
      </c>
      <c r="L19" s="81">
        <f t="shared" si="32"/>
        <v>0</v>
      </c>
      <c r="M19" s="81">
        <f t="shared" si="32"/>
        <v>0</v>
      </c>
      <c r="N19" s="81">
        <f t="shared" si="32"/>
        <v>0</v>
      </c>
      <c r="O19" s="81">
        <f t="shared" si="32"/>
        <v>0</v>
      </c>
      <c r="P19" s="81">
        <f t="shared" si="32"/>
        <v>0</v>
      </c>
      <c r="Q19" s="81">
        <f t="shared" si="32"/>
        <v>0</v>
      </c>
      <c r="R19" s="81">
        <f t="shared" ref="R19:S19" si="33">R6*R44</f>
        <v>0</v>
      </c>
      <c r="S19" s="81">
        <f t="shared" si="33"/>
        <v>0</v>
      </c>
      <c r="T19" s="81">
        <f t="shared" ref="T19:T20" si="34">+SUM(C19:S19)</f>
        <v>0</v>
      </c>
      <c r="U19" s="72"/>
      <c r="AT19" s="78" t="s">
        <v>80</v>
      </c>
      <c r="AU19" s="78" t="s">
        <v>79</v>
      </c>
      <c r="AV19" s="71" t="s">
        <v>53</v>
      </c>
    </row>
    <row r="20" spans="1:48">
      <c r="A20" s="75">
        <v>14</v>
      </c>
      <c r="B20" s="78" t="s">
        <v>81</v>
      </c>
      <c r="C20" s="81">
        <f>C6*C45</f>
        <v>0</v>
      </c>
      <c r="D20" s="81">
        <f>D6*D45</f>
        <v>0</v>
      </c>
      <c r="E20" s="81">
        <f t="shared" ref="E20:F20" si="35">E6*E45</f>
        <v>0</v>
      </c>
      <c r="F20" s="81">
        <f t="shared" si="35"/>
        <v>0</v>
      </c>
      <c r="G20" s="81">
        <f t="shared" ref="G20:Q20" si="36">G6*G45</f>
        <v>0</v>
      </c>
      <c r="H20" s="81">
        <f t="shared" si="36"/>
        <v>0</v>
      </c>
      <c r="I20" s="81">
        <f t="shared" si="36"/>
        <v>0</v>
      </c>
      <c r="J20" s="81">
        <f t="shared" si="36"/>
        <v>0</v>
      </c>
      <c r="K20" s="81">
        <f t="shared" si="36"/>
        <v>0</v>
      </c>
      <c r="L20" s="81">
        <f t="shared" si="36"/>
        <v>0</v>
      </c>
      <c r="M20" s="81">
        <f t="shared" si="36"/>
        <v>0</v>
      </c>
      <c r="N20" s="81">
        <f t="shared" si="36"/>
        <v>0</v>
      </c>
      <c r="O20" s="81">
        <f t="shared" si="36"/>
        <v>0</v>
      </c>
      <c r="P20" s="81">
        <f t="shared" si="36"/>
        <v>0</v>
      </c>
      <c r="Q20" s="81">
        <f t="shared" si="36"/>
        <v>0</v>
      </c>
      <c r="R20" s="81">
        <f t="shared" ref="R20:S20" si="37">R6*R45</f>
        <v>0</v>
      </c>
      <c r="S20" s="81">
        <f t="shared" si="37"/>
        <v>0</v>
      </c>
      <c r="T20" s="81">
        <f t="shared" si="34"/>
        <v>0</v>
      </c>
      <c r="AT20" s="78" t="s">
        <v>82</v>
      </c>
      <c r="AU20" s="78" t="s">
        <v>81</v>
      </c>
    </row>
    <row r="21" spans="1:48">
      <c r="A21" s="75">
        <v>15</v>
      </c>
      <c r="B21" s="78" t="s">
        <v>83</v>
      </c>
      <c r="C21" s="89" t="e">
        <f t="shared" ref="C21:Q21" si="38">$T$21/$T$6*C6</f>
        <v>#DIV/0!</v>
      </c>
      <c r="D21" s="89" t="e">
        <f t="shared" si="38"/>
        <v>#DIV/0!</v>
      </c>
      <c r="E21" s="89" t="e">
        <f t="shared" si="38"/>
        <v>#DIV/0!</v>
      </c>
      <c r="F21" s="89" t="e">
        <f t="shared" si="38"/>
        <v>#DIV/0!</v>
      </c>
      <c r="G21" s="89" t="e">
        <f t="shared" si="38"/>
        <v>#DIV/0!</v>
      </c>
      <c r="H21" s="89" t="e">
        <f t="shared" si="38"/>
        <v>#DIV/0!</v>
      </c>
      <c r="I21" s="89" t="e">
        <f t="shared" si="38"/>
        <v>#DIV/0!</v>
      </c>
      <c r="J21" s="89" t="e">
        <f t="shared" si="38"/>
        <v>#DIV/0!</v>
      </c>
      <c r="K21" s="89" t="e">
        <f t="shared" si="38"/>
        <v>#DIV/0!</v>
      </c>
      <c r="L21" s="89" t="e">
        <f t="shared" si="38"/>
        <v>#DIV/0!</v>
      </c>
      <c r="M21" s="89" t="e">
        <f t="shared" si="38"/>
        <v>#DIV/0!</v>
      </c>
      <c r="N21" s="89" t="e">
        <f t="shared" si="38"/>
        <v>#DIV/0!</v>
      </c>
      <c r="O21" s="89" t="e">
        <f t="shared" si="38"/>
        <v>#DIV/0!</v>
      </c>
      <c r="P21" s="89" t="e">
        <f t="shared" si="38"/>
        <v>#DIV/0!</v>
      </c>
      <c r="Q21" s="89" t="e">
        <f t="shared" si="38"/>
        <v>#DIV/0!</v>
      </c>
      <c r="R21" s="89" t="e">
        <f t="shared" ref="R21:S21" si="39">$T$21/$T$6*R6</f>
        <v>#DIV/0!</v>
      </c>
      <c r="S21" s="89" t="e">
        <f t="shared" si="39"/>
        <v>#DIV/0!</v>
      </c>
      <c r="T21" s="81">
        <f>项目投资!H27</f>
        <v>0</v>
      </c>
      <c r="AT21" s="78"/>
      <c r="AU21" s="78"/>
    </row>
    <row r="22" spans="1:48">
      <c r="A22" s="75">
        <v>16</v>
      </c>
      <c r="B22" s="78" t="s">
        <v>84</v>
      </c>
      <c r="C22" s="81">
        <f>C6*C47</f>
        <v>0</v>
      </c>
      <c r="D22" s="81">
        <f>D6*D47</f>
        <v>0</v>
      </c>
      <c r="E22" s="81">
        <f t="shared" ref="E22:F22" si="40">E6*E47</f>
        <v>0</v>
      </c>
      <c r="F22" s="81">
        <f t="shared" si="40"/>
        <v>0</v>
      </c>
      <c r="G22" s="81">
        <f t="shared" ref="G22:Q22" si="41">G6*G47</f>
        <v>0</v>
      </c>
      <c r="H22" s="81">
        <f t="shared" si="41"/>
        <v>0</v>
      </c>
      <c r="I22" s="81">
        <f t="shared" si="41"/>
        <v>0</v>
      </c>
      <c r="J22" s="81">
        <f t="shared" si="41"/>
        <v>0</v>
      </c>
      <c r="K22" s="81">
        <f t="shared" si="41"/>
        <v>0</v>
      </c>
      <c r="L22" s="81">
        <f t="shared" si="41"/>
        <v>0</v>
      </c>
      <c r="M22" s="81">
        <f t="shared" si="41"/>
        <v>0</v>
      </c>
      <c r="N22" s="81">
        <f t="shared" si="41"/>
        <v>0</v>
      </c>
      <c r="O22" s="81">
        <f t="shared" si="41"/>
        <v>0</v>
      </c>
      <c r="P22" s="81">
        <f t="shared" si="41"/>
        <v>0</v>
      </c>
      <c r="Q22" s="81">
        <f t="shared" si="41"/>
        <v>0</v>
      </c>
      <c r="R22" s="81">
        <f t="shared" ref="R22:S22" si="42">R6*R47</f>
        <v>0</v>
      </c>
      <c r="S22" s="81">
        <f t="shared" si="42"/>
        <v>0</v>
      </c>
      <c r="T22" s="81">
        <f t="shared" ref="T22" si="43">+SUM(C22:S22)</f>
        <v>0</v>
      </c>
      <c r="AT22" s="78" t="s">
        <v>85</v>
      </c>
      <c r="AU22" s="78" t="s">
        <v>84</v>
      </c>
    </row>
    <row r="23" spans="1:48">
      <c r="A23" s="75">
        <v>17</v>
      </c>
      <c r="B23" s="83" t="s">
        <v>86</v>
      </c>
      <c r="C23" s="89" t="e">
        <f>+C22+C21+C20+C19+C17</f>
        <v>#DIV/0!</v>
      </c>
      <c r="D23" s="89" t="e">
        <f>+D22+D21+D20+D19+D17</f>
        <v>#DIV/0!</v>
      </c>
      <c r="E23" s="89" t="e">
        <f t="shared" ref="E23:F23" si="44">+E22+E21+E20+E19+E17</f>
        <v>#DIV/0!</v>
      </c>
      <c r="F23" s="89" t="e">
        <f t="shared" si="44"/>
        <v>#DIV/0!</v>
      </c>
      <c r="G23" s="89" t="e">
        <f t="shared" ref="G23:Q23" si="45">+G22+G21+G20+G19+G17</f>
        <v>#DIV/0!</v>
      </c>
      <c r="H23" s="89" t="e">
        <f t="shared" si="45"/>
        <v>#DIV/0!</v>
      </c>
      <c r="I23" s="89" t="e">
        <f t="shared" si="45"/>
        <v>#DIV/0!</v>
      </c>
      <c r="J23" s="89" t="e">
        <f t="shared" si="45"/>
        <v>#DIV/0!</v>
      </c>
      <c r="K23" s="89" t="e">
        <f t="shared" si="45"/>
        <v>#DIV/0!</v>
      </c>
      <c r="L23" s="89" t="e">
        <f t="shared" si="45"/>
        <v>#DIV/0!</v>
      </c>
      <c r="M23" s="89" t="e">
        <f t="shared" si="45"/>
        <v>#DIV/0!</v>
      </c>
      <c r="N23" s="89" t="e">
        <f t="shared" si="45"/>
        <v>#DIV/0!</v>
      </c>
      <c r="O23" s="89" t="e">
        <f t="shared" si="45"/>
        <v>#DIV/0!</v>
      </c>
      <c r="P23" s="89" t="e">
        <f t="shared" si="45"/>
        <v>#DIV/0!</v>
      </c>
      <c r="Q23" s="89" t="e">
        <f t="shared" si="45"/>
        <v>#DIV/0!</v>
      </c>
      <c r="R23" s="89" t="e">
        <f t="shared" ref="R23:S23" si="46">+R22+R21+R20+R19+R17</f>
        <v>#DIV/0!</v>
      </c>
      <c r="S23" s="89" t="e">
        <f t="shared" si="46"/>
        <v>#DIV/0!</v>
      </c>
      <c r="T23" s="89" t="e">
        <f>+T22+T21+T20+T19+T17</f>
        <v>#DIV/0!</v>
      </c>
      <c r="AT23" s="78" t="s">
        <v>87</v>
      </c>
      <c r="AU23" s="83" t="s">
        <v>86</v>
      </c>
    </row>
    <row r="24" spans="1:48">
      <c r="A24" s="75">
        <v>18</v>
      </c>
      <c r="B24" s="90" t="s">
        <v>88</v>
      </c>
      <c r="C24" s="89" t="e">
        <f>+C15-C23</f>
        <v>#DIV/0!</v>
      </c>
      <c r="D24" s="89" t="e">
        <f>+D15-D23</f>
        <v>#DIV/0!</v>
      </c>
      <c r="E24" s="89" t="e">
        <f t="shared" ref="E24:F24" si="47">+E15-E23</f>
        <v>#DIV/0!</v>
      </c>
      <c r="F24" s="89" t="e">
        <f t="shared" si="47"/>
        <v>#DIV/0!</v>
      </c>
      <c r="G24" s="89" t="e">
        <f t="shared" ref="G24:Q24" si="48">+G15-G23</f>
        <v>#DIV/0!</v>
      </c>
      <c r="H24" s="89" t="e">
        <f t="shared" si="48"/>
        <v>#DIV/0!</v>
      </c>
      <c r="I24" s="89" t="e">
        <f t="shared" si="48"/>
        <v>#DIV/0!</v>
      </c>
      <c r="J24" s="89" t="e">
        <f t="shared" si="48"/>
        <v>#DIV/0!</v>
      </c>
      <c r="K24" s="89" t="e">
        <f t="shared" si="48"/>
        <v>#DIV/0!</v>
      </c>
      <c r="L24" s="89" t="e">
        <f t="shared" si="48"/>
        <v>#DIV/0!</v>
      </c>
      <c r="M24" s="89" t="e">
        <f t="shared" si="48"/>
        <v>#DIV/0!</v>
      </c>
      <c r="N24" s="89" t="e">
        <f t="shared" si="48"/>
        <v>#DIV/0!</v>
      </c>
      <c r="O24" s="89" t="e">
        <f t="shared" si="48"/>
        <v>#DIV/0!</v>
      </c>
      <c r="P24" s="89" t="e">
        <f t="shared" si="48"/>
        <v>#DIV/0!</v>
      </c>
      <c r="Q24" s="89" t="e">
        <f t="shared" si="48"/>
        <v>#DIV/0!</v>
      </c>
      <c r="R24" s="89" t="e">
        <f t="shared" ref="R24:S24" si="49">+R15-R23</f>
        <v>#DIV/0!</v>
      </c>
      <c r="S24" s="89" t="e">
        <f t="shared" si="49"/>
        <v>#DIV/0!</v>
      </c>
      <c r="T24" s="89" t="e">
        <f>+T15-T23</f>
        <v>#DIV/0!</v>
      </c>
      <c r="V24" s="91"/>
      <c r="AT24" s="78" t="s">
        <v>89</v>
      </c>
      <c r="AU24" s="78" t="s">
        <v>88</v>
      </c>
    </row>
    <row r="25" spans="1:48">
      <c r="A25" s="75">
        <v>19</v>
      </c>
      <c r="B25" s="78" t="s">
        <v>274</v>
      </c>
      <c r="C25" s="89" t="e">
        <f>IF(C24&lt;0,0,C24*0.15)</f>
        <v>#DIV/0!</v>
      </c>
      <c r="D25" s="89" t="e">
        <f t="shared" ref="D25:T25" si="50">IF(D24&lt;0,0,D24*0.15)</f>
        <v>#DIV/0!</v>
      </c>
      <c r="E25" s="89" t="e">
        <f t="shared" ref="E25:F25" si="51">IF(E24&lt;0,0,E24*0.15)</f>
        <v>#DIV/0!</v>
      </c>
      <c r="F25" s="89" t="e">
        <f t="shared" si="51"/>
        <v>#DIV/0!</v>
      </c>
      <c r="G25" s="89" t="e">
        <f t="shared" ref="G25:Q25" si="52">IF(G24&lt;0,0,G24*0.15)</f>
        <v>#DIV/0!</v>
      </c>
      <c r="H25" s="89" t="e">
        <f t="shared" si="52"/>
        <v>#DIV/0!</v>
      </c>
      <c r="I25" s="89" t="e">
        <f t="shared" si="52"/>
        <v>#DIV/0!</v>
      </c>
      <c r="J25" s="89" t="e">
        <f t="shared" si="52"/>
        <v>#DIV/0!</v>
      </c>
      <c r="K25" s="89" t="e">
        <f t="shared" si="52"/>
        <v>#DIV/0!</v>
      </c>
      <c r="L25" s="89" t="e">
        <f t="shared" si="52"/>
        <v>#DIV/0!</v>
      </c>
      <c r="M25" s="89" t="e">
        <f t="shared" si="52"/>
        <v>#DIV/0!</v>
      </c>
      <c r="N25" s="89" t="e">
        <f t="shared" si="52"/>
        <v>#DIV/0!</v>
      </c>
      <c r="O25" s="89" t="e">
        <f t="shared" si="52"/>
        <v>#DIV/0!</v>
      </c>
      <c r="P25" s="89" t="e">
        <f t="shared" si="52"/>
        <v>#DIV/0!</v>
      </c>
      <c r="Q25" s="89" t="e">
        <f t="shared" si="52"/>
        <v>#DIV/0!</v>
      </c>
      <c r="R25" s="89" t="e">
        <f t="shared" ref="R25:S25" si="53">IF(R24&lt;0,0,R24*0.15)</f>
        <v>#DIV/0!</v>
      </c>
      <c r="S25" s="89" t="e">
        <f t="shared" si="53"/>
        <v>#DIV/0!</v>
      </c>
      <c r="T25" s="89" t="e">
        <f t="shared" si="50"/>
        <v>#DIV/0!</v>
      </c>
      <c r="U25" s="2"/>
      <c r="V25" s="2"/>
      <c r="W25" s="2"/>
      <c r="AT25" s="78" t="s">
        <v>90</v>
      </c>
      <c r="AU25" s="78" t="s">
        <v>35</v>
      </c>
    </row>
    <row r="26" spans="1:48">
      <c r="A26" s="75">
        <v>20</v>
      </c>
      <c r="B26" s="78" t="s">
        <v>91</v>
      </c>
      <c r="C26" s="89" t="e">
        <f>C24-C25</f>
        <v>#DIV/0!</v>
      </c>
      <c r="D26" s="89" t="e">
        <f>D24-D25</f>
        <v>#DIV/0!</v>
      </c>
      <c r="E26" s="89" t="e">
        <f t="shared" ref="E26:T26" si="54">E24-E25</f>
        <v>#DIV/0!</v>
      </c>
      <c r="F26" s="89" t="e">
        <f t="shared" si="54"/>
        <v>#DIV/0!</v>
      </c>
      <c r="G26" s="89" t="e">
        <f t="shared" ref="G26:Q26" si="55">G24-G25</f>
        <v>#DIV/0!</v>
      </c>
      <c r="H26" s="89" t="e">
        <f t="shared" si="55"/>
        <v>#DIV/0!</v>
      </c>
      <c r="I26" s="89" t="e">
        <f t="shared" si="55"/>
        <v>#DIV/0!</v>
      </c>
      <c r="J26" s="89" t="e">
        <f t="shared" si="55"/>
        <v>#DIV/0!</v>
      </c>
      <c r="K26" s="89" t="e">
        <f t="shared" si="55"/>
        <v>#DIV/0!</v>
      </c>
      <c r="L26" s="89" t="e">
        <f t="shared" si="55"/>
        <v>#DIV/0!</v>
      </c>
      <c r="M26" s="89" t="e">
        <f t="shared" si="55"/>
        <v>#DIV/0!</v>
      </c>
      <c r="N26" s="89" t="e">
        <f t="shared" si="55"/>
        <v>#DIV/0!</v>
      </c>
      <c r="O26" s="89" t="e">
        <f t="shared" si="55"/>
        <v>#DIV/0!</v>
      </c>
      <c r="P26" s="89" t="e">
        <f t="shared" si="55"/>
        <v>#DIV/0!</v>
      </c>
      <c r="Q26" s="89" t="e">
        <f t="shared" si="55"/>
        <v>#DIV/0!</v>
      </c>
      <c r="R26" s="89" t="e">
        <f t="shared" ref="R26:S26" si="56">R24-R25</f>
        <v>#DIV/0!</v>
      </c>
      <c r="S26" s="89" t="e">
        <f t="shared" si="56"/>
        <v>#DIV/0!</v>
      </c>
      <c r="T26" s="89" t="e">
        <f t="shared" si="54"/>
        <v>#DIV/0!</v>
      </c>
      <c r="U26" s="2"/>
      <c r="V26" s="2"/>
      <c r="W26" s="2"/>
      <c r="AT26" s="78" t="s">
        <v>92</v>
      </c>
      <c r="AU26" s="78" t="s">
        <v>91</v>
      </c>
    </row>
    <row r="27" spans="1:48">
      <c r="A27" s="75">
        <v>21</v>
      </c>
      <c r="B27" s="78" t="s">
        <v>95</v>
      </c>
      <c r="C27" s="92" t="e">
        <f>C26/C9</f>
        <v>#DIV/0!</v>
      </c>
      <c r="D27" s="92" t="e">
        <f t="shared" ref="D27:T27" si="57">D26/D9</f>
        <v>#DIV/0!</v>
      </c>
      <c r="E27" s="92" t="e">
        <f t="shared" si="57"/>
        <v>#DIV/0!</v>
      </c>
      <c r="F27" s="92" t="e">
        <f t="shared" si="57"/>
        <v>#DIV/0!</v>
      </c>
      <c r="G27" s="92" t="e">
        <f t="shared" ref="G27:Q27" si="58">G26/G9</f>
        <v>#DIV/0!</v>
      </c>
      <c r="H27" s="92" t="e">
        <f t="shared" si="58"/>
        <v>#DIV/0!</v>
      </c>
      <c r="I27" s="92" t="e">
        <f t="shared" si="58"/>
        <v>#DIV/0!</v>
      </c>
      <c r="J27" s="92" t="e">
        <f t="shared" si="58"/>
        <v>#DIV/0!</v>
      </c>
      <c r="K27" s="92" t="e">
        <f t="shared" si="58"/>
        <v>#DIV/0!</v>
      </c>
      <c r="L27" s="92" t="e">
        <f t="shared" si="58"/>
        <v>#DIV/0!</v>
      </c>
      <c r="M27" s="92" t="e">
        <f t="shared" si="58"/>
        <v>#DIV/0!</v>
      </c>
      <c r="N27" s="92" t="e">
        <f t="shared" si="58"/>
        <v>#DIV/0!</v>
      </c>
      <c r="O27" s="92" t="e">
        <f t="shared" si="58"/>
        <v>#DIV/0!</v>
      </c>
      <c r="P27" s="92" t="e">
        <f t="shared" si="58"/>
        <v>#DIV/0!</v>
      </c>
      <c r="Q27" s="92" t="e">
        <f t="shared" si="58"/>
        <v>#DIV/0!</v>
      </c>
      <c r="R27" s="92" t="e">
        <f t="shared" ref="R27:S27" si="59">R26/R9</f>
        <v>#DIV/0!</v>
      </c>
      <c r="S27" s="92" t="e">
        <f t="shared" si="59"/>
        <v>#DIV/0!</v>
      </c>
      <c r="T27" s="92" t="e">
        <f t="shared" si="57"/>
        <v>#DIV/0!</v>
      </c>
      <c r="U27" s="2"/>
      <c r="V27" s="2"/>
      <c r="W27" s="2"/>
      <c r="AT27" s="78" t="s">
        <v>94</v>
      </c>
      <c r="AU27" s="78" t="s">
        <v>95</v>
      </c>
    </row>
    <row r="28" spans="1:48">
      <c r="U28" s="2"/>
      <c r="V28" s="2"/>
      <c r="W28" s="2"/>
    </row>
    <row r="29" spans="1:48">
      <c r="A29" s="71" t="s">
        <v>96</v>
      </c>
      <c r="T29" s="74" t="s">
        <v>149</v>
      </c>
      <c r="U29" s="2"/>
      <c r="V29" s="2"/>
      <c r="W29" s="2"/>
      <c r="AT29" s="71" t="s">
        <v>96</v>
      </c>
    </row>
    <row r="30" spans="1:48" ht="21" customHeight="1">
      <c r="A30" s="78" t="s">
        <v>97</v>
      </c>
      <c r="B30" s="83" t="s">
        <v>98</v>
      </c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2"/>
      <c r="V30" s="2"/>
      <c r="W30" s="2"/>
      <c r="Y30" s="2"/>
      <c r="AT30" s="78" t="s">
        <v>99</v>
      </c>
      <c r="AU30" s="83" t="s">
        <v>98</v>
      </c>
    </row>
    <row r="31" spans="1:48">
      <c r="A31" s="75">
        <v>1</v>
      </c>
      <c r="B31" s="86" t="s">
        <v>100</v>
      </c>
      <c r="C31" s="93">
        <f>销量!C8</f>
        <v>2295.5752212389384</v>
      </c>
      <c r="D31" s="93">
        <f>销量!D8</f>
        <v>1830.9734513274338</v>
      </c>
      <c r="E31" s="93">
        <f>销量!E8</f>
        <v>1830.9734513274338</v>
      </c>
      <c r="F31" s="93">
        <f>销量!F8</f>
        <v>2295.5752212389384</v>
      </c>
      <c r="G31" s="93">
        <f>销量!G8</f>
        <v>2295.5752212389384</v>
      </c>
      <c r="H31" s="93">
        <f>销量!H8</f>
        <v>1830.9734513274338</v>
      </c>
      <c r="I31" s="93">
        <f>销量!I8</f>
        <v>1830.9734513274338</v>
      </c>
      <c r="J31" s="93">
        <f>销量!J8</f>
        <v>1023.8938053097346</v>
      </c>
      <c r="K31" s="93">
        <f>销量!K8</f>
        <v>706.19469026548677</v>
      </c>
      <c r="L31" s="93">
        <f>销量!L8</f>
        <v>584.07079646017701</v>
      </c>
      <c r="M31" s="93">
        <f>销量!M8</f>
        <v>584.07079646017701</v>
      </c>
      <c r="N31" s="93">
        <f>销量!N8</f>
        <v>584.07079646017701</v>
      </c>
      <c r="O31" s="93">
        <f>销量!O8</f>
        <v>584.07079646017701</v>
      </c>
      <c r="P31" s="93">
        <f>销量!P8</f>
        <v>584.07079646017701</v>
      </c>
      <c r="Q31" s="93">
        <f>销量!Q8</f>
        <v>2295.5752212389384</v>
      </c>
      <c r="R31" s="93">
        <f>销量!R8</f>
        <v>1022.1238938053099</v>
      </c>
      <c r="S31" s="93">
        <f>销量!S8</f>
        <v>706.19469026548677</v>
      </c>
      <c r="T31" s="89"/>
      <c r="U31" s="2"/>
      <c r="V31" s="2"/>
      <c r="W31" s="2"/>
      <c r="Y31" s="2"/>
      <c r="AT31" s="78" t="s">
        <v>55</v>
      </c>
      <c r="AU31" s="78" t="s">
        <v>100</v>
      </c>
    </row>
    <row r="32" spans="1:48">
      <c r="A32" s="75">
        <v>2</v>
      </c>
      <c r="B32" s="78" t="s">
        <v>150</v>
      </c>
      <c r="C32" s="81" t="e">
        <f>C9/C6</f>
        <v>#DIV/0!</v>
      </c>
      <c r="D32" s="81" t="e">
        <f t="shared" ref="D32:F32" si="60">D9/D6</f>
        <v>#DIV/0!</v>
      </c>
      <c r="E32" s="81" t="e">
        <f t="shared" si="60"/>
        <v>#DIV/0!</v>
      </c>
      <c r="F32" s="81" t="e">
        <f t="shared" si="60"/>
        <v>#DIV/0!</v>
      </c>
      <c r="G32" s="81" t="e">
        <f t="shared" ref="G32:Q32" si="61">G9/G6</f>
        <v>#DIV/0!</v>
      </c>
      <c r="H32" s="81" t="e">
        <f t="shared" si="61"/>
        <v>#DIV/0!</v>
      </c>
      <c r="I32" s="81" t="e">
        <f t="shared" si="61"/>
        <v>#DIV/0!</v>
      </c>
      <c r="J32" s="81" t="e">
        <f t="shared" si="61"/>
        <v>#DIV/0!</v>
      </c>
      <c r="K32" s="81" t="e">
        <f t="shared" si="61"/>
        <v>#DIV/0!</v>
      </c>
      <c r="L32" s="81" t="e">
        <f t="shared" si="61"/>
        <v>#DIV/0!</v>
      </c>
      <c r="M32" s="81" t="e">
        <f t="shared" si="61"/>
        <v>#DIV/0!</v>
      </c>
      <c r="N32" s="81" t="e">
        <f t="shared" si="61"/>
        <v>#DIV/0!</v>
      </c>
      <c r="O32" s="81" t="e">
        <f t="shared" si="61"/>
        <v>#DIV/0!</v>
      </c>
      <c r="P32" s="81" t="e">
        <f t="shared" si="61"/>
        <v>#DIV/0!</v>
      </c>
      <c r="Q32" s="81" t="e">
        <f t="shared" si="61"/>
        <v>#DIV/0!</v>
      </c>
      <c r="R32" s="81" t="e">
        <f t="shared" ref="R32:S32" si="62">R9/R6</f>
        <v>#DIV/0!</v>
      </c>
      <c r="S32" s="81" t="e">
        <f t="shared" si="62"/>
        <v>#DIV/0!</v>
      </c>
      <c r="T32" s="89"/>
      <c r="U32" s="2"/>
      <c r="V32" s="2"/>
      <c r="W32" s="2"/>
      <c r="X32" s="2"/>
      <c r="Y32" s="2"/>
      <c r="Z32" s="2"/>
      <c r="AA32" s="2"/>
      <c r="AT32" s="78"/>
      <c r="AU32" s="78"/>
    </row>
    <row r="33" spans="1:47">
      <c r="A33" s="75">
        <v>3</v>
      </c>
      <c r="B33" s="86" t="s">
        <v>101</v>
      </c>
      <c r="C33" s="81">
        <f>材料成本!D28</f>
        <v>0</v>
      </c>
      <c r="D33" s="81">
        <f>材料成本!E28</f>
        <v>0</v>
      </c>
      <c r="E33" s="81">
        <f>材料成本!F28</f>
        <v>0</v>
      </c>
      <c r="F33" s="81">
        <f>材料成本!G28</f>
        <v>0</v>
      </c>
      <c r="G33" s="81">
        <f>材料成本!H28</f>
        <v>0</v>
      </c>
      <c r="H33" s="81">
        <f>材料成本!I28</f>
        <v>0</v>
      </c>
      <c r="I33" s="81">
        <f>材料成本!J28</f>
        <v>0</v>
      </c>
      <c r="J33" s="81">
        <f>材料成本!K28</f>
        <v>0</v>
      </c>
      <c r="K33" s="81">
        <f>材料成本!L28</f>
        <v>0</v>
      </c>
      <c r="L33" s="81">
        <f>材料成本!M28</f>
        <v>0</v>
      </c>
      <c r="M33" s="81">
        <f>材料成本!N28</f>
        <v>0</v>
      </c>
      <c r="N33" s="81">
        <f>材料成本!O28</f>
        <v>0</v>
      </c>
      <c r="O33" s="81">
        <f>材料成本!P28</f>
        <v>0</v>
      </c>
      <c r="P33" s="81">
        <f>材料成本!Q28</f>
        <v>0</v>
      </c>
      <c r="Q33" s="81">
        <f>材料成本!R28</f>
        <v>0</v>
      </c>
      <c r="R33" s="81">
        <f>材料成本!S28</f>
        <v>0</v>
      </c>
      <c r="S33" s="81">
        <f>材料成本!T28</f>
        <v>0</v>
      </c>
      <c r="T33" s="89"/>
      <c r="V33" s="2"/>
      <c r="W33" s="2"/>
      <c r="X33" s="2"/>
      <c r="Y33" s="2"/>
      <c r="Z33" s="2"/>
      <c r="AA33" s="2"/>
      <c r="AT33" s="78" t="s">
        <v>57</v>
      </c>
      <c r="AU33" s="78" t="s">
        <v>101</v>
      </c>
    </row>
    <row r="34" spans="1:47" ht="17.25" customHeight="1">
      <c r="A34" s="75">
        <v>4</v>
      </c>
      <c r="B34" s="78" t="s">
        <v>103</v>
      </c>
      <c r="C34" s="94" t="e">
        <f>C32-C33</f>
        <v>#DIV/0!</v>
      </c>
      <c r="D34" s="94" t="e">
        <f>D32-D33</f>
        <v>#DIV/0!</v>
      </c>
      <c r="E34" s="94" t="e">
        <f t="shared" ref="E34:F34" si="63">E32-E33</f>
        <v>#DIV/0!</v>
      </c>
      <c r="F34" s="94" t="e">
        <f t="shared" si="63"/>
        <v>#DIV/0!</v>
      </c>
      <c r="G34" s="94" t="e">
        <f t="shared" ref="G34:Q34" si="64">G32-G33</f>
        <v>#DIV/0!</v>
      </c>
      <c r="H34" s="94" t="e">
        <f t="shared" si="64"/>
        <v>#DIV/0!</v>
      </c>
      <c r="I34" s="94" t="e">
        <f t="shared" si="64"/>
        <v>#DIV/0!</v>
      </c>
      <c r="J34" s="94" t="e">
        <f t="shared" si="64"/>
        <v>#DIV/0!</v>
      </c>
      <c r="K34" s="94" t="e">
        <f t="shared" si="64"/>
        <v>#DIV/0!</v>
      </c>
      <c r="L34" s="94" t="e">
        <f t="shared" si="64"/>
        <v>#DIV/0!</v>
      </c>
      <c r="M34" s="94" t="e">
        <f t="shared" si="64"/>
        <v>#DIV/0!</v>
      </c>
      <c r="N34" s="94" t="e">
        <f t="shared" si="64"/>
        <v>#DIV/0!</v>
      </c>
      <c r="O34" s="94" t="e">
        <f t="shared" si="64"/>
        <v>#DIV/0!</v>
      </c>
      <c r="P34" s="94" t="e">
        <f t="shared" si="64"/>
        <v>#DIV/0!</v>
      </c>
      <c r="Q34" s="94" t="e">
        <f t="shared" si="64"/>
        <v>#DIV/0!</v>
      </c>
      <c r="R34" s="94" t="e">
        <f t="shared" ref="R34:S34" si="65">R32-R33</f>
        <v>#DIV/0!</v>
      </c>
      <c r="S34" s="94" t="e">
        <f t="shared" si="65"/>
        <v>#DIV/0!</v>
      </c>
      <c r="T34" s="89"/>
      <c r="V34" s="2"/>
      <c r="W34" s="2"/>
      <c r="X34" s="2"/>
      <c r="Y34" s="2"/>
      <c r="Z34" s="2"/>
      <c r="AA34" s="2"/>
      <c r="AT34" s="78" t="s">
        <v>102</v>
      </c>
      <c r="AU34" s="78" t="s">
        <v>103</v>
      </c>
    </row>
    <row r="35" spans="1:47">
      <c r="A35" s="78" t="s">
        <v>99</v>
      </c>
      <c r="B35" s="83" t="s">
        <v>9</v>
      </c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2"/>
      <c r="V35" s="2"/>
      <c r="W35" s="2"/>
      <c r="X35" s="2"/>
      <c r="Y35" s="2"/>
      <c r="Z35" s="2"/>
      <c r="AA35" s="2"/>
      <c r="AB35" s="2"/>
      <c r="AC35" s="2"/>
      <c r="AD35" s="2"/>
      <c r="AT35" s="78" t="s">
        <v>105</v>
      </c>
      <c r="AU35" s="83" t="s">
        <v>9</v>
      </c>
    </row>
    <row r="36" spans="1:47">
      <c r="A36" s="75">
        <v>1</v>
      </c>
      <c r="B36" s="78" t="s">
        <v>106</v>
      </c>
      <c r="C36" s="87">
        <f>'2025年'!C36</f>
        <v>159.31292035398232</v>
      </c>
      <c r="D36" s="87">
        <f>'2025年'!D36</f>
        <v>127.06955752212392</v>
      </c>
      <c r="E36" s="87">
        <f>'2025年'!E36</f>
        <v>127.06955752212392</v>
      </c>
      <c r="F36" s="87">
        <f>'2025年'!F36</f>
        <v>159.31292035398232</v>
      </c>
      <c r="G36" s="87">
        <f>'2025年'!G36</f>
        <v>159.31292035398232</v>
      </c>
      <c r="H36" s="87">
        <f>'2025年'!H36</f>
        <v>127.06955752212392</v>
      </c>
      <c r="I36" s="87">
        <f>'2025年'!I36</f>
        <v>127.06955752212392</v>
      </c>
      <c r="J36" s="87">
        <f>'2025年'!J36</f>
        <v>71.058230088495591</v>
      </c>
      <c r="K36" s="87">
        <f>'2025年'!K36</f>
        <v>49.009911504424785</v>
      </c>
      <c r="L36" s="87">
        <f>'2025年'!L36</f>
        <v>40.534513274336284</v>
      </c>
      <c r="M36" s="87">
        <f>'2025年'!M36</f>
        <v>40.534513274336284</v>
      </c>
      <c r="N36" s="87">
        <f>'2025年'!N36</f>
        <v>40.534513274336284</v>
      </c>
      <c r="O36" s="87">
        <f>'2025年'!O36</f>
        <v>40.534513274336284</v>
      </c>
      <c r="P36" s="87">
        <f>'2025年'!P36</f>
        <v>40.534513274336284</v>
      </c>
      <c r="Q36" s="87">
        <f>'2025年'!Q36</f>
        <v>159.31292035398232</v>
      </c>
      <c r="R36" s="87">
        <f>'2025年'!R36</f>
        <v>70.935398230088509</v>
      </c>
      <c r="S36" s="87">
        <f>'2025年'!S36</f>
        <v>49.009911504424785</v>
      </c>
      <c r="T36" s="93"/>
      <c r="U36" s="2"/>
      <c r="V36" s="2"/>
      <c r="W36" s="2"/>
      <c r="X36" s="2"/>
      <c r="Y36" s="2"/>
      <c r="Z36" s="2"/>
      <c r="AA36" s="2"/>
      <c r="AB36" s="2"/>
      <c r="AC36" s="2"/>
      <c r="AD36" s="2"/>
      <c r="AT36" s="78" t="s">
        <v>102</v>
      </c>
      <c r="AU36" s="78" t="s">
        <v>106</v>
      </c>
    </row>
    <row r="37" spans="1:47">
      <c r="A37" s="75">
        <v>2</v>
      </c>
      <c r="B37" s="78" t="s">
        <v>107</v>
      </c>
      <c r="C37" s="87">
        <f>'2025年'!C37</f>
        <v>99.627964601769932</v>
      </c>
      <c r="D37" s="87">
        <f>'2025年'!D37</f>
        <v>79.464247787610631</v>
      </c>
      <c r="E37" s="87">
        <f>'2025年'!E37</f>
        <v>79.464247787610631</v>
      </c>
      <c r="F37" s="87">
        <f>'2025年'!F37</f>
        <v>99.627964601769932</v>
      </c>
      <c r="G37" s="87">
        <f>'2025年'!G37</f>
        <v>99.627964601769932</v>
      </c>
      <c r="H37" s="87">
        <f>'2025年'!H37</f>
        <v>79.464247787610631</v>
      </c>
      <c r="I37" s="87">
        <f>'2025年'!I37</f>
        <v>79.464247787610631</v>
      </c>
      <c r="J37" s="87">
        <f>'2025年'!J37</f>
        <v>44.436991150442481</v>
      </c>
      <c r="K37" s="87">
        <f>'2025年'!K37</f>
        <v>30.648849557522126</v>
      </c>
      <c r="L37" s="87">
        <f>'2025年'!L37</f>
        <v>25.348672566371683</v>
      </c>
      <c r="M37" s="87">
        <f>'2025年'!M37</f>
        <v>25.348672566371683</v>
      </c>
      <c r="N37" s="87">
        <f>'2025年'!N37</f>
        <v>25.348672566371683</v>
      </c>
      <c r="O37" s="87">
        <f>'2025年'!O37</f>
        <v>25.348672566371683</v>
      </c>
      <c r="P37" s="87">
        <f>'2025年'!P37</f>
        <v>25.348672566371683</v>
      </c>
      <c r="Q37" s="87">
        <f>'2025年'!Q37</f>
        <v>99.627964601769932</v>
      </c>
      <c r="R37" s="87">
        <f>'2025年'!R37</f>
        <v>44.360176991150446</v>
      </c>
      <c r="S37" s="87">
        <f>'2025年'!S37</f>
        <v>30.648849557522126</v>
      </c>
      <c r="T37" s="93"/>
      <c r="U37" s="2"/>
      <c r="V37" s="2"/>
      <c r="W37" s="2"/>
      <c r="X37" s="2"/>
      <c r="Y37" s="2"/>
      <c r="Z37" s="2"/>
      <c r="AA37" s="2"/>
      <c r="AB37" s="2"/>
      <c r="AC37" s="2"/>
      <c r="AD37" s="2"/>
      <c r="AT37" s="78" t="s">
        <v>60</v>
      </c>
      <c r="AU37" s="78" t="s">
        <v>107</v>
      </c>
    </row>
    <row r="38" spans="1:47">
      <c r="A38" s="75">
        <v>3</v>
      </c>
      <c r="B38" s="78" t="s">
        <v>108</v>
      </c>
      <c r="C38" s="87">
        <f>'2025年'!C38</f>
        <v>149.44194690265491</v>
      </c>
      <c r="D38" s="87">
        <f>'2025年'!D38</f>
        <v>119.19637168141595</v>
      </c>
      <c r="E38" s="87">
        <f>'2025年'!E38</f>
        <v>119.19637168141595</v>
      </c>
      <c r="F38" s="87">
        <f>'2025年'!F38</f>
        <v>149.44194690265491</v>
      </c>
      <c r="G38" s="87">
        <f>'2025年'!G38</f>
        <v>149.44194690265491</v>
      </c>
      <c r="H38" s="87">
        <f>'2025年'!H38</f>
        <v>119.19637168141595</v>
      </c>
      <c r="I38" s="87">
        <f>'2025年'!I38</f>
        <v>119.19637168141595</v>
      </c>
      <c r="J38" s="87">
        <f>'2025年'!J38</f>
        <v>66.655486725663721</v>
      </c>
      <c r="K38" s="87">
        <f>'2025年'!K38</f>
        <v>45.97327433628319</v>
      </c>
      <c r="L38" s="87">
        <f>'2025年'!L38</f>
        <v>38.023008849557527</v>
      </c>
      <c r="M38" s="87">
        <f>'2025年'!M38</f>
        <v>38.023008849557527</v>
      </c>
      <c r="N38" s="87">
        <f>'2025年'!N38</f>
        <v>38.023008849557527</v>
      </c>
      <c r="O38" s="87">
        <f>'2025年'!O38</f>
        <v>38.023008849557527</v>
      </c>
      <c r="P38" s="87">
        <f>'2025年'!P38</f>
        <v>38.023008849557527</v>
      </c>
      <c r="Q38" s="87">
        <f>'2025年'!Q38</f>
        <v>149.44194690265491</v>
      </c>
      <c r="R38" s="87">
        <f>'2025年'!R38</f>
        <v>66.540265486725673</v>
      </c>
      <c r="S38" s="87">
        <f>'2025年'!S38</f>
        <v>45.97327433628319</v>
      </c>
      <c r="T38" s="93"/>
      <c r="U38" s="2"/>
      <c r="V38" s="2"/>
      <c r="W38" s="2"/>
      <c r="X38" s="2"/>
      <c r="Y38" s="2"/>
      <c r="Z38" s="2"/>
      <c r="AA38" s="2"/>
      <c r="AB38" s="2"/>
      <c r="AC38" s="2"/>
      <c r="AD38" s="2"/>
      <c r="AT38" s="78" t="s">
        <v>66</v>
      </c>
      <c r="AU38" s="78" t="s">
        <v>108</v>
      </c>
    </row>
    <row r="39" spans="1:47">
      <c r="A39" s="78" t="s">
        <v>105</v>
      </c>
      <c r="B39" s="83" t="s">
        <v>110</v>
      </c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AT39" s="78" t="s">
        <v>109</v>
      </c>
      <c r="AU39" s="83" t="s">
        <v>110</v>
      </c>
    </row>
    <row r="40" spans="1:47">
      <c r="A40" s="75">
        <v>1</v>
      </c>
      <c r="B40" s="78" t="s">
        <v>111</v>
      </c>
      <c r="C40" s="89" t="e">
        <f>C34-C36-C37-C38</f>
        <v>#DIV/0!</v>
      </c>
      <c r="D40" s="89" t="e">
        <f>D34-D36-D37-D38</f>
        <v>#DIV/0!</v>
      </c>
      <c r="E40" s="89" t="e">
        <f t="shared" ref="E40:F40" si="66">E34-E36-E37-E38</f>
        <v>#DIV/0!</v>
      </c>
      <c r="F40" s="89" t="e">
        <f t="shared" si="66"/>
        <v>#DIV/0!</v>
      </c>
      <c r="G40" s="89" t="e">
        <f t="shared" ref="G40:Q40" si="67">G34-G36-G37-G38</f>
        <v>#DIV/0!</v>
      </c>
      <c r="H40" s="89" t="e">
        <f t="shared" si="67"/>
        <v>#DIV/0!</v>
      </c>
      <c r="I40" s="89" t="e">
        <f t="shared" si="67"/>
        <v>#DIV/0!</v>
      </c>
      <c r="J40" s="89" t="e">
        <f t="shared" si="67"/>
        <v>#DIV/0!</v>
      </c>
      <c r="K40" s="89" t="e">
        <f t="shared" si="67"/>
        <v>#DIV/0!</v>
      </c>
      <c r="L40" s="89" t="e">
        <f t="shared" si="67"/>
        <v>#DIV/0!</v>
      </c>
      <c r="M40" s="89" t="e">
        <f t="shared" si="67"/>
        <v>#DIV/0!</v>
      </c>
      <c r="N40" s="89" t="e">
        <f t="shared" si="67"/>
        <v>#DIV/0!</v>
      </c>
      <c r="O40" s="89" t="e">
        <f t="shared" si="67"/>
        <v>#DIV/0!</v>
      </c>
      <c r="P40" s="89" t="e">
        <f t="shared" si="67"/>
        <v>#DIV/0!</v>
      </c>
      <c r="Q40" s="89" t="e">
        <f t="shared" si="67"/>
        <v>#DIV/0!</v>
      </c>
      <c r="R40" s="89" t="e">
        <f t="shared" ref="R40:S40" si="68">R34-R36-R37-R38</f>
        <v>#DIV/0!</v>
      </c>
      <c r="S40" s="89" t="e">
        <f t="shared" si="68"/>
        <v>#DIV/0!</v>
      </c>
      <c r="T40" s="89"/>
      <c r="AT40" s="78" t="s">
        <v>55</v>
      </c>
      <c r="AU40" s="78" t="s">
        <v>111</v>
      </c>
    </row>
    <row r="41" spans="1:47">
      <c r="A41" s="75">
        <v>2</v>
      </c>
      <c r="B41" s="78" t="s">
        <v>112</v>
      </c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AT41" s="78" t="s">
        <v>57</v>
      </c>
      <c r="AU41" s="78" t="s">
        <v>112</v>
      </c>
    </row>
    <row r="42" spans="1:47">
      <c r="A42" s="78" t="s">
        <v>109</v>
      </c>
      <c r="B42" s="83" t="s">
        <v>114</v>
      </c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AT42" s="78" t="s">
        <v>113</v>
      </c>
      <c r="AU42" s="83" t="s">
        <v>114</v>
      </c>
    </row>
    <row r="43" spans="1:47">
      <c r="A43" s="75">
        <v>1</v>
      </c>
      <c r="B43" s="90" t="s">
        <v>115</v>
      </c>
      <c r="C43" s="87">
        <f>'2025年'!C43</f>
        <v>189.38495575221242</v>
      </c>
      <c r="D43" s="87">
        <f>'2025年'!D43</f>
        <v>151.05530973451329</v>
      </c>
      <c r="E43" s="87">
        <f>'2025年'!E43</f>
        <v>151.05530973451329</v>
      </c>
      <c r="F43" s="87">
        <f>'2025年'!F43</f>
        <v>189.38495575221242</v>
      </c>
      <c r="G43" s="87">
        <f>'2025年'!G43</f>
        <v>189.38495575221242</v>
      </c>
      <c r="H43" s="87">
        <f>'2025年'!H43</f>
        <v>151.05530973451329</v>
      </c>
      <c r="I43" s="87">
        <f>'2025年'!I43</f>
        <v>151.05530973451329</v>
      </c>
      <c r="J43" s="87">
        <f>'2025年'!J43</f>
        <v>84.471238938053105</v>
      </c>
      <c r="K43" s="87">
        <f>'2025年'!K43</f>
        <v>58.261061946902664</v>
      </c>
      <c r="L43" s="87">
        <f>'2025年'!L43</f>
        <v>48.185840707964608</v>
      </c>
      <c r="M43" s="87">
        <f>'2025年'!M43</f>
        <v>48.185840707964608</v>
      </c>
      <c r="N43" s="87">
        <f>'2025年'!N43</f>
        <v>48.185840707964608</v>
      </c>
      <c r="O43" s="87">
        <f>'2025年'!O43</f>
        <v>48.185840707964608</v>
      </c>
      <c r="P43" s="87">
        <f>'2025年'!P43</f>
        <v>48.185840707964608</v>
      </c>
      <c r="Q43" s="87">
        <f>'2025年'!Q43</f>
        <v>189.38495575221242</v>
      </c>
      <c r="R43" s="87">
        <f>'2025年'!R43</f>
        <v>84.32522123893807</v>
      </c>
      <c r="S43" s="87">
        <f>'2025年'!S43</f>
        <v>58.261061946902664</v>
      </c>
      <c r="T43" s="89"/>
      <c r="AT43" s="78" t="s">
        <v>55</v>
      </c>
      <c r="AU43" s="78" t="s">
        <v>115</v>
      </c>
    </row>
    <row r="44" spans="1:47">
      <c r="A44" s="75">
        <v>2</v>
      </c>
      <c r="B44" s="90" t="s">
        <v>116</v>
      </c>
      <c r="C44" s="87">
        <f>'2025年'!C44</f>
        <v>39.483893805309741</v>
      </c>
      <c r="D44" s="87">
        <f>'2025年'!D44</f>
        <v>31.492743362831863</v>
      </c>
      <c r="E44" s="87">
        <f>'2025年'!E44</f>
        <v>31.492743362831863</v>
      </c>
      <c r="F44" s="87">
        <f>'2025年'!F44</f>
        <v>39.483893805309741</v>
      </c>
      <c r="G44" s="87">
        <f>'2025年'!G44</f>
        <v>39.483893805309741</v>
      </c>
      <c r="H44" s="87">
        <f>'2025年'!H44</f>
        <v>31.492743362831863</v>
      </c>
      <c r="I44" s="87">
        <f>'2025年'!I44</f>
        <v>31.492743362831863</v>
      </c>
      <c r="J44" s="87">
        <f>'2025年'!J44</f>
        <v>17.610973451327435</v>
      </c>
      <c r="K44" s="87">
        <f>'2025年'!K44</f>
        <v>12.146548672566372</v>
      </c>
      <c r="L44" s="87">
        <f>'2025年'!L44</f>
        <v>10.046017699115044</v>
      </c>
      <c r="M44" s="87">
        <f>'2025年'!M44</f>
        <v>10.046017699115044</v>
      </c>
      <c r="N44" s="87">
        <f>'2025年'!N44</f>
        <v>10.046017699115044</v>
      </c>
      <c r="O44" s="87">
        <f>'2025年'!O44</f>
        <v>10.046017699115044</v>
      </c>
      <c r="P44" s="87">
        <f>'2025年'!P44</f>
        <v>10.046017699115044</v>
      </c>
      <c r="Q44" s="87">
        <f>'2025年'!Q44</f>
        <v>39.483893805309741</v>
      </c>
      <c r="R44" s="87">
        <f>'2025年'!R44</f>
        <v>17.580530973451332</v>
      </c>
      <c r="S44" s="87">
        <f>'2025年'!S44</f>
        <v>12.146548672566372</v>
      </c>
      <c r="T44" s="89"/>
      <c r="AT44" s="78" t="s">
        <v>57</v>
      </c>
      <c r="AU44" s="78" t="s">
        <v>116</v>
      </c>
    </row>
    <row r="45" spans="1:47">
      <c r="A45" s="75">
        <v>3</v>
      </c>
      <c r="B45" s="90" t="s">
        <v>117</v>
      </c>
      <c r="C45" s="87">
        <f>'2025年'!C45</f>
        <v>60.603185840707972</v>
      </c>
      <c r="D45" s="87">
        <f>'2025年'!D45</f>
        <v>48.337699115044252</v>
      </c>
      <c r="E45" s="87">
        <f>'2025年'!E45</f>
        <v>48.337699115044252</v>
      </c>
      <c r="F45" s="87">
        <f>'2025年'!F45</f>
        <v>60.603185840707972</v>
      </c>
      <c r="G45" s="87">
        <f>'2025年'!G45</f>
        <v>60.603185840707972</v>
      </c>
      <c r="H45" s="87">
        <f>'2025年'!H45</f>
        <v>48.337699115044252</v>
      </c>
      <c r="I45" s="87">
        <f>'2025年'!I45</f>
        <v>48.337699115044252</v>
      </c>
      <c r="J45" s="87">
        <f>'2025年'!J45</f>
        <v>27.030796460176994</v>
      </c>
      <c r="K45" s="87">
        <f>'2025年'!K45</f>
        <v>18.643539823008851</v>
      </c>
      <c r="L45" s="87">
        <f>'2025年'!L45</f>
        <v>15.419469026548672</v>
      </c>
      <c r="M45" s="87">
        <f>'2025年'!M45</f>
        <v>15.419469026548672</v>
      </c>
      <c r="N45" s="87">
        <f>'2025年'!N45</f>
        <v>15.419469026548672</v>
      </c>
      <c r="O45" s="87">
        <f>'2025年'!O45</f>
        <v>15.419469026548672</v>
      </c>
      <c r="P45" s="87">
        <f>'2025年'!P45</f>
        <v>15.419469026548672</v>
      </c>
      <c r="Q45" s="87">
        <f>'2025年'!Q45</f>
        <v>60.603185840707972</v>
      </c>
      <c r="R45" s="87">
        <f>'2025年'!R45</f>
        <v>26.98407079646018</v>
      </c>
      <c r="S45" s="87">
        <f>'2025年'!S45</f>
        <v>18.643539823008851</v>
      </c>
      <c r="T45" s="89"/>
      <c r="AT45" s="78" t="s">
        <v>102</v>
      </c>
      <c r="AU45" s="78" t="s">
        <v>117</v>
      </c>
    </row>
    <row r="46" spans="1:47" s="73" customFormat="1">
      <c r="A46" s="75">
        <v>4</v>
      </c>
      <c r="B46" s="90" t="s">
        <v>118</v>
      </c>
      <c r="C46" s="95" t="e">
        <f>C21/C6</f>
        <v>#DIV/0!</v>
      </c>
      <c r="D46" s="95" t="e">
        <f>D21/D6</f>
        <v>#DIV/0!</v>
      </c>
      <c r="E46" s="95" t="e">
        <f t="shared" ref="E46:F46" si="69">E21/E6</f>
        <v>#DIV/0!</v>
      </c>
      <c r="F46" s="95" t="e">
        <f t="shared" si="69"/>
        <v>#DIV/0!</v>
      </c>
      <c r="G46" s="95" t="e">
        <f t="shared" ref="G46:Q46" si="70">G21/G6</f>
        <v>#DIV/0!</v>
      </c>
      <c r="H46" s="95" t="e">
        <f t="shared" si="70"/>
        <v>#DIV/0!</v>
      </c>
      <c r="I46" s="95" t="e">
        <f t="shared" si="70"/>
        <v>#DIV/0!</v>
      </c>
      <c r="J46" s="95" t="e">
        <f t="shared" si="70"/>
        <v>#DIV/0!</v>
      </c>
      <c r="K46" s="95" t="e">
        <f t="shared" si="70"/>
        <v>#DIV/0!</v>
      </c>
      <c r="L46" s="95" t="e">
        <f t="shared" si="70"/>
        <v>#DIV/0!</v>
      </c>
      <c r="M46" s="95" t="e">
        <f t="shared" si="70"/>
        <v>#DIV/0!</v>
      </c>
      <c r="N46" s="95" t="e">
        <f t="shared" si="70"/>
        <v>#DIV/0!</v>
      </c>
      <c r="O46" s="95" t="e">
        <f t="shared" si="70"/>
        <v>#DIV/0!</v>
      </c>
      <c r="P46" s="95" t="e">
        <f t="shared" si="70"/>
        <v>#DIV/0!</v>
      </c>
      <c r="Q46" s="95" t="e">
        <f t="shared" si="70"/>
        <v>#DIV/0!</v>
      </c>
      <c r="R46" s="95" t="e">
        <f t="shared" ref="R46:S46" si="71">R21/R6</f>
        <v>#DIV/0!</v>
      </c>
      <c r="S46" s="95" t="e">
        <f t="shared" si="71"/>
        <v>#DIV/0!</v>
      </c>
      <c r="T46" s="95"/>
      <c r="AT46" s="90" t="s">
        <v>62</v>
      </c>
      <c r="AU46" s="90" t="s">
        <v>120</v>
      </c>
    </row>
    <row r="47" spans="1:47" s="73" customFormat="1">
      <c r="A47" s="75">
        <v>5</v>
      </c>
      <c r="B47" s="90" t="s">
        <v>120</v>
      </c>
      <c r="C47" s="87">
        <f>'2025年'!C47</f>
        <v>81.492920353982299</v>
      </c>
      <c r="D47" s="87">
        <f>'2025年'!D47</f>
        <v>64.999557522123894</v>
      </c>
      <c r="E47" s="87">
        <f>'2025年'!E47</f>
        <v>64.999557522123894</v>
      </c>
      <c r="F47" s="87">
        <f>'2025年'!F47</f>
        <v>81.492920353982299</v>
      </c>
      <c r="G47" s="87">
        <f>'2025年'!G47</f>
        <v>81.492920353982299</v>
      </c>
      <c r="H47" s="87">
        <f>'2025年'!H47</f>
        <v>64.999557522123894</v>
      </c>
      <c r="I47" s="87">
        <f>'2025年'!I47</f>
        <v>64.999557522123894</v>
      </c>
      <c r="J47" s="87">
        <f>'2025年'!J47</f>
        <v>36.348230088495576</v>
      </c>
      <c r="K47" s="87">
        <f>'2025年'!K47</f>
        <v>25.069911504424777</v>
      </c>
      <c r="L47" s="87">
        <f>'2025年'!L47</f>
        <v>20.734513274336283</v>
      </c>
      <c r="M47" s="87">
        <f>'2025年'!M47</f>
        <v>20.734513274336283</v>
      </c>
      <c r="N47" s="87">
        <f>'2025年'!N47</f>
        <v>20.734513274336283</v>
      </c>
      <c r="O47" s="87">
        <f>'2025年'!O47</f>
        <v>20.734513274336283</v>
      </c>
      <c r="P47" s="87">
        <f>'2025年'!P47</f>
        <v>20.734513274336283</v>
      </c>
      <c r="Q47" s="87">
        <f>'2025年'!Q47</f>
        <v>81.492920353982299</v>
      </c>
      <c r="R47" s="87">
        <f>'2025年'!R47</f>
        <v>36.285398230088497</v>
      </c>
      <c r="S47" s="87">
        <f>'2025年'!S47</f>
        <v>25.069911504424777</v>
      </c>
      <c r="T47" s="95"/>
      <c r="AT47" s="90" t="s">
        <v>62</v>
      </c>
      <c r="AU47" s="90" t="s">
        <v>120</v>
      </c>
    </row>
    <row r="48" spans="1:47">
      <c r="A48" s="78" t="s">
        <v>113</v>
      </c>
      <c r="B48" s="83" t="s">
        <v>131</v>
      </c>
      <c r="C48" s="89" t="e">
        <f>C40-C43-C44-C45-C47-C46</f>
        <v>#DIV/0!</v>
      </c>
      <c r="D48" s="89" t="e">
        <f>D40-D43-D44-D45-D47-D46</f>
        <v>#DIV/0!</v>
      </c>
      <c r="E48" s="89" t="e">
        <f t="shared" ref="E48:F48" si="72">E40-E43-E44-E45-E47-E46</f>
        <v>#DIV/0!</v>
      </c>
      <c r="F48" s="89" t="e">
        <f t="shared" si="72"/>
        <v>#DIV/0!</v>
      </c>
      <c r="G48" s="89" t="e">
        <f t="shared" ref="G48:Q48" si="73">G40-G43-G44-G45-G47-G46</f>
        <v>#DIV/0!</v>
      </c>
      <c r="H48" s="89" t="e">
        <f t="shared" si="73"/>
        <v>#DIV/0!</v>
      </c>
      <c r="I48" s="89" t="e">
        <f t="shared" si="73"/>
        <v>#DIV/0!</v>
      </c>
      <c r="J48" s="89" t="e">
        <f t="shared" si="73"/>
        <v>#DIV/0!</v>
      </c>
      <c r="K48" s="89" t="e">
        <f t="shared" si="73"/>
        <v>#DIV/0!</v>
      </c>
      <c r="L48" s="89" t="e">
        <f t="shared" si="73"/>
        <v>#DIV/0!</v>
      </c>
      <c r="M48" s="89" t="e">
        <f t="shared" si="73"/>
        <v>#DIV/0!</v>
      </c>
      <c r="N48" s="89" t="e">
        <f t="shared" si="73"/>
        <v>#DIV/0!</v>
      </c>
      <c r="O48" s="89" t="e">
        <f t="shared" si="73"/>
        <v>#DIV/0!</v>
      </c>
      <c r="P48" s="89" t="e">
        <f t="shared" si="73"/>
        <v>#DIV/0!</v>
      </c>
      <c r="Q48" s="89" t="e">
        <f t="shared" si="73"/>
        <v>#DIV/0!</v>
      </c>
      <c r="R48" s="89" t="e">
        <f t="shared" ref="R48:S48" si="74">R40-R43-R44-R45-R47-R46</f>
        <v>#DIV/0!</v>
      </c>
      <c r="S48" s="89" t="e">
        <f t="shared" si="74"/>
        <v>#DIV/0!</v>
      </c>
      <c r="T48" s="89"/>
      <c r="AT48" s="78" t="s">
        <v>130</v>
      </c>
      <c r="AU48" s="83" t="s">
        <v>131</v>
      </c>
    </row>
    <row r="51" spans="2:25"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</row>
    <row r="54" spans="2:25">
      <c r="B54" s="2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2"/>
      <c r="V54" s="2"/>
      <c r="W54" s="2"/>
      <c r="X54" s="2"/>
      <c r="Y54" s="2"/>
    </row>
    <row r="55" spans="2:25">
      <c r="B55" s="2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2"/>
      <c r="V55" s="2"/>
      <c r="W55" s="2"/>
      <c r="X55" s="2"/>
      <c r="Y55" s="2"/>
    </row>
    <row r="56" spans="2:25">
      <c r="B56" s="2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2"/>
      <c r="V56" s="2"/>
      <c r="W56" s="2"/>
      <c r="X56" s="2"/>
      <c r="Y56" s="2"/>
    </row>
    <row r="57" spans="2:25">
      <c r="B57" s="2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2"/>
      <c r="V57" s="2"/>
      <c r="W57" s="2"/>
      <c r="X57" s="2"/>
      <c r="Y57" s="2"/>
    </row>
    <row r="58" spans="2:25">
      <c r="B58" s="2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2"/>
      <c r="V58" s="2"/>
      <c r="W58" s="2"/>
      <c r="X58" s="2"/>
      <c r="Y58" s="2"/>
    </row>
    <row r="59" spans="2:25">
      <c r="B59" s="2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2"/>
      <c r="V59" s="2"/>
      <c r="W59" s="2"/>
      <c r="X59" s="2"/>
      <c r="Y59" s="2"/>
    </row>
    <row r="60" spans="2:25">
      <c r="B60" s="2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2"/>
      <c r="V60" s="2"/>
      <c r="W60" s="2"/>
      <c r="X60" s="2"/>
      <c r="Y60" s="2"/>
    </row>
    <row r="61" spans="2:25">
      <c r="B61" s="2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2"/>
      <c r="V61" s="2"/>
      <c r="W61" s="2"/>
      <c r="X61" s="2"/>
      <c r="Y61" s="2"/>
    </row>
    <row r="62" spans="2:25">
      <c r="B62" s="2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2"/>
      <c r="V62" s="2"/>
      <c r="W62" s="2"/>
      <c r="X62" s="2"/>
      <c r="Y62" s="2"/>
    </row>
    <row r="63" spans="2:25">
      <c r="B63" s="2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2"/>
      <c r="V63" s="2"/>
      <c r="W63" s="2"/>
      <c r="X63" s="2"/>
      <c r="Y63" s="2"/>
    </row>
    <row r="64" spans="2:25">
      <c r="B64" s="2"/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2"/>
      <c r="V64" s="2"/>
      <c r="W64" s="2"/>
      <c r="X64" s="2"/>
      <c r="Y64" s="2"/>
    </row>
    <row r="65" spans="2:25">
      <c r="B65" s="2"/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2"/>
      <c r="V65" s="2"/>
      <c r="W65" s="2"/>
      <c r="X65" s="2"/>
      <c r="Y65" s="2"/>
    </row>
    <row r="66" spans="2:25">
      <c r="B66" s="2"/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2"/>
      <c r="V66" s="2"/>
      <c r="W66" s="2"/>
      <c r="X66" s="2"/>
      <c r="Y66" s="2"/>
    </row>
    <row r="67" spans="2:25">
      <c r="B67" s="2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2"/>
    </row>
    <row r="68" spans="2:25">
      <c r="B68" s="2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2"/>
    </row>
    <row r="69" spans="2:25">
      <c r="B69" s="2"/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2"/>
    </row>
    <row r="70" spans="2:25">
      <c r="B70" s="2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2"/>
    </row>
    <row r="71" spans="2:25">
      <c r="B71" s="2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2"/>
    </row>
    <row r="72" spans="2:25">
      <c r="B72" s="2"/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2"/>
    </row>
    <row r="73" spans="2:25">
      <c r="B73" s="2"/>
      <c r="C73" s="97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2"/>
    </row>
    <row r="74" spans="2:25">
      <c r="B74" s="2"/>
      <c r="C74" s="97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2"/>
    </row>
  </sheetData>
  <mergeCells count="8">
    <mergeCell ref="A4:B4"/>
    <mergeCell ref="A5:B5"/>
    <mergeCell ref="T3:T5"/>
    <mergeCell ref="A1:B1"/>
    <mergeCell ref="C1:T1"/>
    <mergeCell ref="A2:B2"/>
    <mergeCell ref="C2:T2"/>
    <mergeCell ref="A3:B3"/>
  </mergeCells>
  <phoneticPr fontId="45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zoomScale="80" zoomScaleNormal="80" workbookViewId="0">
      <pane xSplit="6" ySplit="2" topLeftCell="G3" activePane="bottomRight" state="frozen"/>
      <selection pane="topRight"/>
      <selection pane="bottomLeft"/>
      <selection pane="bottomRight" activeCell="F20" sqref="F20"/>
    </sheetView>
  </sheetViews>
  <sheetFormatPr defaultColWidth="9" defaultRowHeight="13.5"/>
  <cols>
    <col min="1" max="1" width="19.5" customWidth="1"/>
    <col min="2" max="2" width="14.875" style="44" customWidth="1"/>
    <col min="3" max="3" width="9.25" customWidth="1"/>
    <col min="4" max="4" width="15.5" customWidth="1"/>
    <col min="5" max="5" width="14.875" customWidth="1"/>
    <col min="6" max="6" width="15.5" customWidth="1"/>
    <col min="7" max="7" width="15.125" customWidth="1"/>
    <col min="8" max="8" width="13" customWidth="1"/>
    <col min="9" max="9" width="14.875" customWidth="1"/>
    <col min="10" max="10" width="13" customWidth="1"/>
    <col min="11" max="11" width="15.625"/>
    <col min="12" max="12" width="12.5"/>
  </cols>
  <sheetData>
    <row r="1" spans="1:10" ht="41.25" customHeight="1">
      <c r="A1" s="231" t="s">
        <v>151</v>
      </c>
      <c r="B1" s="231"/>
      <c r="C1" s="231"/>
      <c r="E1" s="232" t="s">
        <v>257</v>
      </c>
      <c r="F1" s="233"/>
      <c r="G1" s="233"/>
      <c r="H1" s="234"/>
    </row>
    <row r="2" spans="1:10" ht="23.45" customHeight="1">
      <c r="A2" s="45" t="s">
        <v>1</v>
      </c>
      <c r="B2" s="46" t="s">
        <v>152</v>
      </c>
      <c r="C2" s="47" t="s">
        <v>153</v>
      </c>
      <c r="E2" s="48" t="s">
        <v>154</v>
      </c>
      <c r="F2" s="48" t="s">
        <v>1</v>
      </c>
      <c r="G2" s="49" t="s">
        <v>155</v>
      </c>
      <c r="H2" s="48" t="s">
        <v>153</v>
      </c>
    </row>
    <row r="3" spans="1:10" ht="15.75" customHeight="1">
      <c r="A3" s="50" t="s">
        <v>156</v>
      </c>
      <c r="B3" s="51"/>
      <c r="C3" s="52"/>
      <c r="E3" s="239" t="s">
        <v>157</v>
      </c>
      <c r="F3" s="53" t="s">
        <v>158</v>
      </c>
      <c r="G3" s="54"/>
      <c r="H3" s="53"/>
    </row>
    <row r="4" spans="1:10" ht="15.75" customHeight="1">
      <c r="A4" s="50" t="s">
        <v>159</v>
      </c>
      <c r="B4" s="51"/>
      <c r="C4" s="55"/>
      <c r="E4" s="240"/>
      <c r="F4" s="53" t="s">
        <v>160</v>
      </c>
      <c r="G4" s="54"/>
      <c r="H4" s="53"/>
    </row>
    <row r="5" spans="1:10" ht="15.75" customHeight="1">
      <c r="A5" s="50" t="s">
        <v>161</v>
      </c>
      <c r="B5" s="56">
        <f>SUM(G3:G4)</f>
        <v>0</v>
      </c>
      <c r="C5" s="52"/>
      <c r="E5" s="241" t="s">
        <v>162</v>
      </c>
      <c r="F5" s="57" t="s">
        <v>163</v>
      </c>
      <c r="G5" s="54"/>
      <c r="H5" s="57"/>
    </row>
    <row r="6" spans="1:10" ht="15.75" customHeight="1">
      <c r="A6" s="50" t="s">
        <v>164</v>
      </c>
      <c r="B6" s="51"/>
      <c r="C6" s="52"/>
      <c r="E6" s="242"/>
      <c r="F6" s="57" t="s">
        <v>165</v>
      </c>
      <c r="G6" s="54"/>
      <c r="H6" s="173"/>
      <c r="J6">
        <v>10000</v>
      </c>
    </row>
    <row r="7" spans="1:10" ht="15.75" customHeight="1">
      <c r="A7" s="58" t="s">
        <v>166</v>
      </c>
      <c r="B7" s="56">
        <f>SUM(B3:B6)</f>
        <v>0</v>
      </c>
      <c r="C7" s="52"/>
      <c r="E7" s="242"/>
      <c r="F7" s="57" t="s">
        <v>167</v>
      </c>
      <c r="G7" s="54">
        <v>0.5</v>
      </c>
      <c r="H7" s="173"/>
    </row>
    <row r="8" spans="1:10" ht="15.75" customHeight="1">
      <c r="A8" s="59" t="s">
        <v>168</v>
      </c>
      <c r="B8" s="56">
        <f>SUM(G5:G12)</f>
        <v>0.5</v>
      </c>
      <c r="C8" s="60"/>
      <c r="E8" s="242"/>
      <c r="F8" s="57" t="s">
        <v>169</v>
      </c>
      <c r="G8" s="54">
        <v>0</v>
      </c>
      <c r="H8" s="173"/>
    </row>
    <row r="9" spans="1:10" ht="15.75" customHeight="1">
      <c r="A9" s="50" t="s">
        <v>170</v>
      </c>
      <c r="B9" s="56">
        <f>SUM(G13:G21)</f>
        <v>9.5</v>
      </c>
      <c r="C9" s="52"/>
      <c r="E9" s="242"/>
      <c r="F9" s="53" t="s">
        <v>171</v>
      </c>
      <c r="G9" s="54">
        <v>0</v>
      </c>
      <c r="H9" s="173"/>
    </row>
    <row r="10" spans="1:10" ht="15.75" customHeight="1">
      <c r="A10" s="55" t="s">
        <v>51</v>
      </c>
      <c r="B10" s="56">
        <f>B7+B8+B9</f>
        <v>10</v>
      </c>
      <c r="C10" s="52"/>
      <c r="E10" s="242"/>
      <c r="F10" s="53" t="s">
        <v>172</v>
      </c>
      <c r="G10" s="61">
        <v>0</v>
      </c>
      <c r="H10" s="173"/>
    </row>
    <row r="11" spans="1:10" ht="15.75" customHeight="1">
      <c r="E11" s="242"/>
      <c r="F11" s="53" t="s">
        <v>173</v>
      </c>
      <c r="G11" s="61">
        <v>0</v>
      </c>
      <c r="H11" s="173"/>
    </row>
    <row r="12" spans="1:10" ht="15.75" customHeight="1">
      <c r="E12" s="243"/>
      <c r="F12" s="53" t="s">
        <v>174</v>
      </c>
      <c r="G12" s="54">
        <v>0</v>
      </c>
      <c r="H12" s="173"/>
    </row>
    <row r="13" spans="1:10" ht="15.75" customHeight="1">
      <c r="E13" s="239" t="s">
        <v>83</v>
      </c>
      <c r="F13" s="53" t="s">
        <v>175</v>
      </c>
      <c r="G13" s="54">
        <v>0</v>
      </c>
      <c r="H13" s="174"/>
    </row>
    <row r="14" spans="1:10" ht="15.75" customHeight="1">
      <c r="E14" s="240"/>
      <c r="F14" s="53" t="s">
        <v>176</v>
      </c>
      <c r="G14" s="54">
        <v>0.5</v>
      </c>
      <c r="H14" s="176"/>
    </row>
    <row r="15" spans="1:10" ht="15.75" customHeight="1">
      <c r="E15" s="240"/>
      <c r="F15" s="53" t="s">
        <v>177</v>
      </c>
      <c r="G15" s="54">
        <v>0.25</v>
      </c>
      <c r="H15" s="176"/>
    </row>
    <row r="16" spans="1:10" ht="15.75" customHeight="1">
      <c r="E16" s="240"/>
      <c r="F16" s="53" t="s">
        <v>178</v>
      </c>
      <c r="G16" s="54">
        <v>0.25</v>
      </c>
      <c r="H16" s="176"/>
    </row>
    <row r="17" spans="1:12" ht="15.75" customHeight="1">
      <c r="E17" s="240"/>
      <c r="F17" s="53" t="s">
        <v>179</v>
      </c>
      <c r="G17" s="54">
        <v>0</v>
      </c>
      <c r="H17" s="174"/>
    </row>
    <row r="18" spans="1:12" ht="15.75" customHeight="1">
      <c r="E18" s="240"/>
      <c r="F18" s="53" t="s">
        <v>180</v>
      </c>
      <c r="G18" s="54">
        <v>0.5</v>
      </c>
      <c r="H18" s="175"/>
    </row>
    <row r="19" spans="1:12" ht="15.75" customHeight="1">
      <c r="E19" s="240"/>
      <c r="F19" s="53" t="s">
        <v>181</v>
      </c>
      <c r="G19" s="54">
        <v>8</v>
      </c>
      <c r="H19" s="175"/>
      <c r="I19" s="177"/>
    </row>
    <row r="20" spans="1:12" ht="15.75" customHeight="1">
      <c r="E20" s="240"/>
      <c r="F20" s="53" t="s">
        <v>182</v>
      </c>
      <c r="G20" s="54"/>
      <c r="H20" s="53"/>
    </row>
    <row r="21" spans="1:12" ht="15.75" customHeight="1">
      <c r="E21" s="244"/>
      <c r="F21" s="53" t="s">
        <v>36</v>
      </c>
      <c r="G21" s="54">
        <v>0</v>
      </c>
      <c r="H21" s="53"/>
    </row>
    <row r="22" spans="1:12" ht="21.75" customHeight="1">
      <c r="E22" s="48" t="s">
        <v>51</v>
      </c>
      <c r="F22" s="53"/>
      <c r="G22" s="49">
        <f>SUM(G3:G21)</f>
        <v>10</v>
      </c>
      <c r="H22" s="62"/>
    </row>
    <row r="23" spans="1:12" ht="30.75" customHeight="1">
      <c r="E23" s="235" t="s">
        <v>183</v>
      </c>
      <c r="F23" s="235"/>
      <c r="G23" s="235"/>
      <c r="H23" s="235"/>
    </row>
    <row r="25" spans="1:12" ht="24.75" customHeight="1">
      <c r="A25" s="63" t="s">
        <v>1</v>
      </c>
      <c r="B25" s="63" t="s">
        <v>152</v>
      </c>
      <c r="C25" s="63" t="s">
        <v>184</v>
      </c>
      <c r="D25" s="64" t="s">
        <v>272</v>
      </c>
      <c r="E25" s="64" t="s">
        <v>49</v>
      </c>
      <c r="F25" s="64" t="s">
        <v>50</v>
      </c>
      <c r="G25" s="64" t="s">
        <v>185</v>
      </c>
      <c r="H25" s="64" t="s">
        <v>186</v>
      </c>
      <c r="I25" s="64" t="s">
        <v>187</v>
      </c>
      <c r="J25" s="64" t="s">
        <v>259</v>
      </c>
      <c r="K25" s="64" t="s">
        <v>51</v>
      </c>
      <c r="L25" s="69" t="s">
        <v>188</v>
      </c>
    </row>
    <row r="26" spans="1:12" ht="16.5">
      <c r="A26" s="65" t="s">
        <v>147</v>
      </c>
      <c r="B26" s="66">
        <f>(B5+B8)*10000</f>
        <v>5000</v>
      </c>
      <c r="C26" s="67">
        <v>0.05</v>
      </c>
      <c r="D26" s="68">
        <f>B26*(1-C26)/3</f>
        <v>1583.3333333333333</v>
      </c>
      <c r="E26" s="68">
        <f t="shared" ref="E26:F26" si="0">D26</f>
        <v>1583.3333333333333</v>
      </c>
      <c r="F26" s="68">
        <f t="shared" si="0"/>
        <v>1583.3333333333333</v>
      </c>
      <c r="G26" s="68"/>
      <c r="H26" s="68"/>
      <c r="I26" s="68"/>
      <c r="J26" s="68"/>
      <c r="K26" s="68">
        <f>SUM(D26:J26)</f>
        <v>4750</v>
      </c>
      <c r="L26" s="68">
        <f>B26*0.05</f>
        <v>250</v>
      </c>
    </row>
    <row r="27" spans="1:12" ht="16.5">
      <c r="A27" s="65" t="s">
        <v>189</v>
      </c>
      <c r="B27" s="66">
        <f>B9*10000</f>
        <v>95000</v>
      </c>
      <c r="C27" s="68"/>
      <c r="D27" s="68">
        <f>B27/3</f>
        <v>31666.666666666668</v>
      </c>
      <c r="E27" s="68">
        <f t="shared" ref="E27:F27" si="1">D27</f>
        <v>31666.666666666668</v>
      </c>
      <c r="F27" s="68">
        <f t="shared" si="1"/>
        <v>31666.666666666668</v>
      </c>
      <c r="G27" s="68"/>
      <c r="H27" s="68"/>
      <c r="I27" s="68"/>
      <c r="J27" s="68"/>
      <c r="K27" s="68">
        <f>SUM(D27:J27)</f>
        <v>95000</v>
      </c>
      <c r="L27" s="68"/>
    </row>
    <row r="28" spans="1:12" ht="26.25" customHeight="1">
      <c r="A28" s="236" t="s">
        <v>139</v>
      </c>
      <c r="B28" s="237"/>
      <c r="C28" s="238"/>
      <c r="D28" s="68">
        <f>SUM(D26:D27)</f>
        <v>33250</v>
      </c>
      <c r="E28" s="68">
        <f t="shared" ref="E28:K28" si="2">SUM(E26:E27)</f>
        <v>33250</v>
      </c>
      <c r="F28" s="68">
        <f t="shared" si="2"/>
        <v>33250</v>
      </c>
      <c r="G28" s="68">
        <f t="shared" si="2"/>
        <v>0</v>
      </c>
      <c r="H28" s="68">
        <f t="shared" si="2"/>
        <v>0</v>
      </c>
      <c r="I28" s="68">
        <f t="shared" si="2"/>
        <v>0</v>
      </c>
      <c r="J28" s="68">
        <f t="shared" si="2"/>
        <v>0</v>
      </c>
      <c r="K28" s="68">
        <f t="shared" si="2"/>
        <v>99750</v>
      </c>
      <c r="L28" s="70"/>
    </row>
    <row r="41" ht="37.5" customHeight="1"/>
  </sheetData>
  <mergeCells count="7">
    <mergeCell ref="A1:C1"/>
    <mergeCell ref="E1:H1"/>
    <mergeCell ref="E23:H23"/>
    <mergeCell ref="A28:C28"/>
    <mergeCell ref="E3:E4"/>
    <mergeCell ref="E5:E12"/>
    <mergeCell ref="E13:E21"/>
  </mergeCells>
  <phoneticPr fontId="4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4</vt:i4>
      </vt:variant>
    </vt:vector>
  </HeadingPairs>
  <TitlesOfParts>
    <vt:vector size="17" baseType="lpstr">
      <vt:lpstr>假设条件</vt:lpstr>
      <vt:lpstr>现金</vt:lpstr>
      <vt:lpstr>损益表</vt:lpstr>
      <vt:lpstr>2025年</vt:lpstr>
      <vt:lpstr>2026年</vt:lpstr>
      <vt:lpstr>2027年</vt:lpstr>
      <vt:lpstr>2028年</vt:lpstr>
      <vt:lpstr>2029年</vt:lpstr>
      <vt:lpstr>项目投资</vt:lpstr>
      <vt:lpstr>销量</vt:lpstr>
      <vt:lpstr>材料成本</vt:lpstr>
      <vt:lpstr>其他</vt:lpstr>
      <vt:lpstr>标准成本</vt:lpstr>
      <vt:lpstr>'2026年'!Print_Area</vt:lpstr>
      <vt:lpstr>'2027年'!Print_Area</vt:lpstr>
      <vt:lpstr>'2028年'!Print_Area</vt:lpstr>
      <vt:lpstr>项目投资!Print_Area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ghrc</dc:creator>
  <cp:lastModifiedBy>ghrc</cp:lastModifiedBy>
  <dcterms:created xsi:type="dcterms:W3CDTF">2006-09-13T11:21:00Z</dcterms:created>
  <dcterms:modified xsi:type="dcterms:W3CDTF">2025-06-25T07:51:26Z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9545D4B7266740A89BCEAE7E60B7E103</vt:lpwstr>
  </property>
</Properties>
</file>