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福田A6出口右舵座椅开发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5" l="1"/>
  <c r="C19" i="55"/>
  <c r="F22" i="55" l="1"/>
  <c r="E23" i="53" l="1"/>
  <c r="G23" i="55" l="1"/>
  <c r="H23" i="55"/>
  <c r="I23" i="55"/>
  <c r="J23" i="55"/>
  <c r="K23" i="55"/>
  <c r="L23" i="55"/>
  <c r="M23" i="55"/>
  <c r="N23" i="55"/>
  <c r="O23" i="55"/>
  <c r="P23" i="55"/>
  <c r="Q23" i="55"/>
  <c r="R23" i="55"/>
  <c r="G24" i="55"/>
  <c r="H24" i="55"/>
  <c r="I24" i="55"/>
  <c r="J24" i="55"/>
  <c r="K24" i="55"/>
  <c r="L24" i="55"/>
  <c r="M24" i="55"/>
  <c r="N24" i="55"/>
  <c r="O24" i="55"/>
  <c r="P24" i="55"/>
  <c r="Q24" i="55"/>
  <c r="R24" i="55"/>
  <c r="F23" i="55" l="1"/>
  <c r="F24" i="55" s="1"/>
  <c r="H27" i="53"/>
  <c r="H28" i="53" s="1"/>
  <c r="I27" i="53"/>
  <c r="I28" i="53"/>
  <c r="J5" i="53" l="1"/>
  <c r="G6" i="59" l="1"/>
  <c r="H6" i="59"/>
  <c r="I6" i="59"/>
  <c r="J6" i="59"/>
  <c r="K6" i="59"/>
  <c r="L6" i="59"/>
  <c r="M6" i="59"/>
  <c r="N6" i="59"/>
  <c r="O6" i="59"/>
  <c r="P6" i="59"/>
  <c r="Q6" i="59"/>
  <c r="R6" i="59"/>
  <c r="G7" i="59"/>
  <c r="H7" i="59"/>
  <c r="I7" i="59"/>
  <c r="J7" i="59"/>
  <c r="K7" i="59"/>
  <c r="L7" i="59"/>
  <c r="M7" i="59"/>
  <c r="N7" i="59"/>
  <c r="O7" i="59"/>
  <c r="P7" i="59"/>
  <c r="Q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F7" i="61" s="1"/>
  <c r="F9" i="61" s="1"/>
  <c r="F32" i="61" s="1"/>
  <c r="G6" i="61"/>
  <c r="H6" i="61"/>
  <c r="I6" i="61"/>
  <c r="J6" i="61"/>
  <c r="K6" i="61"/>
  <c r="L6" i="61"/>
  <c r="M6" i="61"/>
  <c r="N6" i="61"/>
  <c r="O6" i="61"/>
  <c r="P6" i="61"/>
  <c r="Q6" i="61"/>
  <c r="R6" i="61"/>
  <c r="D7" i="61"/>
  <c r="G7" i="61"/>
  <c r="H7" i="61"/>
  <c r="I7" i="61"/>
  <c r="J7" i="61"/>
  <c r="K7" i="61"/>
  <c r="L7" i="61"/>
  <c r="M7" i="61"/>
  <c r="N7" i="61"/>
  <c r="O7" i="61"/>
  <c r="P7" i="61"/>
  <c r="Q7" i="61"/>
  <c r="R7" i="61"/>
  <c r="D9" i="61"/>
  <c r="D32" i="61" s="1"/>
  <c r="G9" i="61"/>
  <c r="G32" i="61" s="1"/>
  <c r="H9" i="61"/>
  <c r="H32" i="61" s="1"/>
  <c r="I9" i="61"/>
  <c r="I32" i="61" s="1"/>
  <c r="J9" i="61"/>
  <c r="J32" i="61" s="1"/>
  <c r="K9" i="61"/>
  <c r="K32" i="61" s="1"/>
  <c r="L9" i="61"/>
  <c r="L32" i="61" s="1"/>
  <c r="M9" i="61"/>
  <c r="M32" i="61" s="1"/>
  <c r="N9" i="61"/>
  <c r="N32" i="61" s="1"/>
  <c r="O9" i="61"/>
  <c r="O32" i="61" s="1"/>
  <c r="P9" i="61"/>
  <c r="P32" i="61" s="1"/>
  <c r="Q9" i="61"/>
  <c r="Q32" i="61" s="1"/>
  <c r="R9" i="61"/>
  <c r="R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E200" i="50" s="1"/>
  <c r="R37" i="61" s="1"/>
  <c r="I195" i="50"/>
  <c r="H205" i="50"/>
  <c r="H204" i="50"/>
  <c r="H203" i="50"/>
  <c r="H202" i="50"/>
  <c r="H201" i="50"/>
  <c r="H200" i="50"/>
  <c r="H199" i="50"/>
  <c r="H198" i="50"/>
  <c r="I184" i="50"/>
  <c r="E187" i="50" s="1"/>
  <c r="Q37" i="61" s="1"/>
  <c r="I182" i="50"/>
  <c r="H192" i="50"/>
  <c r="H191" i="50"/>
  <c r="H190" i="50"/>
  <c r="H189" i="50"/>
  <c r="H188" i="50"/>
  <c r="H187" i="50"/>
  <c r="H186" i="50"/>
  <c r="H185" i="50"/>
  <c r="I171" i="50"/>
  <c r="E174" i="50" s="1"/>
  <c r="P37" i="61" s="1"/>
  <c r="I169" i="50"/>
  <c r="H179" i="50"/>
  <c r="H178" i="50"/>
  <c r="H177" i="50"/>
  <c r="H176" i="50"/>
  <c r="H175" i="50"/>
  <c r="H174" i="50"/>
  <c r="H173" i="50"/>
  <c r="H172" i="50"/>
  <c r="I158" i="50"/>
  <c r="E161" i="50" s="1"/>
  <c r="O37" i="61" s="1"/>
  <c r="I156" i="50"/>
  <c r="H166" i="50"/>
  <c r="H165" i="50"/>
  <c r="H164" i="50"/>
  <c r="H163" i="50"/>
  <c r="H162" i="50"/>
  <c r="H161" i="50"/>
  <c r="H160" i="50"/>
  <c r="H159" i="50"/>
  <c r="I145" i="50"/>
  <c r="E147" i="50" s="1"/>
  <c r="N43" i="61" s="1"/>
  <c r="I143" i="50"/>
  <c r="H153" i="50"/>
  <c r="H152" i="50"/>
  <c r="H151" i="50"/>
  <c r="H150" i="50"/>
  <c r="H149" i="50"/>
  <c r="H148" i="50"/>
  <c r="H147" i="50"/>
  <c r="H146" i="50"/>
  <c r="I132" i="50"/>
  <c r="E135" i="50" s="1"/>
  <c r="M37" i="61" s="1"/>
  <c r="I130" i="50"/>
  <c r="H140" i="50"/>
  <c r="H139" i="50"/>
  <c r="H138" i="50"/>
  <c r="H137" i="50"/>
  <c r="H136" i="50"/>
  <c r="H135" i="50"/>
  <c r="H134" i="50"/>
  <c r="H133" i="50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I93" i="50"/>
  <c r="E97" i="50" s="1"/>
  <c r="I91" i="50"/>
  <c r="H101" i="50"/>
  <c r="H100" i="50"/>
  <c r="H99" i="50"/>
  <c r="H98" i="50"/>
  <c r="H97" i="50"/>
  <c r="H96" i="50"/>
  <c r="H95" i="50"/>
  <c r="H94" i="50"/>
  <c r="I80" i="50"/>
  <c r="E84" i="50" s="1"/>
  <c r="I78" i="50"/>
  <c r="I67" i="50"/>
  <c r="E70" i="50" s="1"/>
  <c r="H37" i="61" s="1"/>
  <c r="I54" i="50"/>
  <c r="E57" i="50" s="1"/>
  <c r="G37" i="61" s="1"/>
  <c r="I28" i="50"/>
  <c r="I41" i="50"/>
  <c r="E42" i="50" s="1"/>
  <c r="E56" i="50"/>
  <c r="G43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75" i="50" l="1"/>
  <c r="H47" i="61" s="1"/>
  <c r="E166" i="50"/>
  <c r="O47" i="61" s="1"/>
  <c r="O22" i="61" s="1"/>
  <c r="E205" i="50"/>
  <c r="R47" i="61" s="1"/>
  <c r="E114" i="50"/>
  <c r="K47" i="61" s="1"/>
  <c r="K47" i="57" s="1"/>
  <c r="K22" i="57" s="1"/>
  <c r="E69" i="50"/>
  <c r="H43" i="61" s="1"/>
  <c r="E96" i="50"/>
  <c r="J37" i="61" s="1"/>
  <c r="E149" i="50"/>
  <c r="E163" i="50"/>
  <c r="O45" i="61" s="1"/>
  <c r="E189" i="50"/>
  <c r="Q45" i="61" s="1"/>
  <c r="E202" i="50"/>
  <c r="R45" i="61" s="1"/>
  <c r="R45" i="59" s="1"/>
  <c r="R20" i="59" s="1"/>
  <c r="E173" i="50"/>
  <c r="P43" i="61" s="1"/>
  <c r="E111" i="50"/>
  <c r="K45" i="61" s="1"/>
  <c r="E140" i="50"/>
  <c r="M47" i="61" s="1"/>
  <c r="M47" i="58" s="1"/>
  <c r="M22" i="58" s="1"/>
  <c r="E146" i="50"/>
  <c r="N36" i="61" s="1"/>
  <c r="E179" i="50"/>
  <c r="P47" i="61" s="1"/>
  <c r="E186" i="50"/>
  <c r="Q43" i="61" s="1"/>
  <c r="Q43" i="57" s="1"/>
  <c r="E134" i="50"/>
  <c r="M43" i="61" s="1"/>
  <c r="N11" i="61"/>
  <c r="E62" i="50"/>
  <c r="G47" i="61" s="1"/>
  <c r="G47" i="43" s="1"/>
  <c r="G22" i="43" s="1"/>
  <c r="E72" i="50"/>
  <c r="H45" i="61" s="1"/>
  <c r="E59" i="50"/>
  <c r="G45" i="61" s="1"/>
  <c r="E101" i="50"/>
  <c r="J47" i="61" s="1"/>
  <c r="J22" i="61" s="1"/>
  <c r="E107" i="50"/>
  <c r="K36" i="61" s="1"/>
  <c r="K11" i="61" s="1"/>
  <c r="E137" i="50"/>
  <c r="M45" i="61" s="1"/>
  <c r="E152" i="50"/>
  <c r="N38" i="61" s="1"/>
  <c r="N38" i="59" s="1"/>
  <c r="N13" i="59" s="1"/>
  <c r="E160" i="50"/>
  <c r="O43" i="61" s="1"/>
  <c r="E176" i="50"/>
  <c r="P45" i="61" s="1"/>
  <c r="E192" i="50"/>
  <c r="Q47" i="61" s="1"/>
  <c r="Q22" i="61" s="1"/>
  <c r="E199" i="50"/>
  <c r="R43" i="61" s="1"/>
  <c r="N43" i="59"/>
  <c r="N43" i="58"/>
  <c r="N43" i="57"/>
  <c r="N43" i="43"/>
  <c r="Q37" i="59"/>
  <c r="Q12" i="59" s="1"/>
  <c r="Q37" i="58"/>
  <c r="Q12" i="58" s="1"/>
  <c r="Q37" i="57"/>
  <c r="Q12" i="57" s="1"/>
  <c r="Q37" i="43"/>
  <c r="Q12" i="43" s="1"/>
  <c r="O37" i="59"/>
  <c r="O12" i="59" s="1"/>
  <c r="O37" i="58"/>
  <c r="O12" i="58" s="1"/>
  <c r="O37" i="57"/>
  <c r="O12" i="57" s="1"/>
  <c r="O37" i="43"/>
  <c r="O12" i="43" s="1"/>
  <c r="O12" i="61"/>
  <c r="R37" i="59"/>
  <c r="R12" i="59" s="1"/>
  <c r="R37" i="58"/>
  <c r="R12" i="58" s="1"/>
  <c r="R37" i="57"/>
  <c r="R12" i="57" s="1"/>
  <c r="R37" i="43"/>
  <c r="R12" i="43" s="1"/>
  <c r="R12" i="61"/>
  <c r="M37" i="59"/>
  <c r="M12" i="59" s="1"/>
  <c r="M37" i="58"/>
  <c r="M12" i="58" s="1"/>
  <c r="M37" i="57"/>
  <c r="M12" i="57" s="1"/>
  <c r="M37" i="43"/>
  <c r="M12" i="43" s="1"/>
  <c r="M12" i="61"/>
  <c r="P37" i="59"/>
  <c r="P12" i="59" s="1"/>
  <c r="P37" i="58"/>
  <c r="P12" i="58" s="1"/>
  <c r="P37" i="57"/>
  <c r="P12" i="57" s="1"/>
  <c r="P37" i="43"/>
  <c r="P12" i="43" s="1"/>
  <c r="P12" i="61"/>
  <c r="E86" i="50"/>
  <c r="I44" i="61" s="1"/>
  <c r="I44" i="58" s="1"/>
  <c r="I19" i="58" s="1"/>
  <c r="E82" i="50"/>
  <c r="I43" i="61" s="1"/>
  <c r="E120" i="50"/>
  <c r="L36" i="61" s="1"/>
  <c r="L11" i="61" s="1"/>
  <c r="M47" i="59"/>
  <c r="M22" i="59" s="1"/>
  <c r="M43" i="59"/>
  <c r="M43" i="58"/>
  <c r="M43" i="57"/>
  <c r="M43" i="43"/>
  <c r="N38" i="57"/>
  <c r="N13" i="57" s="1"/>
  <c r="N36" i="59"/>
  <c r="N11" i="59" s="1"/>
  <c r="N36" i="58"/>
  <c r="N11" i="58" s="1"/>
  <c r="N36" i="57"/>
  <c r="N11" i="57" s="1"/>
  <c r="N36" i="43"/>
  <c r="N11" i="43" s="1"/>
  <c r="O45" i="59"/>
  <c r="O20" i="59" s="1"/>
  <c r="O45" i="58"/>
  <c r="O20" i="58" s="1"/>
  <c r="O45" i="57"/>
  <c r="O20" i="57" s="1"/>
  <c r="O45" i="43"/>
  <c r="O20" i="43" s="1"/>
  <c r="P45" i="59"/>
  <c r="P20" i="59" s="1"/>
  <c r="P45" i="58"/>
  <c r="P20" i="58" s="1"/>
  <c r="P45" i="57"/>
  <c r="P20" i="57" s="1"/>
  <c r="P45" i="43"/>
  <c r="P20" i="43" s="1"/>
  <c r="R47" i="59"/>
  <c r="R22" i="59" s="1"/>
  <c r="R47" i="58"/>
  <c r="R22" i="58" s="1"/>
  <c r="R47" i="57"/>
  <c r="R22" i="57" s="1"/>
  <c r="R47" i="43"/>
  <c r="R22" i="43" s="1"/>
  <c r="R45" i="57"/>
  <c r="R20" i="57" s="1"/>
  <c r="P20" i="61"/>
  <c r="Q5" i="59"/>
  <c r="Q5" i="43"/>
  <c r="Q5" i="58"/>
  <c r="Q5" i="57"/>
  <c r="K5" i="59"/>
  <c r="K5" i="58"/>
  <c r="K5" i="57"/>
  <c r="K5" i="43"/>
  <c r="Q4" i="59"/>
  <c r="Q4" i="58"/>
  <c r="Q4" i="57"/>
  <c r="Q4" i="43"/>
  <c r="K4" i="59"/>
  <c r="K4" i="58"/>
  <c r="K4" i="57"/>
  <c r="K4" i="43"/>
  <c r="N3" i="58"/>
  <c r="N3" i="57"/>
  <c r="N3" i="43"/>
  <c r="N3" i="59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J43" i="43" s="1"/>
  <c r="E109" i="50"/>
  <c r="K37" i="61" s="1"/>
  <c r="K12" i="61" s="1"/>
  <c r="E127" i="50"/>
  <c r="L47" i="61" s="1"/>
  <c r="E123" i="50"/>
  <c r="E139" i="50"/>
  <c r="M38" i="61" s="1"/>
  <c r="E136" i="50"/>
  <c r="E151" i="50"/>
  <c r="N44" i="61" s="1"/>
  <c r="E148" i="50"/>
  <c r="N37" i="61" s="1"/>
  <c r="N12" i="61" s="1"/>
  <c r="E165" i="50"/>
  <c r="O38" i="61" s="1"/>
  <c r="E162" i="50"/>
  <c r="E178" i="50"/>
  <c r="P38" i="61" s="1"/>
  <c r="E175" i="50"/>
  <c r="E191" i="50"/>
  <c r="Q38" i="61" s="1"/>
  <c r="Q13" i="61" s="1"/>
  <c r="E188" i="50"/>
  <c r="E204" i="50"/>
  <c r="R38" i="61" s="1"/>
  <c r="E201" i="50"/>
  <c r="R20" i="61"/>
  <c r="O20" i="61"/>
  <c r="P5" i="59"/>
  <c r="P5" i="58"/>
  <c r="P5" i="57"/>
  <c r="P5" i="43"/>
  <c r="M5" i="59"/>
  <c r="M5" i="58"/>
  <c r="M5" i="43"/>
  <c r="M5" i="57"/>
  <c r="J5" i="59"/>
  <c r="J5" i="58"/>
  <c r="J5" i="57"/>
  <c r="J5" i="43"/>
  <c r="P4" i="58"/>
  <c r="P4" i="57"/>
  <c r="P4" i="43"/>
  <c r="P4" i="59"/>
  <c r="M4" i="58"/>
  <c r="M4" i="57"/>
  <c r="M4" i="43"/>
  <c r="M4" i="59"/>
  <c r="J4" i="58"/>
  <c r="J4" i="57"/>
  <c r="J4" i="59"/>
  <c r="J4" i="43"/>
  <c r="P3" i="59"/>
  <c r="P3" i="57"/>
  <c r="P3" i="58"/>
  <c r="P3" i="43"/>
  <c r="M3" i="59"/>
  <c r="M3" i="58"/>
  <c r="M3" i="57"/>
  <c r="M3" i="43"/>
  <c r="J3" i="59"/>
  <c r="J3" i="43"/>
  <c r="J3" i="58"/>
  <c r="J3" i="57"/>
  <c r="E124" i="50"/>
  <c r="L45" i="61" s="1"/>
  <c r="M45" i="59"/>
  <c r="M20" i="59" s="1"/>
  <c r="M45" i="57"/>
  <c r="M20" i="57" s="1"/>
  <c r="M45" i="43"/>
  <c r="M20" i="43" s="1"/>
  <c r="M45" i="58"/>
  <c r="M20" i="58" s="1"/>
  <c r="O47" i="59"/>
  <c r="O22" i="59" s="1"/>
  <c r="O47" i="58"/>
  <c r="O22" i="58" s="1"/>
  <c r="O47" i="57"/>
  <c r="O22" i="57" s="1"/>
  <c r="O47" i="43"/>
  <c r="O22" i="43" s="1"/>
  <c r="O43" i="59"/>
  <c r="O43" i="58"/>
  <c r="O43" i="57"/>
  <c r="O43" i="43"/>
  <c r="P47" i="59"/>
  <c r="P22" i="59" s="1"/>
  <c r="P47" i="57"/>
  <c r="P22" i="57" s="1"/>
  <c r="P47" i="43"/>
  <c r="P22" i="43" s="1"/>
  <c r="P47" i="58"/>
  <c r="P22" i="58" s="1"/>
  <c r="P43" i="59"/>
  <c r="P43" i="43"/>
  <c r="P43" i="58"/>
  <c r="P43" i="57"/>
  <c r="Q45" i="58"/>
  <c r="Q20" i="58" s="1"/>
  <c r="Q45" i="57"/>
  <c r="Q20" i="57" s="1"/>
  <c r="Q45" i="59"/>
  <c r="Q20" i="59" s="1"/>
  <c r="Q45" i="43"/>
  <c r="Q20" i="43" s="1"/>
  <c r="R43" i="59"/>
  <c r="R43" i="58"/>
  <c r="R43" i="57"/>
  <c r="R43" i="43"/>
  <c r="R22" i="61"/>
  <c r="M20" i="61"/>
  <c r="N5" i="59"/>
  <c r="N5" i="57"/>
  <c r="N5" i="58"/>
  <c r="N5" i="43"/>
  <c r="N4" i="59"/>
  <c r="N4" i="58"/>
  <c r="N4" i="43"/>
  <c r="N4" i="57"/>
  <c r="Q3" i="58"/>
  <c r="Q3" i="57"/>
  <c r="Q3" i="43"/>
  <c r="Q3" i="59"/>
  <c r="K3" i="58"/>
  <c r="K3" i="57"/>
  <c r="K3" i="59"/>
  <c r="K3" i="43"/>
  <c r="E88" i="50"/>
  <c r="I47" i="61" s="1"/>
  <c r="E83" i="50"/>
  <c r="I37" i="61" s="1"/>
  <c r="I12" i="61" s="1"/>
  <c r="E94" i="50"/>
  <c r="J36" i="61" s="1"/>
  <c r="J36" i="57" s="1"/>
  <c r="J11" i="57" s="1"/>
  <c r="E98" i="50"/>
  <c r="J45" i="61" s="1"/>
  <c r="J20" i="61" s="1"/>
  <c r="E112" i="50"/>
  <c r="K44" i="61" s="1"/>
  <c r="K44" i="58" s="1"/>
  <c r="K19" i="58" s="1"/>
  <c r="E108" i="50"/>
  <c r="K43" i="61" s="1"/>
  <c r="K43" i="58" s="1"/>
  <c r="E126" i="50"/>
  <c r="L38" i="61" s="1"/>
  <c r="L13" i="61" s="1"/>
  <c r="E121" i="50"/>
  <c r="L43" i="61" s="1"/>
  <c r="L43" i="59" s="1"/>
  <c r="E133" i="50"/>
  <c r="M36" i="61" s="1"/>
  <c r="E138" i="50"/>
  <c r="M44" i="61" s="1"/>
  <c r="E153" i="50"/>
  <c r="N47" i="61" s="1"/>
  <c r="E150" i="50"/>
  <c r="N45" i="61" s="1"/>
  <c r="E159" i="50"/>
  <c r="O36" i="61" s="1"/>
  <c r="E164" i="50"/>
  <c r="O44" i="61" s="1"/>
  <c r="E172" i="50"/>
  <c r="P36" i="61" s="1"/>
  <c r="E177" i="50"/>
  <c r="P44" i="61" s="1"/>
  <c r="E185" i="50"/>
  <c r="Q36" i="61" s="1"/>
  <c r="E190" i="50"/>
  <c r="Q44" i="61" s="1"/>
  <c r="E198" i="50"/>
  <c r="R36" i="61" s="1"/>
  <c r="E203" i="50"/>
  <c r="R44" i="61" s="1"/>
  <c r="P22" i="61"/>
  <c r="Q20" i="61"/>
  <c r="N20" i="61"/>
  <c r="Q12" i="61"/>
  <c r="R5" i="58"/>
  <c r="R5" i="57"/>
  <c r="R5" i="59"/>
  <c r="R5" i="43"/>
  <c r="O5" i="58"/>
  <c r="O5" i="57"/>
  <c r="O5" i="43"/>
  <c r="O5" i="59"/>
  <c r="L5" i="58"/>
  <c r="L5" i="57"/>
  <c r="L5" i="43"/>
  <c r="L5" i="59"/>
  <c r="I5" i="58"/>
  <c r="I5" i="57"/>
  <c r="I5" i="59"/>
  <c r="I5" i="43"/>
  <c r="R4" i="59"/>
  <c r="R4" i="57"/>
  <c r="R4" i="43"/>
  <c r="R4" i="58"/>
  <c r="O4" i="59"/>
  <c r="O4" i="57"/>
  <c r="O4" i="58"/>
  <c r="O4" i="43"/>
  <c r="L4" i="59"/>
  <c r="L4" i="58"/>
  <c r="L4" i="57"/>
  <c r="L4" i="43"/>
  <c r="I4" i="59"/>
  <c r="I4" i="58"/>
  <c r="I4" i="43"/>
  <c r="I4" i="57"/>
  <c r="R3" i="59"/>
  <c r="R3" i="58"/>
  <c r="R3" i="57"/>
  <c r="R3" i="43"/>
  <c r="O3" i="59"/>
  <c r="O3" i="58"/>
  <c r="O3" i="43"/>
  <c r="O3" i="57"/>
  <c r="L3" i="59"/>
  <c r="L3" i="58"/>
  <c r="L3" i="57"/>
  <c r="L3" i="43"/>
  <c r="I3" i="59"/>
  <c r="I3" i="58"/>
  <c r="I3" i="57"/>
  <c r="I3" i="43"/>
  <c r="G37" i="59"/>
  <c r="G12" i="59" s="1"/>
  <c r="G37" i="58"/>
  <c r="G12" i="58" s="1"/>
  <c r="G37" i="57"/>
  <c r="G12" i="57" s="1"/>
  <c r="G37" i="43"/>
  <c r="G12" i="43" s="1"/>
  <c r="G12" i="61"/>
  <c r="H45" i="59"/>
  <c r="H20" i="59" s="1"/>
  <c r="H45" i="58"/>
  <c r="H20" i="58" s="1"/>
  <c r="H45" i="43"/>
  <c r="H20" i="43" s="1"/>
  <c r="H45" i="57"/>
  <c r="H20" i="57" s="1"/>
  <c r="G47" i="57"/>
  <c r="G22" i="57" s="1"/>
  <c r="G45" i="58"/>
  <c r="G20" i="58" s="1"/>
  <c r="G45" i="57"/>
  <c r="G20" i="57" s="1"/>
  <c r="G45" i="43"/>
  <c r="G20" i="43" s="1"/>
  <c r="G45" i="59"/>
  <c r="G20" i="59" s="1"/>
  <c r="G43" i="58"/>
  <c r="G43" i="57"/>
  <c r="G43" i="43"/>
  <c r="G43" i="59"/>
  <c r="H47" i="58"/>
  <c r="H22" i="58" s="1"/>
  <c r="H47" i="57"/>
  <c r="H22" i="57" s="1"/>
  <c r="H47" i="43"/>
  <c r="H22" i="43" s="1"/>
  <c r="H47" i="59"/>
  <c r="H22" i="59" s="1"/>
  <c r="H43" i="58"/>
  <c r="H43" i="57"/>
  <c r="H43" i="43"/>
  <c r="H43" i="59"/>
  <c r="E61" i="50"/>
  <c r="G38" i="61" s="1"/>
  <c r="E58" i="50"/>
  <c r="H37" i="58"/>
  <c r="H12" i="58" s="1"/>
  <c r="H37" i="57"/>
  <c r="H12" i="57" s="1"/>
  <c r="H37" i="43"/>
  <c r="H12" i="43" s="1"/>
  <c r="H37" i="59"/>
  <c r="H12" i="59" s="1"/>
  <c r="H22" i="61"/>
  <c r="H20" i="61"/>
  <c r="H12" i="61"/>
  <c r="H5" i="57"/>
  <c r="H5" i="43"/>
  <c r="H5" i="59"/>
  <c r="H5" i="58"/>
  <c r="H4" i="57"/>
  <c r="H4" i="43"/>
  <c r="H4" i="59"/>
  <c r="H4" i="58"/>
  <c r="H3" i="57"/>
  <c r="H3" i="43"/>
  <c r="H3" i="59"/>
  <c r="H3" i="58"/>
  <c r="E74" i="50"/>
  <c r="H38" i="61" s="1"/>
  <c r="E55" i="50"/>
  <c r="G36" i="61" s="1"/>
  <c r="E60" i="50"/>
  <c r="G44" i="61" s="1"/>
  <c r="G20" i="61"/>
  <c r="G5" i="59"/>
  <c r="G5" i="58"/>
  <c r="G5" i="57"/>
  <c r="G5" i="43"/>
  <c r="G4" i="59"/>
  <c r="G4" i="58"/>
  <c r="G4" i="57"/>
  <c r="G4" i="43"/>
  <c r="G3" i="59"/>
  <c r="G3" i="58"/>
  <c r="G3" i="57"/>
  <c r="G3" i="43"/>
  <c r="L37" i="57"/>
  <c r="L12" i="57" s="1"/>
  <c r="L37" i="43"/>
  <c r="L12" i="43" s="1"/>
  <c r="L37" i="59"/>
  <c r="L12" i="59" s="1"/>
  <c r="L37" i="58"/>
  <c r="L12" i="58" s="1"/>
  <c r="L12" i="61"/>
  <c r="L14" i="61" s="1"/>
  <c r="J36" i="43"/>
  <c r="J11" i="43" s="1"/>
  <c r="J36" i="58"/>
  <c r="J11" i="58" s="1"/>
  <c r="J37" i="43"/>
  <c r="J12" i="43" s="1"/>
  <c r="J37" i="58"/>
  <c r="J12" i="58" s="1"/>
  <c r="J37" i="57"/>
  <c r="J12" i="57" s="1"/>
  <c r="J37" i="59"/>
  <c r="J12" i="59" s="1"/>
  <c r="K44" i="43"/>
  <c r="K19" i="43" s="1"/>
  <c r="L47" i="57"/>
  <c r="L22" i="57" s="1"/>
  <c r="L47" i="43"/>
  <c r="L22" i="43" s="1"/>
  <c r="L47" i="59"/>
  <c r="L22" i="59" s="1"/>
  <c r="L47" i="58"/>
  <c r="L22" i="58" s="1"/>
  <c r="I45" i="57"/>
  <c r="I20" i="57" s="1"/>
  <c r="I45" i="43"/>
  <c r="I20" i="43" s="1"/>
  <c r="K45" i="59"/>
  <c r="K20" i="59" s="1"/>
  <c r="K45" i="58"/>
  <c r="K20" i="58" s="1"/>
  <c r="K45" i="43"/>
  <c r="K20" i="43" s="1"/>
  <c r="K45" i="57"/>
  <c r="K20" i="57" s="1"/>
  <c r="K43" i="59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36" i="43"/>
  <c r="L11" i="43" s="1"/>
  <c r="L36" i="59"/>
  <c r="L11" i="59" s="1"/>
  <c r="L36" i="58"/>
  <c r="L11" i="58" s="1"/>
  <c r="L22" i="61"/>
  <c r="I22" i="61"/>
  <c r="L20" i="61"/>
  <c r="I36" i="59"/>
  <c r="I11" i="59" s="1"/>
  <c r="I37" i="59"/>
  <c r="I12" i="59" s="1"/>
  <c r="J44" i="43"/>
  <c r="J19" i="43" s="1"/>
  <c r="J44" i="57"/>
  <c r="J19" i="57" s="1"/>
  <c r="J44" i="59"/>
  <c r="J19" i="59" s="1"/>
  <c r="J44" i="58"/>
  <c r="J19" i="58" s="1"/>
  <c r="K36" i="59"/>
  <c r="K11" i="59" s="1"/>
  <c r="K36" i="58"/>
  <c r="K11" i="58" s="1"/>
  <c r="K36" i="57"/>
  <c r="K11" i="57" s="1"/>
  <c r="K36" i="43"/>
  <c r="K11" i="43" s="1"/>
  <c r="K37" i="59"/>
  <c r="K12" i="59" s="1"/>
  <c r="K37" i="43"/>
  <c r="K12" i="43" s="1"/>
  <c r="L45" i="57"/>
  <c r="L20" i="57" s="1"/>
  <c r="L45" i="43"/>
  <c r="L20" i="43" s="1"/>
  <c r="L45" i="59"/>
  <c r="L20" i="59" s="1"/>
  <c r="L45" i="58"/>
  <c r="L20" i="58" s="1"/>
  <c r="I47" i="57"/>
  <c r="I22" i="57" s="1"/>
  <c r="I47" i="59"/>
  <c r="I22" i="59" s="1"/>
  <c r="I47" i="58"/>
  <c r="I22" i="58" s="1"/>
  <c r="I47" i="43"/>
  <c r="I22" i="43" s="1"/>
  <c r="I43" i="57"/>
  <c r="I43" i="59"/>
  <c r="I43" i="58"/>
  <c r="I43" i="43"/>
  <c r="J45" i="43"/>
  <c r="J20" i="43" s="1"/>
  <c r="J45" i="57"/>
  <c r="J20" i="57" s="1"/>
  <c r="J45" i="59"/>
  <c r="J20" i="59" s="1"/>
  <c r="J45" i="58"/>
  <c r="J20" i="58" s="1"/>
  <c r="K47" i="58"/>
  <c r="K22" i="58" s="1"/>
  <c r="E87" i="50"/>
  <c r="I38" i="61" s="1"/>
  <c r="E100" i="50"/>
  <c r="J38" i="61" s="1"/>
  <c r="E113" i="50"/>
  <c r="K38" i="61" s="1"/>
  <c r="E125" i="50"/>
  <c r="L44" i="61" s="1"/>
  <c r="L19" i="61" s="1"/>
  <c r="K20" i="61"/>
  <c r="J12" i="61"/>
  <c r="E71" i="50"/>
  <c r="E68" i="50"/>
  <c r="H36" i="61" s="1"/>
  <c r="E73" i="50"/>
  <c r="H44" i="61" s="1"/>
  <c r="K37" i="57" l="1"/>
  <c r="K12" i="57" s="1"/>
  <c r="I45" i="58"/>
  <c r="I20" i="58" s="1"/>
  <c r="L43" i="43"/>
  <c r="K44" i="59"/>
  <c r="K19" i="59" s="1"/>
  <c r="Q47" i="59"/>
  <c r="Q22" i="59" s="1"/>
  <c r="R45" i="58"/>
  <c r="R20" i="58" s="1"/>
  <c r="Q43" i="43"/>
  <c r="K47" i="43"/>
  <c r="K22" i="43" s="1"/>
  <c r="K47" i="59"/>
  <c r="K22" i="59" s="1"/>
  <c r="K22" i="61"/>
  <c r="K37" i="58"/>
  <c r="K12" i="58" s="1"/>
  <c r="I20" i="61"/>
  <c r="J47" i="59"/>
  <c r="J22" i="59" s="1"/>
  <c r="R45" i="43"/>
  <c r="R20" i="43" s="1"/>
  <c r="Q43" i="58"/>
  <c r="M47" i="43"/>
  <c r="M22" i="43" s="1"/>
  <c r="I37" i="43"/>
  <c r="I12" i="43" s="1"/>
  <c r="J43" i="59"/>
  <c r="J47" i="57"/>
  <c r="J22" i="57" s="1"/>
  <c r="L43" i="58"/>
  <c r="L43" i="57"/>
  <c r="K44" i="57"/>
  <c r="K19" i="57" s="1"/>
  <c r="I44" i="59"/>
  <c r="I19" i="59" s="1"/>
  <c r="G47" i="59"/>
  <c r="G22" i="59" s="1"/>
  <c r="G47" i="58"/>
  <c r="G22" i="58" s="1"/>
  <c r="M22" i="61"/>
  <c r="Q47" i="43"/>
  <c r="Q22" i="43" s="1"/>
  <c r="Q47" i="58"/>
  <c r="Q22" i="58" s="1"/>
  <c r="Q43" i="59"/>
  <c r="N38" i="43"/>
  <c r="N13" i="43" s="1"/>
  <c r="N38" i="58"/>
  <c r="N13" i="58" s="1"/>
  <c r="M47" i="57"/>
  <c r="M22" i="57" s="1"/>
  <c r="K19" i="61"/>
  <c r="I37" i="58"/>
  <c r="I12" i="58" s="1"/>
  <c r="I37" i="57"/>
  <c r="I12" i="57" s="1"/>
  <c r="L14" i="57"/>
  <c r="J47" i="58"/>
  <c r="J22" i="58" s="1"/>
  <c r="J47" i="43"/>
  <c r="J22" i="43" s="1"/>
  <c r="G22" i="61"/>
  <c r="I19" i="61"/>
  <c r="Q47" i="57"/>
  <c r="Q22" i="57" s="1"/>
  <c r="N13" i="61"/>
  <c r="N14" i="61" s="1"/>
  <c r="P36" i="59"/>
  <c r="P11" i="59" s="1"/>
  <c r="P36" i="43"/>
  <c r="P11" i="43" s="1"/>
  <c r="P36" i="57"/>
  <c r="P11" i="57" s="1"/>
  <c r="P36" i="58"/>
  <c r="P11" i="58" s="1"/>
  <c r="P11" i="61"/>
  <c r="M36" i="59"/>
  <c r="M11" i="59" s="1"/>
  <c r="M36" i="58"/>
  <c r="M11" i="58" s="1"/>
  <c r="M36" i="57"/>
  <c r="M11" i="57" s="1"/>
  <c r="M36" i="43"/>
  <c r="M11" i="43" s="1"/>
  <c r="M11" i="61"/>
  <c r="N44" i="59"/>
  <c r="N19" i="59" s="1"/>
  <c r="N44" i="57"/>
  <c r="N19" i="57" s="1"/>
  <c r="N44" i="58"/>
  <c r="N19" i="58" s="1"/>
  <c r="N44" i="43"/>
  <c r="N19" i="43" s="1"/>
  <c r="N19" i="61"/>
  <c r="J36" i="59"/>
  <c r="J11" i="59" s="1"/>
  <c r="I44" i="43"/>
  <c r="I19" i="43" s="1"/>
  <c r="I44" i="57"/>
  <c r="I19" i="57" s="1"/>
  <c r="R44" i="59"/>
  <c r="R19" i="59" s="1"/>
  <c r="R44" i="58"/>
  <c r="R19" i="58" s="1"/>
  <c r="R44" i="57"/>
  <c r="R19" i="57" s="1"/>
  <c r="R44" i="43"/>
  <c r="R19" i="43" s="1"/>
  <c r="R19" i="61"/>
  <c r="Q36" i="58"/>
  <c r="Q11" i="58" s="1"/>
  <c r="Q36" i="57"/>
  <c r="Q11" i="57" s="1"/>
  <c r="Q36" i="59"/>
  <c r="Q11" i="59" s="1"/>
  <c r="Q36" i="43"/>
  <c r="Q11" i="43" s="1"/>
  <c r="O44" i="59"/>
  <c r="O19" i="59" s="1"/>
  <c r="O44" i="58"/>
  <c r="O19" i="58" s="1"/>
  <c r="O44" i="57"/>
  <c r="O19" i="57" s="1"/>
  <c r="O44" i="43"/>
  <c r="O19" i="43" s="1"/>
  <c r="O19" i="61"/>
  <c r="N47" i="59"/>
  <c r="N22" i="59" s="1"/>
  <c r="N47" i="58"/>
  <c r="N22" i="58" s="1"/>
  <c r="N47" i="43"/>
  <c r="N22" i="43" s="1"/>
  <c r="N47" i="57"/>
  <c r="N22" i="57" s="1"/>
  <c r="N22" i="61"/>
  <c r="R38" i="59"/>
  <c r="R13" i="59" s="1"/>
  <c r="R38" i="58"/>
  <c r="R13" i="58" s="1"/>
  <c r="R38" i="57"/>
  <c r="R13" i="57" s="1"/>
  <c r="R38" i="43"/>
  <c r="R13" i="43" s="1"/>
  <c r="R13" i="61"/>
  <c r="O38" i="59"/>
  <c r="O13" i="59" s="1"/>
  <c r="O38" i="58"/>
  <c r="O13" i="58" s="1"/>
  <c r="O38" i="57"/>
  <c r="O13" i="57" s="1"/>
  <c r="O38" i="43"/>
  <c r="O13" i="43" s="1"/>
  <c r="O13" i="61"/>
  <c r="Q11" i="61"/>
  <c r="Q14" i="61" s="1"/>
  <c r="Q44" i="59"/>
  <c r="Q19" i="59" s="1"/>
  <c r="Q44" i="58"/>
  <c r="Q19" i="58" s="1"/>
  <c r="Q44" i="43"/>
  <c r="Q19" i="43" s="1"/>
  <c r="Q44" i="57"/>
  <c r="Q19" i="57" s="1"/>
  <c r="Q19" i="61"/>
  <c r="N45" i="58"/>
  <c r="N20" i="58" s="1"/>
  <c r="N45" i="59"/>
  <c r="N20" i="59" s="1"/>
  <c r="N45" i="57"/>
  <c r="N20" i="57" s="1"/>
  <c r="N45" i="43"/>
  <c r="N20" i="43" s="1"/>
  <c r="Q38" i="57"/>
  <c r="Q13" i="57" s="1"/>
  <c r="Q38" i="43"/>
  <c r="Q13" i="43" s="1"/>
  <c r="Q38" i="59"/>
  <c r="Q13" i="59" s="1"/>
  <c r="Q38" i="58"/>
  <c r="Q13" i="58" s="1"/>
  <c r="I36" i="43"/>
  <c r="I11" i="43" s="1"/>
  <c r="L14" i="58"/>
  <c r="K43" i="43"/>
  <c r="J43" i="57"/>
  <c r="J11" i="61"/>
  <c r="I36" i="58"/>
  <c r="I11" i="58" s="1"/>
  <c r="I36" i="57"/>
  <c r="I11" i="57" s="1"/>
  <c r="J43" i="58"/>
  <c r="R36" i="59"/>
  <c r="R11" i="59" s="1"/>
  <c r="R36" i="58"/>
  <c r="R11" i="58" s="1"/>
  <c r="R36" i="57"/>
  <c r="R11" i="57" s="1"/>
  <c r="R36" i="43"/>
  <c r="R11" i="43" s="1"/>
  <c r="R11" i="61"/>
  <c r="P44" i="59"/>
  <c r="P19" i="59" s="1"/>
  <c r="P44" i="58"/>
  <c r="P19" i="58" s="1"/>
  <c r="P44" i="57"/>
  <c r="P19" i="57" s="1"/>
  <c r="P44" i="43"/>
  <c r="P19" i="43" s="1"/>
  <c r="P19" i="61"/>
  <c r="O36" i="59"/>
  <c r="O11" i="59" s="1"/>
  <c r="O36" i="58"/>
  <c r="O11" i="58" s="1"/>
  <c r="O14" i="58" s="1"/>
  <c r="O36" i="57"/>
  <c r="O11" i="57" s="1"/>
  <c r="O36" i="43"/>
  <c r="O11" i="43" s="1"/>
  <c r="O11" i="61"/>
  <c r="O14" i="61" s="1"/>
  <c r="M44" i="59"/>
  <c r="M19" i="59" s="1"/>
  <c r="M44" i="58"/>
  <c r="M19" i="58" s="1"/>
  <c r="M44" i="57"/>
  <c r="M19" i="57" s="1"/>
  <c r="M44" i="43"/>
  <c r="M19" i="43" s="1"/>
  <c r="M19" i="61"/>
  <c r="P38" i="59"/>
  <c r="P13" i="59" s="1"/>
  <c r="P38" i="58"/>
  <c r="P13" i="58" s="1"/>
  <c r="P38" i="57"/>
  <c r="P13" i="57" s="1"/>
  <c r="P38" i="43"/>
  <c r="P13" i="43" s="1"/>
  <c r="P13" i="61"/>
  <c r="N37" i="58"/>
  <c r="N12" i="58" s="1"/>
  <c r="N37" i="57"/>
  <c r="N12" i="57" s="1"/>
  <c r="N14" i="57" s="1"/>
  <c r="N37" i="59"/>
  <c r="N12" i="59" s="1"/>
  <c r="N14" i="59" s="1"/>
  <c r="N37" i="43"/>
  <c r="N12" i="43" s="1"/>
  <c r="M38" i="59"/>
  <c r="M13" i="59" s="1"/>
  <c r="M38" i="43"/>
  <c r="M13" i="43" s="1"/>
  <c r="M38" i="57"/>
  <c r="M13" i="57" s="1"/>
  <c r="M38" i="58"/>
  <c r="M13" i="58" s="1"/>
  <c r="M13" i="61"/>
  <c r="G44" i="59"/>
  <c r="G19" i="59" s="1"/>
  <c r="G44" i="58"/>
  <c r="G19" i="58" s="1"/>
  <c r="G44" i="57"/>
  <c r="G19" i="57" s="1"/>
  <c r="G44" i="43"/>
  <c r="G19" i="43" s="1"/>
  <c r="G19" i="61"/>
  <c r="G38" i="58"/>
  <c r="G13" i="58" s="1"/>
  <c r="G38" i="57"/>
  <c r="G13" i="57" s="1"/>
  <c r="G38" i="43"/>
  <c r="G13" i="43" s="1"/>
  <c r="G38" i="59"/>
  <c r="G13" i="59" s="1"/>
  <c r="G13" i="61"/>
  <c r="H44" i="58"/>
  <c r="H19" i="58" s="1"/>
  <c r="H44" i="57"/>
  <c r="H19" i="57" s="1"/>
  <c r="H44" i="43"/>
  <c r="H19" i="43" s="1"/>
  <c r="H44" i="59"/>
  <c r="H19" i="59" s="1"/>
  <c r="H19" i="61"/>
  <c r="G36" i="58"/>
  <c r="G11" i="58" s="1"/>
  <c r="G36" i="57"/>
  <c r="G11" i="57" s="1"/>
  <c r="G14" i="57" s="1"/>
  <c r="G36" i="43"/>
  <c r="G11" i="43" s="1"/>
  <c r="G36" i="59"/>
  <c r="G11" i="59" s="1"/>
  <c r="G11" i="61"/>
  <c r="G14" i="61" s="1"/>
  <c r="H36" i="58"/>
  <c r="H11" i="58" s="1"/>
  <c r="H36" i="57"/>
  <c r="H11" i="57" s="1"/>
  <c r="H36" i="43"/>
  <c r="H11" i="43" s="1"/>
  <c r="H36" i="59"/>
  <c r="H11" i="59" s="1"/>
  <c r="H11" i="61"/>
  <c r="H38" i="59"/>
  <c r="H13" i="59" s="1"/>
  <c r="H38" i="58"/>
  <c r="H13" i="58" s="1"/>
  <c r="H38" i="57"/>
  <c r="H13" i="57" s="1"/>
  <c r="H38" i="43"/>
  <c r="H13" i="43" s="1"/>
  <c r="H13" i="61"/>
  <c r="I38" i="57"/>
  <c r="I13" i="57" s="1"/>
  <c r="I14" i="57" s="1"/>
  <c r="I38" i="43"/>
  <c r="I13" i="43" s="1"/>
  <c r="I14" i="43" s="1"/>
  <c r="I38" i="59"/>
  <c r="I13" i="59" s="1"/>
  <c r="I14" i="59" s="1"/>
  <c r="I38" i="58"/>
  <c r="I13" i="58" s="1"/>
  <c r="I13" i="61"/>
  <c r="I14" i="61" s="1"/>
  <c r="L44" i="57"/>
  <c r="L19" i="57" s="1"/>
  <c r="L44" i="43"/>
  <c r="L19" i="43" s="1"/>
  <c r="L44" i="59"/>
  <c r="L19" i="59" s="1"/>
  <c r="L44" i="58"/>
  <c r="L19" i="58" s="1"/>
  <c r="K38" i="59"/>
  <c r="K13" i="59" s="1"/>
  <c r="K14" i="59" s="1"/>
  <c r="K38" i="58"/>
  <c r="K13" i="58" s="1"/>
  <c r="K14" i="58" s="1"/>
  <c r="K38" i="57"/>
  <c r="K13" i="57" s="1"/>
  <c r="K38" i="43"/>
  <c r="K13" i="43" s="1"/>
  <c r="K14" i="43" s="1"/>
  <c r="K13" i="61"/>
  <c r="K14" i="61" s="1"/>
  <c r="L14" i="59"/>
  <c r="J38" i="43"/>
  <c r="J13" i="43" s="1"/>
  <c r="J14" i="43" s="1"/>
  <c r="J38" i="58"/>
  <c r="J13" i="58" s="1"/>
  <c r="J38" i="57"/>
  <c r="J13" i="57" s="1"/>
  <c r="J14" i="57" s="1"/>
  <c r="J38" i="59"/>
  <c r="J13" i="59" s="1"/>
  <c r="J13" i="61"/>
  <c r="K14" i="57"/>
  <c r="L14" i="43"/>
  <c r="J14" i="58"/>
  <c r="E24" i="53"/>
  <c r="D33" i="61" s="1"/>
  <c r="F24" i="53"/>
  <c r="G24" i="53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E25" i="53"/>
  <c r="E26" i="53" s="1"/>
  <c r="E27" i="53" s="1"/>
  <c r="E28" i="53" s="1"/>
  <c r="K25" i="53"/>
  <c r="J33" i="43" s="1"/>
  <c r="L25" i="53"/>
  <c r="K33" i="43" s="1"/>
  <c r="N25" i="53"/>
  <c r="K26" i="53"/>
  <c r="J33" i="57" s="1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 s="1"/>
  <c r="J20" i="55" s="1"/>
  <c r="K18" i="55"/>
  <c r="K19" i="55" s="1"/>
  <c r="K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E33" i="61" l="1"/>
  <c r="E34" i="61" s="1"/>
  <c r="E18" i="55"/>
  <c r="E22" i="55" s="1"/>
  <c r="F33" i="61"/>
  <c r="F18" i="55"/>
  <c r="N14" i="43"/>
  <c r="R14" i="61"/>
  <c r="R14" i="58"/>
  <c r="J14" i="61"/>
  <c r="O14" i="57"/>
  <c r="N14" i="58"/>
  <c r="I14" i="58"/>
  <c r="R14" i="57"/>
  <c r="M14" i="43"/>
  <c r="P14" i="57"/>
  <c r="J14" i="59"/>
  <c r="H14" i="59"/>
  <c r="G14" i="43"/>
  <c r="O14" i="43"/>
  <c r="O14" i="59"/>
  <c r="Q14" i="59"/>
  <c r="M14" i="59"/>
  <c r="Q14" i="57"/>
  <c r="M14" i="57"/>
  <c r="P14" i="61"/>
  <c r="P14" i="43"/>
  <c r="R14" i="43"/>
  <c r="R14" i="59"/>
  <c r="Q14" i="43"/>
  <c r="Q14" i="58"/>
  <c r="M14" i="61"/>
  <c r="M14" i="58"/>
  <c r="P14" i="58"/>
  <c r="P14" i="59"/>
  <c r="H14" i="58"/>
  <c r="H14" i="43"/>
  <c r="H14" i="61"/>
  <c r="H14" i="57"/>
  <c r="G14" i="59"/>
  <c r="G14" i="58"/>
  <c r="P18" i="55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J10" i="43"/>
  <c r="K34" i="61"/>
  <c r="K40" i="61" s="1"/>
  <c r="K10" i="61"/>
  <c r="K15" i="61" s="1"/>
  <c r="K16" i="61" s="1"/>
  <c r="J10" i="57"/>
  <c r="L34" i="61"/>
  <c r="L40" i="61" s="1"/>
  <c r="L10" i="61"/>
  <c r="L15" i="61" s="1"/>
  <c r="L16" i="61" s="1"/>
  <c r="L18" i="55"/>
  <c r="L19" i="55" s="1"/>
  <c r="L20" i="55" s="1"/>
  <c r="K27" i="53"/>
  <c r="L26" i="53"/>
  <c r="M25" i="53"/>
  <c r="J34" i="61"/>
  <c r="J40" i="61" s="1"/>
  <c r="J10" i="61"/>
  <c r="J15" i="61" s="1"/>
  <c r="J16" i="61" s="1"/>
  <c r="I18" i="55"/>
  <c r="I19" i="55" s="1"/>
  <c r="I20" i="55" s="1"/>
  <c r="J25" i="53"/>
  <c r="I34" i="61"/>
  <c r="I40" i="61" s="1"/>
  <c r="I10" i="61"/>
  <c r="I15" i="61" s="1"/>
  <c r="I16" i="61" s="1"/>
  <c r="R18" i="55"/>
  <c r="R19" i="55" s="1"/>
  <c r="R20" i="55" s="1"/>
  <c r="S25" i="53"/>
  <c r="R34" i="61"/>
  <c r="R40" i="61" s="1"/>
  <c r="R10" i="61"/>
  <c r="R15" i="61" s="1"/>
  <c r="R16" i="61" s="1"/>
  <c r="Q34" i="61"/>
  <c r="Q40" i="61" s="1"/>
  <c r="Q10" i="61"/>
  <c r="Q15" i="61" s="1"/>
  <c r="Q16" i="61" s="1"/>
  <c r="P34" i="61"/>
  <c r="P40" i="61" s="1"/>
  <c r="P10" i="61"/>
  <c r="P15" i="61" s="1"/>
  <c r="P16" i="61" s="1"/>
  <c r="O18" i="55"/>
  <c r="O19" i="55" s="1"/>
  <c r="O20" i="55" s="1"/>
  <c r="O34" i="61"/>
  <c r="O40" i="61" s="1"/>
  <c r="O10" i="61"/>
  <c r="O15" i="61" s="1"/>
  <c r="O16" i="61" s="1"/>
  <c r="P25" i="53"/>
  <c r="N34" i="61"/>
  <c r="N40" i="61" s="1"/>
  <c r="N10" i="61"/>
  <c r="N15" i="61" s="1"/>
  <c r="N16" i="61" s="1"/>
  <c r="O25" i="53"/>
  <c r="M34" i="61"/>
  <c r="M40" i="61" s="1"/>
  <c r="M10" i="61"/>
  <c r="M15" i="61" s="1"/>
  <c r="M16" i="61" s="1"/>
  <c r="I25" i="53"/>
  <c r="H10" i="61"/>
  <c r="H34" i="61"/>
  <c r="H40" i="61" s="1"/>
  <c r="H18" i="55"/>
  <c r="H19" i="55" s="1"/>
  <c r="H20" i="55" s="1"/>
  <c r="G18" i="55"/>
  <c r="G19" i="55" s="1"/>
  <c r="G20" i="55" s="1"/>
  <c r="H25" i="53"/>
  <c r="G34" i="61"/>
  <c r="G40" i="61" s="1"/>
  <c r="G10" i="61"/>
  <c r="G15" i="61" s="1"/>
  <c r="G16" i="61" s="1"/>
  <c r="F34" i="61"/>
  <c r="F10" i="61"/>
  <c r="G25" i="53"/>
  <c r="G26" i="53" s="1"/>
  <c r="G27" i="53" s="1"/>
  <c r="G28" i="53" s="1"/>
  <c r="E10" i="61"/>
  <c r="F25" i="53"/>
  <c r="F26" i="53" s="1"/>
  <c r="F27" i="53" s="1"/>
  <c r="F28" i="53" s="1"/>
  <c r="D34" i="61"/>
  <c r="D10" i="61"/>
  <c r="H7" i="50"/>
  <c r="L7" i="50"/>
  <c r="E23" i="55" l="1"/>
  <c r="H15" i="61"/>
  <c r="H16" i="61" s="1"/>
  <c r="Q26" i="53"/>
  <c r="M10" i="43"/>
  <c r="Q27" i="53"/>
  <c r="P33" i="57"/>
  <c r="I26" i="53"/>
  <c r="H33" i="43"/>
  <c r="O26" i="53"/>
  <c r="N33" i="43"/>
  <c r="P26" i="53"/>
  <c r="O33" i="43"/>
  <c r="N27" i="53"/>
  <c r="M33" i="57"/>
  <c r="Q10" i="43"/>
  <c r="H26" i="53"/>
  <c r="G33" i="43"/>
  <c r="S26" i="53"/>
  <c r="R33" i="43"/>
  <c r="P10" i="43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E24" i="55" l="1"/>
  <c r="R10" i="43"/>
  <c r="G33" i="57"/>
  <c r="P27" i="53"/>
  <c r="O33" i="57"/>
  <c r="H10" i="43"/>
  <c r="Q28" i="53"/>
  <c r="P33" i="59" s="1"/>
  <c r="P33" i="58"/>
  <c r="S27" i="53"/>
  <c r="R33" i="57"/>
  <c r="N28" i="53"/>
  <c r="M33" i="59" s="1"/>
  <c r="M33" i="58"/>
  <c r="N10" i="43"/>
  <c r="H33" i="57"/>
  <c r="R28" i="53"/>
  <c r="Q33" i="59" s="1"/>
  <c r="Q33" i="58"/>
  <c r="M10" i="57"/>
  <c r="Q10" i="57"/>
  <c r="G10" i="43"/>
  <c r="O10" i="43"/>
  <c r="O27" i="53"/>
  <c r="N33" i="57"/>
  <c r="P10" i="57"/>
  <c r="J10" i="59"/>
  <c r="K33" i="58"/>
  <c r="L28" i="53"/>
  <c r="K33" i="59" s="1"/>
  <c r="L10" i="43"/>
  <c r="K10" i="57"/>
  <c r="L33" i="57"/>
  <c r="M27" i="53"/>
  <c r="J10" i="58"/>
  <c r="I33" i="57"/>
  <c r="J27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R10" i="57"/>
  <c r="P10" i="59"/>
  <c r="O10" i="57"/>
  <c r="G33" i="59"/>
  <c r="G33" i="58"/>
  <c r="O28" i="53"/>
  <c r="N33" i="59" s="1"/>
  <c r="N33" i="58"/>
  <c r="Q10" i="58"/>
  <c r="H33" i="59"/>
  <c r="H33" i="58"/>
  <c r="M10" i="58"/>
  <c r="S28" i="53"/>
  <c r="R33" i="59" s="1"/>
  <c r="R33" i="58"/>
  <c r="P28" i="53"/>
  <c r="O33" i="59" s="1"/>
  <c r="O33" i="58"/>
  <c r="Q10" i="59"/>
  <c r="M10" i="59"/>
  <c r="P10" i="58"/>
  <c r="G10" i="57"/>
  <c r="L10" i="57"/>
  <c r="K10" i="58"/>
  <c r="L33" i="58"/>
  <c r="M28" i="53"/>
  <c r="L33" i="59" s="1"/>
  <c r="K10" i="59"/>
  <c r="I33" i="58"/>
  <c r="J28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4" i="53"/>
  <c r="D25" i="53" s="1"/>
  <c r="D26" i="53" s="1"/>
  <c r="D27" i="53" s="1"/>
  <c r="D28" i="53" s="1"/>
  <c r="F19" i="55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D27" i="51" s="1"/>
  <c r="B8" i="51"/>
  <c r="B26" i="51" s="1"/>
  <c r="D26" i="5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S18" i="61" l="1"/>
  <c r="S21" i="61"/>
  <c r="S6" i="43"/>
  <c r="S6" i="57"/>
  <c r="E33" i="57"/>
  <c r="C33" i="57"/>
  <c r="D33" i="57"/>
  <c r="D10" i="57" s="1"/>
  <c r="J10" i="36"/>
  <c r="J17" i="36" s="1"/>
  <c r="J19" i="36" s="1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E22" i="50"/>
  <c r="D38" i="61" s="1"/>
  <c r="D13" i="61" s="1"/>
  <c r="D18" i="55"/>
  <c r="S16" i="55"/>
  <c r="C33" i="61"/>
  <c r="C10" i="61" s="1"/>
  <c r="M14" i="36"/>
  <c r="G17" i="36"/>
  <c r="G19" i="36" s="1"/>
  <c r="M7" i="36"/>
  <c r="K10" i="36"/>
  <c r="K17" i="36" s="1"/>
  <c r="K19" i="36" s="1"/>
  <c r="M5" i="36"/>
  <c r="C10" i="36"/>
  <c r="E19" i="55"/>
  <c r="E20" i="55" s="1"/>
  <c r="E11" i="50"/>
  <c r="E8" i="50"/>
  <c r="C45" i="61" s="1"/>
  <c r="E10" i="50"/>
  <c r="C38" i="61" s="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C18" i="61" l="1"/>
  <c r="F18" i="61"/>
  <c r="E18" i="61"/>
  <c r="D18" i="61"/>
  <c r="D19" i="55"/>
  <c r="D20" i="55" s="1"/>
  <c r="D22" i="55"/>
  <c r="D23" i="55" s="1"/>
  <c r="D24" i="55" s="1"/>
  <c r="C20" i="55"/>
  <c r="C22" i="55"/>
  <c r="H8" i="43"/>
  <c r="H9" i="43" s="1"/>
  <c r="K8" i="43"/>
  <c r="K9" i="43" s="1"/>
  <c r="N8" i="43"/>
  <c r="N9" i="43" s="1"/>
  <c r="Q8" i="43"/>
  <c r="Q9" i="43" s="1"/>
  <c r="J8" i="43"/>
  <c r="J9" i="43" s="1"/>
  <c r="P8" i="43"/>
  <c r="P9" i="43" s="1"/>
  <c r="I8" i="43"/>
  <c r="I9" i="43" s="1"/>
  <c r="L8" i="43"/>
  <c r="L9" i="43" s="1"/>
  <c r="O8" i="43"/>
  <c r="O9" i="43" s="1"/>
  <c r="R8" i="43"/>
  <c r="R9" i="43" s="1"/>
  <c r="G8" i="43"/>
  <c r="G9" i="43" s="1"/>
  <c r="M8" i="43"/>
  <c r="M9" i="43" s="1"/>
  <c r="H8" i="57"/>
  <c r="H9" i="57" s="1"/>
  <c r="K8" i="57"/>
  <c r="K9" i="57" s="1"/>
  <c r="N8" i="57"/>
  <c r="N9" i="57" s="1"/>
  <c r="Q8" i="57"/>
  <c r="Q9" i="57" s="1"/>
  <c r="J8" i="57"/>
  <c r="J9" i="57" s="1"/>
  <c r="P8" i="57"/>
  <c r="P9" i="57" s="1"/>
  <c r="I8" i="57"/>
  <c r="I9" i="57" s="1"/>
  <c r="L8" i="57"/>
  <c r="L9" i="57" s="1"/>
  <c r="O8" i="57"/>
  <c r="O9" i="57" s="1"/>
  <c r="R8" i="57"/>
  <c r="R9" i="57" s="1"/>
  <c r="G8" i="57"/>
  <c r="G9" i="57" s="1"/>
  <c r="M8" i="57"/>
  <c r="M9" i="57" s="1"/>
  <c r="F14" i="61"/>
  <c r="F15" i="61" s="1"/>
  <c r="F16" i="61" s="1"/>
  <c r="E14" i="61"/>
  <c r="E15" i="61" s="1"/>
  <c r="E16" i="61" s="1"/>
  <c r="S7" i="43"/>
  <c r="D5" i="56" s="1"/>
  <c r="G4" i="56"/>
  <c r="F4" i="56"/>
  <c r="E4" i="56"/>
  <c r="D4" i="56"/>
  <c r="C4" i="56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7" i="61"/>
  <c r="I18" i="61"/>
  <c r="I17" i="61" s="1"/>
  <c r="L18" i="61"/>
  <c r="L17" i="61" s="1"/>
  <c r="O18" i="61"/>
  <c r="O17" i="61" s="1"/>
  <c r="R18" i="61"/>
  <c r="R17" i="61" s="1"/>
  <c r="E17" i="6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F23" i="61" s="1"/>
  <c r="F24" i="61" s="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S18" i="43" s="1"/>
  <c r="M18" i="43" s="1"/>
  <c r="M17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S19" i="55" l="1"/>
  <c r="S20" i="55" s="1"/>
  <c r="C23" i="55"/>
  <c r="S22" i="55"/>
  <c r="M32" i="57"/>
  <c r="M34" i="57" s="1"/>
  <c r="M40" i="57" s="1"/>
  <c r="M15" i="57"/>
  <c r="M16" i="57" s="1"/>
  <c r="O32" i="57"/>
  <c r="O34" i="57" s="1"/>
  <c r="O40" i="57" s="1"/>
  <c r="O15" i="57"/>
  <c r="O16" i="57" s="1"/>
  <c r="P32" i="57"/>
  <c r="P34" i="57" s="1"/>
  <c r="P40" i="57" s="1"/>
  <c r="P15" i="57"/>
  <c r="P16" i="57" s="1"/>
  <c r="N32" i="57"/>
  <c r="N34" i="57" s="1"/>
  <c r="N40" i="57" s="1"/>
  <c r="N15" i="57"/>
  <c r="N16" i="57" s="1"/>
  <c r="M32" i="43"/>
  <c r="M34" i="43" s="1"/>
  <c r="M40" i="43" s="1"/>
  <c r="M15" i="43"/>
  <c r="M16" i="43" s="1"/>
  <c r="O32" i="43"/>
  <c r="O34" i="43" s="1"/>
  <c r="O40" i="43" s="1"/>
  <c r="O15" i="43"/>
  <c r="O16" i="43" s="1"/>
  <c r="P32" i="43"/>
  <c r="P34" i="43" s="1"/>
  <c r="P40" i="43" s="1"/>
  <c r="P15" i="43"/>
  <c r="P16" i="43" s="1"/>
  <c r="I8" i="58"/>
  <c r="I9" i="58" s="1"/>
  <c r="R8" i="58"/>
  <c r="R9" i="58" s="1"/>
  <c r="G8" i="58"/>
  <c r="G9" i="58" s="1"/>
  <c r="H8" i="58"/>
  <c r="H9" i="58" s="1"/>
  <c r="O8" i="58"/>
  <c r="O9" i="58" s="1"/>
  <c r="J8" i="58"/>
  <c r="J9" i="58" s="1"/>
  <c r="L8" i="58"/>
  <c r="L9" i="58" s="1"/>
  <c r="N8" i="58"/>
  <c r="N9" i="58" s="1"/>
  <c r="P8" i="58"/>
  <c r="P9" i="58" s="1"/>
  <c r="Q8" i="58"/>
  <c r="Q9" i="58" s="1"/>
  <c r="M8" i="58"/>
  <c r="M9" i="58" s="1"/>
  <c r="K8" i="58"/>
  <c r="K9" i="58" s="1"/>
  <c r="G32" i="57"/>
  <c r="G34" i="57" s="1"/>
  <c r="G40" i="57" s="1"/>
  <c r="G15" i="57"/>
  <c r="G16" i="57" s="1"/>
  <c r="L32" i="57"/>
  <c r="L34" i="57" s="1"/>
  <c r="L40" i="57" s="1"/>
  <c r="L15" i="57"/>
  <c r="L16" i="57" s="1"/>
  <c r="J32" i="57"/>
  <c r="J34" i="57" s="1"/>
  <c r="J40" i="57" s="1"/>
  <c r="J15" i="57"/>
  <c r="J16" i="57" s="1"/>
  <c r="K32" i="57"/>
  <c r="K34" i="57" s="1"/>
  <c r="K40" i="57" s="1"/>
  <c r="K15" i="57"/>
  <c r="K16" i="57" s="1"/>
  <c r="G32" i="43"/>
  <c r="G34" i="43" s="1"/>
  <c r="G40" i="43" s="1"/>
  <c r="G15" i="43"/>
  <c r="G16" i="43" s="1"/>
  <c r="L32" i="43"/>
  <c r="L34" i="43" s="1"/>
  <c r="L40" i="43" s="1"/>
  <c r="L15" i="43"/>
  <c r="L16" i="43" s="1"/>
  <c r="J32" i="43"/>
  <c r="J34" i="43" s="1"/>
  <c r="J40" i="43" s="1"/>
  <c r="J15" i="43"/>
  <c r="J16" i="43" s="1"/>
  <c r="K32" i="43"/>
  <c r="K34" i="43" s="1"/>
  <c r="K40" i="43" s="1"/>
  <c r="K15" i="43"/>
  <c r="K16" i="43" s="1"/>
  <c r="N32" i="43"/>
  <c r="N34" i="43" s="1"/>
  <c r="N40" i="43" s="1"/>
  <c r="N15" i="43"/>
  <c r="N16" i="43" s="1"/>
  <c r="R32" i="57"/>
  <c r="R34" i="57" s="1"/>
  <c r="R40" i="57" s="1"/>
  <c r="R15" i="57"/>
  <c r="R16" i="57" s="1"/>
  <c r="I32" i="57"/>
  <c r="I34" i="57" s="1"/>
  <c r="I40" i="57" s="1"/>
  <c r="I15" i="57"/>
  <c r="I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R32" i="43"/>
  <c r="R34" i="43" s="1"/>
  <c r="R40" i="43" s="1"/>
  <c r="R15" i="43"/>
  <c r="R16" i="43" s="1"/>
  <c r="I32" i="43"/>
  <c r="I34" i="43" s="1"/>
  <c r="I40" i="43" s="1"/>
  <c r="I15" i="43"/>
  <c r="I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D17" i="61"/>
  <c r="D23" i="61" s="1"/>
  <c r="D24" i="61" s="1"/>
  <c r="D25" i="61" s="1"/>
  <c r="D26" i="61" s="1"/>
  <c r="D27" i="61" s="1"/>
  <c r="R21" i="43"/>
  <c r="R46" i="43" s="1"/>
  <c r="R48" i="43" s="1"/>
  <c r="I18" i="43"/>
  <c r="I17" i="43" s="1"/>
  <c r="O18" i="43"/>
  <c r="O17" i="43" s="1"/>
  <c r="K21" i="43"/>
  <c r="K46" i="43" s="1"/>
  <c r="K48" i="43" s="1"/>
  <c r="N18" i="43"/>
  <c r="N17" i="43" s="1"/>
  <c r="P21" i="43"/>
  <c r="P46" i="43" s="1"/>
  <c r="P48" i="43" s="1"/>
  <c r="G21" i="43"/>
  <c r="G46" i="43" s="1"/>
  <c r="G48" i="43" s="1"/>
  <c r="J18" i="43"/>
  <c r="J17" i="43" s="1"/>
  <c r="J23" i="43" s="1"/>
  <c r="J24" i="43" s="1"/>
  <c r="I21" i="43"/>
  <c r="I46" i="43" s="1"/>
  <c r="I48" i="43" s="1"/>
  <c r="L18" i="43"/>
  <c r="L17" i="43" s="1"/>
  <c r="Q21" i="43"/>
  <c r="Q46" i="43" s="1"/>
  <c r="Q48" i="43" s="1"/>
  <c r="H21" i="43"/>
  <c r="H46" i="43" s="1"/>
  <c r="K18" i="43"/>
  <c r="K17" i="43" s="1"/>
  <c r="M21" i="43"/>
  <c r="M23" i="43" s="1"/>
  <c r="M24" i="43" s="1"/>
  <c r="P18" i="43"/>
  <c r="P17" i="43" s="1"/>
  <c r="G18" i="43"/>
  <c r="G17" i="43" s="1"/>
  <c r="L21" i="43"/>
  <c r="L46" i="43" s="1"/>
  <c r="L48" i="43" s="1"/>
  <c r="R18" i="43"/>
  <c r="R17" i="43" s="1"/>
  <c r="O21" i="43"/>
  <c r="O46" i="43" s="1"/>
  <c r="O48" i="43" s="1"/>
  <c r="N21" i="43"/>
  <c r="N46" i="43" s="1"/>
  <c r="N48" i="43" s="1"/>
  <c r="Q18" i="43"/>
  <c r="Q17" i="43" s="1"/>
  <c r="H18" i="43"/>
  <c r="H17" i="43" s="1"/>
  <c r="R23" i="61"/>
  <c r="R24" i="61" s="1"/>
  <c r="R25" i="61" s="1"/>
  <c r="R26" i="61" s="1"/>
  <c r="R27" i="61" s="1"/>
  <c r="R46" i="61"/>
  <c r="R48" i="61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25" i="61" s="1"/>
  <c r="K26" i="61" s="1"/>
  <c r="K27" i="61" s="1"/>
  <c r="K46" i="61"/>
  <c r="K48" i="61" s="1"/>
  <c r="H4" i="56"/>
  <c r="G23" i="43"/>
  <c r="J46" i="43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F27" i="51"/>
  <c r="E28" i="51"/>
  <c r="C21" i="43"/>
  <c r="D21" i="43"/>
  <c r="D19" i="56"/>
  <c r="D45" i="56" s="1"/>
  <c r="C9" i="58"/>
  <c r="C32" i="58" s="1"/>
  <c r="C34" i="58" s="1"/>
  <c r="C9" i="43"/>
  <c r="C37" i="56" l="1"/>
  <c r="H11" i="56"/>
  <c r="S21" i="57"/>
  <c r="G27" i="51"/>
  <c r="H27" i="51" s="1"/>
  <c r="S18" i="57"/>
  <c r="P18" i="57" s="1"/>
  <c r="P17" i="57" s="1"/>
  <c r="G26" i="51"/>
  <c r="H26" i="51" s="1"/>
  <c r="C24" i="55"/>
  <c r="S23" i="55"/>
  <c r="S24" i="55" s="1"/>
  <c r="K23" i="43"/>
  <c r="H48" i="43"/>
  <c r="D40" i="58"/>
  <c r="P23" i="43"/>
  <c r="P24" i="43" s="1"/>
  <c r="P25" i="43" s="1"/>
  <c r="P26" i="43" s="1"/>
  <c r="P27" i="43" s="1"/>
  <c r="H23" i="43"/>
  <c r="H24" i="43" s="1"/>
  <c r="H25" i="43" s="1"/>
  <c r="H26" i="43" s="1"/>
  <c r="H27" i="43" s="1"/>
  <c r="J48" i="43"/>
  <c r="K32" i="58"/>
  <c r="K34" i="58" s="1"/>
  <c r="K40" i="58" s="1"/>
  <c r="K15" i="58"/>
  <c r="K16" i="58" s="1"/>
  <c r="P32" i="58"/>
  <c r="P34" i="58" s="1"/>
  <c r="P40" i="58" s="1"/>
  <c r="P15" i="58"/>
  <c r="P16" i="58" s="1"/>
  <c r="J32" i="58"/>
  <c r="J34" i="58" s="1"/>
  <c r="J40" i="58" s="1"/>
  <c r="J15" i="58"/>
  <c r="J16" i="58" s="1"/>
  <c r="G32" i="58"/>
  <c r="G34" i="58" s="1"/>
  <c r="G40" i="58" s="1"/>
  <c r="G15" i="58"/>
  <c r="G16" i="58" s="1"/>
  <c r="G8" i="59"/>
  <c r="G9" i="59" s="1"/>
  <c r="J8" i="59"/>
  <c r="J9" i="59" s="1"/>
  <c r="M8" i="59"/>
  <c r="M9" i="59" s="1"/>
  <c r="P8" i="59"/>
  <c r="P9" i="59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Q32" i="58"/>
  <c r="Q34" i="58" s="1"/>
  <c r="Q40" i="58" s="1"/>
  <c r="Q15" i="58"/>
  <c r="Q16" i="58" s="1"/>
  <c r="L32" i="58"/>
  <c r="L34" i="58" s="1"/>
  <c r="L40" i="58" s="1"/>
  <c r="L15" i="58"/>
  <c r="L16" i="58" s="1"/>
  <c r="H32" i="58"/>
  <c r="H34" i="58" s="1"/>
  <c r="H40" i="58" s="1"/>
  <c r="H15" i="58"/>
  <c r="H16" i="58" s="1"/>
  <c r="I32" i="58"/>
  <c r="I34" i="58" s="1"/>
  <c r="I40" i="58" s="1"/>
  <c r="I15" i="58"/>
  <c r="I16" i="58" s="1"/>
  <c r="L23" i="43"/>
  <c r="L24" i="43" s="1"/>
  <c r="L25" i="43" s="1"/>
  <c r="L26" i="43" s="1"/>
  <c r="L27" i="43" s="1"/>
  <c r="G24" i="43"/>
  <c r="G25" i="43" s="1"/>
  <c r="G26" i="43" s="1"/>
  <c r="G27" i="43" s="1"/>
  <c r="K24" i="43"/>
  <c r="K25" i="43" s="1"/>
  <c r="K26" i="43" s="1"/>
  <c r="K27" i="43" s="1"/>
  <c r="M32" i="58"/>
  <c r="M34" i="58" s="1"/>
  <c r="M40" i="58" s="1"/>
  <c r="M15" i="58"/>
  <c r="M16" i="58" s="1"/>
  <c r="N32" i="58"/>
  <c r="N34" i="58" s="1"/>
  <c r="N40" i="58" s="1"/>
  <c r="N15" i="58"/>
  <c r="N16" i="58" s="1"/>
  <c r="O32" i="58"/>
  <c r="O34" i="58" s="1"/>
  <c r="O40" i="58" s="1"/>
  <c r="O15" i="58"/>
  <c r="O16" i="58" s="1"/>
  <c r="R32" i="58"/>
  <c r="R34" i="58" s="1"/>
  <c r="R40" i="58" s="1"/>
  <c r="R15" i="58"/>
  <c r="R16" i="58" s="1"/>
  <c r="N23" i="43"/>
  <c r="N24" i="43" s="1"/>
  <c r="M46" i="43"/>
  <c r="M48" i="43" s="1"/>
  <c r="R23" i="43"/>
  <c r="R24" i="43" s="1"/>
  <c r="R25" i="43" s="1"/>
  <c r="R26" i="43" s="1"/>
  <c r="R27" i="43" s="1"/>
  <c r="Q23" i="43"/>
  <c r="Q24" i="43" s="1"/>
  <c r="Q25" i="43" s="1"/>
  <c r="Q26" i="43" s="1"/>
  <c r="Q27" i="43" s="1"/>
  <c r="O23" i="43"/>
  <c r="O24" i="43" s="1"/>
  <c r="O25" i="43" s="1"/>
  <c r="O26" i="43" s="1"/>
  <c r="O27" i="43" s="1"/>
  <c r="G18" i="57"/>
  <c r="G17" i="57" s="1"/>
  <c r="L18" i="57"/>
  <c r="L17" i="57" s="1"/>
  <c r="N18" i="57"/>
  <c r="N17" i="57" s="1"/>
  <c r="H18" i="57"/>
  <c r="H17" i="57" s="1"/>
  <c r="I23" i="43"/>
  <c r="I24" i="43" s="1"/>
  <c r="I25" i="43" s="1"/>
  <c r="I26" i="43" s="1"/>
  <c r="I27" i="43" s="1"/>
  <c r="M21" i="57"/>
  <c r="H21" i="57"/>
  <c r="Q21" i="57"/>
  <c r="G21" i="57"/>
  <c r="P21" i="57"/>
  <c r="K21" i="57"/>
  <c r="L21" i="57"/>
  <c r="I21" i="57"/>
  <c r="J21" i="57"/>
  <c r="N21" i="57"/>
  <c r="O21" i="57"/>
  <c r="R21" i="57"/>
  <c r="J25" i="43"/>
  <c r="J26" i="43" s="1"/>
  <c r="J27" i="43" s="1"/>
  <c r="M25" i="43"/>
  <c r="M26" i="43" s="1"/>
  <c r="M27" i="43" s="1"/>
  <c r="N25" i="43"/>
  <c r="N26" i="43" s="1"/>
  <c r="N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F18" i="57"/>
  <c r="F17" i="57" s="1"/>
  <c r="E23" i="43"/>
  <c r="E48" i="43"/>
  <c r="F21" i="57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H37" i="56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46" i="43"/>
  <c r="C46" i="43"/>
  <c r="E19" i="56"/>
  <c r="E45" i="56" s="1"/>
  <c r="D21" i="57"/>
  <c r="C21" i="57"/>
  <c r="S21" i="58"/>
  <c r="F28" i="51"/>
  <c r="C30" i="56"/>
  <c r="C32" i="56" s="1"/>
  <c r="C33" i="56" s="1"/>
  <c r="C50" i="56"/>
  <c r="D30" i="56"/>
  <c r="D51" i="56"/>
  <c r="D50" i="56"/>
  <c r="E18" i="57" l="1"/>
  <c r="E17" i="57" s="1"/>
  <c r="I18" i="57"/>
  <c r="I17" i="57" s="1"/>
  <c r="M18" i="57"/>
  <c r="M17" i="57" s="1"/>
  <c r="M23" i="57" s="1"/>
  <c r="M24" i="57" s="1"/>
  <c r="M25" i="57" s="1"/>
  <c r="M26" i="57" s="1"/>
  <c r="M27" i="57" s="1"/>
  <c r="J18" i="57"/>
  <c r="J17" i="57" s="1"/>
  <c r="K18" i="57"/>
  <c r="K17" i="57" s="1"/>
  <c r="D18" i="57"/>
  <c r="D17" i="57" s="1"/>
  <c r="S17" i="57" s="1"/>
  <c r="Q18" i="57"/>
  <c r="Q17" i="57" s="1"/>
  <c r="O18" i="57"/>
  <c r="O17" i="57" s="1"/>
  <c r="R18" i="57"/>
  <c r="R17" i="57" s="1"/>
  <c r="J21" i="58"/>
  <c r="J46" i="58" s="1"/>
  <c r="J48" i="58" s="1"/>
  <c r="H21" i="58"/>
  <c r="H46" i="58" s="1"/>
  <c r="Q21" i="58"/>
  <c r="Q46" i="58" s="1"/>
  <c r="Q48" i="58" s="1"/>
  <c r="O21" i="58"/>
  <c r="O46" i="58" s="1"/>
  <c r="P21" i="58"/>
  <c r="P46" i="58" s="1"/>
  <c r="P48" i="58" s="1"/>
  <c r="R21" i="58"/>
  <c r="R46" i="58" s="1"/>
  <c r="R48" i="58" s="1"/>
  <c r="M21" i="58"/>
  <c r="M46" i="58" s="1"/>
  <c r="K21" i="58"/>
  <c r="K46" i="58" s="1"/>
  <c r="K48" i="58" s="1"/>
  <c r="I21" i="58"/>
  <c r="I46" i="58" s="1"/>
  <c r="I48" i="58" s="1"/>
  <c r="L21" i="58"/>
  <c r="L46" i="58" s="1"/>
  <c r="L48" i="58" s="1"/>
  <c r="G21" i="58"/>
  <c r="G46" i="58" s="1"/>
  <c r="G48" i="58" s="1"/>
  <c r="N21" i="58"/>
  <c r="N46" i="58" s="1"/>
  <c r="N48" i="58" s="1"/>
  <c r="M48" i="58"/>
  <c r="O48" i="58"/>
  <c r="H48" i="58"/>
  <c r="I32" i="59"/>
  <c r="I34" i="59" s="1"/>
  <c r="I40" i="59" s="1"/>
  <c r="I15" i="59"/>
  <c r="M32" i="59"/>
  <c r="M34" i="59" s="1"/>
  <c r="M40" i="59" s="1"/>
  <c r="M15" i="59"/>
  <c r="O32" i="59"/>
  <c r="O34" i="59" s="1"/>
  <c r="O40" i="59" s="1"/>
  <c r="O15" i="59"/>
  <c r="Q32" i="59"/>
  <c r="Q34" i="59" s="1"/>
  <c r="Q40" i="59" s="1"/>
  <c r="Q15" i="59"/>
  <c r="H32" i="59"/>
  <c r="H34" i="59" s="1"/>
  <c r="H40" i="59" s="1"/>
  <c r="H15" i="59"/>
  <c r="J32" i="59"/>
  <c r="J34" i="59" s="1"/>
  <c r="J40" i="59" s="1"/>
  <c r="J15" i="59"/>
  <c r="R32" i="59"/>
  <c r="R34" i="59" s="1"/>
  <c r="R40" i="59" s="1"/>
  <c r="R15" i="59"/>
  <c r="K32" i="59"/>
  <c r="K34" i="59" s="1"/>
  <c r="K40" i="59" s="1"/>
  <c r="K15" i="59"/>
  <c r="L32" i="59"/>
  <c r="L34" i="59" s="1"/>
  <c r="L40" i="59" s="1"/>
  <c r="L15" i="59"/>
  <c r="N32" i="59"/>
  <c r="N34" i="59" s="1"/>
  <c r="N40" i="59" s="1"/>
  <c r="N15" i="59"/>
  <c r="P32" i="59"/>
  <c r="P34" i="59" s="1"/>
  <c r="P40" i="59" s="1"/>
  <c r="P15" i="59"/>
  <c r="G32" i="59"/>
  <c r="G34" i="59" s="1"/>
  <c r="G40" i="59" s="1"/>
  <c r="G15" i="59"/>
  <c r="N46" i="57"/>
  <c r="N48" i="57" s="1"/>
  <c r="N23" i="57"/>
  <c r="N24" i="57" s="1"/>
  <c r="N25" i="57" s="1"/>
  <c r="N26" i="57" s="1"/>
  <c r="N27" i="57" s="1"/>
  <c r="L23" i="57"/>
  <c r="L24" i="57" s="1"/>
  <c r="L25" i="57" s="1"/>
  <c r="L26" i="57" s="1"/>
  <c r="L27" i="57" s="1"/>
  <c r="L46" i="57"/>
  <c r="L48" i="57" s="1"/>
  <c r="G23" i="57"/>
  <c r="G24" i="57" s="1"/>
  <c r="G25" i="57" s="1"/>
  <c r="G26" i="57" s="1"/>
  <c r="G27" i="57" s="1"/>
  <c r="G46" i="57"/>
  <c r="G48" i="57" s="1"/>
  <c r="M46" i="57"/>
  <c r="M48" i="57" s="1"/>
  <c r="O23" i="57"/>
  <c r="O24" i="57" s="1"/>
  <c r="O25" i="57" s="1"/>
  <c r="O26" i="57" s="1"/>
  <c r="O27" i="57" s="1"/>
  <c r="O46" i="57"/>
  <c r="O48" i="57" s="1"/>
  <c r="I23" i="57"/>
  <c r="I24" i="57" s="1"/>
  <c r="I25" i="57" s="1"/>
  <c r="I26" i="57" s="1"/>
  <c r="I27" i="57" s="1"/>
  <c r="I46" i="57"/>
  <c r="I48" i="57" s="1"/>
  <c r="P23" i="57"/>
  <c r="P24" i="57" s="1"/>
  <c r="P25" i="57" s="1"/>
  <c r="P26" i="57" s="1"/>
  <c r="P27" i="57" s="1"/>
  <c r="P46" i="57"/>
  <c r="P48" i="57" s="1"/>
  <c r="H23" i="57"/>
  <c r="H24" i="57" s="1"/>
  <c r="H25" i="57" s="1"/>
  <c r="H26" i="57" s="1"/>
  <c r="H27" i="57" s="1"/>
  <c r="H46" i="57"/>
  <c r="H48" i="57" s="1"/>
  <c r="R46" i="57"/>
  <c r="R48" i="57" s="1"/>
  <c r="R23" i="57"/>
  <c r="R24" i="57" s="1"/>
  <c r="R25" i="57" s="1"/>
  <c r="R26" i="57" s="1"/>
  <c r="R27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E32" i="56" s="1"/>
  <c r="E33" i="56" s="1"/>
  <c r="F24" i="43"/>
  <c r="F25" i="43" s="1"/>
  <c r="F26" i="43" s="1"/>
  <c r="F27" i="43" s="1"/>
  <c r="D8" i="56"/>
  <c r="D31" i="56" s="1"/>
  <c r="D32" i="56" s="1"/>
  <c r="D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S18" i="58"/>
  <c r="F46" i="57"/>
  <c r="F48" i="57" s="1"/>
  <c r="F23" i="57"/>
  <c r="F24" i="57" s="1"/>
  <c r="F25" i="57" s="1"/>
  <c r="F26" i="57" s="1"/>
  <c r="F27" i="57" s="1"/>
  <c r="E46" i="57"/>
  <c r="E48" i="57" s="1"/>
  <c r="E23" i="57"/>
  <c r="E24" i="57" s="1"/>
  <c r="E25" i="57" s="1"/>
  <c r="E26" i="57" s="1"/>
  <c r="E27" i="57" s="1"/>
  <c r="C48" i="56"/>
  <c r="D48" i="43"/>
  <c r="D52" i="56"/>
  <c r="F16" i="59"/>
  <c r="S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C18" i="58"/>
  <c r="C17" i="58" s="1"/>
  <c r="F19" i="56"/>
  <c r="D21" i="58"/>
  <c r="C21" i="58"/>
  <c r="C46" i="57"/>
  <c r="C23" i="57"/>
  <c r="G28" i="51"/>
  <c r="S21" i="59"/>
  <c r="D46" i="57"/>
  <c r="D48" i="57" s="1"/>
  <c r="D23" i="57"/>
  <c r="D24" i="57" s="1"/>
  <c r="D25" i="57" s="1"/>
  <c r="D21" i="59" l="1"/>
  <c r="M21" i="59"/>
  <c r="M46" i="59" s="1"/>
  <c r="K21" i="59"/>
  <c r="K46" i="59" s="1"/>
  <c r="K48" i="59" s="1"/>
  <c r="O21" i="59"/>
  <c r="O46" i="59" s="1"/>
  <c r="R21" i="59"/>
  <c r="R46" i="59" s="1"/>
  <c r="H21" i="59"/>
  <c r="H46" i="59" s="1"/>
  <c r="H48" i="59" s="1"/>
  <c r="I21" i="59"/>
  <c r="I46" i="59" s="1"/>
  <c r="G21" i="59"/>
  <c r="G46" i="59" s="1"/>
  <c r="G48" i="59" s="1"/>
  <c r="P21" i="59"/>
  <c r="P46" i="59" s="1"/>
  <c r="P48" i="59" s="1"/>
  <c r="N21" i="59"/>
  <c r="N46" i="59" s="1"/>
  <c r="L21" i="59"/>
  <c r="L46" i="59" s="1"/>
  <c r="L48" i="59" s="1"/>
  <c r="J21" i="59"/>
  <c r="J46" i="59" s="1"/>
  <c r="J48" i="59" s="1"/>
  <c r="Q21" i="59"/>
  <c r="Q46" i="59" s="1"/>
  <c r="N48" i="59"/>
  <c r="Q48" i="59"/>
  <c r="M48" i="59"/>
  <c r="R48" i="59"/>
  <c r="I48" i="59"/>
  <c r="O48" i="59"/>
  <c r="D18" i="59"/>
  <c r="D17" i="59" s="1"/>
  <c r="M18" i="59"/>
  <c r="M17" i="59" s="1"/>
  <c r="M23" i="59" s="1"/>
  <c r="M24" i="59" s="1"/>
  <c r="M25" i="59" s="1"/>
  <c r="M26" i="59" s="1"/>
  <c r="M27" i="59" s="1"/>
  <c r="H18" i="59"/>
  <c r="H17" i="59" s="1"/>
  <c r="Q18" i="59"/>
  <c r="Q17" i="59" s="1"/>
  <c r="Q23" i="59" s="1"/>
  <c r="R18" i="59"/>
  <c r="R17" i="59" s="1"/>
  <c r="R23" i="59" s="1"/>
  <c r="R24" i="59" s="1"/>
  <c r="R25" i="59" s="1"/>
  <c r="R26" i="59" s="1"/>
  <c r="R27" i="59" s="1"/>
  <c r="L18" i="59"/>
  <c r="L17" i="59" s="1"/>
  <c r="L23" i="59" s="1"/>
  <c r="L24" i="59" s="1"/>
  <c r="L25" i="59" s="1"/>
  <c r="L26" i="59" s="1"/>
  <c r="L27" i="59" s="1"/>
  <c r="G18" i="59"/>
  <c r="G17" i="59" s="1"/>
  <c r="G23" i="59" s="1"/>
  <c r="P18" i="59"/>
  <c r="P17" i="59" s="1"/>
  <c r="K18" i="59"/>
  <c r="K17" i="59" s="1"/>
  <c r="J18" i="59"/>
  <c r="J17" i="59" s="1"/>
  <c r="N18" i="59"/>
  <c r="N17" i="59" s="1"/>
  <c r="N23" i="59" s="1"/>
  <c r="O18" i="59"/>
  <c r="O17" i="59" s="1"/>
  <c r="O23" i="59" s="1"/>
  <c r="I18" i="59"/>
  <c r="I17" i="59" s="1"/>
  <c r="I23" i="59" s="1"/>
  <c r="D18" i="58"/>
  <c r="D17" i="58" s="1"/>
  <c r="D23" i="58" s="1"/>
  <c r="D24" i="58" s="1"/>
  <c r="J18" i="58"/>
  <c r="J17" i="58" s="1"/>
  <c r="J23" i="58" s="1"/>
  <c r="J24" i="58" s="1"/>
  <c r="J25" i="58" s="1"/>
  <c r="J26" i="58" s="1"/>
  <c r="J27" i="58" s="1"/>
  <c r="N18" i="58"/>
  <c r="N17" i="58" s="1"/>
  <c r="N23" i="58" s="1"/>
  <c r="N24" i="58" s="1"/>
  <c r="N25" i="58" s="1"/>
  <c r="N26" i="58" s="1"/>
  <c r="N27" i="58" s="1"/>
  <c r="I18" i="58"/>
  <c r="I17" i="58" s="1"/>
  <c r="I23" i="58" s="1"/>
  <c r="I24" i="58" s="1"/>
  <c r="I25" i="58" s="1"/>
  <c r="I26" i="58" s="1"/>
  <c r="I27" i="58" s="1"/>
  <c r="L18" i="58"/>
  <c r="L17" i="58" s="1"/>
  <c r="L23" i="58" s="1"/>
  <c r="L24" i="58" s="1"/>
  <c r="L25" i="58" s="1"/>
  <c r="L26" i="58" s="1"/>
  <c r="L27" i="58" s="1"/>
  <c r="M18" i="58"/>
  <c r="M17" i="58" s="1"/>
  <c r="M23" i="58" s="1"/>
  <c r="M24" i="58" s="1"/>
  <c r="M25" i="58" s="1"/>
  <c r="M26" i="58" s="1"/>
  <c r="M27" i="58" s="1"/>
  <c r="H18" i="58"/>
  <c r="H17" i="58" s="1"/>
  <c r="H23" i="58" s="1"/>
  <c r="H24" i="58" s="1"/>
  <c r="H25" i="58" s="1"/>
  <c r="H26" i="58" s="1"/>
  <c r="H27" i="58" s="1"/>
  <c r="Q18" i="58"/>
  <c r="Q17" i="58" s="1"/>
  <c r="Q23" i="58" s="1"/>
  <c r="Q24" i="58" s="1"/>
  <c r="Q25" i="58" s="1"/>
  <c r="Q26" i="58" s="1"/>
  <c r="Q27" i="58" s="1"/>
  <c r="R18" i="58"/>
  <c r="R17" i="58" s="1"/>
  <c r="R23" i="58" s="1"/>
  <c r="R24" i="58" s="1"/>
  <c r="R25" i="58" s="1"/>
  <c r="R26" i="58" s="1"/>
  <c r="R27" i="58" s="1"/>
  <c r="O18" i="58"/>
  <c r="O17" i="58" s="1"/>
  <c r="O23" i="58" s="1"/>
  <c r="O24" i="58" s="1"/>
  <c r="O25" i="58" s="1"/>
  <c r="O26" i="58" s="1"/>
  <c r="O27" i="58" s="1"/>
  <c r="G18" i="58"/>
  <c r="G17" i="58" s="1"/>
  <c r="G23" i="58" s="1"/>
  <c r="G24" i="58" s="1"/>
  <c r="G25" i="58" s="1"/>
  <c r="G26" i="58" s="1"/>
  <c r="G27" i="58" s="1"/>
  <c r="P18" i="58"/>
  <c r="P17" i="58" s="1"/>
  <c r="P23" i="58" s="1"/>
  <c r="P24" i="58" s="1"/>
  <c r="P25" i="58" s="1"/>
  <c r="P26" i="58" s="1"/>
  <c r="P27" i="58" s="1"/>
  <c r="K18" i="58"/>
  <c r="K17" i="58" s="1"/>
  <c r="K23" i="58" s="1"/>
  <c r="K24" i="58" s="1"/>
  <c r="K25" i="58" s="1"/>
  <c r="K26" i="58" s="1"/>
  <c r="K27" i="58" s="1"/>
  <c r="G16" i="59"/>
  <c r="G24" i="59"/>
  <c r="G25" i="59" s="1"/>
  <c r="G26" i="59" s="1"/>
  <c r="G27" i="59" s="1"/>
  <c r="O16" i="59"/>
  <c r="O24" i="59"/>
  <c r="O25" i="59" s="1"/>
  <c r="O26" i="59" s="1"/>
  <c r="O27" i="59" s="1"/>
  <c r="N16" i="59"/>
  <c r="N24" i="59"/>
  <c r="N25" i="59" s="1"/>
  <c r="N26" i="59" s="1"/>
  <c r="N27" i="59" s="1"/>
  <c r="R16" i="59"/>
  <c r="Q16" i="59"/>
  <c r="Q24" i="59"/>
  <c r="Q25" i="59" s="1"/>
  <c r="Q26" i="59" s="1"/>
  <c r="Q27" i="59" s="1"/>
  <c r="I16" i="59"/>
  <c r="I24" i="59"/>
  <c r="I25" i="59" s="1"/>
  <c r="I26" i="59" s="1"/>
  <c r="I27" i="59" s="1"/>
  <c r="L16" i="59"/>
  <c r="J16" i="59"/>
  <c r="P16" i="59"/>
  <c r="K16" i="59"/>
  <c r="H16" i="59"/>
  <c r="M16" i="59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S23" i="57"/>
  <c r="G50" i="56"/>
  <c r="F51" i="56"/>
  <c r="E15" i="56"/>
  <c r="H28" i="51"/>
  <c r="D46" i="58"/>
  <c r="D48" i="58" s="1"/>
  <c r="F45" i="56"/>
  <c r="D46" i="59"/>
  <c r="D48" i="59" s="1"/>
  <c r="D23" i="59"/>
  <c r="D24" i="59" s="1"/>
  <c r="D25" i="59" s="1"/>
  <c r="D26" i="57"/>
  <c r="D27" i="57" s="1"/>
  <c r="C46" i="58"/>
  <c r="C23" i="58"/>
  <c r="P23" i="59" l="1"/>
  <c r="P24" i="59" s="1"/>
  <c r="P25" i="59" s="1"/>
  <c r="P26" i="59" s="1"/>
  <c r="P27" i="59" s="1"/>
  <c r="J23" i="59"/>
  <c r="J24" i="59" s="1"/>
  <c r="J25" i="59" s="1"/>
  <c r="J26" i="59" s="1"/>
  <c r="J27" i="59" s="1"/>
  <c r="K23" i="59"/>
  <c r="K24" i="59" s="1"/>
  <c r="K25" i="59" s="1"/>
  <c r="K26" i="59" s="1"/>
  <c r="K27" i="59" s="1"/>
  <c r="H23" i="59"/>
  <c r="H24" i="59" s="1"/>
  <c r="H25" i="59" s="1"/>
  <c r="H26" i="59" s="1"/>
  <c r="H27" i="59" s="1"/>
  <c r="D21" i="56"/>
  <c r="G45" i="56"/>
  <c r="G48" i="56"/>
  <c r="H7" i="56"/>
  <c r="H52" i="56" s="1"/>
  <c r="G30" i="56"/>
  <c r="G32" i="56" s="1"/>
  <c r="G33" i="56" s="1"/>
  <c r="S17" i="59"/>
  <c r="G15" i="56" s="1"/>
  <c r="S17" i="58"/>
  <c r="F15" i="56" s="1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D26" i="59"/>
  <c r="D27" i="59" s="1"/>
  <c r="I28" i="51"/>
  <c r="S23" i="58" l="1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G22" i="56" s="1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22" i="56" s="1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7" i="6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H22" i="56" s="1"/>
  <c r="S25" i="61"/>
  <c r="C23" i="56" s="1"/>
  <c r="C42" i="56"/>
  <c r="C49" i="56"/>
  <c r="C21" i="56"/>
  <c r="C40" i="56" s="1"/>
  <c r="H15" i="56"/>
  <c r="H21" i="56" s="1"/>
  <c r="C54" i="56" l="1"/>
  <c r="H42" i="56"/>
  <c r="H40" i="56"/>
  <c r="H49" i="56"/>
  <c r="C24" i="56"/>
  <c r="C25" i="56" s="1"/>
  <c r="C53" i="56" l="1"/>
  <c r="C60" i="56"/>
  <c r="C59" i="56" s="1"/>
  <c r="H54" i="56"/>
  <c r="H23" i="56"/>
  <c r="H24" i="56" l="1"/>
  <c r="H53" i="56" s="1"/>
  <c r="H60" i="56" l="1"/>
  <c r="H59" i="56" s="1"/>
  <c r="H25" i="56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<sst xmlns="http://schemas.openxmlformats.org/spreadsheetml/2006/main" count="1454" uniqueCount="312">
  <si>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</si>
  <si>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</si>
  <si>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</si>
  <si>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</si>
  <si>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</si>
  <si>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</si>
  <si>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</si>
  <si>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</si>
  <si>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</si>
  <si>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</si>
  <si>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</si>
  <si>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</si>
  <si>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</si>
  <si>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</si>
  <si>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</si>
  <si>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</si>
  <si>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</si>
  <si>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</si>
  <si>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</si>
  <si>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</si>
  <si>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</si>
  <si>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</si>
  <si>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</si>
  <si>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</si>
  <si>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</si>
  <si>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</si>
  <si>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</si>
  <si>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</si>
  <si>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</si>
  <si>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</si>
  <si>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</si>
  <si>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</si>
  <si>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</si>
  <si>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</si>
  <si>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</si>
  <si>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</si>
  <si>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</si>
  <si>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</si>
  <si>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</si>
  <si>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</si>
  <si>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</si>
  <si>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</si>
  <si>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</si>
  <si>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</si>
  <si>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</si>
  <si>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</si>
  <si>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</si>
  <si>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</si>
  <si>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</si>
  <si>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</si>
  <si>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</si>
  <si>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</si>
  <si>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</si>
  <si>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</si>
  <si>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</si>
  <si>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</si>
  <si>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</si>
  <si>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</si>
  <si>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</si>
  <si>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</si>
  <si>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</si>
  <si>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</si>
  <si>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</si>
  <si>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</si>
  <si>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</si>
  <si>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</si>
  <si>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</si>
  <si>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</si>
  <si>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</si>
  <si>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</si>
  <si>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</si>
  <si>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</si>
  <si>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</si>
  <si>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</si>
  <si>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</si>
  <si>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</si>
  <si>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</si>
  <si>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</si>
  <si>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</si>
  <si>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</si>
  <si>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</si>
  <si>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</si>
  <si>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</si>
  <si>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</si>
  <si>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</si>
  <si>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</si>
  <si>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</si>
  <si>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</si>
  <si>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</si>
  <si>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</si>
  <si>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</si>
  <si>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</si>
  <si>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</si>
  <si>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</si>
  <si>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</si>
  <si>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</si>
  <si>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</si>
  <si>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</si>
  <si>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</si>
  <si>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</si>
  <si>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</si>
  <si>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</si>
  <si>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</si>
  <si>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</si>
  <si>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</si>
  <si>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</si>
  <si>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</si>
  <si>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</si>
  <si>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</si>
  <si>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</si>
  <si>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</si>
  <si>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</si>
  <si>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</si>
  <si>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</si>
  <si>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</si>
  <si>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</si>
  <si>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</si>
  <si>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</si>
  <si>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</si>
  <si>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</si>
  <si>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</si>
  <si>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</si>
  <si>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</si>
  <si>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</si>
  <si>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</si>
  <si>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</si>
  <si>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</si>
  <si>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</si>
  <si>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</si>
  <si>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</si>
  <si>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</si>
  <si>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</si>
  <si>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</si>
  <si>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</si>
  <si>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</si>
  <si>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</si>
  <si>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</si>
  <si>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</si>
  <si>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</si>
  <si>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</si>
  <si>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</si>
  <si>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</si>
  <si>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</si>
  <si>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</si>
  <si>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</si>
  <si>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</si>
  <si>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</si>
  <si>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</si>
  <si>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</si>
  <si>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</si>
  <si>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</si>
  <si>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</si>
  <si>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</si>
  <si>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</si>
  <si>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</si>
  <si>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</si>
  <si>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</si>
  <si>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</si>
  <si>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</si>
  <si>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</si>
  <si>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</si>
  <si>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</si>
  <si>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</si>
  <si>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</si>
  <si>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</si>
  <si>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</si>
  <si>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</si>
  <si>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</si>
  <si>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</si>
  <si>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</si>
  <si>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</si>
  <si>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</si>
  <si>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</si>
  <si>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</si>
  <si>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</si>
  <si>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</si>
  <si>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</si>
  <si>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</si>
  <si>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</si>
  <si>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</si>
  <si>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</si>
  <si>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</si>
  <si>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</si>
  <si>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</si>
  <si>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</si>
  <si>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</si>
  <si>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</si>
  <si>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</si>
  <si>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</si>
  <si>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</si>
  <si>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</si>
  <si>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</si>
  <si>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</si>
  <si>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</si>
  <si>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</si>
  <si>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</si>
  <si>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</si>
  <si>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</si>
  <si>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</si>
  <si>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</si>
  <si>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</si>
  <si>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</si>
  <si>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</si>
  <si>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</si>
  <si>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</si>
  <si>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</si>
  <si>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</si>
  <si>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</si>
  <si>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</si>
  <si>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</si>
  <si>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</si>
  <si>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</si>
  <si>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</si>
  <si>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</si>
  <si>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</si>
  <si>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</si>
  <si>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</si>
  <si>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</si>
  <si>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</si>
  <si>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</si>
  <si>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</si>
  <si>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</si>
  <si>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</si>
  <si>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</si>
  <si>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</si>
  <si>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</si>
  <si>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</si>
  <si>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</si>
  <si>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</si>
  <si>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</si>
  <si>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</si>
  <si>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</si>
  <si>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</si>
  <si>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</si>
  <si>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</si>
  <si>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</si>
  <si>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</si>
  <si>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</si>
  <si>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</si>
  <si>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</si>
  <si>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</si>
  <si>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</si>
  <si>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</si>
  <si>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</si>
  <si>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</si>
  <si>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</si>
  <si>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</si>
  <si>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</si>
  <si>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</si>
  <si>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</si>
  <si>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</si>
  <si>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</si>
  <si>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</si>
  <si>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</si>
  <si>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</si>
  <si>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</si>
  <si>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</si>
  <si>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</si>
  <si>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</si>
  <si>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</si>
  <si>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</si>
  <si>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</si>
  <si>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</si>
  <si>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</si>
  <si>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</si>
  <si>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</si>
  <si>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</si>
  <si>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</si>
  <si>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</si>
  <si>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</si>
  <si>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</si>
  <si>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</si>
  <si>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</si>
  <si>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</si>
  <si>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</si>
  <si>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</si>
  <si>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</si>
  <si>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供应商年降：       年5 %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</si>
  <si>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</si>
  <si>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</si>
  <si>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</si>
  <si>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</si>
  <si>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</si>
  <si>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北汽福田戴姆勒</t>
    <phoneticPr fontId="45" type="noConversion"/>
  </si>
  <si>
    <t>单台材料成本为未税价格，骨架、底支架、面套自制。</t>
    <phoneticPr fontId="45" type="noConversion"/>
  </si>
  <si>
    <t>变动费用参考河北工厂2024年实际暂估。</t>
    <phoneticPr fontId="45" type="noConversion"/>
  </si>
  <si>
    <t>河北光华荣昌</t>
  </si>
  <si>
    <t>怀柔</t>
    <phoneticPr fontId="23" type="noConversion"/>
  </si>
  <si>
    <t>承兑</t>
    <phoneticPr fontId="23" type="noConversion"/>
  </si>
  <si>
    <t>/</t>
    <phoneticPr fontId="23" type="noConversion"/>
  </si>
  <si>
    <t>/</t>
    <phoneticPr fontId="23" type="noConversion"/>
  </si>
  <si>
    <t>围板箱、工装器具</t>
    <phoneticPr fontId="23" type="noConversion"/>
  </si>
  <si>
    <t>有</t>
    <phoneticPr fontId="23" type="noConversion"/>
  </si>
  <si>
    <t>公路、工程</t>
    <phoneticPr fontId="23" type="noConversion"/>
  </si>
  <si>
    <t>9个月</t>
    <phoneticPr fontId="23" type="noConversion"/>
  </si>
  <si>
    <t>A6右舵座椅项目投资收益分析</t>
    <phoneticPr fontId="45" type="noConversion"/>
  </si>
  <si>
    <t>A6右舵座椅项目</t>
    <phoneticPr fontId="45" type="noConversion"/>
  </si>
  <si>
    <t>A6681000000168
（基础件A668100000023）</t>
    <phoneticPr fontId="23" type="noConversion"/>
  </si>
  <si>
    <t>A6681000000169
（基础件A668100000025）</t>
    <phoneticPr fontId="23" type="noConversion"/>
  </si>
  <si>
    <t>A6681000000166
（基础件A668100000022）</t>
    <phoneticPr fontId="23" type="noConversion"/>
  </si>
  <si>
    <t>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手动靠背角度可调，手动空气高度调节，手动短滑轨前后可调，手动坐垫倾角可调，手动座深可调，空气腰部支撑，靠背两侧空气腰托，内侧扶手，集成三点式安全带，安全带未系报警（只有带扣），PVC包覆</t>
  </si>
  <si>
    <t>分体式无减震，手动靠背角度可调，手动坐垫翻转，集成三点式安全带，安全带未系报警（带扣+压力传感器），PVC包覆</t>
    <phoneticPr fontId="23" type="noConversion"/>
  </si>
  <si>
    <t>金属支架</t>
  </si>
  <si>
    <t>驾驶员座椅总成</t>
    <phoneticPr fontId="23" type="noConversion"/>
  </si>
  <si>
    <t>驾驶员座椅总成</t>
    <phoneticPr fontId="23" type="noConversion"/>
  </si>
  <si>
    <t>副驾驶员座椅总成</t>
    <phoneticPr fontId="23" type="noConversion"/>
  </si>
  <si>
    <t>座椅安装支架</t>
    <phoneticPr fontId="23" type="noConversion"/>
  </si>
  <si>
    <t>A6681000000167
（基础件A668100000026）</t>
    <phoneticPr fontId="23" type="noConversion"/>
  </si>
  <si>
    <t>空气悬浮减震（匹配空气高度调节），悬浮高度记忆功能，减震器阻尼可调，速降功能，手动靠背角度可调，手动空气高度调节，手动短滑轨前后可调，手动坐垫倾角可调，手动座深可调，空气腰部支撑，靠背两侧空气腰托，内侧扶手，靠背坐垫电加热，通风（吸风式），集成三点式安全带，安全带未系报警（只有带扣，PVC包覆）</t>
    <phoneticPr fontId="23" type="noConversion"/>
  </si>
  <si>
    <t>不含开发费</t>
    <phoneticPr fontId="45" type="noConversion"/>
  </si>
  <si>
    <t>含开发费</t>
    <phoneticPr fontId="45" type="noConversion"/>
  </si>
  <si>
    <t>A6右舵的方案，目前按照技术方案开发，模具费用不能动，样件费用和试验费用可以调整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</si>
</sst>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8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justify" wrapText="1"/>
    </xf>
    <xf numFmtId="0" fontId="55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55" fillId="0" borderId="2" xfId="0" applyFont="1" applyFill="1" applyBorder="1" applyAlignment="1">
      <alignment horizontal="left" vertical="center" wrapText="1"/>
    </xf>
    <xf numFmtId="2" fontId="5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55" fillId="0" borderId="5" xfId="0" applyFont="1" applyFill="1" applyBorder="1" applyAlignment="1">
      <alignment horizontal="left" vertical="center" wrapText="1"/>
    </xf>
    <xf numFmtId="0" fontId="55" fillId="0" borderId="2" xfId="0" applyFont="1" applyBorder="1" applyAlignment="1">
      <alignment horizontal="center" vertical="justify"/>
    </xf>
    <xf numFmtId="0" fontId="5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3" fontId="2" fillId="5" borderId="2" xfId="0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5" sqref="C1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2" customFormat="1" ht="35.25" customHeight="1">
      <c r="A2" s="163" t="s">
        <v>0</v>
      </c>
      <c r="B2" s="163" t="s">
        <v>1</v>
      </c>
      <c r="C2" s="163" t="s">
        <v>2</v>
      </c>
      <c r="D2" s="164"/>
    </row>
    <row r="3" spans="1:4" s="162" customFormat="1" ht="33.75" customHeight="1">
      <c r="A3" s="165">
        <v>1</v>
      </c>
      <c r="B3" s="165" t="s">
        <v>3</v>
      </c>
      <c r="C3" s="166" t="s">
        <v>4</v>
      </c>
      <c r="D3" s="164"/>
    </row>
    <row r="4" spans="1:4" s="162" customFormat="1" ht="33.75" customHeight="1">
      <c r="A4" s="165">
        <v>2</v>
      </c>
      <c r="B4" s="165" t="s">
        <v>5</v>
      </c>
      <c r="C4" s="166" t="s">
        <v>6</v>
      </c>
    </row>
    <row r="5" spans="1:4" s="162" customFormat="1" ht="33.75" customHeight="1">
      <c r="A5" s="165">
        <v>3</v>
      </c>
      <c r="B5" s="226" t="s">
        <v>7</v>
      </c>
      <c r="C5" s="167" t="s">
        <v>8</v>
      </c>
    </row>
    <row r="6" spans="1:4" s="162" customFormat="1" ht="33.75" customHeight="1">
      <c r="A6" s="165">
        <v>4</v>
      </c>
      <c r="B6" s="227"/>
      <c r="C6" s="166" t="s">
        <v>284</v>
      </c>
    </row>
    <row r="7" spans="1:4" s="162" customFormat="1" ht="33.75" customHeight="1">
      <c r="A7" s="165">
        <v>5</v>
      </c>
      <c r="B7" s="168" t="s">
        <v>9</v>
      </c>
      <c r="C7" s="166" t="s">
        <v>285</v>
      </c>
    </row>
    <row r="8" spans="1:4" s="162" customFormat="1" ht="33.75" customHeight="1">
      <c r="A8" s="165">
        <v>6</v>
      </c>
      <c r="B8" s="226" t="s">
        <v>10</v>
      </c>
      <c r="C8" s="166" t="s">
        <v>11</v>
      </c>
    </row>
    <row r="9" spans="1:4" s="162" customFormat="1" ht="33.75" customHeight="1">
      <c r="A9" s="165">
        <v>7</v>
      </c>
      <c r="B9" s="227"/>
      <c r="C9" s="166" t="s">
        <v>12</v>
      </c>
    </row>
    <row r="10" spans="1:4" s="162" customFormat="1" ht="33.75" customHeight="1">
      <c r="A10" s="165">
        <v>8</v>
      </c>
      <c r="B10" s="227"/>
      <c r="C10" s="167" t="s">
        <v>276</v>
      </c>
    </row>
    <row r="11" spans="1:4" s="162" customFormat="1" ht="33.75" customHeight="1">
      <c r="A11" s="165">
        <v>9</v>
      </c>
      <c r="B11" s="227"/>
      <c r="C11" s="166" t="s">
        <v>13</v>
      </c>
    </row>
    <row r="12" spans="1:4" s="162" customFormat="1" ht="33.75" customHeight="1">
      <c r="A12" s="165">
        <v>10</v>
      </c>
      <c r="B12" s="168" t="s">
        <v>14</v>
      </c>
      <c r="C12" s="166" t="s">
        <v>15</v>
      </c>
    </row>
    <row r="13" spans="1:4" ht="33.75" customHeight="1"/>
    <row r="14" spans="1:4" ht="33.75" customHeight="1"/>
    <row r="15" spans="1:4" ht="33.75" customHeight="1">
      <c r="C15" s="169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8" sqref="G8"/>
    </sheetView>
  </sheetViews>
  <sheetFormatPr defaultColWidth="9" defaultRowHeight="16.5"/>
  <cols>
    <col min="1" max="1" width="14" style="180" customWidth="1"/>
    <col min="2" max="2" width="14.125" style="180" customWidth="1"/>
    <col min="3" max="9" width="14.25" style="180" customWidth="1"/>
    <col min="10" max="16" width="14.25" style="180" hidden="1" customWidth="1"/>
    <col min="17" max="18" width="14.25" style="180" customWidth="1"/>
    <col min="19" max="19" width="13.875" style="180" customWidth="1"/>
    <col min="20" max="20" width="9.25" style="180" customWidth="1"/>
    <col min="21" max="21" width="9.125" style="181" customWidth="1"/>
    <col min="22" max="22" width="9.625" style="181" customWidth="1"/>
    <col min="23" max="16384" width="9" style="180"/>
  </cols>
  <sheetData>
    <row r="1" spans="1:22" ht="29.25" customHeight="1">
      <c r="A1" s="254" t="s">
        <v>190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22" ht="24" customHeight="1">
      <c r="A2" s="41" t="s">
        <v>191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22">
      <c r="C3" s="180" t="s">
        <v>192</v>
      </c>
      <c r="D3" s="179" t="s">
        <v>193</v>
      </c>
      <c r="E3" s="183">
        <v>0.05</v>
      </c>
    </row>
    <row r="5" spans="1:22" s="204" customFormat="1" ht="45" customHeight="1">
      <c r="A5" s="256" t="s">
        <v>194</v>
      </c>
      <c r="B5" s="42" t="s">
        <v>143</v>
      </c>
      <c r="C5" s="223" t="s">
        <v>303</v>
      </c>
      <c r="D5" s="223" t="s">
        <v>304</v>
      </c>
      <c r="E5" s="223" t="s">
        <v>305</v>
      </c>
      <c r="F5" s="224" t="s">
        <v>306</v>
      </c>
      <c r="G5" s="210"/>
      <c r="H5" s="21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260" t="s">
        <v>51</v>
      </c>
      <c r="U5" s="205"/>
      <c r="V5" s="205"/>
    </row>
    <row r="6" spans="1:22" ht="31.5" customHeight="1">
      <c r="A6" s="256"/>
      <c r="B6" s="214" t="s">
        <v>144</v>
      </c>
      <c r="C6" s="175" t="s">
        <v>307</v>
      </c>
      <c r="D6" s="175" t="s">
        <v>297</v>
      </c>
      <c r="E6" s="175" t="s">
        <v>298</v>
      </c>
      <c r="F6" s="175" t="s">
        <v>299</v>
      </c>
      <c r="G6" s="216"/>
      <c r="H6" s="211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261"/>
      <c r="U6" s="181">
        <v>100</v>
      </c>
    </row>
    <row r="7" spans="1:22" ht="32.25" customHeight="1">
      <c r="A7" s="256"/>
      <c r="B7" s="215" t="s">
        <v>195</v>
      </c>
      <c r="C7" s="218" t="s">
        <v>300</v>
      </c>
      <c r="D7" s="208" t="s">
        <v>308</v>
      </c>
      <c r="E7" s="208" t="s">
        <v>301</v>
      </c>
      <c r="F7" s="219" t="s">
        <v>302</v>
      </c>
      <c r="G7" s="217"/>
      <c r="H7" s="212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262"/>
      <c r="T7" s="180">
        <v>2026</v>
      </c>
      <c r="U7" s="181">
        <f>U6*(1-$E$3)</f>
        <v>95</v>
      </c>
      <c r="V7" s="181">
        <f>U7/$U$6</f>
        <v>0.95</v>
      </c>
    </row>
    <row r="8" spans="1:22" ht="33">
      <c r="A8" s="256"/>
      <c r="B8" s="15" t="s">
        <v>196</v>
      </c>
      <c r="C8" s="15">
        <v>1930.08</v>
      </c>
      <c r="D8" s="15">
        <v>2394.69</v>
      </c>
      <c r="E8" s="15">
        <v>780.53</v>
      </c>
      <c r="F8" s="220">
        <v>78.099999999999994</v>
      </c>
      <c r="G8" s="213"/>
      <c r="H8" s="213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184">
        <f>SUM(C8:R8)</f>
        <v>5183.4000000000005</v>
      </c>
      <c r="T8" s="180">
        <v>2027</v>
      </c>
      <c r="U8" s="181">
        <f>U7*(1-$E$3)</f>
        <v>90.25</v>
      </c>
      <c r="V8" s="181">
        <f>U8/$U$6</f>
        <v>0.90249999999999997</v>
      </c>
    </row>
    <row r="9" spans="1:22" ht="17.25">
      <c r="A9" s="257" t="s">
        <v>197</v>
      </c>
      <c r="B9" s="185" t="s">
        <v>48</v>
      </c>
      <c r="C9" s="221">
        <v>50</v>
      </c>
      <c r="D9" s="221">
        <v>50</v>
      </c>
      <c r="E9" s="222">
        <v>100</v>
      </c>
      <c r="F9" s="222">
        <v>100</v>
      </c>
      <c r="G9" s="209"/>
      <c r="H9" s="209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184">
        <f>SUM(C9:R9)</f>
        <v>300</v>
      </c>
      <c r="T9" s="180">
        <v>2028</v>
      </c>
      <c r="U9" s="181">
        <f>U8*(1-E3)</f>
        <v>85.737499999999997</v>
      </c>
      <c r="V9" s="181">
        <f>U9/$U$6</f>
        <v>0.857375</v>
      </c>
    </row>
    <row r="10" spans="1:22" ht="17.25">
      <c r="A10" s="258"/>
      <c r="B10" s="185" t="s">
        <v>49</v>
      </c>
      <c r="C10" s="221">
        <v>300</v>
      </c>
      <c r="D10" s="221">
        <v>300</v>
      </c>
      <c r="E10" s="221">
        <v>600</v>
      </c>
      <c r="F10" s="221">
        <v>600</v>
      </c>
      <c r="G10" s="209"/>
      <c r="H10" s="209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184">
        <f t="shared" ref="S10:S15" si="0">SUM(C10:R10)</f>
        <v>1800</v>
      </c>
      <c r="T10" s="180">
        <v>2029</v>
      </c>
      <c r="U10" s="181">
        <f>U9*(1-$E$3)</f>
        <v>81.450624999999988</v>
      </c>
      <c r="V10" s="181">
        <f>U10/$U$6</f>
        <v>0.81450624999999988</v>
      </c>
    </row>
    <row r="11" spans="1:22" ht="17.25">
      <c r="A11" s="258"/>
      <c r="B11" s="185" t="s">
        <v>50</v>
      </c>
      <c r="C11" s="221">
        <v>650</v>
      </c>
      <c r="D11" s="221">
        <v>650</v>
      </c>
      <c r="E11" s="222">
        <v>1300</v>
      </c>
      <c r="F11" s="222">
        <v>1300</v>
      </c>
      <c r="G11" s="209"/>
      <c r="H11" s="209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184">
        <f t="shared" si="0"/>
        <v>3900</v>
      </c>
      <c r="T11" s="180">
        <v>2030</v>
      </c>
      <c r="U11" s="181">
        <f>U10*(1-$E$3)</f>
        <v>77.378093749999991</v>
      </c>
      <c r="V11" s="181">
        <f t="shared" ref="V11:V12" si="1">U11/$U$6</f>
        <v>0.77378093749999988</v>
      </c>
    </row>
    <row r="12" spans="1:22" ht="17.25">
      <c r="A12" s="258"/>
      <c r="B12" s="185" t="s">
        <v>185</v>
      </c>
      <c r="C12" s="221">
        <v>700</v>
      </c>
      <c r="D12" s="221">
        <v>700</v>
      </c>
      <c r="E12" s="222">
        <v>1400</v>
      </c>
      <c r="F12" s="222">
        <v>1400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4">
        <f t="shared" si="0"/>
        <v>4200</v>
      </c>
      <c r="T12" s="180">
        <v>2031</v>
      </c>
      <c r="U12" s="181">
        <f>U11*(1-$E$3)</f>
        <v>73.509189062499985</v>
      </c>
      <c r="V12" s="181">
        <f t="shared" si="1"/>
        <v>0.7350918906249998</v>
      </c>
    </row>
    <row r="13" spans="1:22" ht="17.25">
      <c r="A13" s="258"/>
      <c r="B13" s="185" t="s">
        <v>186</v>
      </c>
      <c r="C13" s="221">
        <v>800</v>
      </c>
      <c r="D13" s="221">
        <v>800</v>
      </c>
      <c r="E13" s="222">
        <v>1600</v>
      </c>
      <c r="F13" s="222">
        <v>1600</v>
      </c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4">
        <f t="shared" si="0"/>
        <v>4800</v>
      </c>
    </row>
    <row r="14" spans="1:22" ht="17.25">
      <c r="A14" s="258"/>
      <c r="B14" s="185" t="s">
        <v>187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4">
        <f t="shared" si="0"/>
        <v>0</v>
      </c>
    </row>
    <row r="15" spans="1:22" ht="17.25">
      <c r="A15" s="259"/>
      <c r="B15" s="185" t="s">
        <v>259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4">
        <f t="shared" si="0"/>
        <v>0</v>
      </c>
    </row>
    <row r="16" spans="1:22" ht="24" customHeight="1">
      <c r="A16" s="255" t="s">
        <v>51</v>
      </c>
      <c r="B16" s="255"/>
      <c r="C16" s="188">
        <f t="shared" ref="C16:S16" si="2">SUM(C9:C15)</f>
        <v>2500</v>
      </c>
      <c r="D16" s="188">
        <f t="shared" si="2"/>
        <v>2500</v>
      </c>
      <c r="E16" s="188">
        <f t="shared" si="2"/>
        <v>5000</v>
      </c>
      <c r="F16" s="188">
        <f t="shared" si="2"/>
        <v>5000</v>
      </c>
      <c r="G16" s="188">
        <f t="shared" ref="G16:R16" si="3">SUM(G9:G15)</f>
        <v>0</v>
      </c>
      <c r="H16" s="188">
        <f t="shared" si="3"/>
        <v>0</v>
      </c>
      <c r="I16" s="188">
        <f t="shared" si="3"/>
        <v>0</v>
      </c>
      <c r="J16" s="188">
        <f t="shared" si="3"/>
        <v>0</v>
      </c>
      <c r="K16" s="188">
        <f t="shared" si="3"/>
        <v>0</v>
      </c>
      <c r="L16" s="188">
        <f t="shared" si="3"/>
        <v>0</v>
      </c>
      <c r="M16" s="188">
        <f t="shared" si="3"/>
        <v>0</v>
      </c>
      <c r="N16" s="188">
        <f t="shared" si="3"/>
        <v>0</v>
      </c>
      <c r="O16" s="188">
        <f t="shared" si="3"/>
        <v>0</v>
      </c>
      <c r="P16" s="188">
        <f t="shared" si="3"/>
        <v>0</v>
      </c>
      <c r="Q16" s="188">
        <f t="shared" si="3"/>
        <v>0</v>
      </c>
      <c r="R16" s="188">
        <f t="shared" si="3"/>
        <v>0</v>
      </c>
      <c r="S16" s="188">
        <f t="shared" si="2"/>
        <v>15000</v>
      </c>
    </row>
    <row r="17" spans="1:19" ht="18">
      <c r="A17" s="189"/>
      <c r="B17" s="189"/>
      <c r="C17" s="43"/>
    </row>
    <row r="18" spans="1:19" ht="24.75" customHeight="1">
      <c r="A18" s="180" t="s">
        <v>309</v>
      </c>
      <c r="B18" s="190" t="s">
        <v>198</v>
      </c>
      <c r="C18" s="191">
        <f>材料成本!D24</f>
        <v>1100</v>
      </c>
      <c r="D18" s="191">
        <f>材料成本!E24</f>
        <v>1420</v>
      </c>
      <c r="E18" s="191">
        <f>材料成本!F24</f>
        <v>444.22</v>
      </c>
      <c r="F18" s="191">
        <f>材料成本!G24</f>
        <v>24.4</v>
      </c>
      <c r="G18" s="191">
        <f>材料成本!H24</f>
        <v>0</v>
      </c>
      <c r="H18" s="191">
        <f>材料成本!I24</f>
        <v>0</v>
      </c>
      <c r="I18" s="191">
        <f>材料成本!J24</f>
        <v>0</v>
      </c>
      <c r="J18" s="191">
        <f>材料成本!K24</f>
        <v>0</v>
      </c>
      <c r="K18" s="191">
        <f>材料成本!L24</f>
        <v>0</v>
      </c>
      <c r="L18" s="191">
        <f>材料成本!M24</f>
        <v>0</v>
      </c>
      <c r="M18" s="191">
        <f>材料成本!N24</f>
        <v>0</v>
      </c>
      <c r="N18" s="191">
        <f>材料成本!O24</f>
        <v>0</v>
      </c>
      <c r="O18" s="191">
        <f>材料成本!P24</f>
        <v>0</v>
      </c>
      <c r="P18" s="191">
        <f>材料成本!Q24</f>
        <v>0</v>
      </c>
      <c r="Q18" s="191">
        <f>材料成本!R24</f>
        <v>0</v>
      </c>
      <c r="R18" s="191">
        <f>材料成本!S24</f>
        <v>0</v>
      </c>
      <c r="S18" s="192">
        <f>SUM(C18:R18)</f>
        <v>2988.6200000000003</v>
      </c>
    </row>
    <row r="19" spans="1:19" ht="24.75" customHeight="1">
      <c r="B19" s="190" t="s">
        <v>98</v>
      </c>
      <c r="C19" s="191">
        <f>C8-C18</f>
        <v>830.07999999999993</v>
      </c>
      <c r="D19" s="191">
        <f>D8-D18</f>
        <v>974.69</v>
      </c>
      <c r="E19" s="191">
        <f>E8-E18</f>
        <v>336.30999999999995</v>
      </c>
      <c r="F19" s="191">
        <f>F8-F18</f>
        <v>53.699999999999996</v>
      </c>
      <c r="G19" s="191">
        <f t="shared" ref="G19:R19" si="4">G8-G18</f>
        <v>0</v>
      </c>
      <c r="H19" s="191">
        <f t="shared" si="4"/>
        <v>0</v>
      </c>
      <c r="I19" s="191">
        <f t="shared" si="4"/>
        <v>0</v>
      </c>
      <c r="J19" s="191">
        <f t="shared" si="4"/>
        <v>0</v>
      </c>
      <c r="K19" s="191">
        <f t="shared" si="4"/>
        <v>0</v>
      </c>
      <c r="L19" s="191">
        <f t="shared" si="4"/>
        <v>0</v>
      </c>
      <c r="M19" s="191">
        <f t="shared" si="4"/>
        <v>0</v>
      </c>
      <c r="N19" s="191">
        <f t="shared" si="4"/>
        <v>0</v>
      </c>
      <c r="O19" s="191">
        <f t="shared" si="4"/>
        <v>0</v>
      </c>
      <c r="P19" s="191">
        <f t="shared" si="4"/>
        <v>0</v>
      </c>
      <c r="Q19" s="191">
        <f t="shared" si="4"/>
        <v>0</v>
      </c>
      <c r="R19" s="191">
        <f t="shared" si="4"/>
        <v>0</v>
      </c>
      <c r="S19" s="192">
        <f>SUM(C19:R19)</f>
        <v>2194.7799999999997</v>
      </c>
    </row>
    <row r="20" spans="1:19" ht="24.75" customHeight="1">
      <c r="B20" s="190" t="s">
        <v>199</v>
      </c>
      <c r="C20" s="193">
        <f t="shared" ref="C20:S20" si="5">C19/C8</f>
        <v>0.43007543728757353</v>
      </c>
      <c r="D20" s="193">
        <f t="shared" si="5"/>
        <v>0.40702136811027734</v>
      </c>
      <c r="E20" s="193">
        <f t="shared" si="5"/>
        <v>0.43087389338013909</v>
      </c>
      <c r="F20" s="193">
        <f t="shared" si="5"/>
        <v>0.68758002560819464</v>
      </c>
      <c r="G20" s="193" t="e">
        <f t="shared" ref="G20:R20" si="6">G19/G8</f>
        <v>#DIV/0!</v>
      </c>
      <c r="H20" s="193" t="e">
        <f t="shared" si="6"/>
        <v>#DIV/0!</v>
      </c>
      <c r="I20" s="193" t="e">
        <f t="shared" si="6"/>
        <v>#DIV/0!</v>
      </c>
      <c r="J20" s="193" t="e">
        <f t="shared" si="6"/>
        <v>#DIV/0!</v>
      </c>
      <c r="K20" s="193" t="e">
        <f t="shared" si="6"/>
        <v>#DIV/0!</v>
      </c>
      <c r="L20" s="193" t="e">
        <f t="shared" si="6"/>
        <v>#DIV/0!</v>
      </c>
      <c r="M20" s="193" t="e">
        <f t="shared" si="6"/>
        <v>#DIV/0!</v>
      </c>
      <c r="N20" s="193" t="e">
        <f t="shared" si="6"/>
        <v>#DIV/0!</v>
      </c>
      <c r="O20" s="193" t="e">
        <f t="shared" si="6"/>
        <v>#DIV/0!</v>
      </c>
      <c r="P20" s="193" t="e">
        <f t="shared" si="6"/>
        <v>#DIV/0!</v>
      </c>
      <c r="Q20" s="193" t="e">
        <f t="shared" si="6"/>
        <v>#DIV/0!</v>
      </c>
      <c r="R20" s="193" t="e">
        <f t="shared" si="6"/>
        <v>#DIV/0!</v>
      </c>
      <c r="S20" s="193">
        <f t="shared" si="5"/>
        <v>0.42342477910251947</v>
      </c>
    </row>
    <row r="22" spans="1:19" ht="26.25" customHeight="1">
      <c r="A22" s="180" t="s">
        <v>310</v>
      </c>
      <c r="B22" s="190" t="s">
        <v>198</v>
      </c>
      <c r="C22" s="225">
        <f>C18+133.5</f>
        <v>1233.5</v>
      </c>
      <c r="D22" s="225">
        <f t="shared" ref="D22:E22" si="7">D18+133.5</f>
        <v>1553.5</v>
      </c>
      <c r="E22" s="225">
        <f t="shared" si="7"/>
        <v>577.72</v>
      </c>
      <c r="F22" s="191">
        <f>F18</f>
        <v>24.4</v>
      </c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2">
        <f>SUM(C22:R22)</f>
        <v>3389.1200000000003</v>
      </c>
    </row>
    <row r="23" spans="1:19" ht="26.25" customHeight="1">
      <c r="B23" s="190" t="s">
        <v>98</v>
      </c>
      <c r="C23" s="191">
        <f>C8-C22</f>
        <v>696.57999999999993</v>
      </c>
      <c r="D23" s="191">
        <f t="shared" ref="D23:F23" si="8">D8-D22</f>
        <v>841.19</v>
      </c>
      <c r="E23" s="191">
        <f t="shared" si="8"/>
        <v>202.80999999999995</v>
      </c>
      <c r="F23" s="191">
        <f t="shared" si="8"/>
        <v>53.699999999999996</v>
      </c>
      <c r="G23" s="191">
        <f t="shared" ref="G23" si="9">G8-G22</f>
        <v>0</v>
      </c>
      <c r="H23" s="191">
        <f t="shared" ref="H23" si="10">H8-H22</f>
        <v>0</v>
      </c>
      <c r="I23" s="191">
        <f t="shared" ref="I23" si="11">I8-I22</f>
        <v>0</v>
      </c>
      <c r="J23" s="191">
        <f t="shared" ref="J23" si="12">J8-J22</f>
        <v>0</v>
      </c>
      <c r="K23" s="191">
        <f t="shared" ref="K23" si="13">K8-K22</f>
        <v>0</v>
      </c>
      <c r="L23" s="191">
        <f t="shared" ref="L23" si="14">L8-L22</f>
        <v>0</v>
      </c>
      <c r="M23" s="191">
        <f t="shared" ref="M23" si="15">M8-M22</f>
        <v>0</v>
      </c>
      <c r="N23" s="191">
        <f t="shared" ref="N23" si="16">N8-N22</f>
        <v>0</v>
      </c>
      <c r="O23" s="191">
        <f t="shared" ref="O23" si="17">O8-O22</f>
        <v>0</v>
      </c>
      <c r="P23" s="191">
        <f t="shared" ref="P23" si="18">P8-P22</f>
        <v>0</v>
      </c>
      <c r="Q23" s="191">
        <f t="shared" ref="Q23" si="19">Q8-Q22</f>
        <v>0</v>
      </c>
      <c r="R23" s="191">
        <f t="shared" ref="R23" si="20">R8-R22</f>
        <v>0</v>
      </c>
      <c r="S23" s="192">
        <f>SUM(C23:R23)</f>
        <v>1794.28</v>
      </c>
    </row>
    <row r="24" spans="1:19" ht="26.25" customHeight="1">
      <c r="B24" s="190" t="s">
        <v>199</v>
      </c>
      <c r="C24" s="193">
        <f>C23/C8</f>
        <v>0.36090731990383818</v>
      </c>
      <c r="D24" s="193">
        <f t="shared" ref="D24:F24" si="21">D23/D8</f>
        <v>0.35127302490092666</v>
      </c>
      <c r="E24" s="193">
        <f t="shared" si="21"/>
        <v>0.25983626510191787</v>
      </c>
      <c r="F24" s="193">
        <f t="shared" si="21"/>
        <v>0.68758002560819464</v>
      </c>
      <c r="G24" s="193" t="e">
        <f t="shared" ref="G24" si="22">G23/G8</f>
        <v>#DIV/0!</v>
      </c>
      <c r="H24" s="193" t="e">
        <f t="shared" ref="H24" si="23">H23/H8</f>
        <v>#DIV/0!</v>
      </c>
      <c r="I24" s="193" t="e">
        <f t="shared" ref="I24" si="24">I23/I8</f>
        <v>#DIV/0!</v>
      </c>
      <c r="J24" s="193" t="e">
        <f t="shared" ref="J24" si="25">J23/J8</f>
        <v>#DIV/0!</v>
      </c>
      <c r="K24" s="193" t="e">
        <f t="shared" ref="K24" si="26">K23/K8</f>
        <v>#DIV/0!</v>
      </c>
      <c r="L24" s="193" t="e">
        <f t="shared" ref="L24" si="27">L23/L8</f>
        <v>#DIV/0!</v>
      </c>
      <c r="M24" s="193" t="e">
        <f t="shared" ref="M24" si="28">M23/M8</f>
        <v>#DIV/0!</v>
      </c>
      <c r="N24" s="193" t="e">
        <f t="shared" ref="N24" si="29">N23/N8</f>
        <v>#DIV/0!</v>
      </c>
      <c r="O24" s="193" t="e">
        <f t="shared" ref="O24" si="30">O23/O8</f>
        <v>#DIV/0!</v>
      </c>
      <c r="P24" s="193" t="e">
        <f t="shared" ref="P24" si="31">P23/P8</f>
        <v>#DIV/0!</v>
      </c>
      <c r="Q24" s="193" t="e">
        <f t="shared" ref="Q24" si="32">Q23/Q8</f>
        <v>#DIV/0!</v>
      </c>
      <c r="R24" s="193" t="e">
        <f t="shared" ref="R24" si="33">R23/R8</f>
        <v>#DIV/0!</v>
      </c>
      <c r="S24" s="193">
        <f>S23/S8</f>
        <v>0.34615889184705018</v>
      </c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workbookViewId="0">
      <pane xSplit="3" ySplit="5" topLeftCell="D15" activePane="bottomRight" state="frozen"/>
      <selection pane="topRight"/>
      <selection pane="bottomLeft"/>
      <selection pane="bottomRight" activeCell="G31" sqref="G31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69" t="s">
        <v>7</v>
      </c>
      <c r="B1" s="269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8"/>
    </row>
    <row r="2" spans="1:23" ht="29.25" customHeight="1">
      <c r="A2" s="280" t="s">
        <v>200</v>
      </c>
      <c r="B2" s="280"/>
      <c r="C2" s="280"/>
      <c r="D2" s="280"/>
      <c r="E2" s="280"/>
      <c r="F2" s="277" t="s">
        <v>277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9"/>
    </row>
    <row r="3" spans="1:23" ht="22.5" customHeight="1">
      <c r="A3" s="268" t="s">
        <v>18</v>
      </c>
      <c r="B3" s="268" t="s">
        <v>201</v>
      </c>
      <c r="C3" s="30" t="s">
        <v>202</v>
      </c>
      <c r="D3" s="270" t="s">
        <v>296</v>
      </c>
      <c r="E3" s="270"/>
      <c r="F3" s="29" t="s">
        <v>203</v>
      </c>
      <c r="G3" s="271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3"/>
      <c r="T3" s="274" t="s">
        <v>153</v>
      </c>
    </row>
    <row r="4" spans="1:23" ht="28.5">
      <c r="A4" s="268"/>
      <c r="B4" s="268"/>
      <c r="C4" s="30" t="s">
        <v>143</v>
      </c>
      <c r="D4" s="31" t="str">
        <f>销量!C5</f>
        <v>驾驶员座椅总成</v>
      </c>
      <c r="E4" s="31" t="str">
        <f>销量!D5</f>
        <v>驾驶员座椅总成</v>
      </c>
      <c r="F4" s="31" t="str">
        <f>销量!E5</f>
        <v>副驾驶员座椅总成</v>
      </c>
      <c r="G4" s="31" t="str">
        <f>销量!F5</f>
        <v>座椅安装支架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75"/>
    </row>
    <row r="5" spans="1:23" ht="71.25">
      <c r="A5" s="268"/>
      <c r="B5" s="268"/>
      <c r="C5" s="30" t="s">
        <v>144</v>
      </c>
      <c r="D5" s="31" t="str">
        <f>销量!C6</f>
        <v>A6681000000167
（基础件A668100000026）</v>
      </c>
      <c r="E5" s="31" t="str">
        <f>销量!D6</f>
        <v>A6681000000168
（基础件A668100000023）</v>
      </c>
      <c r="F5" s="31" t="str">
        <f>销量!E6</f>
        <v>A6681000000169
（基础件A668100000025）</v>
      </c>
      <c r="G5" s="31" t="str">
        <f>销量!F6</f>
        <v>A6681000000166
（基础件A668100000022）</v>
      </c>
      <c r="H5" s="31">
        <f>销量!G6</f>
        <v>0</v>
      </c>
      <c r="I5" s="31">
        <f>销量!H6</f>
        <v>0</v>
      </c>
      <c r="J5" s="31">
        <f>销量!I6</f>
        <v>0</v>
      </c>
      <c r="K5" s="31">
        <f>销量!J6</f>
        <v>0</v>
      </c>
      <c r="L5" s="31">
        <f>销量!K6</f>
        <v>0</v>
      </c>
      <c r="M5" s="31">
        <f>销量!L6</f>
        <v>0</v>
      </c>
      <c r="N5" s="31">
        <f>销量!M6</f>
        <v>0</v>
      </c>
      <c r="O5" s="31">
        <f>销量!N6</f>
        <v>0</v>
      </c>
      <c r="P5" s="31">
        <f>销量!O6</f>
        <v>0</v>
      </c>
      <c r="Q5" s="31">
        <f>销量!P6</f>
        <v>0</v>
      </c>
      <c r="R5" s="31">
        <f>销量!Q6</f>
        <v>0</v>
      </c>
      <c r="S5" s="31">
        <f>销量!R6</f>
        <v>0</v>
      </c>
      <c r="T5" s="276"/>
    </row>
    <row r="6" spans="1:23">
      <c r="A6" s="33">
        <v>1</v>
      </c>
      <c r="B6" s="263" t="s">
        <v>204</v>
      </c>
      <c r="C6" s="264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9"/>
    </row>
    <row r="7" spans="1:23">
      <c r="A7" s="33">
        <v>2</v>
      </c>
      <c r="B7" s="263" t="s">
        <v>205</v>
      </c>
      <c r="C7" s="264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9"/>
    </row>
    <row r="8" spans="1:23">
      <c r="A8" s="33">
        <v>3</v>
      </c>
      <c r="B8" s="263" t="s">
        <v>206</v>
      </c>
      <c r="C8" s="26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9"/>
    </row>
    <row r="9" spans="1:23">
      <c r="A9" s="33">
        <v>4</v>
      </c>
      <c r="B9" s="263" t="s">
        <v>207</v>
      </c>
      <c r="C9" s="264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9"/>
    </row>
    <row r="10" spans="1:23">
      <c r="A10" s="33">
        <v>5</v>
      </c>
      <c r="B10" s="263" t="s">
        <v>208</v>
      </c>
      <c r="C10" s="264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9"/>
    </row>
    <row r="11" spans="1:23">
      <c r="A11" s="33">
        <v>6</v>
      </c>
      <c r="B11" s="263" t="s">
        <v>209</v>
      </c>
      <c r="C11" s="264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9"/>
    </row>
    <row r="12" spans="1:23">
      <c r="A12" s="33">
        <v>7</v>
      </c>
      <c r="B12" s="263" t="s">
        <v>210</v>
      </c>
      <c r="C12" s="264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9"/>
    </row>
    <row r="13" spans="1:23">
      <c r="A13" s="33">
        <v>8</v>
      </c>
      <c r="B13" s="263" t="s">
        <v>211</v>
      </c>
      <c r="C13" s="264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9"/>
    </row>
    <row r="14" spans="1:23">
      <c r="A14" s="33">
        <v>9</v>
      </c>
      <c r="B14" s="263" t="s">
        <v>212</v>
      </c>
      <c r="C14" s="264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9"/>
    </row>
    <row r="15" spans="1:23">
      <c r="A15" s="33">
        <v>10</v>
      </c>
      <c r="B15" s="263" t="s">
        <v>213</v>
      </c>
      <c r="C15" s="264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9"/>
    </row>
    <row r="16" spans="1:23">
      <c r="A16" s="33">
        <v>11</v>
      </c>
      <c r="B16" s="263" t="s">
        <v>214</v>
      </c>
      <c r="C16" s="264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9"/>
    </row>
    <row r="17" spans="1:20">
      <c r="A17" s="33">
        <v>12</v>
      </c>
      <c r="B17" s="263" t="s">
        <v>215</v>
      </c>
      <c r="C17" s="264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9"/>
    </row>
    <row r="18" spans="1:20">
      <c r="A18" s="33">
        <v>13</v>
      </c>
      <c r="B18" s="263" t="s">
        <v>216</v>
      </c>
      <c r="C18" s="264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9"/>
    </row>
    <row r="19" spans="1:20">
      <c r="A19" s="33">
        <v>14</v>
      </c>
      <c r="B19" s="263" t="s">
        <v>217</v>
      </c>
      <c r="C19" s="264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9"/>
    </row>
    <row r="20" spans="1:20">
      <c r="A20" s="33">
        <v>15</v>
      </c>
      <c r="B20" s="263" t="s">
        <v>218</v>
      </c>
      <c r="C20" s="264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9"/>
    </row>
    <row r="21" spans="1:20">
      <c r="A21" s="33">
        <v>16</v>
      </c>
      <c r="B21" s="263" t="s">
        <v>219</v>
      </c>
      <c r="C21" s="264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9"/>
    </row>
    <row r="22" spans="1:20">
      <c r="A22" s="33">
        <v>17</v>
      </c>
      <c r="B22" s="263" t="s">
        <v>36</v>
      </c>
      <c r="C22" s="264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9"/>
    </row>
    <row r="23" spans="1:20">
      <c r="A23" s="33">
        <v>18</v>
      </c>
      <c r="B23" s="263" t="s">
        <v>220</v>
      </c>
      <c r="C23" s="264"/>
      <c r="D23" s="35">
        <v>1100</v>
      </c>
      <c r="E23" s="35">
        <f>D23+320</f>
        <v>1420</v>
      </c>
      <c r="F23" s="35">
        <v>444.22</v>
      </c>
      <c r="G23" s="35">
        <v>24.4</v>
      </c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7"/>
      <c r="T23" s="40"/>
    </row>
    <row r="24" spans="1:20" ht="31.5" customHeight="1">
      <c r="A24" s="265" t="s">
        <v>221</v>
      </c>
      <c r="B24" s="266"/>
      <c r="C24" s="267"/>
      <c r="D24" s="36">
        <f>SUM(D6:D23)</f>
        <v>1100</v>
      </c>
      <c r="E24" s="36">
        <f t="shared" ref="E24:S24" si="0">SUM(E6:E23)</f>
        <v>1420</v>
      </c>
      <c r="F24" s="36">
        <f t="shared" si="0"/>
        <v>444.22</v>
      </c>
      <c r="G24" s="36">
        <f t="shared" si="0"/>
        <v>24.4</v>
      </c>
      <c r="H24" s="36">
        <f t="shared" si="0"/>
        <v>0</v>
      </c>
      <c r="I24" s="36">
        <f t="shared" si="0"/>
        <v>0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6">
        <f t="shared" si="0"/>
        <v>0</v>
      </c>
      <c r="S24" s="36">
        <f t="shared" si="0"/>
        <v>0</v>
      </c>
      <c r="T24" s="40"/>
    </row>
    <row r="25" spans="1:20" ht="20.25" customHeight="1">
      <c r="C25" s="24" t="s">
        <v>49</v>
      </c>
      <c r="D25" s="37">
        <f>D24*0.95</f>
        <v>1045</v>
      </c>
      <c r="E25" s="37">
        <f t="shared" ref="E25:S25" si="1">E24*0.95</f>
        <v>1349</v>
      </c>
      <c r="F25" s="37">
        <f t="shared" si="1"/>
        <v>422.00900000000001</v>
      </c>
      <c r="G25" s="37">
        <f t="shared" si="1"/>
        <v>23.179999999999996</v>
      </c>
      <c r="H25" s="37">
        <f t="shared" si="1"/>
        <v>0</v>
      </c>
      <c r="I25" s="37">
        <f t="shared" si="1"/>
        <v>0</v>
      </c>
      <c r="J25" s="37">
        <f t="shared" si="1"/>
        <v>0</v>
      </c>
      <c r="K25" s="37">
        <f t="shared" si="1"/>
        <v>0</v>
      </c>
      <c r="L25" s="37">
        <f t="shared" si="1"/>
        <v>0</v>
      </c>
      <c r="M25" s="37">
        <f t="shared" si="1"/>
        <v>0</v>
      </c>
      <c r="N25" s="37">
        <f t="shared" si="1"/>
        <v>0</v>
      </c>
      <c r="O25" s="37">
        <f t="shared" si="1"/>
        <v>0</v>
      </c>
      <c r="P25" s="37">
        <f t="shared" si="1"/>
        <v>0</v>
      </c>
      <c r="Q25" s="37">
        <f t="shared" si="1"/>
        <v>0</v>
      </c>
      <c r="R25" s="37">
        <f t="shared" si="1"/>
        <v>0</v>
      </c>
      <c r="S25" s="37">
        <f t="shared" si="1"/>
        <v>0</v>
      </c>
    </row>
    <row r="26" spans="1:20" ht="20.25" customHeight="1">
      <c r="C26" s="24" t="s">
        <v>50</v>
      </c>
      <c r="D26" s="37">
        <f t="shared" ref="D26:S28" si="2">D25*0.95</f>
        <v>992.75</v>
      </c>
      <c r="E26" s="37">
        <f t="shared" si="2"/>
        <v>1281.55</v>
      </c>
      <c r="F26" s="37">
        <f t="shared" si="2"/>
        <v>400.90854999999999</v>
      </c>
      <c r="G26" s="37">
        <f t="shared" si="2"/>
        <v>22.020999999999994</v>
      </c>
      <c r="H26" s="37">
        <f t="shared" si="2"/>
        <v>0</v>
      </c>
      <c r="I26" s="37">
        <f t="shared" si="2"/>
        <v>0</v>
      </c>
      <c r="J26" s="37">
        <f t="shared" si="2"/>
        <v>0</v>
      </c>
      <c r="K26" s="37">
        <f t="shared" si="2"/>
        <v>0</v>
      </c>
      <c r="L26" s="37">
        <f t="shared" si="2"/>
        <v>0</v>
      </c>
      <c r="M26" s="37">
        <f t="shared" si="2"/>
        <v>0</v>
      </c>
      <c r="N26" s="37">
        <f t="shared" si="2"/>
        <v>0</v>
      </c>
      <c r="O26" s="37">
        <f t="shared" si="2"/>
        <v>0</v>
      </c>
      <c r="P26" s="37">
        <f t="shared" si="2"/>
        <v>0</v>
      </c>
      <c r="Q26" s="37">
        <f t="shared" si="2"/>
        <v>0</v>
      </c>
      <c r="R26" s="37">
        <f t="shared" si="2"/>
        <v>0</v>
      </c>
      <c r="S26" s="37">
        <f t="shared" si="2"/>
        <v>0</v>
      </c>
    </row>
    <row r="27" spans="1:20" ht="20.25" customHeight="1">
      <c r="C27" s="24" t="s">
        <v>185</v>
      </c>
      <c r="D27" s="37">
        <f t="shared" ref="D27:I27" si="3">D26*0.95</f>
        <v>943.11249999999995</v>
      </c>
      <c r="E27" s="37">
        <f t="shared" si="3"/>
        <v>1217.4724999999999</v>
      </c>
      <c r="F27" s="37">
        <f t="shared" si="3"/>
        <v>380.86312249999997</v>
      </c>
      <c r="G27" s="37">
        <f t="shared" si="3"/>
        <v>20.919949999999993</v>
      </c>
      <c r="H27" s="37">
        <f t="shared" si="3"/>
        <v>0</v>
      </c>
      <c r="I27" s="37">
        <f t="shared" si="3"/>
        <v>0</v>
      </c>
      <c r="J27" s="37">
        <f t="shared" si="2"/>
        <v>0</v>
      </c>
      <c r="K27" s="37">
        <f t="shared" si="2"/>
        <v>0</v>
      </c>
      <c r="L27" s="37">
        <f t="shared" si="2"/>
        <v>0</v>
      </c>
      <c r="M27" s="37">
        <f t="shared" si="2"/>
        <v>0</v>
      </c>
      <c r="N27" s="37">
        <f t="shared" si="2"/>
        <v>0</v>
      </c>
      <c r="O27" s="37">
        <f t="shared" si="2"/>
        <v>0</v>
      </c>
      <c r="P27" s="37">
        <f t="shared" si="2"/>
        <v>0</v>
      </c>
      <c r="Q27" s="37">
        <f t="shared" si="2"/>
        <v>0</v>
      </c>
      <c r="R27" s="37">
        <f t="shared" si="2"/>
        <v>0</v>
      </c>
      <c r="S27" s="37">
        <f t="shared" si="2"/>
        <v>0</v>
      </c>
    </row>
    <row r="28" spans="1:20" ht="20.25" customHeight="1">
      <c r="C28" s="24" t="s">
        <v>186</v>
      </c>
      <c r="D28" s="37">
        <f t="shared" ref="D28:I28" si="4">D27*0.95</f>
        <v>895.95687499999997</v>
      </c>
      <c r="E28" s="37">
        <f t="shared" si="4"/>
        <v>1156.5988749999999</v>
      </c>
      <c r="F28" s="37">
        <f t="shared" si="4"/>
        <v>361.81996637499998</v>
      </c>
      <c r="G28" s="37">
        <f t="shared" si="4"/>
        <v>19.873952499999991</v>
      </c>
      <c r="H28" s="37">
        <f t="shared" si="4"/>
        <v>0</v>
      </c>
      <c r="I28" s="37">
        <f t="shared" si="4"/>
        <v>0</v>
      </c>
      <c r="J28" s="37">
        <f t="shared" si="2"/>
        <v>0</v>
      </c>
      <c r="K28" s="37">
        <f t="shared" si="2"/>
        <v>0</v>
      </c>
      <c r="L28" s="37">
        <f t="shared" si="2"/>
        <v>0</v>
      </c>
      <c r="M28" s="37">
        <f t="shared" si="2"/>
        <v>0</v>
      </c>
      <c r="N28" s="37">
        <f t="shared" si="2"/>
        <v>0</v>
      </c>
      <c r="O28" s="37">
        <f t="shared" si="2"/>
        <v>0</v>
      </c>
      <c r="P28" s="37">
        <f t="shared" si="2"/>
        <v>0</v>
      </c>
      <c r="Q28" s="37">
        <f t="shared" si="2"/>
        <v>0</v>
      </c>
      <c r="R28" s="37">
        <f t="shared" si="2"/>
        <v>0</v>
      </c>
      <c r="S28" s="37">
        <f t="shared" si="2"/>
        <v>0</v>
      </c>
    </row>
    <row r="29" spans="1:20" ht="20.25" customHeight="1">
      <c r="C29" s="24" t="s">
        <v>187</v>
      </c>
    </row>
    <row r="31" spans="1:20">
      <c r="D31" s="35">
        <v>1235.4347530025648</v>
      </c>
      <c r="E31" s="35">
        <v>1555.2248158505649</v>
      </c>
    </row>
  </sheetData>
  <mergeCells count="27">
    <mergeCell ref="A1:B1"/>
    <mergeCell ref="D3:E3"/>
    <mergeCell ref="G3:S3"/>
    <mergeCell ref="T3:T5"/>
    <mergeCell ref="F2:T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3" sqref="C3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286</v>
      </c>
      <c r="D2" s="173"/>
    </row>
    <row r="3" spans="1:4" ht="24" customHeight="1">
      <c r="A3" s="17">
        <v>2</v>
      </c>
      <c r="B3" s="18" t="s">
        <v>226</v>
      </c>
      <c r="C3" s="20" t="s">
        <v>287</v>
      </c>
      <c r="D3" s="173" t="s">
        <v>227</v>
      </c>
    </row>
    <row r="4" spans="1:4" ht="19.5" customHeight="1">
      <c r="A4" s="17">
        <v>3</v>
      </c>
      <c r="B4" s="18" t="s">
        <v>228</v>
      </c>
      <c r="C4" s="19" t="s">
        <v>288</v>
      </c>
      <c r="D4" s="173"/>
    </row>
    <row r="5" spans="1:4" ht="21" customHeight="1">
      <c r="A5" s="17">
        <v>4</v>
      </c>
      <c r="B5" s="18" t="s">
        <v>229</v>
      </c>
      <c r="C5" s="19" t="s">
        <v>289</v>
      </c>
      <c r="D5" s="173"/>
    </row>
    <row r="6" spans="1:4" ht="21" customHeight="1">
      <c r="A6" s="17">
        <v>5</v>
      </c>
      <c r="B6" s="18" t="s">
        <v>230</v>
      </c>
      <c r="C6" s="19" t="s">
        <v>290</v>
      </c>
      <c r="D6" s="173"/>
    </row>
    <row r="7" spans="1:4" ht="27.75" customHeight="1">
      <c r="A7" s="17">
        <v>6</v>
      </c>
      <c r="B7" s="173" t="s">
        <v>231</v>
      </c>
      <c r="C7" s="20" t="s">
        <v>291</v>
      </c>
      <c r="D7" s="173"/>
    </row>
    <row r="8" spans="1:4" ht="25.5" customHeight="1">
      <c r="A8" s="17">
        <v>7</v>
      </c>
      <c r="B8" s="18" t="s">
        <v>232</v>
      </c>
      <c r="C8" s="21" t="s">
        <v>292</v>
      </c>
      <c r="D8" s="173"/>
    </row>
    <row r="9" spans="1:4" ht="25.5" customHeight="1">
      <c r="A9" s="17">
        <v>8</v>
      </c>
      <c r="B9" s="173" t="s">
        <v>233</v>
      </c>
      <c r="C9" s="21"/>
      <c r="D9" s="173"/>
    </row>
    <row r="10" spans="1:4" ht="25.5" customHeight="1">
      <c r="A10" s="17">
        <v>9</v>
      </c>
      <c r="B10" s="173" t="s">
        <v>234</v>
      </c>
      <c r="C10" s="21"/>
      <c r="D10" s="173"/>
    </row>
    <row r="11" spans="1:4" ht="25.5" customHeight="1">
      <c r="A11" s="17">
        <v>10</v>
      </c>
      <c r="B11" s="173" t="s">
        <v>235</v>
      </c>
      <c r="C11" s="21"/>
      <c r="D11" s="173" t="s">
        <v>236</v>
      </c>
    </row>
    <row r="12" spans="1:4" ht="25.5" customHeight="1">
      <c r="A12" s="17">
        <v>11</v>
      </c>
      <c r="B12" s="173" t="s">
        <v>237</v>
      </c>
      <c r="C12" s="21"/>
      <c r="D12" s="173"/>
    </row>
    <row r="13" spans="1:4" ht="24" customHeight="1">
      <c r="A13" s="17">
        <v>12</v>
      </c>
      <c r="B13" s="18" t="s">
        <v>238</v>
      </c>
      <c r="C13" s="21">
        <v>5000</v>
      </c>
      <c r="D13" s="173"/>
    </row>
    <row r="14" spans="1:4" ht="24" customHeight="1">
      <c r="A14" s="17">
        <v>13</v>
      </c>
      <c r="B14" s="18" t="s">
        <v>239</v>
      </c>
      <c r="C14" s="21" t="s">
        <v>293</v>
      </c>
      <c r="D14" s="173"/>
    </row>
    <row r="15" spans="1:4" ht="24" customHeight="1">
      <c r="A15" s="17">
        <v>14</v>
      </c>
      <c r="B15" s="18" t="s">
        <v>240</v>
      </c>
      <c r="C15" s="21" t="s">
        <v>294</v>
      </c>
      <c r="D15" s="173"/>
    </row>
    <row r="16" spans="1:4" ht="24" customHeight="1">
      <c r="A16" s="17">
        <v>15</v>
      </c>
      <c r="B16" s="173" t="s">
        <v>36</v>
      </c>
      <c r="C16" s="173"/>
      <c r="D16" s="173"/>
    </row>
    <row r="17" spans="2:2" ht="16.5">
      <c r="B17" s="22" t="s">
        <v>241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H11" activeCellId="3" sqref="H5 H8 H9 H11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87" t="s">
        <v>242</v>
      </c>
      <c r="H1" s="287"/>
      <c r="I1" s="15" t="str">
        <f>销量!C6</f>
        <v>A6681000000167
（基础件A668100000026）</v>
      </c>
    </row>
    <row r="2" spans="1:15" ht="39" customHeight="1">
      <c r="A2" s="286" t="s">
        <v>243</v>
      </c>
      <c r="B2" s="286"/>
      <c r="C2" s="281" t="s">
        <v>278</v>
      </c>
      <c r="D2" s="288"/>
      <c r="E2" s="288"/>
      <c r="F2" s="288"/>
      <c r="G2" s="288"/>
      <c r="H2" s="282"/>
      <c r="I2" s="3" t="s">
        <v>244</v>
      </c>
    </row>
    <row r="3" spans="1:15" ht="34.5" customHeight="1">
      <c r="A3" s="286"/>
      <c r="B3" s="286"/>
      <c r="C3" s="4" t="s">
        <v>245</v>
      </c>
      <c r="D3" s="4" t="s">
        <v>246</v>
      </c>
      <c r="E3" s="4" t="s">
        <v>247</v>
      </c>
      <c r="F3" s="5" t="s">
        <v>248</v>
      </c>
      <c r="G3" s="5" t="s">
        <v>249</v>
      </c>
      <c r="H3" s="170" t="s">
        <v>258</v>
      </c>
      <c r="I3" s="14">
        <f>销量!C8</f>
        <v>1930.08</v>
      </c>
      <c r="J3" s="170" t="s">
        <v>282</v>
      </c>
      <c r="K3" s="170" t="s">
        <v>275</v>
      </c>
      <c r="L3" s="170" t="s">
        <v>281</v>
      </c>
      <c r="M3" s="196" t="s">
        <v>279</v>
      </c>
    </row>
    <row r="4" spans="1:15" ht="24" customHeight="1">
      <c r="A4" s="283" t="s">
        <v>251</v>
      </c>
      <c r="B4" s="283"/>
      <c r="C4" s="7"/>
      <c r="D4" s="8"/>
      <c r="E4" s="9">
        <f>$I$3*H4</f>
        <v>133.947552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7">
        <v>6.9400000000000003E-2</v>
      </c>
    </row>
    <row r="5" spans="1:15" ht="24" customHeight="1">
      <c r="A5" s="283" t="s">
        <v>252</v>
      </c>
      <c r="B5" s="6" t="s">
        <v>253</v>
      </c>
      <c r="C5" s="7"/>
      <c r="D5" s="8"/>
      <c r="E5" s="9">
        <f>$I$3*H5</f>
        <v>159.23160000000001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7">
        <v>8.2500000000000004E-2</v>
      </c>
    </row>
    <row r="6" spans="1:15" ht="24" customHeight="1">
      <c r="A6" s="283"/>
      <c r="B6" s="6" t="s">
        <v>254</v>
      </c>
      <c r="C6" s="7"/>
      <c r="D6" s="8"/>
      <c r="E6" s="9">
        <f t="shared" ref="E6:E11" si="0">$I$3*H6</f>
        <v>83.765472000000003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7">
        <v>4.3400000000000001E-2</v>
      </c>
    </row>
    <row r="7" spans="1:15" ht="24" customHeight="1">
      <c r="A7" s="281" t="s">
        <v>255</v>
      </c>
      <c r="B7" s="282"/>
      <c r="C7" s="11"/>
      <c r="D7" s="12"/>
      <c r="E7" s="9">
        <f t="shared" si="0"/>
        <v>376.94462399999998</v>
      </c>
      <c r="F7" s="9"/>
      <c r="G7" s="9"/>
      <c r="H7" s="198">
        <f>SUM(H4:H6)</f>
        <v>0.1953</v>
      </c>
      <c r="J7" s="198">
        <f t="shared" ref="J7:K7" si="1">SUM(J4:J6)</f>
        <v>0.06</v>
      </c>
      <c r="K7" s="198">
        <f t="shared" si="1"/>
        <v>0.1027</v>
      </c>
      <c r="L7" s="198">
        <f>SUM(L4:L6)</f>
        <v>0.1953</v>
      </c>
      <c r="M7" s="197"/>
    </row>
    <row r="8" spans="1:15" ht="24" customHeight="1">
      <c r="A8" s="283" t="s">
        <v>81</v>
      </c>
      <c r="B8" s="283"/>
      <c r="C8" s="7"/>
      <c r="D8" s="8"/>
      <c r="E8" s="9">
        <f t="shared" si="0"/>
        <v>50.954111999999995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7">
        <v>2.64E-2</v>
      </c>
      <c r="N8" s="178" t="s">
        <v>280</v>
      </c>
    </row>
    <row r="9" spans="1:15" ht="24" customHeight="1">
      <c r="A9" s="284" t="s">
        <v>256</v>
      </c>
      <c r="B9" s="6" t="s">
        <v>253</v>
      </c>
      <c r="C9" s="7"/>
      <c r="D9" s="8"/>
      <c r="E9" s="9">
        <f t="shared" si="0"/>
        <v>33.197375999999998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199">
        <v>1.72E-2</v>
      </c>
      <c r="N9" s="200">
        <v>2.1100000000000001E-2</v>
      </c>
      <c r="O9" s="200">
        <v>0.10340000000000001</v>
      </c>
    </row>
    <row r="10" spans="1:15" ht="24" customHeight="1">
      <c r="A10" s="285"/>
      <c r="B10" s="6" t="s">
        <v>254</v>
      </c>
      <c r="C10" s="7"/>
      <c r="D10" s="8"/>
      <c r="E10" s="9">
        <f t="shared" si="0"/>
        <v>125.64820800000001</v>
      </c>
      <c r="F10" s="9"/>
      <c r="G10" s="9"/>
      <c r="H10" s="13">
        <v>6.5100000000000005E-2</v>
      </c>
      <c r="J10" s="10">
        <v>1.6E-2</v>
      </c>
      <c r="K10" s="13">
        <v>4.1200000000000001E-2</v>
      </c>
      <c r="L10" s="13">
        <v>6.5100000000000005E-2</v>
      </c>
      <c r="M10" s="199">
        <v>6.5100000000000005E-2</v>
      </c>
      <c r="N10" s="201"/>
      <c r="O10" s="201"/>
    </row>
    <row r="11" spans="1:15" ht="24" customHeight="1">
      <c r="A11" s="283" t="s">
        <v>84</v>
      </c>
      <c r="B11" s="283"/>
      <c r="C11" s="7"/>
      <c r="D11" s="8"/>
      <c r="E11" s="9">
        <f t="shared" si="0"/>
        <v>68.517839999999993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7">
        <v>3.0099999999999998E-2</v>
      </c>
    </row>
    <row r="13" spans="1:15" s="1" customFormat="1" ht="18.75" customHeight="1">
      <c r="G13" s="287" t="s">
        <v>242</v>
      </c>
      <c r="H13" s="287"/>
      <c r="I13" s="15" t="str">
        <f>销量!D6</f>
        <v>A6681000000168
（基础件A668100000023）</v>
      </c>
    </row>
    <row r="14" spans="1:15" ht="39" customHeight="1">
      <c r="A14" s="286" t="s">
        <v>243</v>
      </c>
      <c r="B14" s="286"/>
      <c r="C14" s="281" t="str">
        <f>C2</f>
        <v>河北工厂平均值</v>
      </c>
      <c r="D14" s="288"/>
      <c r="E14" s="288"/>
      <c r="F14" s="288"/>
      <c r="G14" s="288"/>
      <c r="H14" s="282"/>
      <c r="I14" s="3" t="s">
        <v>244</v>
      </c>
    </row>
    <row r="15" spans="1:15" ht="34.5" customHeight="1">
      <c r="A15" s="286"/>
      <c r="B15" s="286"/>
      <c r="C15" s="4" t="s">
        <v>245</v>
      </c>
      <c r="D15" s="4" t="s">
        <v>246</v>
      </c>
      <c r="E15" s="4" t="s">
        <v>247</v>
      </c>
      <c r="F15" s="5" t="s">
        <v>248</v>
      </c>
      <c r="G15" s="5" t="s">
        <v>249</v>
      </c>
      <c r="H15" s="5" t="s">
        <v>250</v>
      </c>
      <c r="I15" s="14">
        <f>销量!D8</f>
        <v>2394.69</v>
      </c>
    </row>
    <row r="16" spans="1:15" ht="24" customHeight="1">
      <c r="A16" s="283" t="s">
        <v>251</v>
      </c>
      <c r="B16" s="283"/>
      <c r="C16" s="7"/>
      <c r="D16" s="8"/>
      <c r="E16" s="9">
        <f>$I$15*H16</f>
        <v>166.191486</v>
      </c>
      <c r="F16" s="9"/>
      <c r="G16" s="9"/>
      <c r="H16" s="10">
        <f t="shared" ref="H16:H23" si="2">H4</f>
        <v>6.9400000000000003E-2</v>
      </c>
    </row>
    <row r="17" spans="1:9" ht="24" customHeight="1">
      <c r="A17" s="283" t="s">
        <v>252</v>
      </c>
      <c r="B17" s="6" t="s">
        <v>253</v>
      </c>
      <c r="C17" s="7"/>
      <c r="D17" s="8"/>
      <c r="E17" s="9">
        <f t="shared" ref="E17:E23" si="3">$I$15*H17</f>
        <v>197.561925</v>
      </c>
      <c r="F17" s="9"/>
      <c r="G17" s="9"/>
      <c r="H17" s="10">
        <f t="shared" si="2"/>
        <v>8.2500000000000004E-2</v>
      </c>
    </row>
    <row r="18" spans="1:9" ht="24" customHeight="1">
      <c r="A18" s="283"/>
      <c r="B18" s="6" t="s">
        <v>254</v>
      </c>
      <c r="C18" s="7"/>
      <c r="D18" s="8"/>
      <c r="E18" s="9">
        <f t="shared" si="3"/>
        <v>103.929546</v>
      </c>
      <c r="F18" s="9"/>
      <c r="G18" s="9"/>
      <c r="H18" s="10">
        <f t="shared" si="2"/>
        <v>4.3400000000000001E-2</v>
      </c>
    </row>
    <row r="19" spans="1:9" ht="24" customHeight="1">
      <c r="A19" s="281" t="s">
        <v>255</v>
      </c>
      <c r="B19" s="282"/>
      <c r="C19" s="11"/>
      <c r="D19" s="12"/>
      <c r="E19" s="9">
        <f t="shared" si="3"/>
        <v>467.68295699999999</v>
      </c>
      <c r="F19" s="9"/>
      <c r="G19" s="9"/>
      <c r="H19" s="13">
        <f t="shared" si="2"/>
        <v>0.1953</v>
      </c>
    </row>
    <row r="20" spans="1:9" ht="24" customHeight="1">
      <c r="A20" s="283" t="s">
        <v>81</v>
      </c>
      <c r="B20" s="283"/>
      <c r="C20" s="7"/>
      <c r="D20" s="8"/>
      <c r="E20" s="9">
        <f t="shared" si="3"/>
        <v>63.219816000000002</v>
      </c>
      <c r="F20" s="9"/>
      <c r="G20" s="9"/>
      <c r="H20" s="10">
        <f t="shared" si="2"/>
        <v>2.64E-2</v>
      </c>
    </row>
    <row r="21" spans="1:9" ht="24" customHeight="1">
      <c r="A21" s="284" t="s">
        <v>256</v>
      </c>
      <c r="B21" s="6" t="s">
        <v>253</v>
      </c>
      <c r="C21" s="7"/>
      <c r="D21" s="8"/>
      <c r="E21" s="9">
        <f t="shared" si="3"/>
        <v>41.188668</v>
      </c>
      <c r="F21" s="9"/>
      <c r="G21" s="9"/>
      <c r="H21" s="10">
        <f t="shared" si="2"/>
        <v>1.72E-2</v>
      </c>
    </row>
    <row r="22" spans="1:9" ht="24" customHeight="1">
      <c r="A22" s="285"/>
      <c r="B22" s="6" t="s">
        <v>254</v>
      </c>
      <c r="C22" s="7"/>
      <c r="D22" s="8"/>
      <c r="E22" s="9">
        <f t="shared" si="3"/>
        <v>155.89431900000002</v>
      </c>
      <c r="F22" s="9"/>
      <c r="G22" s="9"/>
      <c r="H22" s="10">
        <f t="shared" si="2"/>
        <v>6.5100000000000005E-2</v>
      </c>
    </row>
    <row r="23" spans="1:9" ht="24" customHeight="1">
      <c r="A23" s="283" t="s">
        <v>84</v>
      </c>
      <c r="B23" s="283"/>
      <c r="C23" s="7"/>
      <c r="D23" s="8"/>
      <c r="E23" s="9">
        <f t="shared" si="3"/>
        <v>85.011494999999996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87" t="s">
        <v>242</v>
      </c>
      <c r="H26" s="287"/>
      <c r="I26" s="15" t="str">
        <f>销量!E6</f>
        <v>A6681000000169
（基础件A668100000025）</v>
      </c>
    </row>
    <row r="27" spans="1:9" ht="39" customHeight="1">
      <c r="A27" s="286" t="s">
        <v>243</v>
      </c>
      <c r="B27" s="286"/>
      <c r="C27" s="281" t="str">
        <f>C2</f>
        <v>河北工厂平均值</v>
      </c>
      <c r="D27" s="288"/>
      <c r="E27" s="288"/>
      <c r="F27" s="288"/>
      <c r="G27" s="288"/>
      <c r="H27" s="282"/>
      <c r="I27" s="3" t="s">
        <v>244</v>
      </c>
    </row>
    <row r="28" spans="1:9" ht="34.5" customHeight="1">
      <c r="A28" s="286"/>
      <c r="B28" s="286"/>
      <c r="C28" s="4" t="s">
        <v>245</v>
      </c>
      <c r="D28" s="4" t="s">
        <v>246</v>
      </c>
      <c r="E28" s="4" t="s">
        <v>247</v>
      </c>
      <c r="F28" s="5" t="s">
        <v>248</v>
      </c>
      <c r="G28" s="5" t="s">
        <v>249</v>
      </c>
      <c r="H28" s="5" t="s">
        <v>250</v>
      </c>
      <c r="I28" s="14">
        <f>销量!E8</f>
        <v>780.53</v>
      </c>
    </row>
    <row r="29" spans="1:9" ht="24" customHeight="1">
      <c r="A29" s="283" t="s">
        <v>251</v>
      </c>
      <c r="B29" s="283"/>
      <c r="C29" s="7"/>
      <c r="D29" s="8"/>
      <c r="E29" s="9">
        <f>$I$28*H29</f>
        <v>54.168782</v>
      </c>
      <c r="F29" s="9"/>
      <c r="G29" s="9"/>
      <c r="H29" s="10">
        <f t="shared" ref="H29:H36" si="4">H4</f>
        <v>6.9400000000000003E-2</v>
      </c>
    </row>
    <row r="30" spans="1:9" ht="24" customHeight="1">
      <c r="A30" s="283" t="s">
        <v>252</v>
      </c>
      <c r="B30" s="6" t="s">
        <v>253</v>
      </c>
      <c r="C30" s="7"/>
      <c r="D30" s="8"/>
      <c r="E30" s="9">
        <f t="shared" ref="E30:E36" si="5">$I$28*H30</f>
        <v>64.393725000000003</v>
      </c>
      <c r="F30" s="9"/>
      <c r="G30" s="9"/>
      <c r="H30" s="10">
        <f t="shared" si="4"/>
        <v>8.2500000000000004E-2</v>
      </c>
    </row>
    <row r="31" spans="1:9" ht="24" customHeight="1">
      <c r="A31" s="283"/>
      <c r="B31" s="6" t="s">
        <v>254</v>
      </c>
      <c r="C31" s="7"/>
      <c r="D31" s="8"/>
      <c r="E31" s="9">
        <f t="shared" si="5"/>
        <v>33.875002000000002</v>
      </c>
      <c r="F31" s="9"/>
      <c r="G31" s="9"/>
      <c r="H31" s="10">
        <f t="shared" si="4"/>
        <v>4.3400000000000001E-2</v>
      </c>
    </row>
    <row r="32" spans="1:9" ht="24" customHeight="1">
      <c r="A32" s="281" t="s">
        <v>255</v>
      </c>
      <c r="B32" s="282"/>
      <c r="C32" s="11"/>
      <c r="D32" s="12"/>
      <c r="E32" s="9">
        <f t="shared" si="5"/>
        <v>152.43750900000001</v>
      </c>
      <c r="F32" s="9"/>
      <c r="G32" s="9"/>
      <c r="H32" s="13">
        <f t="shared" si="4"/>
        <v>0.1953</v>
      </c>
    </row>
    <row r="33" spans="1:9" ht="24" customHeight="1">
      <c r="A33" s="283" t="s">
        <v>81</v>
      </c>
      <c r="B33" s="283"/>
      <c r="C33" s="7"/>
      <c r="D33" s="8"/>
      <c r="E33" s="9">
        <f t="shared" si="5"/>
        <v>20.605992000000001</v>
      </c>
      <c r="F33" s="9"/>
      <c r="G33" s="9"/>
      <c r="H33" s="10">
        <f t="shared" si="4"/>
        <v>2.64E-2</v>
      </c>
    </row>
    <row r="34" spans="1:9" ht="24" customHeight="1">
      <c r="A34" s="284" t="s">
        <v>256</v>
      </c>
      <c r="B34" s="6" t="s">
        <v>253</v>
      </c>
      <c r="C34" s="7"/>
      <c r="D34" s="8"/>
      <c r="E34" s="9">
        <f t="shared" si="5"/>
        <v>13.425115999999999</v>
      </c>
      <c r="F34" s="9"/>
      <c r="G34" s="9"/>
      <c r="H34" s="10">
        <f t="shared" si="4"/>
        <v>1.72E-2</v>
      </c>
    </row>
    <row r="35" spans="1:9" ht="24" customHeight="1">
      <c r="A35" s="285"/>
      <c r="B35" s="6" t="s">
        <v>254</v>
      </c>
      <c r="C35" s="7"/>
      <c r="D35" s="8"/>
      <c r="E35" s="9">
        <f t="shared" si="5"/>
        <v>50.812503</v>
      </c>
      <c r="F35" s="9"/>
      <c r="G35" s="9"/>
      <c r="H35" s="10">
        <f t="shared" si="4"/>
        <v>6.5100000000000005E-2</v>
      </c>
    </row>
    <row r="36" spans="1:9" ht="24" customHeight="1">
      <c r="A36" s="283" t="s">
        <v>84</v>
      </c>
      <c r="B36" s="283"/>
      <c r="C36" s="7"/>
      <c r="D36" s="8"/>
      <c r="E36" s="9">
        <f t="shared" si="5"/>
        <v>27.708814999999998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87" t="s">
        <v>242</v>
      </c>
      <c r="H39" s="287"/>
      <c r="I39" s="15" t="str">
        <f>销量!F6</f>
        <v>A6681000000166
（基础件A668100000022）</v>
      </c>
    </row>
    <row r="40" spans="1:9" ht="39" customHeight="1">
      <c r="A40" s="286" t="s">
        <v>243</v>
      </c>
      <c r="B40" s="286"/>
      <c r="C40" s="281" t="str">
        <f>C2</f>
        <v>河北工厂平均值</v>
      </c>
      <c r="D40" s="288"/>
      <c r="E40" s="288"/>
      <c r="F40" s="288"/>
      <c r="G40" s="288"/>
      <c r="H40" s="282"/>
      <c r="I40" s="3" t="s">
        <v>244</v>
      </c>
    </row>
    <row r="41" spans="1:9" ht="34.5" customHeight="1">
      <c r="A41" s="286"/>
      <c r="B41" s="286"/>
      <c r="C41" s="4" t="s">
        <v>245</v>
      </c>
      <c r="D41" s="4" t="s">
        <v>246</v>
      </c>
      <c r="E41" s="4" t="s">
        <v>247</v>
      </c>
      <c r="F41" s="5" t="s">
        <v>248</v>
      </c>
      <c r="G41" s="5" t="s">
        <v>249</v>
      </c>
      <c r="H41" s="5" t="s">
        <v>250</v>
      </c>
      <c r="I41" s="14">
        <f>销量!F8</f>
        <v>78.099999999999994</v>
      </c>
    </row>
    <row r="42" spans="1:9" ht="24" customHeight="1">
      <c r="A42" s="283" t="s">
        <v>251</v>
      </c>
      <c r="B42" s="283"/>
      <c r="C42" s="7"/>
      <c r="D42" s="8"/>
      <c r="E42" s="9">
        <f>$I$41*H42</f>
        <v>5.42014</v>
      </c>
      <c r="F42" s="9"/>
      <c r="G42" s="9"/>
      <c r="H42" s="10">
        <f t="shared" ref="H42:H49" si="6">H4</f>
        <v>6.9400000000000003E-2</v>
      </c>
    </row>
    <row r="43" spans="1:9" ht="24" customHeight="1">
      <c r="A43" s="283" t="s">
        <v>252</v>
      </c>
      <c r="B43" s="6" t="s">
        <v>253</v>
      </c>
      <c r="C43" s="7"/>
      <c r="D43" s="8"/>
      <c r="E43" s="9">
        <f t="shared" ref="E43:E49" si="7">$I$41*H43</f>
        <v>6.4432499999999999</v>
      </c>
      <c r="F43" s="9"/>
      <c r="G43" s="9"/>
      <c r="H43" s="10">
        <f t="shared" si="6"/>
        <v>8.2500000000000004E-2</v>
      </c>
    </row>
    <row r="44" spans="1:9" ht="24" customHeight="1">
      <c r="A44" s="283"/>
      <c r="B44" s="6" t="s">
        <v>254</v>
      </c>
      <c r="C44" s="7"/>
      <c r="D44" s="8"/>
      <c r="E44" s="9">
        <f t="shared" si="7"/>
        <v>3.3895399999999998</v>
      </c>
      <c r="F44" s="9"/>
      <c r="G44" s="9"/>
      <c r="H44" s="10">
        <f t="shared" si="6"/>
        <v>4.3400000000000001E-2</v>
      </c>
    </row>
    <row r="45" spans="1:9" ht="24" customHeight="1">
      <c r="A45" s="281" t="s">
        <v>255</v>
      </c>
      <c r="B45" s="282"/>
      <c r="C45" s="11"/>
      <c r="D45" s="12"/>
      <c r="E45" s="9">
        <f t="shared" si="7"/>
        <v>15.252929999999999</v>
      </c>
      <c r="F45" s="9"/>
      <c r="G45" s="9"/>
      <c r="H45" s="13">
        <f t="shared" si="6"/>
        <v>0.1953</v>
      </c>
    </row>
    <row r="46" spans="1:9" ht="24" customHeight="1">
      <c r="A46" s="283" t="s">
        <v>81</v>
      </c>
      <c r="B46" s="283"/>
      <c r="C46" s="7"/>
      <c r="D46" s="8"/>
      <c r="E46" s="9">
        <f t="shared" si="7"/>
        <v>2.0618399999999997</v>
      </c>
      <c r="F46" s="9"/>
      <c r="G46" s="9"/>
      <c r="H46" s="10">
        <f t="shared" si="6"/>
        <v>2.64E-2</v>
      </c>
    </row>
    <row r="47" spans="1:9" ht="24" customHeight="1">
      <c r="A47" s="284" t="s">
        <v>256</v>
      </c>
      <c r="B47" s="6" t="s">
        <v>253</v>
      </c>
      <c r="C47" s="7"/>
      <c r="D47" s="8"/>
      <c r="E47" s="9">
        <f t="shared" si="7"/>
        <v>1.3433199999999998</v>
      </c>
      <c r="F47" s="9"/>
      <c r="G47" s="9"/>
      <c r="H47" s="10">
        <f t="shared" si="6"/>
        <v>1.72E-2</v>
      </c>
    </row>
    <row r="48" spans="1:9" ht="24" customHeight="1">
      <c r="A48" s="285"/>
      <c r="B48" s="6" t="s">
        <v>254</v>
      </c>
      <c r="C48" s="7"/>
      <c r="D48" s="8"/>
      <c r="E48" s="9">
        <f t="shared" si="7"/>
        <v>5.0843100000000003</v>
      </c>
      <c r="F48" s="9"/>
      <c r="G48" s="9"/>
      <c r="H48" s="10">
        <f t="shared" si="6"/>
        <v>6.5100000000000005E-2</v>
      </c>
    </row>
    <row r="49" spans="1:9" ht="24" customHeight="1">
      <c r="A49" s="283" t="s">
        <v>84</v>
      </c>
      <c r="B49" s="283"/>
      <c r="C49" s="7"/>
      <c r="D49" s="8"/>
      <c r="E49" s="9">
        <f t="shared" si="7"/>
        <v>2.7725499999999994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87" t="s">
        <v>242</v>
      </c>
      <c r="H52" s="287"/>
      <c r="I52" s="15">
        <f>销量!G6</f>
        <v>0</v>
      </c>
    </row>
    <row r="53" spans="1:9" ht="39" customHeight="1">
      <c r="A53" s="286" t="s">
        <v>243</v>
      </c>
      <c r="B53" s="286"/>
      <c r="C53" s="281" t="str">
        <f>C2</f>
        <v>河北工厂平均值</v>
      </c>
      <c r="D53" s="288"/>
      <c r="E53" s="288"/>
      <c r="F53" s="288"/>
      <c r="G53" s="288"/>
      <c r="H53" s="282"/>
      <c r="I53" s="3" t="s">
        <v>244</v>
      </c>
    </row>
    <row r="54" spans="1:9" ht="34.5" customHeight="1">
      <c r="A54" s="286"/>
      <c r="B54" s="286"/>
      <c r="C54" s="4" t="s">
        <v>245</v>
      </c>
      <c r="D54" s="4" t="s">
        <v>246</v>
      </c>
      <c r="E54" s="4" t="s">
        <v>247</v>
      </c>
      <c r="F54" s="5" t="s">
        <v>248</v>
      </c>
      <c r="G54" s="5" t="s">
        <v>249</v>
      </c>
      <c r="H54" s="5" t="s">
        <v>250</v>
      </c>
      <c r="I54" s="14">
        <f>销量!G8</f>
        <v>0</v>
      </c>
    </row>
    <row r="55" spans="1:9" ht="24" customHeight="1">
      <c r="A55" s="283" t="s">
        <v>251</v>
      </c>
      <c r="B55" s="283"/>
      <c r="C55" s="7"/>
      <c r="D55" s="8"/>
      <c r="E55" s="9">
        <f>$I$54*H55</f>
        <v>0</v>
      </c>
      <c r="F55" s="9"/>
      <c r="G55" s="9"/>
      <c r="H55" s="10">
        <f t="shared" ref="H55:H62" si="8">H4</f>
        <v>6.9400000000000003E-2</v>
      </c>
    </row>
    <row r="56" spans="1:9" ht="24" customHeight="1">
      <c r="A56" s="283" t="s">
        <v>252</v>
      </c>
      <c r="B56" s="6" t="s">
        <v>253</v>
      </c>
      <c r="C56" s="7"/>
      <c r="D56" s="8"/>
      <c r="E56" s="9">
        <f t="shared" ref="E56:E62" si="9">$I$54*H56</f>
        <v>0</v>
      </c>
      <c r="F56" s="9"/>
      <c r="G56" s="9"/>
      <c r="H56" s="10">
        <f t="shared" si="8"/>
        <v>8.2500000000000004E-2</v>
      </c>
    </row>
    <row r="57" spans="1:9" ht="24" customHeight="1">
      <c r="A57" s="283"/>
      <c r="B57" s="6" t="s">
        <v>254</v>
      </c>
      <c r="C57" s="7"/>
      <c r="D57" s="8"/>
      <c r="E57" s="9">
        <f t="shared" si="9"/>
        <v>0</v>
      </c>
      <c r="F57" s="9"/>
      <c r="G57" s="9"/>
      <c r="H57" s="10">
        <f t="shared" si="8"/>
        <v>4.3400000000000001E-2</v>
      </c>
    </row>
    <row r="58" spans="1:9" ht="24" customHeight="1">
      <c r="A58" s="281" t="s">
        <v>255</v>
      </c>
      <c r="B58" s="282"/>
      <c r="C58" s="11"/>
      <c r="D58" s="12"/>
      <c r="E58" s="9">
        <f t="shared" si="9"/>
        <v>0</v>
      </c>
      <c r="F58" s="9"/>
      <c r="G58" s="9"/>
      <c r="H58" s="13">
        <f t="shared" si="8"/>
        <v>0.1953</v>
      </c>
    </row>
    <row r="59" spans="1:9" ht="24" customHeight="1">
      <c r="A59" s="283" t="s">
        <v>81</v>
      </c>
      <c r="B59" s="283"/>
      <c r="C59" s="7"/>
      <c r="D59" s="8"/>
      <c r="E59" s="9">
        <f t="shared" si="9"/>
        <v>0</v>
      </c>
      <c r="F59" s="9"/>
      <c r="G59" s="9"/>
      <c r="H59" s="10">
        <f t="shared" si="8"/>
        <v>2.64E-2</v>
      </c>
    </row>
    <row r="60" spans="1:9" ht="24" customHeight="1">
      <c r="A60" s="284" t="s">
        <v>256</v>
      </c>
      <c r="B60" s="6" t="s">
        <v>253</v>
      </c>
      <c r="C60" s="7"/>
      <c r="D60" s="8"/>
      <c r="E60" s="9">
        <f t="shared" si="9"/>
        <v>0</v>
      </c>
      <c r="F60" s="9"/>
      <c r="G60" s="9"/>
      <c r="H60" s="10">
        <f t="shared" si="8"/>
        <v>1.72E-2</v>
      </c>
    </row>
    <row r="61" spans="1:9" ht="24" customHeight="1">
      <c r="A61" s="285"/>
      <c r="B61" s="6" t="s">
        <v>254</v>
      </c>
      <c r="C61" s="7"/>
      <c r="D61" s="8"/>
      <c r="E61" s="9">
        <f t="shared" si="9"/>
        <v>0</v>
      </c>
      <c r="F61" s="9"/>
      <c r="G61" s="9"/>
      <c r="H61" s="10">
        <f t="shared" si="8"/>
        <v>6.5100000000000005E-2</v>
      </c>
    </row>
    <row r="62" spans="1:9" ht="24" customHeight="1">
      <c r="A62" s="283" t="s">
        <v>84</v>
      </c>
      <c r="B62" s="283"/>
      <c r="C62" s="7"/>
      <c r="D62" s="8"/>
      <c r="E62" s="9">
        <f t="shared" si="9"/>
        <v>0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87" t="s">
        <v>242</v>
      </c>
      <c r="H65" s="287"/>
      <c r="I65" s="15">
        <f>销量!H6</f>
        <v>0</v>
      </c>
    </row>
    <row r="66" spans="1:9">
      <c r="A66" s="286" t="s">
        <v>243</v>
      </c>
      <c r="B66" s="286"/>
      <c r="C66" s="281" t="str">
        <f t="shared" ref="C66" si="10">$C$2</f>
        <v>河北工厂平均值</v>
      </c>
      <c r="D66" s="288"/>
      <c r="E66" s="288"/>
      <c r="F66" s="288"/>
      <c r="G66" s="288"/>
      <c r="H66" s="282"/>
      <c r="I66" s="3" t="s">
        <v>244</v>
      </c>
    </row>
    <row r="67" spans="1:9" ht="27">
      <c r="A67" s="286"/>
      <c r="B67" s="286"/>
      <c r="C67" s="4" t="s">
        <v>245</v>
      </c>
      <c r="D67" s="4" t="s">
        <v>246</v>
      </c>
      <c r="E67" s="4" t="s">
        <v>247</v>
      </c>
      <c r="F67" s="5" t="s">
        <v>248</v>
      </c>
      <c r="G67" s="5" t="s">
        <v>249</v>
      </c>
      <c r="H67" s="5" t="s">
        <v>250</v>
      </c>
      <c r="I67" s="14">
        <f>销量!H8</f>
        <v>0</v>
      </c>
    </row>
    <row r="68" spans="1:9">
      <c r="A68" s="283" t="s">
        <v>251</v>
      </c>
      <c r="B68" s="283"/>
      <c r="C68" s="7"/>
      <c r="D68" s="8"/>
      <c r="E68" s="9">
        <f>$I$67*H68</f>
        <v>0</v>
      </c>
      <c r="F68" s="9"/>
      <c r="G68" s="9"/>
      <c r="H68" s="10">
        <f t="shared" ref="H68:H75" si="11">H55</f>
        <v>6.9400000000000003E-2</v>
      </c>
    </row>
    <row r="69" spans="1:9">
      <c r="A69" s="283" t="s">
        <v>252</v>
      </c>
      <c r="B69" s="194" t="s">
        <v>253</v>
      </c>
      <c r="C69" s="7"/>
      <c r="D69" s="8"/>
      <c r="E69" s="9">
        <f t="shared" ref="E69:E75" si="12">$I$67*H69</f>
        <v>0</v>
      </c>
      <c r="F69" s="9"/>
      <c r="G69" s="9"/>
      <c r="H69" s="10">
        <f t="shared" si="11"/>
        <v>8.2500000000000004E-2</v>
      </c>
    </row>
    <row r="70" spans="1:9">
      <c r="A70" s="283"/>
      <c r="B70" s="194" t="s">
        <v>254</v>
      </c>
      <c r="C70" s="7"/>
      <c r="D70" s="8"/>
      <c r="E70" s="9">
        <f t="shared" si="12"/>
        <v>0</v>
      </c>
      <c r="F70" s="9"/>
      <c r="G70" s="9"/>
      <c r="H70" s="10">
        <f t="shared" si="11"/>
        <v>4.3400000000000001E-2</v>
      </c>
    </row>
    <row r="71" spans="1:9">
      <c r="A71" s="281" t="s">
        <v>255</v>
      </c>
      <c r="B71" s="282"/>
      <c r="C71" s="11"/>
      <c r="D71" s="12"/>
      <c r="E71" s="9">
        <f t="shared" si="12"/>
        <v>0</v>
      </c>
      <c r="F71" s="9"/>
      <c r="G71" s="9"/>
      <c r="H71" s="13">
        <f t="shared" si="11"/>
        <v>0.1953</v>
      </c>
    </row>
    <row r="72" spans="1:9">
      <c r="A72" s="283" t="s">
        <v>81</v>
      </c>
      <c r="B72" s="283"/>
      <c r="C72" s="7"/>
      <c r="D72" s="8"/>
      <c r="E72" s="9">
        <f t="shared" si="12"/>
        <v>0</v>
      </c>
      <c r="F72" s="9"/>
      <c r="G72" s="9"/>
      <c r="H72" s="10">
        <f t="shared" si="11"/>
        <v>2.64E-2</v>
      </c>
    </row>
    <row r="73" spans="1:9">
      <c r="A73" s="284" t="s">
        <v>256</v>
      </c>
      <c r="B73" s="194" t="s">
        <v>253</v>
      </c>
      <c r="C73" s="7"/>
      <c r="D73" s="8"/>
      <c r="E73" s="9">
        <f t="shared" si="12"/>
        <v>0</v>
      </c>
      <c r="F73" s="9"/>
      <c r="G73" s="9"/>
      <c r="H73" s="10">
        <f t="shared" si="11"/>
        <v>1.72E-2</v>
      </c>
    </row>
    <row r="74" spans="1:9">
      <c r="A74" s="285"/>
      <c r="B74" s="194" t="s">
        <v>254</v>
      </c>
      <c r="C74" s="7"/>
      <c r="D74" s="8"/>
      <c r="E74" s="9">
        <f t="shared" si="12"/>
        <v>0</v>
      </c>
      <c r="F74" s="9"/>
      <c r="G74" s="9"/>
      <c r="H74" s="10">
        <f t="shared" si="11"/>
        <v>6.5100000000000005E-2</v>
      </c>
    </row>
    <row r="75" spans="1:9">
      <c r="A75" s="283" t="s">
        <v>84</v>
      </c>
      <c r="B75" s="283"/>
      <c r="C75" s="7"/>
      <c r="D75" s="8"/>
      <c r="E75" s="9">
        <f t="shared" si="12"/>
        <v>0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87" t="s">
        <v>242</v>
      </c>
      <c r="H78" s="287"/>
      <c r="I78" s="15">
        <f>销量!I6</f>
        <v>0</v>
      </c>
    </row>
    <row r="79" spans="1:9">
      <c r="A79" s="286" t="s">
        <v>243</v>
      </c>
      <c r="B79" s="286"/>
      <c r="C79" s="281" t="str">
        <f t="shared" ref="C79" si="13">$C$2</f>
        <v>河北工厂平均值</v>
      </c>
      <c r="D79" s="288"/>
      <c r="E79" s="288"/>
      <c r="F79" s="288"/>
      <c r="G79" s="288"/>
      <c r="H79" s="282"/>
      <c r="I79" s="3" t="s">
        <v>244</v>
      </c>
    </row>
    <row r="80" spans="1:9" ht="27">
      <c r="A80" s="286"/>
      <c r="B80" s="286"/>
      <c r="C80" s="4" t="s">
        <v>245</v>
      </c>
      <c r="D80" s="4" t="s">
        <v>246</v>
      </c>
      <c r="E80" s="4" t="s">
        <v>247</v>
      </c>
      <c r="F80" s="5" t="s">
        <v>248</v>
      </c>
      <c r="G80" s="5" t="s">
        <v>249</v>
      </c>
      <c r="H80" s="5" t="s">
        <v>250</v>
      </c>
      <c r="I80" s="14">
        <f>销量!I8</f>
        <v>0</v>
      </c>
    </row>
    <row r="81" spans="1:9">
      <c r="A81" s="283" t="s">
        <v>251</v>
      </c>
      <c r="B81" s="283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83" t="s">
        <v>252</v>
      </c>
      <c r="B82" s="194" t="s">
        <v>253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83"/>
      <c r="B83" s="194" t="s">
        <v>254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81" t="s">
        <v>255</v>
      </c>
      <c r="B84" s="282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83" t="s">
        <v>81</v>
      </c>
      <c r="B85" s="283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84" t="s">
        <v>256</v>
      </c>
      <c r="B86" s="194" t="s">
        <v>253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85"/>
      <c r="B87" s="194" t="s">
        <v>254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83" t="s">
        <v>84</v>
      </c>
      <c r="B88" s="283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87" t="s">
        <v>242</v>
      </c>
      <c r="H91" s="287"/>
      <c r="I91" s="15">
        <f>销量!J6</f>
        <v>0</v>
      </c>
    </row>
    <row r="92" spans="1:9">
      <c r="A92" s="286" t="s">
        <v>243</v>
      </c>
      <c r="B92" s="286"/>
      <c r="C92" s="281" t="str">
        <f t="shared" ref="C92" si="16">$C$2</f>
        <v>河北工厂平均值</v>
      </c>
      <c r="D92" s="288"/>
      <c r="E92" s="288"/>
      <c r="F92" s="288"/>
      <c r="G92" s="288"/>
      <c r="H92" s="282"/>
      <c r="I92" s="3" t="s">
        <v>244</v>
      </c>
    </row>
    <row r="93" spans="1:9" ht="27">
      <c r="A93" s="286"/>
      <c r="B93" s="286"/>
      <c r="C93" s="4" t="s">
        <v>245</v>
      </c>
      <c r="D93" s="4" t="s">
        <v>246</v>
      </c>
      <c r="E93" s="4" t="s">
        <v>247</v>
      </c>
      <c r="F93" s="5" t="s">
        <v>248</v>
      </c>
      <c r="G93" s="5" t="s">
        <v>249</v>
      </c>
      <c r="H93" s="5" t="s">
        <v>250</v>
      </c>
      <c r="I93" s="14">
        <f>销量!J8</f>
        <v>0</v>
      </c>
    </row>
    <row r="94" spans="1:9">
      <c r="A94" s="283" t="s">
        <v>251</v>
      </c>
      <c r="B94" s="283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83" t="s">
        <v>252</v>
      </c>
      <c r="B95" s="194" t="s">
        <v>253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83"/>
      <c r="B96" s="194" t="s">
        <v>254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81" t="s">
        <v>255</v>
      </c>
      <c r="B97" s="282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83" t="s">
        <v>81</v>
      </c>
      <c r="B98" s="283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84" t="s">
        <v>256</v>
      </c>
      <c r="B99" s="194" t="s">
        <v>253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85"/>
      <c r="B100" s="194" t="s">
        <v>254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83" t="s">
        <v>84</v>
      </c>
      <c r="B101" s="283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87" t="s">
        <v>242</v>
      </c>
      <c r="H104" s="287"/>
      <c r="I104" s="15">
        <f>销量!K6</f>
        <v>0</v>
      </c>
    </row>
    <row r="105" spans="1:9">
      <c r="A105" s="286" t="s">
        <v>243</v>
      </c>
      <c r="B105" s="286"/>
      <c r="C105" s="281" t="str">
        <f t="shared" ref="C105" si="19">$C$2</f>
        <v>河北工厂平均值</v>
      </c>
      <c r="D105" s="288"/>
      <c r="E105" s="288"/>
      <c r="F105" s="288"/>
      <c r="G105" s="288"/>
      <c r="H105" s="282"/>
      <c r="I105" s="3" t="s">
        <v>244</v>
      </c>
    </row>
    <row r="106" spans="1:9" ht="27">
      <c r="A106" s="286"/>
      <c r="B106" s="286"/>
      <c r="C106" s="4" t="s">
        <v>245</v>
      </c>
      <c r="D106" s="4" t="s">
        <v>246</v>
      </c>
      <c r="E106" s="4" t="s">
        <v>247</v>
      </c>
      <c r="F106" s="5" t="s">
        <v>248</v>
      </c>
      <c r="G106" s="5" t="s">
        <v>249</v>
      </c>
      <c r="H106" s="5" t="s">
        <v>250</v>
      </c>
      <c r="I106" s="14">
        <f>销量!K8</f>
        <v>0</v>
      </c>
    </row>
    <row r="107" spans="1:9">
      <c r="A107" s="283" t="s">
        <v>251</v>
      </c>
      <c r="B107" s="283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83" t="s">
        <v>252</v>
      </c>
      <c r="B108" s="194" t="s">
        <v>253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83"/>
      <c r="B109" s="194" t="s">
        <v>254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81" t="s">
        <v>255</v>
      </c>
      <c r="B110" s="282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83" t="s">
        <v>81</v>
      </c>
      <c r="B111" s="283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84" t="s">
        <v>256</v>
      </c>
      <c r="B112" s="194" t="s">
        <v>253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85"/>
      <c r="B113" s="194" t="s">
        <v>254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83" t="s">
        <v>84</v>
      </c>
      <c r="B114" s="283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87" t="s">
        <v>242</v>
      </c>
      <c r="H117" s="287"/>
      <c r="I117" s="15">
        <f>销量!L6</f>
        <v>0</v>
      </c>
    </row>
    <row r="118" spans="1:9">
      <c r="A118" s="286" t="s">
        <v>243</v>
      </c>
      <c r="B118" s="286"/>
      <c r="C118" s="281" t="str">
        <f t="shared" ref="C118" si="22">$C$2</f>
        <v>河北工厂平均值</v>
      </c>
      <c r="D118" s="288"/>
      <c r="E118" s="288"/>
      <c r="F118" s="288"/>
      <c r="G118" s="288"/>
      <c r="H118" s="282"/>
      <c r="I118" s="3" t="s">
        <v>244</v>
      </c>
    </row>
    <row r="119" spans="1:9" ht="27">
      <c r="A119" s="286"/>
      <c r="B119" s="286"/>
      <c r="C119" s="4" t="s">
        <v>245</v>
      </c>
      <c r="D119" s="4" t="s">
        <v>246</v>
      </c>
      <c r="E119" s="4" t="s">
        <v>247</v>
      </c>
      <c r="F119" s="5" t="s">
        <v>248</v>
      </c>
      <c r="G119" s="5" t="s">
        <v>249</v>
      </c>
      <c r="H119" s="5" t="s">
        <v>250</v>
      </c>
      <c r="I119" s="14">
        <f>销量!L8</f>
        <v>0</v>
      </c>
    </row>
    <row r="120" spans="1:9">
      <c r="A120" s="283" t="s">
        <v>251</v>
      </c>
      <c r="B120" s="283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83" t="s">
        <v>252</v>
      </c>
      <c r="B121" s="194" t="s">
        <v>253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83"/>
      <c r="B122" s="194" t="s">
        <v>254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81" t="s">
        <v>255</v>
      </c>
      <c r="B123" s="282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83" t="s">
        <v>81</v>
      </c>
      <c r="B124" s="283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84" t="s">
        <v>256</v>
      </c>
      <c r="B125" s="194" t="s">
        <v>253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85"/>
      <c r="B126" s="194" t="s">
        <v>254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83" t="s">
        <v>84</v>
      </c>
      <c r="B127" s="283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87" t="s">
        <v>242</v>
      </c>
      <c r="H130" s="287"/>
      <c r="I130" s="15">
        <f>销量!M6</f>
        <v>0</v>
      </c>
    </row>
    <row r="131" spans="1:9">
      <c r="A131" s="286" t="s">
        <v>243</v>
      </c>
      <c r="B131" s="286"/>
      <c r="C131" s="281" t="str">
        <f t="shared" ref="C131" si="25">$C$2</f>
        <v>河北工厂平均值</v>
      </c>
      <c r="D131" s="288"/>
      <c r="E131" s="288"/>
      <c r="F131" s="288"/>
      <c r="G131" s="288"/>
      <c r="H131" s="282"/>
      <c r="I131" s="3" t="s">
        <v>244</v>
      </c>
    </row>
    <row r="132" spans="1:9" ht="27">
      <c r="A132" s="286"/>
      <c r="B132" s="286"/>
      <c r="C132" s="4" t="s">
        <v>245</v>
      </c>
      <c r="D132" s="4" t="s">
        <v>246</v>
      </c>
      <c r="E132" s="4" t="s">
        <v>247</v>
      </c>
      <c r="F132" s="5" t="s">
        <v>248</v>
      </c>
      <c r="G132" s="5" t="s">
        <v>249</v>
      </c>
      <c r="H132" s="5" t="s">
        <v>250</v>
      </c>
      <c r="I132" s="14">
        <f>销量!M8</f>
        <v>0</v>
      </c>
    </row>
    <row r="133" spans="1:9">
      <c r="A133" s="283" t="s">
        <v>251</v>
      </c>
      <c r="B133" s="283"/>
      <c r="C133" s="7"/>
      <c r="D133" s="8"/>
      <c r="E133" s="9">
        <f>$I$132*H133</f>
        <v>0</v>
      </c>
      <c r="F133" s="9"/>
      <c r="G133" s="9"/>
      <c r="H133" s="10">
        <f t="shared" ref="H133:H140" si="26">H120</f>
        <v>6.9400000000000003E-2</v>
      </c>
    </row>
    <row r="134" spans="1:9">
      <c r="A134" s="283" t="s">
        <v>252</v>
      </c>
      <c r="B134" s="194" t="s">
        <v>253</v>
      </c>
      <c r="C134" s="7"/>
      <c r="D134" s="8"/>
      <c r="E134" s="9">
        <f t="shared" ref="E134:E140" si="27">$I$132*H134</f>
        <v>0</v>
      </c>
      <c r="F134" s="9"/>
      <c r="G134" s="9"/>
      <c r="H134" s="10">
        <f t="shared" si="26"/>
        <v>8.2500000000000004E-2</v>
      </c>
    </row>
    <row r="135" spans="1:9">
      <c r="A135" s="283"/>
      <c r="B135" s="194" t="s">
        <v>254</v>
      </c>
      <c r="C135" s="7"/>
      <c r="D135" s="8"/>
      <c r="E135" s="9">
        <f t="shared" si="27"/>
        <v>0</v>
      </c>
      <c r="F135" s="9"/>
      <c r="G135" s="9"/>
      <c r="H135" s="10">
        <f t="shared" si="26"/>
        <v>4.3400000000000001E-2</v>
      </c>
    </row>
    <row r="136" spans="1:9">
      <c r="A136" s="281" t="s">
        <v>255</v>
      </c>
      <c r="B136" s="282"/>
      <c r="C136" s="11"/>
      <c r="D136" s="12"/>
      <c r="E136" s="9">
        <f t="shared" si="27"/>
        <v>0</v>
      </c>
      <c r="F136" s="9"/>
      <c r="G136" s="9"/>
      <c r="H136" s="13">
        <f t="shared" si="26"/>
        <v>0.1953</v>
      </c>
    </row>
    <row r="137" spans="1:9">
      <c r="A137" s="283" t="s">
        <v>81</v>
      </c>
      <c r="B137" s="283"/>
      <c r="C137" s="7"/>
      <c r="D137" s="8"/>
      <c r="E137" s="9">
        <f t="shared" si="27"/>
        <v>0</v>
      </c>
      <c r="F137" s="9"/>
      <c r="G137" s="9"/>
      <c r="H137" s="10">
        <f t="shared" si="26"/>
        <v>2.64E-2</v>
      </c>
    </row>
    <row r="138" spans="1:9">
      <c r="A138" s="284" t="s">
        <v>256</v>
      </c>
      <c r="B138" s="194" t="s">
        <v>253</v>
      </c>
      <c r="C138" s="7"/>
      <c r="D138" s="8"/>
      <c r="E138" s="9">
        <f t="shared" si="27"/>
        <v>0</v>
      </c>
      <c r="F138" s="9"/>
      <c r="G138" s="9"/>
      <c r="H138" s="10">
        <f t="shared" si="26"/>
        <v>1.72E-2</v>
      </c>
    </row>
    <row r="139" spans="1:9">
      <c r="A139" s="285"/>
      <c r="B139" s="194" t="s">
        <v>254</v>
      </c>
      <c r="C139" s="7"/>
      <c r="D139" s="8"/>
      <c r="E139" s="9">
        <f t="shared" si="27"/>
        <v>0</v>
      </c>
      <c r="F139" s="9"/>
      <c r="G139" s="9"/>
      <c r="H139" s="10">
        <f t="shared" si="26"/>
        <v>6.5100000000000005E-2</v>
      </c>
    </row>
    <row r="140" spans="1:9">
      <c r="A140" s="283" t="s">
        <v>84</v>
      </c>
      <c r="B140" s="283"/>
      <c r="C140" s="7"/>
      <c r="D140" s="8"/>
      <c r="E140" s="9">
        <f t="shared" si="27"/>
        <v>0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87" t="s">
        <v>242</v>
      </c>
      <c r="H143" s="287"/>
      <c r="I143" s="15">
        <f>销量!N6</f>
        <v>0</v>
      </c>
    </row>
    <row r="144" spans="1:9">
      <c r="A144" s="286" t="s">
        <v>243</v>
      </c>
      <c r="B144" s="286"/>
      <c r="C144" s="281" t="str">
        <f t="shared" ref="C144" si="28">$C$2</f>
        <v>河北工厂平均值</v>
      </c>
      <c r="D144" s="288"/>
      <c r="E144" s="288"/>
      <c r="F144" s="288"/>
      <c r="G144" s="288"/>
      <c r="H144" s="282"/>
      <c r="I144" s="3" t="s">
        <v>244</v>
      </c>
    </row>
    <row r="145" spans="1:9" ht="27">
      <c r="A145" s="286"/>
      <c r="B145" s="286"/>
      <c r="C145" s="4" t="s">
        <v>245</v>
      </c>
      <c r="D145" s="4" t="s">
        <v>246</v>
      </c>
      <c r="E145" s="4" t="s">
        <v>247</v>
      </c>
      <c r="F145" s="5" t="s">
        <v>248</v>
      </c>
      <c r="G145" s="5" t="s">
        <v>249</v>
      </c>
      <c r="H145" s="5" t="s">
        <v>250</v>
      </c>
      <c r="I145" s="14">
        <f>销量!N8</f>
        <v>0</v>
      </c>
    </row>
    <row r="146" spans="1:9">
      <c r="A146" s="283" t="s">
        <v>251</v>
      </c>
      <c r="B146" s="283"/>
      <c r="C146" s="7"/>
      <c r="D146" s="8"/>
      <c r="E146" s="9">
        <f>$I$145*H146</f>
        <v>0</v>
      </c>
      <c r="F146" s="9"/>
      <c r="G146" s="9"/>
      <c r="H146" s="10">
        <f t="shared" ref="H146:H153" si="29">H133</f>
        <v>6.9400000000000003E-2</v>
      </c>
    </row>
    <row r="147" spans="1:9">
      <c r="A147" s="283" t="s">
        <v>252</v>
      </c>
      <c r="B147" s="194" t="s">
        <v>253</v>
      </c>
      <c r="C147" s="7"/>
      <c r="D147" s="8"/>
      <c r="E147" s="9">
        <f t="shared" ref="E147:E153" si="30">$I$145*H147</f>
        <v>0</v>
      </c>
      <c r="F147" s="9"/>
      <c r="G147" s="9"/>
      <c r="H147" s="10">
        <f t="shared" si="29"/>
        <v>8.2500000000000004E-2</v>
      </c>
    </row>
    <row r="148" spans="1:9">
      <c r="A148" s="283"/>
      <c r="B148" s="194" t="s">
        <v>254</v>
      </c>
      <c r="C148" s="7"/>
      <c r="D148" s="8"/>
      <c r="E148" s="9">
        <f t="shared" si="30"/>
        <v>0</v>
      </c>
      <c r="F148" s="9"/>
      <c r="G148" s="9"/>
      <c r="H148" s="10">
        <f t="shared" si="29"/>
        <v>4.3400000000000001E-2</v>
      </c>
    </row>
    <row r="149" spans="1:9">
      <c r="A149" s="281" t="s">
        <v>255</v>
      </c>
      <c r="B149" s="282"/>
      <c r="C149" s="11"/>
      <c r="D149" s="12"/>
      <c r="E149" s="9">
        <f t="shared" si="30"/>
        <v>0</v>
      </c>
      <c r="F149" s="9"/>
      <c r="G149" s="9"/>
      <c r="H149" s="13">
        <f t="shared" si="29"/>
        <v>0.1953</v>
      </c>
    </row>
    <row r="150" spans="1:9">
      <c r="A150" s="283" t="s">
        <v>81</v>
      </c>
      <c r="B150" s="283"/>
      <c r="C150" s="7"/>
      <c r="D150" s="8"/>
      <c r="E150" s="9">
        <f t="shared" si="30"/>
        <v>0</v>
      </c>
      <c r="F150" s="9"/>
      <c r="G150" s="9"/>
      <c r="H150" s="10">
        <f t="shared" si="29"/>
        <v>2.64E-2</v>
      </c>
    </row>
    <row r="151" spans="1:9">
      <c r="A151" s="284" t="s">
        <v>256</v>
      </c>
      <c r="B151" s="194" t="s">
        <v>253</v>
      </c>
      <c r="C151" s="7"/>
      <c r="D151" s="8"/>
      <c r="E151" s="9">
        <f t="shared" si="30"/>
        <v>0</v>
      </c>
      <c r="F151" s="9"/>
      <c r="G151" s="9"/>
      <c r="H151" s="10">
        <f t="shared" si="29"/>
        <v>1.72E-2</v>
      </c>
    </row>
    <row r="152" spans="1:9">
      <c r="A152" s="285"/>
      <c r="B152" s="194" t="s">
        <v>254</v>
      </c>
      <c r="C152" s="7"/>
      <c r="D152" s="8"/>
      <c r="E152" s="9">
        <f t="shared" si="30"/>
        <v>0</v>
      </c>
      <c r="F152" s="9"/>
      <c r="G152" s="9"/>
      <c r="H152" s="10">
        <f t="shared" si="29"/>
        <v>6.5100000000000005E-2</v>
      </c>
    </row>
    <row r="153" spans="1:9">
      <c r="A153" s="283" t="s">
        <v>84</v>
      </c>
      <c r="B153" s="283"/>
      <c r="C153" s="7"/>
      <c r="D153" s="8"/>
      <c r="E153" s="9">
        <f t="shared" si="30"/>
        <v>0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87" t="s">
        <v>242</v>
      </c>
      <c r="H156" s="287"/>
      <c r="I156" s="15">
        <f>销量!O6</f>
        <v>0</v>
      </c>
    </row>
    <row r="157" spans="1:9">
      <c r="A157" s="286" t="s">
        <v>243</v>
      </c>
      <c r="B157" s="286"/>
      <c r="C157" s="281" t="str">
        <f t="shared" ref="C157" si="31">$C$2</f>
        <v>河北工厂平均值</v>
      </c>
      <c r="D157" s="288"/>
      <c r="E157" s="288"/>
      <c r="F157" s="288"/>
      <c r="G157" s="288"/>
      <c r="H157" s="282"/>
      <c r="I157" s="3" t="s">
        <v>244</v>
      </c>
    </row>
    <row r="158" spans="1:9" ht="27">
      <c r="A158" s="286"/>
      <c r="B158" s="286"/>
      <c r="C158" s="4" t="s">
        <v>245</v>
      </c>
      <c r="D158" s="4" t="s">
        <v>246</v>
      </c>
      <c r="E158" s="4" t="s">
        <v>247</v>
      </c>
      <c r="F158" s="5" t="s">
        <v>248</v>
      </c>
      <c r="G158" s="5" t="s">
        <v>249</v>
      </c>
      <c r="H158" s="5" t="s">
        <v>250</v>
      </c>
      <c r="I158" s="14">
        <f>销量!O8</f>
        <v>0</v>
      </c>
    </row>
    <row r="159" spans="1:9">
      <c r="A159" s="283" t="s">
        <v>251</v>
      </c>
      <c r="B159" s="283"/>
      <c r="C159" s="7"/>
      <c r="D159" s="8"/>
      <c r="E159" s="9">
        <f>$I$158*H159</f>
        <v>0</v>
      </c>
      <c r="F159" s="9"/>
      <c r="G159" s="9"/>
      <c r="H159" s="10">
        <f t="shared" ref="H159:H166" si="32">H146</f>
        <v>6.9400000000000003E-2</v>
      </c>
    </row>
    <row r="160" spans="1:9">
      <c r="A160" s="283" t="s">
        <v>252</v>
      </c>
      <c r="B160" s="194" t="s">
        <v>253</v>
      </c>
      <c r="C160" s="7"/>
      <c r="D160" s="8"/>
      <c r="E160" s="9">
        <f t="shared" ref="E160:E166" si="33">$I$158*H160</f>
        <v>0</v>
      </c>
      <c r="F160" s="9"/>
      <c r="G160" s="9"/>
      <c r="H160" s="10">
        <f t="shared" si="32"/>
        <v>8.2500000000000004E-2</v>
      </c>
    </row>
    <row r="161" spans="1:9">
      <c r="A161" s="283"/>
      <c r="B161" s="194" t="s">
        <v>254</v>
      </c>
      <c r="C161" s="7"/>
      <c r="D161" s="8"/>
      <c r="E161" s="9">
        <f t="shared" si="33"/>
        <v>0</v>
      </c>
      <c r="F161" s="9"/>
      <c r="G161" s="9"/>
      <c r="H161" s="10">
        <f t="shared" si="32"/>
        <v>4.3400000000000001E-2</v>
      </c>
    </row>
    <row r="162" spans="1:9">
      <c r="A162" s="281" t="s">
        <v>255</v>
      </c>
      <c r="B162" s="282"/>
      <c r="C162" s="11"/>
      <c r="D162" s="12"/>
      <c r="E162" s="9">
        <f t="shared" si="33"/>
        <v>0</v>
      </c>
      <c r="F162" s="9"/>
      <c r="G162" s="9"/>
      <c r="H162" s="13">
        <f t="shared" si="32"/>
        <v>0.1953</v>
      </c>
    </row>
    <row r="163" spans="1:9">
      <c r="A163" s="283" t="s">
        <v>81</v>
      </c>
      <c r="B163" s="283"/>
      <c r="C163" s="7"/>
      <c r="D163" s="8"/>
      <c r="E163" s="9">
        <f t="shared" si="33"/>
        <v>0</v>
      </c>
      <c r="F163" s="9"/>
      <c r="G163" s="9"/>
      <c r="H163" s="10">
        <f t="shared" si="32"/>
        <v>2.64E-2</v>
      </c>
    </row>
    <row r="164" spans="1:9">
      <c r="A164" s="284" t="s">
        <v>256</v>
      </c>
      <c r="B164" s="194" t="s">
        <v>253</v>
      </c>
      <c r="C164" s="7"/>
      <c r="D164" s="8"/>
      <c r="E164" s="9">
        <f t="shared" si="33"/>
        <v>0</v>
      </c>
      <c r="F164" s="9"/>
      <c r="G164" s="9"/>
      <c r="H164" s="10">
        <f t="shared" si="32"/>
        <v>1.72E-2</v>
      </c>
    </row>
    <row r="165" spans="1:9">
      <c r="A165" s="285"/>
      <c r="B165" s="194" t="s">
        <v>254</v>
      </c>
      <c r="C165" s="7"/>
      <c r="D165" s="8"/>
      <c r="E165" s="9">
        <f t="shared" si="33"/>
        <v>0</v>
      </c>
      <c r="F165" s="9"/>
      <c r="G165" s="9"/>
      <c r="H165" s="10">
        <f t="shared" si="32"/>
        <v>6.5100000000000005E-2</v>
      </c>
    </row>
    <row r="166" spans="1:9">
      <c r="A166" s="283" t="s">
        <v>84</v>
      </c>
      <c r="B166" s="283"/>
      <c r="C166" s="7"/>
      <c r="D166" s="8"/>
      <c r="E166" s="9">
        <f t="shared" si="33"/>
        <v>0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87" t="s">
        <v>242</v>
      </c>
      <c r="H169" s="287"/>
      <c r="I169" s="15">
        <f>销量!P6</f>
        <v>0</v>
      </c>
    </row>
    <row r="170" spans="1:9">
      <c r="A170" s="286" t="s">
        <v>243</v>
      </c>
      <c r="B170" s="286"/>
      <c r="C170" s="281" t="str">
        <f t="shared" ref="C170" si="34">$C$2</f>
        <v>河北工厂平均值</v>
      </c>
      <c r="D170" s="288"/>
      <c r="E170" s="288"/>
      <c r="F170" s="288"/>
      <c r="G170" s="288"/>
      <c r="H170" s="282"/>
      <c r="I170" s="3" t="s">
        <v>244</v>
      </c>
    </row>
    <row r="171" spans="1:9" ht="27">
      <c r="A171" s="286"/>
      <c r="B171" s="286"/>
      <c r="C171" s="4" t="s">
        <v>245</v>
      </c>
      <c r="D171" s="4" t="s">
        <v>246</v>
      </c>
      <c r="E171" s="4" t="s">
        <v>247</v>
      </c>
      <c r="F171" s="5" t="s">
        <v>248</v>
      </c>
      <c r="G171" s="5" t="s">
        <v>249</v>
      </c>
      <c r="H171" s="5" t="s">
        <v>250</v>
      </c>
      <c r="I171" s="14">
        <f>销量!P8</f>
        <v>0</v>
      </c>
    </row>
    <row r="172" spans="1:9">
      <c r="A172" s="283" t="s">
        <v>251</v>
      </c>
      <c r="B172" s="283"/>
      <c r="C172" s="7"/>
      <c r="D172" s="8"/>
      <c r="E172" s="9">
        <f>$I$171*H172</f>
        <v>0</v>
      </c>
      <c r="F172" s="9"/>
      <c r="G172" s="9"/>
      <c r="H172" s="10">
        <f t="shared" ref="H172:H179" si="35">H159</f>
        <v>6.9400000000000003E-2</v>
      </c>
    </row>
    <row r="173" spans="1:9">
      <c r="A173" s="283" t="s">
        <v>252</v>
      </c>
      <c r="B173" s="194" t="s">
        <v>253</v>
      </c>
      <c r="C173" s="7"/>
      <c r="D173" s="8"/>
      <c r="E173" s="9">
        <f t="shared" ref="E173:E179" si="36">$I$171*H173</f>
        <v>0</v>
      </c>
      <c r="F173" s="9"/>
      <c r="G173" s="9"/>
      <c r="H173" s="10">
        <f t="shared" si="35"/>
        <v>8.2500000000000004E-2</v>
      </c>
    </row>
    <row r="174" spans="1:9">
      <c r="A174" s="283"/>
      <c r="B174" s="194" t="s">
        <v>254</v>
      </c>
      <c r="C174" s="7"/>
      <c r="D174" s="8"/>
      <c r="E174" s="9">
        <f t="shared" si="36"/>
        <v>0</v>
      </c>
      <c r="F174" s="9"/>
      <c r="G174" s="9"/>
      <c r="H174" s="10">
        <f t="shared" si="35"/>
        <v>4.3400000000000001E-2</v>
      </c>
    </row>
    <row r="175" spans="1:9">
      <c r="A175" s="281" t="s">
        <v>255</v>
      </c>
      <c r="B175" s="282"/>
      <c r="C175" s="11"/>
      <c r="D175" s="12"/>
      <c r="E175" s="9">
        <f t="shared" si="36"/>
        <v>0</v>
      </c>
      <c r="F175" s="9"/>
      <c r="G175" s="9"/>
      <c r="H175" s="13">
        <f t="shared" si="35"/>
        <v>0.1953</v>
      </c>
    </row>
    <row r="176" spans="1:9">
      <c r="A176" s="283" t="s">
        <v>81</v>
      </c>
      <c r="B176" s="283"/>
      <c r="C176" s="7"/>
      <c r="D176" s="8"/>
      <c r="E176" s="9">
        <f t="shared" si="36"/>
        <v>0</v>
      </c>
      <c r="F176" s="9"/>
      <c r="G176" s="9"/>
      <c r="H176" s="10">
        <f t="shared" si="35"/>
        <v>2.64E-2</v>
      </c>
    </row>
    <row r="177" spans="1:9">
      <c r="A177" s="284" t="s">
        <v>256</v>
      </c>
      <c r="B177" s="194" t="s">
        <v>253</v>
      </c>
      <c r="C177" s="7"/>
      <c r="D177" s="8"/>
      <c r="E177" s="9">
        <f t="shared" si="36"/>
        <v>0</v>
      </c>
      <c r="F177" s="9"/>
      <c r="G177" s="9"/>
      <c r="H177" s="10">
        <f t="shared" si="35"/>
        <v>1.72E-2</v>
      </c>
    </row>
    <row r="178" spans="1:9">
      <c r="A178" s="285"/>
      <c r="B178" s="194" t="s">
        <v>254</v>
      </c>
      <c r="C178" s="7"/>
      <c r="D178" s="8"/>
      <c r="E178" s="9">
        <f t="shared" si="36"/>
        <v>0</v>
      </c>
      <c r="F178" s="9"/>
      <c r="G178" s="9"/>
      <c r="H178" s="10">
        <f t="shared" si="35"/>
        <v>6.5100000000000005E-2</v>
      </c>
    </row>
    <row r="179" spans="1:9">
      <c r="A179" s="283" t="s">
        <v>84</v>
      </c>
      <c r="B179" s="283"/>
      <c r="C179" s="7"/>
      <c r="D179" s="8"/>
      <c r="E179" s="9">
        <f t="shared" si="36"/>
        <v>0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87" t="s">
        <v>242</v>
      </c>
      <c r="H182" s="287"/>
      <c r="I182" s="15">
        <f>销量!Q6</f>
        <v>0</v>
      </c>
    </row>
    <row r="183" spans="1:9">
      <c r="A183" s="286" t="s">
        <v>243</v>
      </c>
      <c r="B183" s="286"/>
      <c r="C183" s="281" t="str">
        <f t="shared" ref="C183" si="37">$C$2</f>
        <v>河北工厂平均值</v>
      </c>
      <c r="D183" s="288"/>
      <c r="E183" s="288"/>
      <c r="F183" s="288"/>
      <c r="G183" s="288"/>
      <c r="H183" s="282"/>
      <c r="I183" s="3" t="s">
        <v>244</v>
      </c>
    </row>
    <row r="184" spans="1:9" ht="27">
      <c r="A184" s="286"/>
      <c r="B184" s="286"/>
      <c r="C184" s="4" t="s">
        <v>245</v>
      </c>
      <c r="D184" s="4" t="s">
        <v>246</v>
      </c>
      <c r="E184" s="4" t="s">
        <v>247</v>
      </c>
      <c r="F184" s="5" t="s">
        <v>248</v>
      </c>
      <c r="G184" s="5" t="s">
        <v>249</v>
      </c>
      <c r="H184" s="5" t="s">
        <v>250</v>
      </c>
      <c r="I184" s="14">
        <f>销量!Q8</f>
        <v>0</v>
      </c>
    </row>
    <row r="185" spans="1:9">
      <c r="A185" s="283" t="s">
        <v>251</v>
      </c>
      <c r="B185" s="283"/>
      <c r="C185" s="7"/>
      <c r="D185" s="8"/>
      <c r="E185" s="9">
        <f>$I$184*H185</f>
        <v>0</v>
      </c>
      <c r="F185" s="9"/>
      <c r="G185" s="9"/>
      <c r="H185" s="10">
        <f t="shared" ref="H185:H192" si="38">H172</f>
        <v>6.9400000000000003E-2</v>
      </c>
    </row>
    <row r="186" spans="1:9">
      <c r="A186" s="283" t="s">
        <v>252</v>
      </c>
      <c r="B186" s="194" t="s">
        <v>253</v>
      </c>
      <c r="C186" s="7"/>
      <c r="D186" s="8"/>
      <c r="E186" s="9">
        <f t="shared" ref="E186:E192" si="39">$I$184*H186</f>
        <v>0</v>
      </c>
      <c r="F186" s="9"/>
      <c r="G186" s="9"/>
      <c r="H186" s="10">
        <f t="shared" si="38"/>
        <v>8.2500000000000004E-2</v>
      </c>
    </row>
    <row r="187" spans="1:9">
      <c r="A187" s="283"/>
      <c r="B187" s="194" t="s">
        <v>254</v>
      </c>
      <c r="C187" s="7"/>
      <c r="D187" s="8"/>
      <c r="E187" s="9">
        <f t="shared" si="39"/>
        <v>0</v>
      </c>
      <c r="F187" s="9"/>
      <c r="G187" s="9"/>
      <c r="H187" s="10">
        <f t="shared" si="38"/>
        <v>4.3400000000000001E-2</v>
      </c>
    </row>
    <row r="188" spans="1:9">
      <c r="A188" s="281" t="s">
        <v>255</v>
      </c>
      <c r="B188" s="282"/>
      <c r="C188" s="11"/>
      <c r="D188" s="12"/>
      <c r="E188" s="9">
        <f t="shared" si="39"/>
        <v>0</v>
      </c>
      <c r="F188" s="9"/>
      <c r="G188" s="9"/>
      <c r="H188" s="13">
        <f t="shared" si="38"/>
        <v>0.1953</v>
      </c>
    </row>
    <row r="189" spans="1:9">
      <c r="A189" s="283" t="s">
        <v>81</v>
      </c>
      <c r="B189" s="283"/>
      <c r="C189" s="7"/>
      <c r="D189" s="8"/>
      <c r="E189" s="9">
        <f t="shared" si="39"/>
        <v>0</v>
      </c>
      <c r="F189" s="9"/>
      <c r="G189" s="9"/>
      <c r="H189" s="10">
        <f t="shared" si="38"/>
        <v>2.64E-2</v>
      </c>
    </row>
    <row r="190" spans="1:9">
      <c r="A190" s="284" t="s">
        <v>256</v>
      </c>
      <c r="B190" s="194" t="s">
        <v>253</v>
      </c>
      <c r="C190" s="7"/>
      <c r="D190" s="8"/>
      <c r="E190" s="9">
        <f t="shared" si="39"/>
        <v>0</v>
      </c>
      <c r="F190" s="9"/>
      <c r="G190" s="9"/>
      <c r="H190" s="10">
        <f t="shared" si="38"/>
        <v>1.72E-2</v>
      </c>
    </row>
    <row r="191" spans="1:9">
      <c r="A191" s="285"/>
      <c r="B191" s="194" t="s">
        <v>254</v>
      </c>
      <c r="C191" s="7"/>
      <c r="D191" s="8"/>
      <c r="E191" s="9">
        <f t="shared" si="39"/>
        <v>0</v>
      </c>
      <c r="F191" s="9"/>
      <c r="G191" s="9"/>
      <c r="H191" s="10">
        <f t="shared" si="38"/>
        <v>6.5100000000000005E-2</v>
      </c>
    </row>
    <row r="192" spans="1:9">
      <c r="A192" s="283" t="s">
        <v>84</v>
      </c>
      <c r="B192" s="283"/>
      <c r="C192" s="7"/>
      <c r="D192" s="8"/>
      <c r="E192" s="9">
        <f t="shared" si="39"/>
        <v>0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87" t="s">
        <v>242</v>
      </c>
      <c r="H195" s="287"/>
      <c r="I195" s="15">
        <f>销量!R6</f>
        <v>0</v>
      </c>
    </row>
    <row r="196" spans="1:9">
      <c r="A196" s="286" t="s">
        <v>243</v>
      </c>
      <c r="B196" s="286"/>
      <c r="C196" s="281" t="str">
        <f t="shared" ref="C196" si="40">$C$2</f>
        <v>河北工厂平均值</v>
      </c>
      <c r="D196" s="288"/>
      <c r="E196" s="288"/>
      <c r="F196" s="288"/>
      <c r="G196" s="288"/>
      <c r="H196" s="282"/>
      <c r="I196" s="3" t="s">
        <v>244</v>
      </c>
    </row>
    <row r="197" spans="1:9" ht="27">
      <c r="A197" s="286"/>
      <c r="B197" s="286"/>
      <c r="C197" s="4" t="s">
        <v>245</v>
      </c>
      <c r="D197" s="4" t="s">
        <v>246</v>
      </c>
      <c r="E197" s="4" t="s">
        <v>247</v>
      </c>
      <c r="F197" s="5" t="s">
        <v>248</v>
      </c>
      <c r="G197" s="5" t="s">
        <v>249</v>
      </c>
      <c r="H197" s="5" t="s">
        <v>250</v>
      </c>
      <c r="I197" s="14">
        <f>销量!R8</f>
        <v>0</v>
      </c>
    </row>
    <row r="198" spans="1:9">
      <c r="A198" s="283" t="s">
        <v>251</v>
      </c>
      <c r="B198" s="283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6.9400000000000003E-2</v>
      </c>
    </row>
    <row r="199" spans="1:9">
      <c r="A199" s="283" t="s">
        <v>252</v>
      </c>
      <c r="B199" s="194" t="s">
        <v>253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8.2500000000000004E-2</v>
      </c>
    </row>
    <row r="200" spans="1:9">
      <c r="A200" s="283"/>
      <c r="B200" s="194" t="s">
        <v>254</v>
      </c>
      <c r="C200" s="7"/>
      <c r="D200" s="8"/>
      <c r="E200" s="9">
        <f t="shared" si="42"/>
        <v>0</v>
      </c>
      <c r="F200" s="9"/>
      <c r="G200" s="9"/>
      <c r="H200" s="10">
        <f t="shared" si="41"/>
        <v>4.3400000000000001E-2</v>
      </c>
    </row>
    <row r="201" spans="1:9">
      <c r="A201" s="281" t="s">
        <v>255</v>
      </c>
      <c r="B201" s="282"/>
      <c r="C201" s="11"/>
      <c r="D201" s="12"/>
      <c r="E201" s="9">
        <f t="shared" si="42"/>
        <v>0</v>
      </c>
      <c r="F201" s="9"/>
      <c r="G201" s="9"/>
      <c r="H201" s="13">
        <f t="shared" si="41"/>
        <v>0.1953</v>
      </c>
    </row>
    <row r="202" spans="1:9">
      <c r="A202" s="283" t="s">
        <v>81</v>
      </c>
      <c r="B202" s="283"/>
      <c r="C202" s="7"/>
      <c r="D202" s="8"/>
      <c r="E202" s="9">
        <f t="shared" si="42"/>
        <v>0</v>
      </c>
      <c r="F202" s="9"/>
      <c r="G202" s="9"/>
      <c r="H202" s="10">
        <f t="shared" si="41"/>
        <v>2.64E-2</v>
      </c>
    </row>
    <row r="203" spans="1:9">
      <c r="A203" s="284" t="s">
        <v>256</v>
      </c>
      <c r="B203" s="194" t="s">
        <v>253</v>
      </c>
      <c r="C203" s="7"/>
      <c r="D203" s="8"/>
      <c r="E203" s="9">
        <f t="shared" si="42"/>
        <v>0</v>
      </c>
      <c r="F203" s="9"/>
      <c r="G203" s="9"/>
      <c r="H203" s="10">
        <f t="shared" si="41"/>
        <v>1.72E-2</v>
      </c>
    </row>
    <row r="204" spans="1:9">
      <c r="A204" s="285"/>
      <c r="B204" s="194" t="s">
        <v>254</v>
      </c>
      <c r="C204" s="7"/>
      <c r="D204" s="8"/>
      <c r="E204" s="9">
        <f t="shared" si="42"/>
        <v>0</v>
      </c>
      <c r="F204" s="9"/>
      <c r="G204" s="9"/>
      <c r="H204" s="10">
        <f t="shared" si="41"/>
        <v>6.5100000000000005E-2</v>
      </c>
    </row>
    <row r="205" spans="1:9">
      <c r="A205" s="283" t="s">
        <v>84</v>
      </c>
      <c r="B205" s="283"/>
      <c r="C205" s="7"/>
      <c r="D205" s="8"/>
      <c r="E205" s="9">
        <f t="shared" si="42"/>
        <v>0</v>
      </c>
      <c r="F205" s="9"/>
      <c r="G205" s="9"/>
      <c r="H205" s="10">
        <f t="shared" si="41"/>
        <v>3.5499999999999997E-2</v>
      </c>
    </row>
  </sheetData>
  <mergeCells count="144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7" customWidth="1"/>
    <col min="2" max="2" width="28.5" style="127" customWidth="1"/>
    <col min="3" max="4" width="9.125" style="127"/>
    <col min="5" max="5" width="13.875" style="127" customWidth="1"/>
    <col min="6" max="12" width="16.125" style="127" customWidth="1"/>
    <col min="13" max="13" width="10.625" style="127" customWidth="1"/>
    <col min="14" max="254" width="9.125" style="127"/>
    <col min="255" max="255" width="8" style="127" customWidth="1"/>
    <col min="256" max="256" width="28.5" style="127" customWidth="1"/>
    <col min="257" max="268" width="9.125" style="127"/>
    <col min="269" max="269" width="10.625" style="127" customWidth="1"/>
    <col min="270" max="510" width="9.125" style="127"/>
    <col min="511" max="511" width="8" style="127" customWidth="1"/>
    <col min="512" max="512" width="28.5" style="127" customWidth="1"/>
    <col min="513" max="524" width="9.125" style="127"/>
    <col min="525" max="525" width="10.625" style="127" customWidth="1"/>
    <col min="526" max="766" width="9.125" style="127"/>
    <col min="767" max="767" width="8" style="127" customWidth="1"/>
    <col min="768" max="768" width="28.5" style="127" customWidth="1"/>
    <col min="769" max="780" width="9.125" style="127"/>
    <col min="781" max="781" width="10.625" style="127" customWidth="1"/>
    <col min="782" max="1022" width="9.125" style="127"/>
    <col min="1023" max="1023" width="8" style="127" customWidth="1"/>
    <col min="1024" max="1024" width="28.5" style="127" customWidth="1"/>
    <col min="1025" max="1036" width="9.125" style="127"/>
    <col min="1037" max="1037" width="10.625" style="127" customWidth="1"/>
    <col min="1038" max="1278" width="9.125" style="127"/>
    <col min="1279" max="1279" width="8" style="127" customWidth="1"/>
    <col min="1280" max="1280" width="28.5" style="127" customWidth="1"/>
    <col min="1281" max="1292" width="9.125" style="127"/>
    <col min="1293" max="1293" width="10.625" style="127" customWidth="1"/>
    <col min="1294" max="1534" width="9.125" style="127"/>
    <col min="1535" max="1535" width="8" style="127" customWidth="1"/>
    <col min="1536" max="1536" width="28.5" style="127" customWidth="1"/>
    <col min="1537" max="1548" width="9.125" style="127"/>
    <col min="1549" max="1549" width="10.625" style="127" customWidth="1"/>
    <col min="1550" max="1790" width="9.125" style="127"/>
    <col min="1791" max="1791" width="8" style="127" customWidth="1"/>
    <col min="1792" max="1792" width="28.5" style="127" customWidth="1"/>
    <col min="1793" max="1804" width="9.125" style="127"/>
    <col min="1805" max="1805" width="10.625" style="127" customWidth="1"/>
    <col min="1806" max="2046" width="9.125" style="127"/>
    <col min="2047" max="2047" width="8" style="127" customWidth="1"/>
    <col min="2048" max="2048" width="28.5" style="127" customWidth="1"/>
    <col min="2049" max="2060" width="9.125" style="127"/>
    <col min="2061" max="2061" width="10.625" style="127" customWidth="1"/>
    <col min="2062" max="2302" width="9.125" style="127"/>
    <col min="2303" max="2303" width="8" style="127" customWidth="1"/>
    <col min="2304" max="2304" width="28.5" style="127" customWidth="1"/>
    <col min="2305" max="2316" width="9.125" style="127"/>
    <col min="2317" max="2317" width="10.625" style="127" customWidth="1"/>
    <col min="2318" max="2558" width="9.125" style="127"/>
    <col min="2559" max="2559" width="8" style="127" customWidth="1"/>
    <col min="2560" max="2560" width="28.5" style="127" customWidth="1"/>
    <col min="2561" max="2572" width="9.125" style="127"/>
    <col min="2573" max="2573" width="10.625" style="127" customWidth="1"/>
    <col min="2574" max="2814" width="9.125" style="127"/>
    <col min="2815" max="2815" width="8" style="127" customWidth="1"/>
    <col min="2816" max="2816" width="28.5" style="127" customWidth="1"/>
    <col min="2817" max="2828" width="9.125" style="127"/>
    <col min="2829" max="2829" width="10.625" style="127" customWidth="1"/>
    <col min="2830" max="3070" width="9.125" style="127"/>
    <col min="3071" max="3071" width="8" style="127" customWidth="1"/>
    <col min="3072" max="3072" width="28.5" style="127" customWidth="1"/>
    <col min="3073" max="3084" width="9.125" style="127"/>
    <col min="3085" max="3085" width="10.625" style="127" customWidth="1"/>
    <col min="3086" max="3326" width="9.125" style="127"/>
    <col min="3327" max="3327" width="8" style="127" customWidth="1"/>
    <col min="3328" max="3328" width="28.5" style="127" customWidth="1"/>
    <col min="3329" max="3340" width="9.125" style="127"/>
    <col min="3341" max="3341" width="10.625" style="127" customWidth="1"/>
    <col min="3342" max="3582" width="9.125" style="127"/>
    <col min="3583" max="3583" width="8" style="127" customWidth="1"/>
    <col min="3584" max="3584" width="28.5" style="127" customWidth="1"/>
    <col min="3585" max="3596" width="9.125" style="127"/>
    <col min="3597" max="3597" width="10.625" style="127" customWidth="1"/>
    <col min="3598" max="3838" width="9.125" style="127"/>
    <col min="3839" max="3839" width="8" style="127" customWidth="1"/>
    <col min="3840" max="3840" width="28.5" style="127" customWidth="1"/>
    <col min="3841" max="3852" width="9.125" style="127"/>
    <col min="3853" max="3853" width="10.625" style="127" customWidth="1"/>
    <col min="3854" max="4094" width="9.125" style="127"/>
    <col min="4095" max="4095" width="8" style="127" customWidth="1"/>
    <col min="4096" max="4096" width="28.5" style="127" customWidth="1"/>
    <col min="4097" max="4108" width="9.125" style="127"/>
    <col min="4109" max="4109" width="10.625" style="127" customWidth="1"/>
    <col min="4110" max="4350" width="9.125" style="127"/>
    <col min="4351" max="4351" width="8" style="127" customWidth="1"/>
    <col min="4352" max="4352" width="28.5" style="127" customWidth="1"/>
    <col min="4353" max="4364" width="9.125" style="127"/>
    <col min="4365" max="4365" width="10.625" style="127" customWidth="1"/>
    <col min="4366" max="4606" width="9.125" style="127"/>
    <col min="4607" max="4607" width="8" style="127" customWidth="1"/>
    <col min="4608" max="4608" width="28.5" style="127" customWidth="1"/>
    <col min="4609" max="4620" width="9.125" style="127"/>
    <col min="4621" max="4621" width="10.625" style="127" customWidth="1"/>
    <col min="4622" max="4862" width="9.125" style="127"/>
    <col min="4863" max="4863" width="8" style="127" customWidth="1"/>
    <col min="4864" max="4864" width="28.5" style="127" customWidth="1"/>
    <col min="4865" max="4876" width="9.125" style="127"/>
    <col min="4877" max="4877" width="10.625" style="127" customWidth="1"/>
    <col min="4878" max="5118" width="9.125" style="127"/>
    <col min="5119" max="5119" width="8" style="127" customWidth="1"/>
    <col min="5120" max="5120" width="28.5" style="127" customWidth="1"/>
    <col min="5121" max="5132" width="9.125" style="127"/>
    <col min="5133" max="5133" width="10.625" style="127" customWidth="1"/>
    <col min="5134" max="5374" width="9.125" style="127"/>
    <col min="5375" max="5375" width="8" style="127" customWidth="1"/>
    <col min="5376" max="5376" width="28.5" style="127" customWidth="1"/>
    <col min="5377" max="5388" width="9.125" style="127"/>
    <col min="5389" max="5389" width="10.625" style="127" customWidth="1"/>
    <col min="5390" max="5630" width="9.125" style="127"/>
    <col min="5631" max="5631" width="8" style="127" customWidth="1"/>
    <col min="5632" max="5632" width="28.5" style="127" customWidth="1"/>
    <col min="5633" max="5644" width="9.125" style="127"/>
    <col min="5645" max="5645" width="10.625" style="127" customWidth="1"/>
    <col min="5646" max="5886" width="9.125" style="127"/>
    <col min="5887" max="5887" width="8" style="127" customWidth="1"/>
    <col min="5888" max="5888" width="28.5" style="127" customWidth="1"/>
    <col min="5889" max="5900" width="9.125" style="127"/>
    <col min="5901" max="5901" width="10.625" style="127" customWidth="1"/>
    <col min="5902" max="6142" width="9.125" style="127"/>
    <col min="6143" max="6143" width="8" style="127" customWidth="1"/>
    <col min="6144" max="6144" width="28.5" style="127" customWidth="1"/>
    <col min="6145" max="6156" width="9.125" style="127"/>
    <col min="6157" max="6157" width="10.625" style="127" customWidth="1"/>
    <col min="6158" max="6398" width="9.125" style="127"/>
    <col min="6399" max="6399" width="8" style="127" customWidth="1"/>
    <col min="6400" max="6400" width="28.5" style="127" customWidth="1"/>
    <col min="6401" max="6412" width="9.125" style="127"/>
    <col min="6413" max="6413" width="10.625" style="127" customWidth="1"/>
    <col min="6414" max="6654" width="9.125" style="127"/>
    <col min="6655" max="6655" width="8" style="127" customWidth="1"/>
    <col min="6656" max="6656" width="28.5" style="127" customWidth="1"/>
    <col min="6657" max="6668" width="9.125" style="127"/>
    <col min="6669" max="6669" width="10.625" style="127" customWidth="1"/>
    <col min="6670" max="6910" width="9.125" style="127"/>
    <col min="6911" max="6911" width="8" style="127" customWidth="1"/>
    <col min="6912" max="6912" width="28.5" style="127" customWidth="1"/>
    <col min="6913" max="6924" width="9.125" style="127"/>
    <col min="6925" max="6925" width="10.625" style="127" customWidth="1"/>
    <col min="6926" max="7166" width="9.125" style="127"/>
    <col min="7167" max="7167" width="8" style="127" customWidth="1"/>
    <col min="7168" max="7168" width="28.5" style="127" customWidth="1"/>
    <col min="7169" max="7180" width="9.125" style="127"/>
    <col min="7181" max="7181" width="10.625" style="127" customWidth="1"/>
    <col min="7182" max="7422" width="9.125" style="127"/>
    <col min="7423" max="7423" width="8" style="127" customWidth="1"/>
    <col min="7424" max="7424" width="28.5" style="127" customWidth="1"/>
    <col min="7425" max="7436" width="9.125" style="127"/>
    <col min="7437" max="7437" width="10.625" style="127" customWidth="1"/>
    <col min="7438" max="7678" width="9.125" style="127"/>
    <col min="7679" max="7679" width="8" style="127" customWidth="1"/>
    <col min="7680" max="7680" width="28.5" style="127" customWidth="1"/>
    <col min="7681" max="7692" width="9.125" style="127"/>
    <col min="7693" max="7693" width="10.625" style="127" customWidth="1"/>
    <col min="7694" max="7934" width="9.125" style="127"/>
    <col min="7935" max="7935" width="8" style="127" customWidth="1"/>
    <col min="7936" max="7936" width="28.5" style="127" customWidth="1"/>
    <col min="7937" max="7948" width="9.125" style="127"/>
    <col min="7949" max="7949" width="10.625" style="127" customWidth="1"/>
    <col min="7950" max="8190" width="9.125" style="127"/>
    <col min="8191" max="8191" width="8" style="127" customWidth="1"/>
    <col min="8192" max="8192" width="28.5" style="127" customWidth="1"/>
    <col min="8193" max="8204" width="9.125" style="127"/>
    <col min="8205" max="8205" width="10.625" style="127" customWidth="1"/>
    <col min="8206" max="8446" width="9.125" style="127"/>
    <col min="8447" max="8447" width="8" style="127" customWidth="1"/>
    <col min="8448" max="8448" width="28.5" style="127" customWidth="1"/>
    <col min="8449" max="8460" width="9.125" style="127"/>
    <col min="8461" max="8461" width="10.625" style="127" customWidth="1"/>
    <col min="8462" max="8702" width="9.125" style="127"/>
    <col min="8703" max="8703" width="8" style="127" customWidth="1"/>
    <col min="8704" max="8704" width="28.5" style="127" customWidth="1"/>
    <col min="8705" max="8716" width="9.125" style="127"/>
    <col min="8717" max="8717" width="10.625" style="127" customWidth="1"/>
    <col min="8718" max="8958" width="9.125" style="127"/>
    <col min="8959" max="8959" width="8" style="127" customWidth="1"/>
    <col min="8960" max="8960" width="28.5" style="127" customWidth="1"/>
    <col min="8961" max="8972" width="9.125" style="127"/>
    <col min="8973" max="8973" width="10.625" style="127" customWidth="1"/>
    <col min="8974" max="9214" width="9.125" style="127"/>
    <col min="9215" max="9215" width="8" style="127" customWidth="1"/>
    <col min="9216" max="9216" width="28.5" style="127" customWidth="1"/>
    <col min="9217" max="9228" width="9.125" style="127"/>
    <col min="9229" max="9229" width="10.625" style="127" customWidth="1"/>
    <col min="9230" max="9470" width="9.125" style="127"/>
    <col min="9471" max="9471" width="8" style="127" customWidth="1"/>
    <col min="9472" max="9472" width="28.5" style="127" customWidth="1"/>
    <col min="9473" max="9484" width="9.125" style="127"/>
    <col min="9485" max="9485" width="10.625" style="127" customWidth="1"/>
    <col min="9486" max="9726" width="9.125" style="127"/>
    <col min="9727" max="9727" width="8" style="127" customWidth="1"/>
    <col min="9728" max="9728" width="28.5" style="127" customWidth="1"/>
    <col min="9729" max="9740" width="9.125" style="127"/>
    <col min="9741" max="9741" width="10.625" style="127" customWidth="1"/>
    <col min="9742" max="9982" width="9.125" style="127"/>
    <col min="9983" max="9983" width="8" style="127" customWidth="1"/>
    <col min="9984" max="9984" width="28.5" style="127" customWidth="1"/>
    <col min="9985" max="9996" width="9.125" style="127"/>
    <col min="9997" max="9997" width="10.625" style="127" customWidth="1"/>
    <col min="9998" max="10238" width="9.125" style="127"/>
    <col min="10239" max="10239" width="8" style="127" customWidth="1"/>
    <col min="10240" max="10240" width="28.5" style="127" customWidth="1"/>
    <col min="10241" max="10252" width="9.125" style="127"/>
    <col min="10253" max="10253" width="10.625" style="127" customWidth="1"/>
    <col min="10254" max="10494" width="9.125" style="127"/>
    <col min="10495" max="10495" width="8" style="127" customWidth="1"/>
    <col min="10496" max="10496" width="28.5" style="127" customWidth="1"/>
    <col min="10497" max="10508" width="9.125" style="127"/>
    <col min="10509" max="10509" width="10.625" style="127" customWidth="1"/>
    <col min="10510" max="10750" width="9.125" style="127"/>
    <col min="10751" max="10751" width="8" style="127" customWidth="1"/>
    <col min="10752" max="10752" width="28.5" style="127" customWidth="1"/>
    <col min="10753" max="10764" width="9.125" style="127"/>
    <col min="10765" max="10765" width="10.625" style="127" customWidth="1"/>
    <col min="10766" max="11006" width="9.125" style="127"/>
    <col min="11007" max="11007" width="8" style="127" customWidth="1"/>
    <col min="11008" max="11008" width="28.5" style="127" customWidth="1"/>
    <col min="11009" max="11020" width="9.125" style="127"/>
    <col min="11021" max="11021" width="10.625" style="127" customWidth="1"/>
    <col min="11022" max="11262" width="9.125" style="127"/>
    <col min="11263" max="11263" width="8" style="127" customWidth="1"/>
    <col min="11264" max="11264" width="28.5" style="127" customWidth="1"/>
    <col min="11265" max="11276" width="9.125" style="127"/>
    <col min="11277" max="11277" width="10.625" style="127" customWidth="1"/>
    <col min="11278" max="11518" width="9.125" style="127"/>
    <col min="11519" max="11519" width="8" style="127" customWidth="1"/>
    <col min="11520" max="11520" width="28.5" style="127" customWidth="1"/>
    <col min="11521" max="11532" width="9.125" style="127"/>
    <col min="11533" max="11533" width="10.625" style="127" customWidth="1"/>
    <col min="11534" max="11774" width="9.125" style="127"/>
    <col min="11775" max="11775" width="8" style="127" customWidth="1"/>
    <col min="11776" max="11776" width="28.5" style="127" customWidth="1"/>
    <col min="11777" max="11788" width="9.125" style="127"/>
    <col min="11789" max="11789" width="10.625" style="127" customWidth="1"/>
    <col min="11790" max="12030" width="9.125" style="127"/>
    <col min="12031" max="12031" width="8" style="127" customWidth="1"/>
    <col min="12032" max="12032" width="28.5" style="127" customWidth="1"/>
    <col min="12033" max="12044" width="9.125" style="127"/>
    <col min="12045" max="12045" width="10.625" style="127" customWidth="1"/>
    <col min="12046" max="12286" width="9.125" style="127"/>
    <col min="12287" max="12287" width="8" style="127" customWidth="1"/>
    <col min="12288" max="12288" width="28.5" style="127" customWidth="1"/>
    <col min="12289" max="12300" width="9.125" style="127"/>
    <col min="12301" max="12301" width="10.625" style="127" customWidth="1"/>
    <col min="12302" max="12542" width="9.125" style="127"/>
    <col min="12543" max="12543" width="8" style="127" customWidth="1"/>
    <col min="12544" max="12544" width="28.5" style="127" customWidth="1"/>
    <col min="12545" max="12556" width="9.125" style="127"/>
    <col min="12557" max="12557" width="10.625" style="127" customWidth="1"/>
    <col min="12558" max="12798" width="9.125" style="127"/>
    <col min="12799" max="12799" width="8" style="127" customWidth="1"/>
    <col min="12800" max="12800" width="28.5" style="127" customWidth="1"/>
    <col min="12801" max="12812" width="9.125" style="127"/>
    <col min="12813" max="12813" width="10.625" style="127" customWidth="1"/>
    <col min="12814" max="13054" width="9.125" style="127"/>
    <col min="13055" max="13055" width="8" style="127" customWidth="1"/>
    <col min="13056" max="13056" width="28.5" style="127" customWidth="1"/>
    <col min="13057" max="13068" width="9.125" style="127"/>
    <col min="13069" max="13069" width="10.625" style="127" customWidth="1"/>
    <col min="13070" max="13310" width="9.125" style="127"/>
    <col min="13311" max="13311" width="8" style="127" customWidth="1"/>
    <col min="13312" max="13312" width="28.5" style="127" customWidth="1"/>
    <col min="13313" max="13324" width="9.125" style="127"/>
    <col min="13325" max="13325" width="10.625" style="127" customWidth="1"/>
    <col min="13326" max="13566" width="9.125" style="127"/>
    <col min="13567" max="13567" width="8" style="127" customWidth="1"/>
    <col min="13568" max="13568" width="28.5" style="127" customWidth="1"/>
    <col min="13569" max="13580" width="9.125" style="127"/>
    <col min="13581" max="13581" width="10.625" style="127" customWidth="1"/>
    <col min="13582" max="13822" width="9.125" style="127"/>
    <col min="13823" max="13823" width="8" style="127" customWidth="1"/>
    <col min="13824" max="13824" width="28.5" style="127" customWidth="1"/>
    <col min="13825" max="13836" width="9.125" style="127"/>
    <col min="13837" max="13837" width="10.625" style="127" customWidth="1"/>
    <col min="13838" max="14078" width="9.125" style="127"/>
    <col min="14079" max="14079" width="8" style="127" customWidth="1"/>
    <col min="14080" max="14080" width="28.5" style="127" customWidth="1"/>
    <col min="14081" max="14092" width="9.125" style="127"/>
    <col min="14093" max="14093" width="10.625" style="127" customWidth="1"/>
    <col min="14094" max="14334" width="9.125" style="127"/>
    <col min="14335" max="14335" width="8" style="127" customWidth="1"/>
    <col min="14336" max="14336" width="28.5" style="127" customWidth="1"/>
    <col min="14337" max="14348" width="9.125" style="127"/>
    <col min="14349" max="14349" width="10.625" style="127" customWidth="1"/>
    <col min="14350" max="14590" width="9.125" style="127"/>
    <col min="14591" max="14591" width="8" style="127" customWidth="1"/>
    <col min="14592" max="14592" width="28.5" style="127" customWidth="1"/>
    <col min="14593" max="14604" width="9.125" style="127"/>
    <col min="14605" max="14605" width="10.625" style="127" customWidth="1"/>
    <col min="14606" max="14846" width="9.125" style="127"/>
    <col min="14847" max="14847" width="8" style="127" customWidth="1"/>
    <col min="14848" max="14848" width="28.5" style="127" customWidth="1"/>
    <col min="14849" max="14860" width="9.125" style="127"/>
    <col min="14861" max="14861" width="10.625" style="127" customWidth="1"/>
    <col min="14862" max="15102" width="9.125" style="127"/>
    <col min="15103" max="15103" width="8" style="127" customWidth="1"/>
    <col min="15104" max="15104" width="28.5" style="127" customWidth="1"/>
    <col min="15105" max="15116" width="9.125" style="127"/>
    <col min="15117" max="15117" width="10.625" style="127" customWidth="1"/>
    <col min="15118" max="15358" width="9.125" style="127"/>
    <col min="15359" max="15359" width="8" style="127" customWidth="1"/>
    <col min="15360" max="15360" width="28.5" style="127" customWidth="1"/>
    <col min="15361" max="15372" width="9.125" style="127"/>
    <col min="15373" max="15373" width="10.625" style="127" customWidth="1"/>
    <col min="15374" max="15614" width="9.125" style="127"/>
    <col min="15615" max="15615" width="8" style="127" customWidth="1"/>
    <col min="15616" max="15616" width="28.5" style="127" customWidth="1"/>
    <col min="15617" max="15628" width="9.125" style="127"/>
    <col min="15629" max="15629" width="10.625" style="127" customWidth="1"/>
    <col min="15630" max="15870" width="9.125" style="127"/>
    <col min="15871" max="15871" width="8" style="127" customWidth="1"/>
    <col min="15872" max="15872" width="28.5" style="127" customWidth="1"/>
    <col min="15873" max="15884" width="9.125" style="127"/>
    <col min="15885" max="15885" width="10.625" style="127" customWidth="1"/>
    <col min="15886" max="16126" width="9.125" style="127"/>
    <col min="16127" max="16127" width="8" style="127" customWidth="1"/>
    <col min="16128" max="16128" width="28.5" style="127" customWidth="1"/>
    <col min="16129" max="16140" width="9.125" style="127"/>
    <col min="16141" max="16141" width="10.625" style="127" customWidth="1"/>
    <col min="16142" max="16384" width="9.125" style="127"/>
  </cols>
  <sheetData>
    <row r="1" spans="1:13" ht="18.75">
      <c r="A1" s="128" t="s">
        <v>16</v>
      </c>
      <c r="B1" s="129"/>
      <c r="C1" s="130"/>
      <c r="D1" s="130"/>
      <c r="E1" s="129"/>
      <c r="F1" s="130"/>
      <c r="G1" s="130"/>
      <c r="H1" s="129"/>
      <c r="I1" s="130"/>
      <c r="J1" s="130"/>
      <c r="K1" s="130"/>
      <c r="L1" s="130"/>
      <c r="M1" s="130"/>
    </row>
    <row r="2" spans="1:13" ht="12">
      <c r="A2" s="127" t="s">
        <v>17</v>
      </c>
      <c r="B2" s="131"/>
    </row>
    <row r="3" spans="1:13" ht="16.899999999999999" customHeight="1">
      <c r="A3" s="132" t="s">
        <v>18</v>
      </c>
      <c r="B3" s="132" t="s">
        <v>19</v>
      </c>
      <c r="C3" s="228" t="s">
        <v>20</v>
      </c>
      <c r="D3" s="228"/>
      <c r="E3" s="228"/>
      <c r="F3" s="134"/>
      <c r="G3" s="135"/>
      <c r="H3" s="136"/>
      <c r="I3" s="136"/>
      <c r="J3" s="136" t="s">
        <v>21</v>
      </c>
      <c r="K3" s="136"/>
      <c r="L3" s="136"/>
      <c r="M3" s="157"/>
    </row>
    <row r="4" spans="1:13" ht="16.149999999999999" customHeight="1">
      <c r="A4" s="137"/>
      <c r="B4" s="137" t="s">
        <v>22</v>
      </c>
      <c r="C4" s="133">
        <v>2017</v>
      </c>
      <c r="D4" s="133">
        <f t="shared" ref="D4:L4" si="0">C4+1</f>
        <v>2018</v>
      </c>
      <c r="E4" s="133">
        <f t="shared" si="0"/>
        <v>2019</v>
      </c>
      <c r="F4" s="133">
        <f t="shared" si="0"/>
        <v>2020</v>
      </c>
      <c r="G4" s="133">
        <f t="shared" si="0"/>
        <v>2021</v>
      </c>
      <c r="H4" s="138">
        <f t="shared" si="0"/>
        <v>2022</v>
      </c>
      <c r="I4" s="138">
        <f t="shared" si="0"/>
        <v>2023</v>
      </c>
      <c r="J4" s="138">
        <f t="shared" si="0"/>
        <v>2024</v>
      </c>
      <c r="K4" s="138">
        <f t="shared" si="0"/>
        <v>2025</v>
      </c>
      <c r="L4" s="138">
        <f t="shared" si="0"/>
        <v>2026</v>
      </c>
      <c r="M4" s="158" t="s">
        <v>23</v>
      </c>
    </row>
    <row r="5" spans="1:13" ht="15.6" customHeight="1">
      <c r="A5" s="139">
        <v>1</v>
      </c>
      <c r="B5" s="140" t="s">
        <v>24</v>
      </c>
      <c r="C5" s="141">
        <f>SUM(C6:C9)</f>
        <v>0</v>
      </c>
      <c r="D5" s="141">
        <f t="shared" ref="D5:L5" si="1">SUM(D6:D9)</f>
        <v>0</v>
      </c>
      <c r="E5" s="141" t="e">
        <f t="shared" si="1"/>
        <v>#REF!</v>
      </c>
      <c r="F5" s="141" t="e">
        <f t="shared" si="1"/>
        <v>#REF!</v>
      </c>
      <c r="G5" s="141" t="e">
        <f t="shared" si="1"/>
        <v>#REF!</v>
      </c>
      <c r="H5" s="141" t="e">
        <f t="shared" si="1"/>
        <v>#REF!</v>
      </c>
      <c r="I5" s="141" t="e">
        <f t="shared" si="1"/>
        <v>#REF!</v>
      </c>
      <c r="J5" s="141" t="e">
        <f t="shared" si="1"/>
        <v>#REF!</v>
      </c>
      <c r="K5" s="141" t="e">
        <f t="shared" si="1"/>
        <v>#REF!</v>
      </c>
      <c r="L5" s="141" t="e">
        <f t="shared" si="1"/>
        <v>#REF!</v>
      </c>
      <c r="M5" s="145" t="e">
        <f t="shared" ref="M5:M17" si="2">SUM(C5:L5)</f>
        <v>#REF!</v>
      </c>
    </row>
    <row r="6" spans="1:13" ht="15.6" customHeight="1">
      <c r="A6" s="139">
        <v>1.1000000000000001</v>
      </c>
      <c r="B6" s="142" t="s">
        <v>25</v>
      </c>
      <c r="C6" s="143"/>
      <c r="D6" s="143"/>
      <c r="E6" s="143" t="e">
        <f>#REF!</f>
        <v>#REF!</v>
      </c>
      <c r="F6" s="143" t="e">
        <f>#REF!</f>
        <v>#REF!</v>
      </c>
      <c r="G6" s="143" t="e">
        <f>#REF!</f>
        <v>#REF!</v>
      </c>
      <c r="H6" s="143" t="e">
        <f>#REF!</f>
        <v>#REF!</v>
      </c>
      <c r="I6" s="143" t="e">
        <f>#REF!</f>
        <v>#REF!</v>
      </c>
      <c r="J6" s="143" t="e">
        <f>#REF!</f>
        <v>#REF!</v>
      </c>
      <c r="K6" s="143" t="e">
        <f>#REF!</f>
        <v>#REF!</v>
      </c>
      <c r="L6" s="143" t="e">
        <f>#REF!</f>
        <v>#REF!</v>
      </c>
      <c r="M6" s="145" t="e">
        <f t="shared" si="2"/>
        <v>#REF!</v>
      </c>
    </row>
    <row r="7" spans="1:13" ht="15.6" customHeight="1">
      <c r="A7" s="139">
        <v>1.2</v>
      </c>
      <c r="B7" s="142" t="s">
        <v>26</v>
      </c>
      <c r="C7" s="143"/>
      <c r="D7" s="143"/>
      <c r="E7" s="143">
        <f>[1]折、摊!G18</f>
        <v>0</v>
      </c>
      <c r="F7" s="143">
        <f>[1]折、摊!H18</f>
        <v>0</v>
      </c>
      <c r="G7" s="143">
        <f>[1]折、摊!I18</f>
        <v>0</v>
      </c>
      <c r="H7" s="143">
        <f>[1]折、摊!J18</f>
        <v>0</v>
      </c>
      <c r="I7" s="143">
        <f>[1]折、摊!K18</f>
        <v>0</v>
      </c>
      <c r="J7" s="143">
        <f>[1]折、摊!L18</f>
        <v>0</v>
      </c>
      <c r="K7" s="143">
        <f>[1]折、摊!M18</f>
        <v>0</v>
      </c>
      <c r="L7" s="143">
        <f>[1]折、摊!N18</f>
        <v>0</v>
      </c>
      <c r="M7" s="145">
        <f t="shared" si="2"/>
        <v>0</v>
      </c>
    </row>
    <row r="8" spans="1:13" ht="15.6" customHeight="1">
      <c r="A8" s="139">
        <v>1.3</v>
      </c>
      <c r="B8" s="142" t="s">
        <v>27</v>
      </c>
      <c r="C8" s="143" t="s">
        <v>28</v>
      </c>
      <c r="D8" s="143" t="s">
        <v>28</v>
      </c>
      <c r="E8" s="143" t="s">
        <v>28</v>
      </c>
      <c r="F8" s="143" t="s">
        <v>28</v>
      </c>
      <c r="G8" s="143" t="s">
        <v>28</v>
      </c>
      <c r="H8" s="143" t="s">
        <v>28</v>
      </c>
      <c r="I8" s="143" t="s">
        <v>28</v>
      </c>
      <c r="J8" s="143" t="s">
        <v>28</v>
      </c>
      <c r="K8" s="143" t="s">
        <v>28</v>
      </c>
      <c r="L8" s="143"/>
      <c r="M8" s="145">
        <f t="shared" si="2"/>
        <v>0</v>
      </c>
    </row>
    <row r="9" spans="1:13" s="126" customFormat="1" ht="15.6" customHeight="1">
      <c r="A9" s="144">
        <v>1.4</v>
      </c>
      <c r="B9" s="145" t="s">
        <v>29</v>
      </c>
      <c r="C9" s="143" t="s">
        <v>28</v>
      </c>
      <c r="D9" s="143" t="s">
        <v>28</v>
      </c>
      <c r="E9" s="143" t="s">
        <v>28</v>
      </c>
      <c r="F9" s="143" t="s">
        <v>28</v>
      </c>
      <c r="G9" s="143" t="s">
        <v>28</v>
      </c>
      <c r="H9" s="143" t="s">
        <v>28</v>
      </c>
      <c r="I9" s="143" t="s">
        <v>28</v>
      </c>
      <c r="J9" s="143" t="s">
        <v>28</v>
      </c>
      <c r="K9" s="143" t="s">
        <v>28</v>
      </c>
      <c r="L9" s="143" t="s">
        <v>28</v>
      </c>
      <c r="M9" s="145">
        <f t="shared" si="2"/>
        <v>0</v>
      </c>
    </row>
    <row r="10" spans="1:13" ht="15.6" customHeight="1">
      <c r="A10" s="144">
        <v>2</v>
      </c>
      <c r="B10" s="140" t="s">
        <v>30</v>
      </c>
      <c r="C10" s="141">
        <f t="shared" ref="C10:L10" si="3">SUM(C11:C16)</f>
        <v>0</v>
      </c>
      <c r="D10" s="141">
        <f t="shared" si="3"/>
        <v>0</v>
      </c>
      <c r="E10" s="141">
        <f t="shared" si="3"/>
        <v>0</v>
      </c>
      <c r="F10" s="141">
        <f t="shared" si="3"/>
        <v>0</v>
      </c>
      <c r="G10" s="141">
        <f t="shared" si="3"/>
        <v>0</v>
      </c>
      <c r="H10" s="141">
        <f t="shared" si="3"/>
        <v>0</v>
      </c>
      <c r="I10" s="141">
        <f t="shared" si="3"/>
        <v>0</v>
      </c>
      <c r="J10" s="141">
        <f t="shared" si="3"/>
        <v>0</v>
      </c>
      <c r="K10" s="141">
        <f t="shared" si="3"/>
        <v>0</v>
      </c>
      <c r="L10" s="141">
        <f t="shared" si="3"/>
        <v>0</v>
      </c>
      <c r="M10" s="145">
        <f t="shared" si="2"/>
        <v>0</v>
      </c>
    </row>
    <row r="11" spans="1:13" ht="15" customHeight="1">
      <c r="A11" s="139">
        <v>2.1</v>
      </c>
      <c r="B11" s="139" t="s">
        <v>31</v>
      </c>
      <c r="C11" s="143">
        <f>([1]计划!C6-[1]计划!C7)</f>
        <v>0</v>
      </c>
      <c r="D11" s="143">
        <f>([1]计划!D6-[1]计划!D7)</f>
        <v>0</v>
      </c>
      <c r="E11" s="143">
        <f>([1]计划!E6-[1]计划!E7)</f>
        <v>0</v>
      </c>
      <c r="F11" s="143">
        <f>([1]计划!F6-[1]计划!F7)</f>
        <v>0</v>
      </c>
      <c r="G11" s="143">
        <f>([1]计划!G6-[1]计划!G7)</f>
        <v>0</v>
      </c>
      <c r="H11" s="143">
        <f>([1]计划!H6-[1]计划!H7)</f>
        <v>0</v>
      </c>
      <c r="I11" s="143">
        <f>([1]计划!I6-[1]计划!I7)</f>
        <v>0</v>
      </c>
      <c r="J11" s="143">
        <f>([1]计划!J6-[1]计划!J7)</f>
        <v>0</v>
      </c>
      <c r="K11" s="143">
        <f>([1]计划!K6-[1]计划!K7)</f>
        <v>0</v>
      </c>
      <c r="L11" s="143">
        <f>([1]计划!L6-[1]计划!L7)</f>
        <v>0</v>
      </c>
      <c r="M11" s="145">
        <f t="shared" si="2"/>
        <v>0</v>
      </c>
    </row>
    <row r="12" spans="1:13" s="126" customFormat="1" ht="15" customHeight="1">
      <c r="A12" s="139">
        <v>2.2000000000000002</v>
      </c>
      <c r="B12" s="145" t="s">
        <v>32</v>
      </c>
      <c r="C12" s="143">
        <f>[1]计划!C8</f>
        <v>0</v>
      </c>
      <c r="D12" s="143">
        <f>[1]计划!D8</f>
        <v>0</v>
      </c>
      <c r="E12" s="143">
        <f>[1]计划!E8</f>
        <v>0</v>
      </c>
      <c r="F12" s="143">
        <f>[1]计划!F8</f>
        <v>0</v>
      </c>
      <c r="G12" s="143">
        <f>[1]计划!G8</f>
        <v>0</v>
      </c>
      <c r="H12" s="143">
        <f>[1]计划!H8</f>
        <v>0</v>
      </c>
      <c r="I12" s="143">
        <f>[1]计划!I8</f>
        <v>0</v>
      </c>
      <c r="J12" s="143">
        <f>[1]计划!J8</f>
        <v>0</v>
      </c>
      <c r="K12" s="143">
        <f>[1]计划!K8</f>
        <v>0</v>
      </c>
      <c r="L12" s="143">
        <f>[1]计划!L8</f>
        <v>0</v>
      </c>
      <c r="M12" s="145">
        <f t="shared" si="2"/>
        <v>0</v>
      </c>
    </row>
    <row r="13" spans="1:13" ht="15" customHeight="1">
      <c r="A13" s="139">
        <v>2.2999999999999998</v>
      </c>
      <c r="B13" s="142" t="s">
        <v>33</v>
      </c>
      <c r="C13" s="143">
        <f>[1]总成本!C22</f>
        <v>0</v>
      </c>
      <c r="D13" s="143">
        <f>[1]总成本!D22</f>
        <v>0</v>
      </c>
      <c r="E13" s="143">
        <f>[1]总成本!E22</f>
        <v>0</v>
      </c>
      <c r="F13" s="143">
        <f>[1]总成本!F22</f>
        <v>0</v>
      </c>
      <c r="G13" s="143">
        <f>[1]总成本!G22</f>
        <v>0</v>
      </c>
      <c r="H13" s="143">
        <f>[1]总成本!H22</f>
        <v>0</v>
      </c>
      <c r="I13" s="143">
        <f>[1]总成本!I22</f>
        <v>0</v>
      </c>
      <c r="J13" s="143">
        <f>[1]总成本!J22</f>
        <v>0</v>
      </c>
      <c r="K13" s="143">
        <f>[1]总成本!K22</f>
        <v>0</v>
      </c>
      <c r="L13" s="143">
        <f>[1]总成本!L22</f>
        <v>0</v>
      </c>
      <c r="M13" s="145">
        <f t="shared" si="2"/>
        <v>0</v>
      </c>
    </row>
    <row r="14" spans="1:13" ht="15" customHeight="1">
      <c r="A14" s="139">
        <v>2.4</v>
      </c>
      <c r="B14" s="142" t="s">
        <v>34</v>
      </c>
      <c r="C14" s="143">
        <f>[1]价格!D15</f>
        <v>0</v>
      </c>
      <c r="D14" s="143">
        <f>[1]价格!E15</f>
        <v>0</v>
      </c>
      <c r="E14" s="143">
        <f>[1]价格!F15</f>
        <v>0</v>
      </c>
      <c r="F14" s="143">
        <f>[1]价格!G15</f>
        <v>0</v>
      </c>
      <c r="G14" s="143">
        <f>[1]价格!H15</f>
        <v>0</v>
      </c>
      <c r="H14" s="143">
        <f>[1]价格!I15</f>
        <v>0</v>
      </c>
      <c r="I14" s="143">
        <f>[1]价格!J15</f>
        <v>0</v>
      </c>
      <c r="J14" s="143">
        <f>[1]价格!K15</f>
        <v>0</v>
      </c>
      <c r="K14" s="143">
        <f>[1]价格!L15</f>
        <v>0</v>
      </c>
      <c r="L14" s="143">
        <f>[1]价格!M15</f>
        <v>0</v>
      </c>
      <c r="M14" s="145">
        <f t="shared" si="2"/>
        <v>0</v>
      </c>
    </row>
    <row r="15" spans="1:13" ht="15" customHeight="1">
      <c r="A15" s="139">
        <v>2.5</v>
      </c>
      <c r="B15" s="142" t="s">
        <v>35</v>
      </c>
      <c r="C15" s="143">
        <f>[1]利润!C13</f>
        <v>0</v>
      </c>
      <c r="D15" s="143">
        <f>[1]利润!D13</f>
        <v>0</v>
      </c>
      <c r="E15" s="143">
        <f>[1]利润!E13</f>
        <v>0</v>
      </c>
      <c r="F15" s="143">
        <f>[1]利润!F13</f>
        <v>0</v>
      </c>
      <c r="G15" s="143">
        <f>[1]利润!G13</f>
        <v>0</v>
      </c>
      <c r="H15" s="143">
        <f>[1]利润!H13</f>
        <v>0</v>
      </c>
      <c r="I15" s="143">
        <f>[1]利润!I13</f>
        <v>0</v>
      </c>
      <c r="J15" s="143">
        <f>[1]利润!J13</f>
        <v>0</v>
      </c>
      <c r="K15" s="143">
        <f>[1]利润!K13</f>
        <v>0</v>
      </c>
      <c r="L15" s="143">
        <f>[1]利润!L13</f>
        <v>0</v>
      </c>
      <c r="M15" s="145">
        <f t="shared" si="2"/>
        <v>0</v>
      </c>
    </row>
    <row r="16" spans="1:13" ht="15" customHeight="1">
      <c r="A16" s="139">
        <v>2.6</v>
      </c>
      <c r="B16" s="142" t="s">
        <v>36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5">
        <f t="shared" si="2"/>
        <v>0</v>
      </c>
    </row>
    <row r="17" spans="1:18" ht="12">
      <c r="A17" s="139">
        <v>3</v>
      </c>
      <c r="B17" s="140" t="s">
        <v>37</v>
      </c>
      <c r="C17" s="141">
        <f t="shared" ref="C17:L17" si="4">C5-C10</f>
        <v>0</v>
      </c>
      <c r="D17" s="141">
        <f t="shared" si="4"/>
        <v>0</v>
      </c>
      <c r="E17" s="141" t="e">
        <f t="shared" si="4"/>
        <v>#REF!</v>
      </c>
      <c r="F17" s="141" t="e">
        <f t="shared" si="4"/>
        <v>#REF!</v>
      </c>
      <c r="G17" s="141" t="e">
        <f t="shared" si="4"/>
        <v>#REF!</v>
      </c>
      <c r="H17" s="141" t="e">
        <f t="shared" si="4"/>
        <v>#REF!</v>
      </c>
      <c r="I17" s="141" t="e">
        <f t="shared" si="4"/>
        <v>#REF!</v>
      </c>
      <c r="J17" s="141" t="e">
        <f t="shared" si="4"/>
        <v>#REF!</v>
      </c>
      <c r="K17" s="141" t="e">
        <f t="shared" si="4"/>
        <v>#REF!</v>
      </c>
      <c r="L17" s="141" t="e">
        <f t="shared" si="4"/>
        <v>#REF!</v>
      </c>
      <c r="M17" s="145" t="e">
        <f t="shared" si="2"/>
        <v>#REF!</v>
      </c>
    </row>
    <row r="18" spans="1:18" ht="12">
      <c r="A18" s="146">
        <v>4</v>
      </c>
      <c r="B18" s="142" t="s">
        <v>38</v>
      </c>
      <c r="C18" s="143">
        <f>C17</f>
        <v>0</v>
      </c>
      <c r="D18" s="143">
        <f t="shared" ref="D18:L18" si="5">C18+D17</f>
        <v>0</v>
      </c>
      <c r="E18" s="143" t="e">
        <f t="shared" si="5"/>
        <v>#REF!</v>
      </c>
      <c r="F18" s="143" t="e">
        <f t="shared" si="5"/>
        <v>#REF!</v>
      </c>
      <c r="G18" s="143" t="e">
        <f t="shared" si="5"/>
        <v>#REF!</v>
      </c>
      <c r="H18" s="143" t="e">
        <f t="shared" si="5"/>
        <v>#REF!</v>
      </c>
      <c r="I18" s="143" t="e">
        <f t="shared" si="5"/>
        <v>#REF!</v>
      </c>
      <c r="J18" s="143" t="e">
        <f t="shared" si="5"/>
        <v>#REF!</v>
      </c>
      <c r="K18" s="143" t="e">
        <f t="shared" si="5"/>
        <v>#REF!</v>
      </c>
      <c r="L18" s="143" t="e">
        <f t="shared" si="5"/>
        <v>#REF!</v>
      </c>
      <c r="M18" s="142" t="s">
        <v>28</v>
      </c>
    </row>
    <row r="19" spans="1:18" s="126" customFormat="1" ht="12">
      <c r="A19" s="146">
        <v>5</v>
      </c>
      <c r="B19" s="142" t="s">
        <v>39</v>
      </c>
      <c r="C19" s="143">
        <f t="shared" ref="C19:L19" si="6">C17+C15</f>
        <v>0</v>
      </c>
      <c r="D19" s="143">
        <f t="shared" si="6"/>
        <v>0</v>
      </c>
      <c r="E19" s="143" t="e">
        <f t="shared" si="6"/>
        <v>#REF!</v>
      </c>
      <c r="F19" s="143" t="e">
        <f t="shared" si="6"/>
        <v>#REF!</v>
      </c>
      <c r="G19" s="143" t="e">
        <f t="shared" si="6"/>
        <v>#REF!</v>
      </c>
      <c r="H19" s="143" t="e">
        <f t="shared" si="6"/>
        <v>#REF!</v>
      </c>
      <c r="I19" s="143" t="e">
        <f t="shared" si="6"/>
        <v>#REF!</v>
      </c>
      <c r="J19" s="143" t="e">
        <f t="shared" si="6"/>
        <v>#REF!</v>
      </c>
      <c r="K19" s="143" t="e">
        <f t="shared" si="6"/>
        <v>#REF!</v>
      </c>
      <c r="L19" s="143" t="e">
        <f t="shared" si="6"/>
        <v>#REF!</v>
      </c>
      <c r="M19" s="145" t="e">
        <f>SUM(C19:L19)</f>
        <v>#REF!</v>
      </c>
    </row>
    <row r="20" spans="1:18" s="126" customFormat="1" ht="12">
      <c r="A20" s="139">
        <v>6</v>
      </c>
      <c r="B20" s="142" t="s">
        <v>40</v>
      </c>
      <c r="C20" s="143">
        <f>C19</f>
        <v>0</v>
      </c>
      <c r="D20" s="143">
        <f t="shared" ref="D20:L20" si="7">C20+D19</f>
        <v>0</v>
      </c>
      <c r="E20" s="143" t="e">
        <f t="shared" si="7"/>
        <v>#REF!</v>
      </c>
      <c r="F20" s="143" t="e">
        <f t="shared" si="7"/>
        <v>#REF!</v>
      </c>
      <c r="G20" s="143" t="e">
        <f t="shared" si="7"/>
        <v>#REF!</v>
      </c>
      <c r="H20" s="143" t="e">
        <f t="shared" si="7"/>
        <v>#REF!</v>
      </c>
      <c r="I20" s="143" t="e">
        <f t="shared" si="7"/>
        <v>#REF!</v>
      </c>
      <c r="J20" s="143" t="e">
        <f t="shared" si="7"/>
        <v>#REF!</v>
      </c>
      <c r="K20" s="143" t="e">
        <f t="shared" si="7"/>
        <v>#REF!</v>
      </c>
      <c r="L20" s="143" t="e">
        <f t="shared" si="7"/>
        <v>#REF!</v>
      </c>
      <c r="M20" s="142" t="s">
        <v>28</v>
      </c>
    </row>
    <row r="21" spans="1:18" ht="12">
      <c r="A21" s="147"/>
      <c r="B21" s="148" t="s">
        <v>41</v>
      </c>
      <c r="C21" s="148"/>
      <c r="D21" s="148"/>
      <c r="E21" s="148" t="s">
        <v>42</v>
      </c>
      <c r="F21" s="148"/>
      <c r="G21" s="148"/>
      <c r="H21" s="148"/>
      <c r="I21" s="148" t="s">
        <v>43</v>
      </c>
      <c r="J21" s="148"/>
      <c r="K21" s="148"/>
      <c r="L21" s="148"/>
      <c r="M21" s="159"/>
    </row>
    <row r="22" spans="1:18" ht="12">
      <c r="A22" s="149"/>
      <c r="B22" s="150" t="s">
        <v>44</v>
      </c>
      <c r="C22" s="150"/>
      <c r="D22" s="151" t="s">
        <v>45</v>
      </c>
      <c r="E22" s="152" t="e">
        <f>IRR(C17:L17,0.15)</f>
        <v>#VALUE!</v>
      </c>
      <c r="F22" s="150"/>
      <c r="G22" s="150"/>
      <c r="H22" s="150"/>
      <c r="I22" s="152" t="e">
        <f>IRR(C19:L19,0.15)</f>
        <v>#VALUE!</v>
      </c>
      <c r="J22" s="150"/>
      <c r="K22" s="150"/>
      <c r="L22" s="150"/>
      <c r="M22" s="160"/>
    </row>
    <row r="23" spans="1:18" ht="12">
      <c r="A23" s="149"/>
      <c r="B23" s="150" t="s">
        <v>46</v>
      </c>
      <c r="C23" s="150"/>
      <c r="D23" s="150"/>
      <c r="E23" s="153" t="e">
        <f>NPV(0.12,C17:L17)</f>
        <v>#REF!</v>
      </c>
      <c r="F23" s="150"/>
      <c r="G23" s="150"/>
      <c r="H23" s="150"/>
      <c r="I23" s="153" t="e">
        <f>NPV(0.12,C19:L19)</f>
        <v>#REF!</v>
      </c>
      <c r="J23" s="150"/>
      <c r="K23" s="150"/>
      <c r="L23" s="150"/>
      <c r="M23" s="160"/>
      <c r="R23" s="127">
        <f>30.9-29.82</f>
        <v>1.08</v>
      </c>
    </row>
    <row r="24" spans="1:18" ht="12">
      <c r="A24" s="154"/>
      <c r="B24" s="155" t="s">
        <v>47</v>
      </c>
      <c r="C24" s="155"/>
      <c r="D24" s="155"/>
      <c r="E24" s="156" t="e">
        <f>6-H18/I17</f>
        <v>#REF!</v>
      </c>
      <c r="F24" s="155"/>
      <c r="G24" s="155"/>
      <c r="H24" s="155"/>
      <c r="I24" s="156" t="e">
        <f>6-H20/I19</f>
        <v>#REF!</v>
      </c>
      <c r="J24" s="155"/>
      <c r="K24" s="155"/>
      <c r="L24" s="155"/>
      <c r="M24" s="161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C23" sqref="C23"/>
    </sheetView>
  </sheetViews>
  <sheetFormatPr defaultColWidth="9" defaultRowHeight="16.5"/>
  <cols>
    <col min="1" max="1" width="5.125" style="101" customWidth="1"/>
    <col min="2" max="2" width="19.625" style="101" customWidth="1"/>
    <col min="3" max="3" width="12.5" style="101" customWidth="1"/>
    <col min="4" max="7" width="12.5" style="102" customWidth="1"/>
    <col min="8" max="8" width="14.25" style="102" customWidth="1"/>
    <col min="9" max="34" width="9" style="101"/>
    <col min="35" max="35" width="4.375" style="101" customWidth="1"/>
    <col min="36" max="36" width="13.875" style="101" customWidth="1"/>
    <col min="37" max="16384" width="9" style="101"/>
  </cols>
  <sheetData>
    <row r="1" spans="1:37" ht="36.75" customHeight="1">
      <c r="A1" s="231" t="s">
        <v>295</v>
      </c>
      <c r="B1" s="231"/>
      <c r="C1" s="231"/>
      <c r="D1" s="231"/>
      <c r="E1" s="231"/>
      <c r="F1" s="231"/>
      <c r="G1" s="231"/>
      <c r="H1" s="231"/>
    </row>
    <row r="2" spans="1:37" ht="22.5" customHeight="1">
      <c r="B2" s="171"/>
      <c r="C2" s="171"/>
      <c r="D2" s="171"/>
      <c r="E2" s="171"/>
      <c r="F2" s="171"/>
      <c r="G2" s="171" t="s">
        <v>270</v>
      </c>
      <c r="H2" s="171"/>
    </row>
    <row r="3" spans="1:37" ht="21.75" customHeight="1">
      <c r="A3" s="229" t="s">
        <v>18</v>
      </c>
      <c r="B3" s="103" t="s">
        <v>1</v>
      </c>
      <c r="C3" s="103" t="s">
        <v>265</v>
      </c>
      <c r="D3" s="103" t="s">
        <v>266</v>
      </c>
      <c r="E3" s="103" t="s">
        <v>267</v>
      </c>
      <c r="F3" s="103" t="s">
        <v>268</v>
      </c>
      <c r="G3" s="103" t="s">
        <v>269</v>
      </c>
      <c r="H3" s="122" t="s">
        <v>51</v>
      </c>
      <c r="AK3" s="101" t="s">
        <v>52</v>
      </c>
    </row>
    <row r="4" spans="1:37" s="71" customFormat="1" ht="15.75" customHeight="1">
      <c r="A4" s="230"/>
      <c r="B4" s="79" t="s">
        <v>3</v>
      </c>
      <c r="C4" s="104">
        <f>'2025年'!S6</f>
        <v>300</v>
      </c>
      <c r="D4" s="104">
        <f>'2026年'!S6</f>
        <v>1800</v>
      </c>
      <c r="E4" s="104">
        <f>'2027年'!S6</f>
        <v>3900</v>
      </c>
      <c r="F4" s="104">
        <f>'2028年'!S6</f>
        <v>4200</v>
      </c>
      <c r="G4" s="104">
        <f>'2029年'!S6</f>
        <v>4800</v>
      </c>
      <c r="H4" s="104">
        <f t="shared" ref="H4:H10" si="0">SUM(C4:G4)</f>
        <v>15000</v>
      </c>
      <c r="AI4" s="78" t="s">
        <v>18</v>
      </c>
      <c r="AJ4" s="79" t="s">
        <v>3</v>
      </c>
      <c r="AK4" s="71" t="s">
        <v>53</v>
      </c>
    </row>
    <row r="5" spans="1:37" s="71" customFormat="1" ht="15.75" customHeight="1">
      <c r="A5" s="75">
        <v>1</v>
      </c>
      <c r="B5" s="79" t="s">
        <v>54</v>
      </c>
      <c r="C5" s="104">
        <f>'2025年'!S7</f>
        <v>302101.5</v>
      </c>
      <c r="D5" s="104">
        <f>'2026年'!S7</f>
        <v>1812609</v>
      </c>
      <c r="E5" s="104">
        <f>'2027年'!S7</f>
        <v>3927319.5</v>
      </c>
      <c r="F5" s="104">
        <f>'2028年'!S7</f>
        <v>4229421</v>
      </c>
      <c r="G5" s="104">
        <f>'2029年'!S7</f>
        <v>4833624</v>
      </c>
      <c r="H5" s="104">
        <f t="shared" si="0"/>
        <v>15105075</v>
      </c>
      <c r="AI5" s="78" t="s">
        <v>55</v>
      </c>
      <c r="AJ5" s="79" t="s">
        <v>54</v>
      </c>
      <c r="AK5" s="71" t="s">
        <v>53</v>
      </c>
    </row>
    <row r="6" spans="1:37" s="71" customFormat="1" ht="15.75" customHeight="1">
      <c r="A6" s="75">
        <v>2</v>
      </c>
      <c r="B6" s="75" t="s">
        <v>56</v>
      </c>
      <c r="C6" s="104">
        <f>'2025年'!S8</f>
        <v>0</v>
      </c>
      <c r="D6" s="104">
        <f>'2026年'!S8</f>
        <v>90630.450000000084</v>
      </c>
      <c r="E6" s="104">
        <f>'2027年'!S8</f>
        <v>382913.65125000011</v>
      </c>
      <c r="F6" s="104">
        <f>'2028年'!S8</f>
        <v>603221.17012500006</v>
      </c>
      <c r="G6" s="104">
        <f>'2029年'!S8</f>
        <v>896607.0418500005</v>
      </c>
      <c r="H6" s="104">
        <f t="shared" si="0"/>
        <v>1973372.3132250006</v>
      </c>
      <c r="AI6" s="78" t="s">
        <v>57</v>
      </c>
      <c r="AJ6" s="75" t="s">
        <v>58</v>
      </c>
      <c r="AK6" s="71" t="s">
        <v>53</v>
      </c>
    </row>
    <row r="7" spans="1:37" s="71" customFormat="1" ht="15.75" customHeight="1">
      <c r="A7" s="75">
        <v>3</v>
      </c>
      <c r="B7" s="79" t="s">
        <v>59</v>
      </c>
      <c r="C7" s="105">
        <f>'2025年'!S9</f>
        <v>302101.5</v>
      </c>
      <c r="D7" s="105">
        <f>D5-D6</f>
        <v>1721978.5499999998</v>
      </c>
      <c r="E7" s="105">
        <f>'2027年'!S9</f>
        <v>3544405.8487499999</v>
      </c>
      <c r="F7" s="104">
        <f>'2028年'!S9</f>
        <v>3626199.8298749998</v>
      </c>
      <c r="G7" s="104">
        <f>'2029年'!S9</f>
        <v>3937016.9581499994</v>
      </c>
      <c r="H7" s="104">
        <f t="shared" si="0"/>
        <v>13131702.686774999</v>
      </c>
      <c r="AI7" s="78" t="s">
        <v>60</v>
      </c>
      <c r="AJ7" s="79" t="s">
        <v>59</v>
      </c>
      <c r="AK7" s="71" t="s">
        <v>61</v>
      </c>
    </row>
    <row r="8" spans="1:37" s="71" customFormat="1" ht="15.75" customHeight="1">
      <c r="A8" s="75">
        <v>4</v>
      </c>
      <c r="B8" s="78" t="s">
        <v>271</v>
      </c>
      <c r="C8" s="104">
        <f>'2025年'!S10</f>
        <v>172862</v>
      </c>
      <c r="D8" s="104">
        <f>'2026年'!S10</f>
        <v>985313.4</v>
      </c>
      <c r="E8" s="105">
        <f>'2027年'!S10</f>
        <v>2028103.415</v>
      </c>
      <c r="F8" s="104">
        <f>'2028年'!S10</f>
        <v>2074905.8014999998</v>
      </c>
      <c r="G8" s="104">
        <f>'2029年'!S10</f>
        <v>2252754.8702000002</v>
      </c>
      <c r="H8" s="104">
        <f t="shared" si="0"/>
        <v>7513939.4867000002</v>
      </c>
      <c r="AI8" s="78" t="s">
        <v>62</v>
      </c>
      <c r="AJ8" s="78" t="s">
        <v>63</v>
      </c>
      <c r="AK8" s="71" t="s">
        <v>64</v>
      </c>
    </row>
    <row r="9" spans="1:37" s="71" customFormat="1" ht="15.75" customHeight="1">
      <c r="A9" s="75">
        <v>5</v>
      </c>
      <c r="B9" s="78" t="s">
        <v>65</v>
      </c>
      <c r="C9" s="104">
        <f>'2025年'!S11</f>
        <v>20965.844099999998</v>
      </c>
      <c r="D9" s="104">
        <f>'2026年'!S11</f>
        <v>125795.0646</v>
      </c>
      <c r="E9" s="105">
        <f>'2027年'!S11</f>
        <v>272555.97329999995</v>
      </c>
      <c r="F9" s="104">
        <f>'2028年'!S11</f>
        <v>293521.8174</v>
      </c>
      <c r="G9" s="104">
        <f>'2029年'!S11</f>
        <v>335453.50559999997</v>
      </c>
      <c r="H9" s="104">
        <f t="shared" si="0"/>
        <v>1048292.2050000001</v>
      </c>
      <c r="AI9" s="78" t="s">
        <v>66</v>
      </c>
      <c r="AJ9" s="78" t="s">
        <v>65</v>
      </c>
    </row>
    <row r="10" spans="1:37" s="71" customFormat="1" ht="15.75" customHeight="1">
      <c r="A10" s="75">
        <v>6</v>
      </c>
      <c r="B10" s="78" t="s">
        <v>67</v>
      </c>
      <c r="C10" s="104">
        <f>'2025年'!S12</f>
        <v>13111.205100000001</v>
      </c>
      <c r="D10" s="104">
        <f>'2026年'!S12</f>
        <v>78667.230599999995</v>
      </c>
      <c r="E10" s="105">
        <f>'2027年'!S12</f>
        <v>170445.66630000001</v>
      </c>
      <c r="F10" s="104">
        <f>'2028年'!S12</f>
        <v>183556.87139999997</v>
      </c>
      <c r="G10" s="104">
        <f>'2029年'!S12</f>
        <v>209779.28160000002</v>
      </c>
      <c r="H10" s="104">
        <f t="shared" si="0"/>
        <v>655560.255</v>
      </c>
      <c r="AI10" s="78" t="s">
        <v>68</v>
      </c>
      <c r="AJ10" s="78" t="s">
        <v>67</v>
      </c>
    </row>
    <row r="11" spans="1:37" s="71" customFormat="1" ht="15.75" customHeight="1">
      <c r="A11" s="75">
        <v>7</v>
      </c>
      <c r="B11" s="78" t="s">
        <v>69</v>
      </c>
      <c r="C11" s="104">
        <f>'2025年'!S13</f>
        <v>19666.807650000002</v>
      </c>
      <c r="D11" s="104">
        <f>'2026年'!S13</f>
        <v>118000.8459</v>
      </c>
      <c r="E11" s="105">
        <f>'2027年'!S13</f>
        <v>255668.49945</v>
      </c>
      <c r="F11" s="104">
        <f>'2028年'!S13</f>
        <v>275335.30709999998</v>
      </c>
      <c r="G11" s="104">
        <f>'2029年'!S13</f>
        <v>314668.92240000004</v>
      </c>
      <c r="H11" s="104">
        <f>SUM(C11:G11)</f>
        <v>983340.38250000007</v>
      </c>
      <c r="AI11" s="78" t="s">
        <v>70</v>
      </c>
      <c r="AJ11" s="78" t="s">
        <v>69</v>
      </c>
      <c r="AK11" s="71" t="s">
        <v>53</v>
      </c>
    </row>
    <row r="12" spans="1:37" s="71" customFormat="1" ht="15.75" customHeight="1">
      <c r="A12" s="75">
        <v>8</v>
      </c>
      <c r="B12" s="106" t="s">
        <v>71</v>
      </c>
      <c r="C12" s="107">
        <f>SUM(C9:C11)</f>
        <v>53743.856850000004</v>
      </c>
      <c r="D12" s="107">
        <f t="shared" ref="D12:H12" si="1">SUM(D9:D11)</f>
        <v>322463.14110000001</v>
      </c>
      <c r="E12" s="107">
        <f t="shared" si="1"/>
        <v>698670.13905</v>
      </c>
      <c r="F12" s="107">
        <f t="shared" si="1"/>
        <v>752413.99589999998</v>
      </c>
      <c r="G12" s="107">
        <f t="shared" si="1"/>
        <v>859901.70960000006</v>
      </c>
      <c r="H12" s="107">
        <f t="shared" si="1"/>
        <v>2687192.8425000003</v>
      </c>
      <c r="AI12" s="78" t="s">
        <v>72</v>
      </c>
      <c r="AJ12" s="83" t="s">
        <v>71</v>
      </c>
    </row>
    <row r="13" spans="1:37" s="71" customFormat="1" ht="15.75" customHeight="1">
      <c r="A13" s="75">
        <v>9</v>
      </c>
      <c r="B13" s="108" t="s">
        <v>73</v>
      </c>
      <c r="C13" s="104">
        <f>'2025年'!S15</f>
        <v>75495.643149999989</v>
      </c>
      <c r="D13" s="104">
        <f>'2026年'!S15</f>
        <v>414202.00889999978</v>
      </c>
      <c r="E13" s="105">
        <f>'2027年'!S15</f>
        <v>817632.29469999985</v>
      </c>
      <c r="F13" s="104">
        <f>'2028年'!S15</f>
        <v>798880.03247500001</v>
      </c>
      <c r="G13" s="104">
        <f>'2029年'!S15</f>
        <v>824360.37834999908</v>
      </c>
      <c r="H13" s="104">
        <f>SUM(C13:G13)</f>
        <v>2930570.3575749984</v>
      </c>
      <c r="J13" s="101"/>
      <c r="K13" s="101"/>
      <c r="L13" s="101"/>
      <c r="M13" s="101"/>
      <c r="N13" s="101"/>
      <c r="O13" s="101"/>
      <c r="AI13" s="78" t="s">
        <v>74</v>
      </c>
      <c r="AJ13" s="83" t="s">
        <v>73</v>
      </c>
    </row>
    <row r="14" spans="1:37" ht="15.75" customHeight="1">
      <c r="A14" s="75">
        <v>10</v>
      </c>
      <c r="B14" s="109" t="s">
        <v>75</v>
      </c>
      <c r="C14" s="110">
        <f>+C13/C7</f>
        <v>0.24990158324271805</v>
      </c>
      <c r="D14" s="110">
        <f>+D13/D7</f>
        <v>0.24053842534798114</v>
      </c>
      <c r="E14" s="110">
        <f t="shared" ref="E14:F14" si="2">+E13/E7</f>
        <v>0.23068246966931086</v>
      </c>
      <c r="F14" s="110">
        <f t="shared" si="2"/>
        <v>0.22030777948123684</v>
      </c>
      <c r="G14" s="110">
        <f>+G13/G7</f>
        <v>0.20938705296747445</v>
      </c>
      <c r="H14" s="110">
        <f>+H13/H7</f>
        <v>0.2231675836315111</v>
      </c>
      <c r="AI14" s="109" t="s">
        <v>76</v>
      </c>
      <c r="AJ14" s="109" t="s">
        <v>75</v>
      </c>
    </row>
    <row r="15" spans="1:37" ht="15.75" customHeight="1">
      <c r="A15" s="75">
        <v>11</v>
      </c>
      <c r="B15" s="109" t="s">
        <v>77</v>
      </c>
      <c r="C15" s="104">
        <f>'2025年'!S17</f>
        <v>216823.37375</v>
      </c>
      <c r="D15" s="104">
        <f>'2026年'!S17</f>
        <v>341440.24250000005</v>
      </c>
      <c r="E15" s="105">
        <f>'2027年'!S17</f>
        <v>515903.85875000001</v>
      </c>
      <c r="F15" s="104">
        <f>'2028年'!$S$17</f>
        <v>540827.23250000004</v>
      </c>
      <c r="G15" s="104">
        <f>'2029年'!$S$17</f>
        <v>590673.9800000001</v>
      </c>
      <c r="H15" s="104">
        <f>SUM(C15:G15)</f>
        <v>2205668.6875</v>
      </c>
      <c r="AI15" s="109" t="s">
        <v>78</v>
      </c>
      <c r="AJ15" s="109" t="s">
        <v>77</v>
      </c>
    </row>
    <row r="16" spans="1:37" ht="15.75" hidden="1" customHeight="1">
      <c r="A16" s="75"/>
      <c r="B16" s="109"/>
      <c r="C16" s="104"/>
      <c r="D16" s="104"/>
      <c r="E16" s="104"/>
      <c r="F16" s="104"/>
      <c r="G16" s="104"/>
      <c r="H16" s="104">
        <f>SUM(D16:F16)</f>
        <v>0</v>
      </c>
      <c r="AI16" s="109"/>
      <c r="AJ16" s="109"/>
    </row>
    <row r="17" spans="1:37" ht="15.75" customHeight="1">
      <c r="A17" s="75">
        <v>12</v>
      </c>
      <c r="B17" s="109" t="s">
        <v>79</v>
      </c>
      <c r="C17" s="111">
        <f>'2025年'!S19</f>
        <v>5196.1458000000002</v>
      </c>
      <c r="D17" s="111">
        <f>'2026年'!S19</f>
        <v>31176.874799999994</v>
      </c>
      <c r="E17" s="111">
        <f>'2027年'!S19</f>
        <v>67549.895400000009</v>
      </c>
      <c r="F17" s="104">
        <f>'2028年'!S19</f>
        <v>72746.041199999992</v>
      </c>
      <c r="G17" s="104">
        <f>'2029年'!S19</f>
        <v>83138.332800000004</v>
      </c>
      <c r="H17" s="104">
        <f>SUM(C17:G17)</f>
        <v>259807.29</v>
      </c>
      <c r="P17" s="82"/>
      <c r="AI17" s="109" t="s">
        <v>80</v>
      </c>
      <c r="AJ17" s="109" t="s">
        <v>79</v>
      </c>
      <c r="AK17" s="101" t="s">
        <v>53</v>
      </c>
    </row>
    <row r="18" spans="1:37" ht="15.75" customHeight="1">
      <c r="A18" s="75">
        <v>13</v>
      </c>
      <c r="B18" s="109" t="s">
        <v>81</v>
      </c>
      <c r="C18" s="111">
        <f>'2025年'!S20</f>
        <v>7975.4795999999997</v>
      </c>
      <c r="D18" s="111">
        <f>'2026年'!S20</f>
        <v>47852.8776</v>
      </c>
      <c r="E18" s="111">
        <f>'2027年'!S20</f>
        <v>103681.23479999999</v>
      </c>
      <c r="F18" s="104">
        <f>'2028年'!S20</f>
        <v>111656.7144</v>
      </c>
      <c r="G18" s="104">
        <f>'2029年'!S20</f>
        <v>127607.67359999999</v>
      </c>
      <c r="H18" s="104">
        <f>SUM(C18:G18)</f>
        <v>398773.98</v>
      </c>
      <c r="AI18" s="109" t="s">
        <v>82</v>
      </c>
      <c r="AJ18" s="109" t="s">
        <v>81</v>
      </c>
    </row>
    <row r="19" spans="1:37" s="73" customFormat="1" ht="15.75" customHeight="1">
      <c r="A19" s="75">
        <v>14</v>
      </c>
      <c r="B19" s="90" t="s">
        <v>83</v>
      </c>
      <c r="C19" s="112">
        <f>'2025年'!S21</f>
        <v>45000</v>
      </c>
      <c r="D19" s="112">
        <f>'2026年'!S21</f>
        <v>45000</v>
      </c>
      <c r="E19" s="112">
        <f>'2027年'!S21</f>
        <v>45000</v>
      </c>
      <c r="F19" s="112">
        <f>'2028年'!S21</f>
        <v>45000</v>
      </c>
      <c r="G19" s="104">
        <f>'2029年'!S21</f>
        <v>45000</v>
      </c>
      <c r="H19" s="104">
        <f>SUM(C19:G19)</f>
        <v>225000</v>
      </c>
      <c r="AI19" s="90"/>
      <c r="AJ19" s="90"/>
    </row>
    <row r="20" spans="1:37" s="71" customFormat="1" ht="15.75" customHeight="1">
      <c r="A20" s="75">
        <v>15</v>
      </c>
      <c r="B20" s="78" t="s">
        <v>84</v>
      </c>
      <c r="C20" s="111">
        <f>'2025年'!S22</f>
        <v>10724.603249999998</v>
      </c>
      <c r="D20" s="111">
        <f>'2026年'!S22</f>
        <v>64347.619499999993</v>
      </c>
      <c r="E20" s="111">
        <f>'2027年'!S22</f>
        <v>139419.84224999999</v>
      </c>
      <c r="F20" s="104">
        <f>'2028年'!S22</f>
        <v>150144.4455</v>
      </c>
      <c r="G20" s="104">
        <f>'2029年'!S22</f>
        <v>171593.65199999997</v>
      </c>
      <c r="H20" s="104">
        <f>SUM(C20:G20)</f>
        <v>536230.16249999998</v>
      </c>
      <c r="AI20" s="78" t="s">
        <v>85</v>
      </c>
      <c r="AJ20" s="78" t="s">
        <v>84</v>
      </c>
    </row>
    <row r="21" spans="1:37" s="99" customFormat="1" ht="15.75" customHeight="1">
      <c r="A21" s="75">
        <v>16</v>
      </c>
      <c r="B21" s="113" t="s">
        <v>86</v>
      </c>
      <c r="C21" s="107">
        <f t="shared" ref="C21:G21" si="3">+C20+C19+C18+C17+C15</f>
        <v>285719.60239999997</v>
      </c>
      <c r="D21" s="107">
        <f t="shared" si="3"/>
        <v>529817.61440000008</v>
      </c>
      <c r="E21" s="107">
        <f t="shared" si="3"/>
        <v>871554.83120000002</v>
      </c>
      <c r="F21" s="107">
        <f t="shared" si="3"/>
        <v>920374.43359999999</v>
      </c>
      <c r="G21" s="107">
        <f t="shared" si="3"/>
        <v>1018013.6384000001</v>
      </c>
      <c r="H21" s="107">
        <f>+H20+H19+H18+H17+H15</f>
        <v>3625480.12</v>
      </c>
      <c r="AI21" s="123" t="s">
        <v>87</v>
      </c>
      <c r="AJ21" s="124" t="s">
        <v>86</v>
      </c>
    </row>
    <row r="22" spans="1:37" ht="15.75" customHeight="1">
      <c r="A22" s="75">
        <v>17</v>
      </c>
      <c r="B22" s="109" t="s">
        <v>88</v>
      </c>
      <c r="C22" s="112">
        <f>'2025年'!S24</f>
        <v>-210223.95924999999</v>
      </c>
      <c r="D22" s="114">
        <f>'2026年'!S24</f>
        <v>-115615.6055000003</v>
      </c>
      <c r="E22" s="114">
        <f>'2027年'!S24</f>
        <v>-53922.536500000046</v>
      </c>
      <c r="F22" s="104">
        <f>'2028年'!$S$24</f>
        <v>-121494.40112499997</v>
      </c>
      <c r="G22" s="104">
        <f>'2029年'!$S$24</f>
        <v>-193653.26005000097</v>
      </c>
      <c r="H22" s="104">
        <f>SUM(C22:G22)</f>
        <v>-694909.76242500124</v>
      </c>
      <c r="AI22" s="109" t="s">
        <v>89</v>
      </c>
      <c r="AJ22" s="109" t="s">
        <v>88</v>
      </c>
    </row>
    <row r="23" spans="1:37" ht="15.75" customHeight="1">
      <c r="A23" s="75">
        <v>18</v>
      </c>
      <c r="B23" s="109" t="s">
        <v>35</v>
      </c>
      <c r="C23" s="112">
        <f>'2025年'!S25</f>
        <v>0</v>
      </c>
      <c r="D23" s="114">
        <f>'2026年'!S25</f>
        <v>0</v>
      </c>
      <c r="E23" s="114">
        <f>'2027年'!S25</f>
        <v>0</v>
      </c>
      <c r="F23" s="104">
        <f>'2028年'!S25</f>
        <v>0</v>
      </c>
      <c r="G23" s="104">
        <f>'2029年'!S25</f>
        <v>0</v>
      </c>
      <c r="H23" s="104">
        <f t="shared" ref="H23" si="4">IF(H22&lt;0,0,H22*0.15)</f>
        <v>0</v>
      </c>
      <c r="AI23" s="109" t="s">
        <v>90</v>
      </c>
      <c r="AJ23" s="109" t="s">
        <v>35</v>
      </c>
    </row>
    <row r="24" spans="1:37" ht="15.75" customHeight="1">
      <c r="A24" s="75">
        <v>19</v>
      </c>
      <c r="B24" s="109" t="s">
        <v>91</v>
      </c>
      <c r="C24" s="112">
        <f>'2025年'!S26</f>
        <v>-210223.95925000001</v>
      </c>
      <c r="D24" s="114">
        <f>'2026年'!S26</f>
        <v>-115615.6055000003</v>
      </c>
      <c r="E24" s="114">
        <f>'2027年'!S26</f>
        <v>-53922.536500000046</v>
      </c>
      <c r="F24" s="104">
        <f>'2028年'!S26</f>
        <v>-121494.40112499997</v>
      </c>
      <c r="G24" s="104">
        <f>'2029年'!S26</f>
        <v>-193653.26005000097</v>
      </c>
      <c r="H24" s="104">
        <f>H22-H23</f>
        <v>-694909.76242500124</v>
      </c>
      <c r="AI24" s="109" t="s">
        <v>92</v>
      </c>
      <c r="AJ24" s="109" t="s">
        <v>91</v>
      </c>
    </row>
    <row r="25" spans="1:37" ht="15.75" customHeight="1">
      <c r="A25" s="75">
        <v>20</v>
      </c>
      <c r="B25" s="109" t="s">
        <v>93</v>
      </c>
      <c r="C25" s="115">
        <f>C24/C7</f>
        <v>-0.69587194783872308</v>
      </c>
      <c r="D25" s="115">
        <f t="shared" ref="D25:G25" si="5">D24/D7</f>
        <v>-6.7141141508412119E-2</v>
      </c>
      <c r="E25" s="115">
        <f>E24/E7</f>
        <v>-1.5213420471873114E-2</v>
      </c>
      <c r="F25" s="115">
        <f t="shared" si="5"/>
        <v>-3.3504607254142435E-2</v>
      </c>
      <c r="G25" s="115">
        <f t="shared" si="5"/>
        <v>-4.9187814558207657E-2</v>
      </c>
      <c r="H25" s="115">
        <f>H24/H7</f>
        <v>-5.2918481251090783E-2</v>
      </c>
      <c r="AI25" s="125" t="s">
        <v>94</v>
      </c>
      <c r="AJ25" s="125" t="s">
        <v>95</v>
      </c>
    </row>
    <row r="26" spans="1:37" s="100" customFormat="1" ht="15.75" customHeight="1">
      <c r="D26" s="116"/>
      <c r="E26" s="116"/>
      <c r="F26" s="116"/>
      <c r="G26" s="116"/>
      <c r="H26" s="116"/>
    </row>
    <row r="27" spans="1:37" s="100" customFormat="1" ht="15.75" customHeight="1">
      <c r="A27" s="100" t="s">
        <v>96</v>
      </c>
      <c r="D27" s="117"/>
      <c r="E27" s="117"/>
      <c r="F27" s="117"/>
      <c r="G27" s="117"/>
      <c r="H27" s="117"/>
      <c r="AI27" s="100" t="s">
        <v>96</v>
      </c>
    </row>
    <row r="28" spans="1:37" ht="25.5" customHeight="1">
      <c r="A28" s="109" t="s">
        <v>18</v>
      </c>
      <c r="B28" s="172" t="s">
        <v>1</v>
      </c>
      <c r="C28" s="103" t="str">
        <f>C3</f>
        <v>2025年</v>
      </c>
      <c r="D28" s="103" t="str">
        <f t="shared" ref="D28:G28" si="6">D3</f>
        <v>2026年</v>
      </c>
      <c r="E28" s="103" t="str">
        <f t="shared" si="6"/>
        <v>2027年</v>
      </c>
      <c r="F28" s="103" t="str">
        <f t="shared" si="6"/>
        <v>2028年</v>
      </c>
      <c r="G28" s="103" t="str">
        <f t="shared" si="6"/>
        <v>2029年</v>
      </c>
      <c r="H28" s="122" t="s">
        <v>51</v>
      </c>
      <c r="AK28" s="101" t="s">
        <v>52</v>
      </c>
    </row>
    <row r="29" spans="1:37" s="71" customFormat="1" ht="15.75" customHeight="1">
      <c r="A29" s="78" t="s">
        <v>97</v>
      </c>
      <c r="B29" s="83" t="s">
        <v>98</v>
      </c>
      <c r="C29" s="83"/>
      <c r="D29" s="89"/>
      <c r="E29" s="89"/>
      <c r="F29" s="89"/>
      <c r="G29" s="89"/>
      <c r="H29" s="89"/>
      <c r="AI29" s="78" t="s">
        <v>99</v>
      </c>
      <c r="AJ29" s="83" t="s">
        <v>98</v>
      </c>
    </row>
    <row r="30" spans="1:37" s="71" customFormat="1" ht="15.75" customHeight="1">
      <c r="A30" s="78" t="s">
        <v>55</v>
      </c>
      <c r="B30" s="78" t="s">
        <v>100</v>
      </c>
      <c r="C30" s="81">
        <f>+C7/C4</f>
        <v>1007.005</v>
      </c>
      <c r="D30" s="81">
        <f t="shared" ref="D30:H30" si="7">+D7/D4</f>
        <v>956.65474999999992</v>
      </c>
      <c r="E30" s="81">
        <f t="shared" si="7"/>
        <v>908.82201250000003</v>
      </c>
      <c r="F30" s="81">
        <f t="shared" si="7"/>
        <v>863.38091187499992</v>
      </c>
      <c r="G30" s="81">
        <f t="shared" si="7"/>
        <v>820.21186628124985</v>
      </c>
      <c r="H30" s="81">
        <f t="shared" si="7"/>
        <v>875.44684578499994</v>
      </c>
      <c r="AI30" s="78" t="s">
        <v>55</v>
      </c>
      <c r="AJ30" s="78" t="s">
        <v>100</v>
      </c>
    </row>
    <row r="31" spans="1:37" s="71" customFormat="1" ht="15.75" customHeight="1">
      <c r="A31" s="78" t="s">
        <v>57</v>
      </c>
      <c r="B31" s="78" t="s">
        <v>101</v>
      </c>
      <c r="C31" s="81">
        <f>+C8/C4</f>
        <v>576.20666666666671</v>
      </c>
      <c r="D31" s="81">
        <f t="shared" ref="D31:H31" si="8">+D8/D4</f>
        <v>547.39633333333336</v>
      </c>
      <c r="E31" s="81">
        <f t="shared" si="8"/>
        <v>520.02651666666668</v>
      </c>
      <c r="F31" s="81">
        <f t="shared" si="8"/>
        <v>494.02519083333328</v>
      </c>
      <c r="G31" s="81">
        <f t="shared" si="8"/>
        <v>469.32393129166672</v>
      </c>
      <c r="H31" s="81">
        <f t="shared" si="8"/>
        <v>500.92929911333334</v>
      </c>
      <c r="AI31" s="78" t="s">
        <v>57</v>
      </c>
      <c r="AJ31" s="78" t="s">
        <v>101</v>
      </c>
    </row>
    <row r="32" spans="1:37" s="71" customFormat="1" ht="15.75" customHeight="1">
      <c r="A32" s="78" t="s">
        <v>102</v>
      </c>
      <c r="B32" s="78" t="s">
        <v>103</v>
      </c>
      <c r="C32" s="89">
        <f>C30-C31</f>
        <v>430.79833333333329</v>
      </c>
      <c r="D32" s="89">
        <f t="shared" ref="D32:H32" si="9">D30-D31</f>
        <v>409.25841666666656</v>
      </c>
      <c r="E32" s="89">
        <f t="shared" si="9"/>
        <v>388.79549583333335</v>
      </c>
      <c r="F32" s="89">
        <f t="shared" si="9"/>
        <v>369.35572104166664</v>
      </c>
      <c r="G32" s="89">
        <f t="shared" si="9"/>
        <v>350.88793498958313</v>
      </c>
      <c r="H32" s="89">
        <f t="shared" si="9"/>
        <v>374.51754667166659</v>
      </c>
      <c r="AI32" s="78" t="s">
        <v>102</v>
      </c>
      <c r="AJ32" s="78" t="s">
        <v>103</v>
      </c>
    </row>
    <row r="33" spans="1:36" s="71" customFormat="1" ht="15.75" customHeight="1">
      <c r="A33" s="78">
        <v>3.1</v>
      </c>
      <c r="B33" s="78" t="s">
        <v>104</v>
      </c>
      <c r="C33" s="84">
        <f>C32/C30</f>
        <v>0.42780158324271805</v>
      </c>
      <c r="D33" s="84">
        <f t="shared" ref="D33:H33" si="10">D32/D30</f>
        <v>0.427801583242718</v>
      </c>
      <c r="E33" s="84">
        <f t="shared" si="10"/>
        <v>0.42780158324271811</v>
      </c>
      <c r="F33" s="84">
        <f t="shared" si="10"/>
        <v>0.42780158324271811</v>
      </c>
      <c r="G33" s="84">
        <f t="shared" si="10"/>
        <v>0.42780158324271794</v>
      </c>
      <c r="H33" s="84">
        <f t="shared" si="10"/>
        <v>0.42780158324271805</v>
      </c>
      <c r="AI33" s="78"/>
      <c r="AJ33" s="78"/>
    </row>
    <row r="34" spans="1:36" s="71" customFormat="1" ht="15.75" customHeight="1">
      <c r="A34" s="78" t="s">
        <v>99</v>
      </c>
      <c r="B34" s="83" t="s">
        <v>9</v>
      </c>
      <c r="C34" s="89"/>
      <c r="D34" s="89"/>
      <c r="E34" s="89"/>
      <c r="F34" s="89"/>
      <c r="G34" s="89"/>
      <c r="H34" s="89"/>
      <c r="AI34" s="78" t="s">
        <v>105</v>
      </c>
      <c r="AJ34" s="83" t="s">
        <v>9</v>
      </c>
    </row>
    <row r="35" spans="1:36" s="71" customFormat="1" ht="15.75" customHeight="1">
      <c r="A35" s="78" t="s">
        <v>55</v>
      </c>
      <c r="B35" s="90" t="s">
        <v>106</v>
      </c>
      <c r="C35" s="81">
        <f>+C9/C4</f>
        <v>69.886146999999994</v>
      </c>
      <c r="D35" s="81">
        <f t="shared" ref="D35:H35" si="11">+D9/D4</f>
        <v>69.886146999999994</v>
      </c>
      <c r="E35" s="81">
        <f t="shared" si="11"/>
        <v>69.886146999999994</v>
      </c>
      <c r="F35" s="81">
        <f t="shared" si="11"/>
        <v>69.886146999999994</v>
      </c>
      <c r="G35" s="81">
        <f t="shared" si="11"/>
        <v>69.886146999999994</v>
      </c>
      <c r="H35" s="81">
        <f t="shared" si="11"/>
        <v>69.886147000000008</v>
      </c>
      <c r="AI35" s="78" t="s">
        <v>102</v>
      </c>
      <c r="AJ35" s="78" t="s">
        <v>106</v>
      </c>
    </row>
    <row r="36" spans="1:36" s="71" customFormat="1" ht="15.75" customHeight="1">
      <c r="A36" s="78" t="s">
        <v>57</v>
      </c>
      <c r="B36" s="90" t="s">
        <v>107</v>
      </c>
      <c r="C36" s="81">
        <f>+C10/C4</f>
        <v>43.704017</v>
      </c>
      <c r="D36" s="81">
        <f t="shared" ref="D36:H36" si="12">+D10/D4</f>
        <v>43.704017</v>
      </c>
      <c r="E36" s="81">
        <f t="shared" si="12"/>
        <v>43.704017</v>
      </c>
      <c r="F36" s="81">
        <f t="shared" si="12"/>
        <v>43.704016999999993</v>
      </c>
      <c r="G36" s="81">
        <f t="shared" si="12"/>
        <v>43.704017</v>
      </c>
      <c r="H36" s="81">
        <f t="shared" si="12"/>
        <v>43.704017</v>
      </c>
      <c r="AI36" s="78" t="s">
        <v>60</v>
      </c>
      <c r="AJ36" s="78" t="s">
        <v>107</v>
      </c>
    </row>
    <row r="37" spans="1:36" s="71" customFormat="1" ht="15.75" customHeight="1">
      <c r="A37" s="78" t="s">
        <v>102</v>
      </c>
      <c r="B37" s="90" t="s">
        <v>108</v>
      </c>
      <c r="C37" s="81">
        <f>+C11/C4</f>
        <v>65.556025500000004</v>
      </c>
      <c r="D37" s="81">
        <f t="shared" ref="D37:H37" si="13">+D11/D4</f>
        <v>65.556025500000004</v>
      </c>
      <c r="E37" s="81">
        <f t="shared" si="13"/>
        <v>65.556025500000004</v>
      </c>
      <c r="F37" s="81">
        <f t="shared" si="13"/>
        <v>65.55602549999999</v>
      </c>
      <c r="G37" s="81">
        <f t="shared" si="13"/>
        <v>65.556025500000004</v>
      </c>
      <c r="H37" s="81">
        <f t="shared" si="13"/>
        <v>65.556025500000004</v>
      </c>
      <c r="AI37" s="78" t="s">
        <v>66</v>
      </c>
      <c r="AJ37" s="78" t="s">
        <v>108</v>
      </c>
    </row>
    <row r="38" spans="1:36" s="71" customFormat="1" ht="15.75" customHeight="1">
      <c r="A38" s="78" t="s">
        <v>109</v>
      </c>
      <c r="B38" s="108" t="s">
        <v>110</v>
      </c>
      <c r="C38" s="81"/>
      <c r="D38" s="81"/>
      <c r="E38" s="81"/>
      <c r="F38" s="81"/>
      <c r="G38" s="81"/>
      <c r="H38" s="81"/>
      <c r="AI38" s="78" t="s">
        <v>109</v>
      </c>
      <c r="AJ38" s="83" t="s">
        <v>110</v>
      </c>
    </row>
    <row r="39" spans="1:36" s="71" customFormat="1">
      <c r="A39" s="78" t="s">
        <v>55</v>
      </c>
      <c r="B39" s="90" t="s">
        <v>273</v>
      </c>
      <c r="C39" s="81">
        <f>+C13/C4</f>
        <v>251.6521438333333</v>
      </c>
      <c r="D39" s="81">
        <f t="shared" ref="D39:H39" si="14">+D13/D4</f>
        <v>230.11222716666654</v>
      </c>
      <c r="E39" s="81">
        <f t="shared" si="14"/>
        <v>209.6493063333333</v>
      </c>
      <c r="F39" s="81">
        <f t="shared" si="14"/>
        <v>190.20953154166668</v>
      </c>
      <c r="G39" s="81">
        <f t="shared" si="14"/>
        <v>171.74174548958314</v>
      </c>
      <c r="H39" s="81">
        <f t="shared" si="14"/>
        <v>195.37135717166657</v>
      </c>
      <c r="AI39" s="78" t="s">
        <v>55</v>
      </c>
      <c r="AJ39" s="78" t="s">
        <v>111</v>
      </c>
    </row>
    <row r="40" spans="1:36" s="71" customFormat="1" ht="15.75" customHeight="1">
      <c r="A40" s="78" t="s">
        <v>57</v>
      </c>
      <c r="B40" s="90" t="s">
        <v>112</v>
      </c>
      <c r="C40" s="104">
        <f>+C21/C39</f>
        <v>1135.3751970785086</v>
      </c>
      <c r="D40" s="104">
        <f t="shared" ref="D40:H40" si="15">+D21/D39</f>
        <v>2302.4313871694517</v>
      </c>
      <c r="E40" s="104">
        <f t="shared" si="15"/>
        <v>4157.2035054304715</v>
      </c>
      <c r="F40" s="104">
        <f t="shared" si="15"/>
        <v>4838.739815719412</v>
      </c>
      <c r="G40" s="104">
        <f t="shared" si="15"/>
        <v>5927.5840914388918</v>
      </c>
      <c r="H40" s="104">
        <f t="shared" si="15"/>
        <v>18556.86612656535</v>
      </c>
      <c r="AI40" s="78" t="s">
        <v>57</v>
      </c>
      <c r="AJ40" s="78" t="s">
        <v>112</v>
      </c>
    </row>
    <row r="41" spans="1:36" s="71" customFormat="1" ht="15.75" customHeight="1">
      <c r="A41" s="78" t="s">
        <v>113</v>
      </c>
      <c r="B41" s="83" t="s">
        <v>114</v>
      </c>
      <c r="C41" s="89"/>
      <c r="D41" s="89"/>
      <c r="E41" s="89"/>
      <c r="F41" s="89"/>
      <c r="G41" s="89"/>
      <c r="H41" s="89"/>
      <c r="AI41" s="78" t="s">
        <v>113</v>
      </c>
      <c r="AJ41" s="83" t="s">
        <v>114</v>
      </c>
    </row>
    <row r="42" spans="1:36" s="71" customFormat="1" ht="15.75" customHeight="1">
      <c r="A42" s="78" t="s">
        <v>55</v>
      </c>
      <c r="B42" s="78" t="s">
        <v>115</v>
      </c>
      <c r="C42" s="89">
        <f>+C15/C4</f>
        <v>722.74457916666665</v>
      </c>
      <c r="D42" s="89">
        <f t="shared" ref="D42:H42" si="16">+D15/D4</f>
        <v>189.68902361111114</v>
      </c>
      <c r="E42" s="89">
        <f t="shared" si="16"/>
        <v>132.2830407051282</v>
      </c>
      <c r="F42" s="89">
        <f t="shared" si="16"/>
        <v>128.7683886904762</v>
      </c>
      <c r="G42" s="89">
        <f t="shared" si="16"/>
        <v>123.05707916666668</v>
      </c>
      <c r="H42" s="89">
        <f t="shared" si="16"/>
        <v>147.04457916666667</v>
      </c>
      <c r="AI42" s="78" t="s">
        <v>55</v>
      </c>
      <c r="AJ42" s="78" t="s">
        <v>115</v>
      </c>
    </row>
    <row r="43" spans="1:36" s="71" customFormat="1" ht="15.75" customHeight="1">
      <c r="A43" s="78" t="s">
        <v>57</v>
      </c>
      <c r="B43" s="78" t="s">
        <v>116</v>
      </c>
      <c r="C43" s="89">
        <f>+C17/C4</f>
        <v>17.320486000000002</v>
      </c>
      <c r="D43" s="89">
        <f t="shared" ref="D43:H43" si="17">+D17/D4</f>
        <v>17.320485999999995</v>
      </c>
      <c r="E43" s="89">
        <f t="shared" si="17"/>
        <v>17.320486000000002</v>
      </c>
      <c r="F43" s="89">
        <f t="shared" si="17"/>
        <v>17.320485999999999</v>
      </c>
      <c r="G43" s="89">
        <f t="shared" si="17"/>
        <v>17.320486000000002</v>
      </c>
      <c r="H43" s="89">
        <f t="shared" si="17"/>
        <v>17.320485999999999</v>
      </c>
      <c r="AI43" s="78" t="s">
        <v>57</v>
      </c>
      <c r="AJ43" s="78" t="s">
        <v>116</v>
      </c>
    </row>
    <row r="44" spans="1:36" s="71" customFormat="1" ht="15.75" customHeight="1">
      <c r="A44" s="78" t="s">
        <v>102</v>
      </c>
      <c r="B44" s="78" t="s">
        <v>117</v>
      </c>
      <c r="C44" s="89">
        <f>+C18/C4</f>
        <v>26.584931999999998</v>
      </c>
      <c r="D44" s="89">
        <f t="shared" ref="D44:H44" si="18">+D18/D4</f>
        <v>26.584931999999998</v>
      </c>
      <c r="E44" s="89">
        <f t="shared" si="18"/>
        <v>26.584931999999998</v>
      </c>
      <c r="F44" s="89">
        <f t="shared" si="18"/>
        <v>26.584931999999998</v>
      </c>
      <c r="G44" s="89">
        <f t="shared" si="18"/>
        <v>26.584931999999998</v>
      </c>
      <c r="H44" s="89">
        <f t="shared" si="18"/>
        <v>26.584931999999998</v>
      </c>
      <c r="AI44" s="78" t="s">
        <v>102</v>
      </c>
      <c r="AJ44" s="78" t="s">
        <v>117</v>
      </c>
    </row>
    <row r="45" spans="1:36" s="71" customFormat="1" ht="15.75" customHeight="1">
      <c r="A45" s="78" t="s">
        <v>60</v>
      </c>
      <c r="B45" s="78" t="s">
        <v>118</v>
      </c>
      <c r="C45" s="89">
        <f>C19/C4</f>
        <v>150</v>
      </c>
      <c r="D45" s="89">
        <f t="shared" ref="D45:H45" si="19">D19/D4</f>
        <v>25</v>
      </c>
      <c r="E45" s="89">
        <f t="shared" si="19"/>
        <v>11.538461538461538</v>
      </c>
      <c r="F45" s="89">
        <f t="shared" si="19"/>
        <v>10.714285714285714</v>
      </c>
      <c r="G45" s="89">
        <f t="shared" si="19"/>
        <v>9.375</v>
      </c>
      <c r="H45" s="89">
        <f t="shared" si="19"/>
        <v>15</v>
      </c>
      <c r="AI45" s="78" t="s">
        <v>60</v>
      </c>
      <c r="AJ45" s="78" t="s">
        <v>119</v>
      </c>
    </row>
    <row r="46" spans="1:36" s="71" customFormat="1" ht="15.75" customHeight="1">
      <c r="A46" s="78" t="s">
        <v>62</v>
      </c>
      <c r="B46" s="78" t="s">
        <v>120</v>
      </c>
      <c r="C46" s="89">
        <f>C20/C4</f>
        <v>35.748677499999992</v>
      </c>
      <c r="D46" s="89">
        <f t="shared" ref="D46:H46" si="20">D20/D4</f>
        <v>35.748677499999999</v>
      </c>
      <c r="E46" s="89">
        <f t="shared" si="20"/>
        <v>35.748677499999999</v>
      </c>
      <c r="F46" s="89">
        <f t="shared" si="20"/>
        <v>35.748677499999999</v>
      </c>
      <c r="G46" s="89">
        <f t="shared" si="20"/>
        <v>35.748677499999992</v>
      </c>
      <c r="H46" s="89">
        <f t="shared" si="20"/>
        <v>35.748677499999999</v>
      </c>
      <c r="AI46" s="78" t="s">
        <v>62</v>
      </c>
      <c r="AJ46" s="78" t="s">
        <v>120</v>
      </c>
    </row>
    <row r="47" spans="1:36" s="71" customFormat="1" ht="15.75" customHeight="1">
      <c r="A47" s="78" t="s">
        <v>121</v>
      </c>
      <c r="B47" s="83" t="s">
        <v>122</v>
      </c>
      <c r="C47" s="89"/>
      <c r="D47" s="89"/>
      <c r="E47" s="89"/>
      <c r="F47" s="89"/>
      <c r="G47" s="89"/>
      <c r="H47" s="89"/>
      <c r="AI47" s="78" t="s">
        <v>121</v>
      </c>
      <c r="AJ47" s="83" t="s">
        <v>122</v>
      </c>
    </row>
    <row r="48" spans="1:36" s="71" customFormat="1" ht="15.75" customHeight="1">
      <c r="A48" s="78" t="s">
        <v>55</v>
      </c>
      <c r="B48" s="78" t="s">
        <v>123</v>
      </c>
      <c r="C48" s="92">
        <f>+(C11+C17)/C7</f>
        <v>8.2299999999999998E-2</v>
      </c>
      <c r="D48" s="92">
        <f t="shared" ref="D48:H48" si="21">+(D11+D17)/D7</f>
        <v>8.6631578947368434E-2</v>
      </c>
      <c r="E48" s="92">
        <f t="shared" si="21"/>
        <v>9.1191135734072032E-2</v>
      </c>
      <c r="F48" s="92">
        <f t="shared" si="21"/>
        <v>9.5990669193760009E-2</v>
      </c>
      <c r="G48" s="92">
        <f t="shared" si="21"/>
        <v>0.10104280967764215</v>
      </c>
      <c r="H48" s="92">
        <f t="shared" si="21"/>
        <v>9.4667668173144079E-2</v>
      </c>
      <c r="AI48" s="78" t="s">
        <v>55</v>
      </c>
      <c r="AJ48" s="78" t="s">
        <v>123</v>
      </c>
    </row>
    <row r="49" spans="1:36" s="71" customFormat="1" ht="15.75" customHeight="1">
      <c r="A49" s="78" t="s">
        <v>57</v>
      </c>
      <c r="B49" s="78" t="s">
        <v>124</v>
      </c>
      <c r="C49" s="92">
        <f>+(C9+C10+C15)/C7</f>
        <v>0.83051697177935235</v>
      </c>
      <c r="D49" s="92">
        <f t="shared" ref="D49:H49" si="22">+(D9+D10+D15)/D7</f>
        <v>0.31702052136479869</v>
      </c>
      <c r="E49" s="92">
        <f t="shared" si="22"/>
        <v>0.27054054734961452</v>
      </c>
      <c r="F49" s="92">
        <f t="shared" si="22"/>
        <v>0.28070872236930439</v>
      </c>
      <c r="G49" s="92">
        <f t="shared" si="22"/>
        <v>0.28851965314717914</v>
      </c>
      <c r="H49" s="92">
        <f t="shared" si="22"/>
        <v>0.29771623990827156</v>
      </c>
      <c r="AI49" s="78" t="s">
        <v>57</v>
      </c>
      <c r="AJ49" s="78" t="s">
        <v>124</v>
      </c>
    </row>
    <row r="50" spans="1:36" s="71" customFormat="1" ht="15.75" customHeight="1">
      <c r="A50" s="78" t="s">
        <v>102</v>
      </c>
      <c r="B50" s="78" t="s">
        <v>125</v>
      </c>
      <c r="C50" s="92">
        <f>+C18/C7</f>
        <v>2.64E-2</v>
      </c>
      <c r="D50" s="92">
        <f t="shared" ref="D50:H50" si="23">+D18/D7</f>
        <v>2.7789473684210531E-2</v>
      </c>
      <c r="E50" s="92">
        <f t="shared" si="23"/>
        <v>2.9252077562326867E-2</v>
      </c>
      <c r="F50" s="92">
        <f t="shared" si="23"/>
        <v>3.0791660591923023E-2</v>
      </c>
      <c r="G50" s="92">
        <f t="shared" si="23"/>
        <v>3.2412274307287395E-2</v>
      </c>
      <c r="H50" s="92">
        <f t="shared" si="23"/>
        <v>3.0367271443147062E-2</v>
      </c>
      <c r="AI50" s="78" t="s">
        <v>102</v>
      </c>
      <c r="AJ50" s="78" t="s">
        <v>125</v>
      </c>
    </row>
    <row r="51" spans="1:36" s="71" customFormat="1" ht="15.75" customHeight="1">
      <c r="A51" s="78" t="s">
        <v>60</v>
      </c>
      <c r="B51" s="78" t="s">
        <v>126</v>
      </c>
      <c r="C51" s="92">
        <f>+C19/C7</f>
        <v>0.14895655930208887</v>
      </c>
      <c r="D51" s="92">
        <f t="shared" ref="D51:H51" si="24">+D19/D7</f>
        <v>2.6132729702120858E-2</v>
      </c>
      <c r="E51" s="92">
        <f t="shared" si="24"/>
        <v>1.2696063013176124E-2</v>
      </c>
      <c r="F51" s="92">
        <f t="shared" si="24"/>
        <v>1.2409685651976662E-2</v>
      </c>
      <c r="G51" s="92">
        <f t="shared" si="24"/>
        <v>1.1429973626820612E-2</v>
      </c>
      <c r="H51" s="92">
        <f t="shared" si="24"/>
        <v>1.7134107081680928E-2</v>
      </c>
      <c r="AI51" s="78" t="s">
        <v>60</v>
      </c>
      <c r="AJ51" s="78" t="s">
        <v>126</v>
      </c>
    </row>
    <row r="52" spans="1:36" s="71" customFormat="1" ht="15.75" customHeight="1">
      <c r="A52" s="78" t="s">
        <v>62</v>
      </c>
      <c r="B52" s="78" t="s">
        <v>127</v>
      </c>
      <c r="C52" s="92">
        <f>+C20/C7</f>
        <v>3.5499999999999997E-2</v>
      </c>
      <c r="D52" s="92">
        <f t="shared" ref="D52:H52" si="25">+D20/D7</f>
        <v>3.7368421052631579E-2</v>
      </c>
      <c r="E52" s="92">
        <f t="shared" si="25"/>
        <v>3.933518005540166E-2</v>
      </c>
      <c r="F52" s="92">
        <f t="shared" si="25"/>
        <v>4.1405452689896489E-2</v>
      </c>
      <c r="G52" s="92">
        <f t="shared" si="25"/>
        <v>4.3584687041996299E-2</v>
      </c>
      <c r="H52" s="92">
        <f t="shared" si="25"/>
        <v>4.0834777887565177E-2</v>
      </c>
      <c r="AI52" s="78" t="s">
        <v>62</v>
      </c>
      <c r="AJ52" s="78" t="s">
        <v>127</v>
      </c>
    </row>
    <row r="53" spans="1:36" s="71" customFormat="1" ht="15.75" customHeight="1">
      <c r="A53" s="78" t="s">
        <v>66</v>
      </c>
      <c r="B53" s="78" t="s">
        <v>128</v>
      </c>
      <c r="C53" s="92">
        <f>+C24/C7</f>
        <v>-0.69587194783872308</v>
      </c>
      <c r="D53" s="92">
        <f t="shared" ref="D53:H53" si="26">+D24/D7</f>
        <v>-6.7141141508412119E-2</v>
      </c>
      <c r="E53" s="92">
        <f t="shared" si="26"/>
        <v>-1.5213420471873114E-2</v>
      </c>
      <c r="F53" s="92">
        <f t="shared" si="26"/>
        <v>-3.3504607254142435E-2</v>
      </c>
      <c r="G53" s="92">
        <f t="shared" si="26"/>
        <v>-4.9187814558207657E-2</v>
      </c>
      <c r="H53" s="92">
        <f t="shared" si="26"/>
        <v>-5.2918481251090783E-2</v>
      </c>
      <c r="AI53" s="78" t="s">
        <v>66</v>
      </c>
      <c r="AJ53" s="78" t="s">
        <v>129</v>
      </c>
    </row>
    <row r="54" spans="1:36" s="71" customFormat="1" ht="15.75" customHeight="1">
      <c r="A54" s="78" t="s">
        <v>130</v>
      </c>
      <c r="B54" s="83" t="s">
        <v>131</v>
      </c>
      <c r="C54" s="89">
        <f>+C22/C4</f>
        <v>-700.74653083333328</v>
      </c>
      <c r="D54" s="89">
        <f t="shared" ref="D54:H54" si="27">+D22/D4</f>
        <v>-64.230891944444608</v>
      </c>
      <c r="E54" s="89">
        <f t="shared" si="27"/>
        <v>-13.826291410256422</v>
      </c>
      <c r="F54" s="89">
        <f t="shared" si="27"/>
        <v>-28.927238363095231</v>
      </c>
      <c r="G54" s="89">
        <f t="shared" si="27"/>
        <v>-40.344429177083533</v>
      </c>
      <c r="H54" s="89">
        <f t="shared" si="27"/>
        <v>-46.327317495000081</v>
      </c>
      <c r="AI54" s="78" t="s">
        <v>130</v>
      </c>
      <c r="AJ54" s="83" t="s">
        <v>131</v>
      </c>
    </row>
    <row r="55" spans="1:36" s="71" customFormat="1" ht="32.25" customHeight="1">
      <c r="A55" s="78" t="s">
        <v>132</v>
      </c>
      <c r="B55" s="118" t="s">
        <v>133</v>
      </c>
      <c r="C55" s="118"/>
      <c r="D55" s="89"/>
      <c r="E55" s="89"/>
      <c r="F55" s="89"/>
      <c r="G55" s="89"/>
      <c r="H55" s="89"/>
      <c r="AI55" s="78"/>
      <c r="AJ55" s="83"/>
    </row>
    <row r="56" spans="1:36" s="71" customFormat="1" ht="15.75" customHeight="1">
      <c r="A56" s="78" t="s">
        <v>55</v>
      </c>
      <c r="B56" s="78" t="s">
        <v>134</v>
      </c>
      <c r="C56" s="89">
        <f>C57+C58</f>
        <v>1235000</v>
      </c>
      <c r="D56" s="89"/>
      <c r="E56" s="89"/>
      <c r="F56" s="89"/>
      <c r="G56" s="89"/>
      <c r="H56" s="89"/>
    </row>
    <row r="57" spans="1:36" s="71" customFormat="1" ht="15.75" customHeight="1">
      <c r="A57" s="78">
        <v>1.1000000000000001</v>
      </c>
      <c r="B57" s="119" t="s">
        <v>135</v>
      </c>
      <c r="C57" s="89">
        <f>项目投资!B27</f>
        <v>225000</v>
      </c>
      <c r="D57" s="89"/>
      <c r="E57" s="89"/>
      <c r="F57" s="89"/>
      <c r="G57" s="89"/>
      <c r="H57" s="89"/>
    </row>
    <row r="58" spans="1:36" s="71" customFormat="1" ht="15.75" customHeight="1">
      <c r="A58" s="78">
        <v>1.2</v>
      </c>
      <c r="B58" s="78" t="s">
        <v>136</v>
      </c>
      <c r="C58" s="89">
        <f>项目投资!B26</f>
        <v>1010000</v>
      </c>
      <c r="D58" s="89"/>
      <c r="E58" s="89"/>
      <c r="F58" s="89"/>
      <c r="G58" s="89"/>
      <c r="H58" s="89"/>
    </row>
    <row r="59" spans="1:36" ht="15.75" customHeight="1">
      <c r="A59" s="109" t="s">
        <v>57</v>
      </c>
      <c r="B59" s="109" t="s">
        <v>137</v>
      </c>
      <c r="C59" s="120">
        <f>C60+C61</f>
        <v>-210223.95925000001</v>
      </c>
      <c r="D59" s="120">
        <f t="shared" ref="D59:H59" si="28">D60+D61</f>
        <v>-115615.6055000003</v>
      </c>
      <c r="E59" s="120">
        <f t="shared" si="28"/>
        <v>-53922.536500000046</v>
      </c>
      <c r="F59" s="120">
        <f t="shared" si="28"/>
        <v>-121494.40112499997</v>
      </c>
      <c r="G59" s="120">
        <f t="shared" si="28"/>
        <v>-193653.26005000097</v>
      </c>
      <c r="H59" s="120">
        <f t="shared" si="28"/>
        <v>-694909.76242500124</v>
      </c>
    </row>
    <row r="60" spans="1:36" ht="15.75" customHeight="1">
      <c r="A60" s="109" t="s">
        <v>102</v>
      </c>
      <c r="B60" s="109" t="s">
        <v>138</v>
      </c>
      <c r="C60" s="120">
        <f>C24</f>
        <v>-210223.95925000001</v>
      </c>
      <c r="D60" s="120">
        <f t="shared" ref="D60:H60" si="29">D24</f>
        <v>-115615.6055000003</v>
      </c>
      <c r="E60" s="120">
        <f t="shared" si="29"/>
        <v>-53922.536500000046</v>
      </c>
      <c r="F60" s="120">
        <f t="shared" si="29"/>
        <v>-121494.40112499997</v>
      </c>
      <c r="G60" s="120">
        <f t="shared" si="29"/>
        <v>-193653.26005000097</v>
      </c>
      <c r="H60" s="120">
        <f t="shared" si="29"/>
        <v>-694909.76242500124</v>
      </c>
    </row>
    <row r="61" spans="1:36" ht="15.75" customHeight="1">
      <c r="A61" s="109" t="s">
        <v>60</v>
      </c>
      <c r="B61" s="109" t="s">
        <v>139</v>
      </c>
      <c r="C61" s="109"/>
      <c r="D61" s="120">
        <f>'[2]2023年'!I18</f>
        <v>0</v>
      </c>
      <c r="E61" s="120"/>
      <c r="F61" s="120"/>
      <c r="G61" s="120"/>
      <c r="H61" s="120">
        <f>[2]项目投资!G26</f>
        <v>0</v>
      </c>
    </row>
    <row r="62" spans="1:36" ht="15.75" customHeight="1">
      <c r="A62" s="109" t="s">
        <v>62</v>
      </c>
      <c r="B62" s="109" t="s">
        <v>140</v>
      </c>
      <c r="C62" s="109"/>
      <c r="D62" s="121"/>
      <c r="E62" s="121"/>
      <c r="F62" s="121"/>
      <c r="G62" s="121"/>
      <c r="H62" s="120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7" sqref="F7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2" width="9" style="71"/>
    <col min="43" max="43" width="4.375" style="71" customWidth="1"/>
    <col min="44" max="44" width="13.875" style="71" customWidth="1"/>
    <col min="45" max="16384" width="9" style="71"/>
  </cols>
  <sheetData>
    <row r="1" spans="1:45">
      <c r="A1" s="232" t="s">
        <v>141</v>
      </c>
      <c r="B1" s="232"/>
      <c r="C1" s="236" t="s">
        <v>264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/>
    </row>
    <row r="2" spans="1:45">
      <c r="A2" s="232" t="s">
        <v>142</v>
      </c>
      <c r="B2" s="232"/>
      <c r="C2" s="239" t="s">
        <v>283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45">
      <c r="A3" s="232" t="s">
        <v>143</v>
      </c>
      <c r="B3" s="232"/>
      <c r="C3" s="76" t="str">
        <f>销量!C5</f>
        <v>驾驶员座椅总成</v>
      </c>
      <c r="D3" s="76" t="str">
        <f>销量!D5</f>
        <v>驾驶员座椅总成</v>
      </c>
      <c r="E3" s="76" t="str">
        <f>销量!E5</f>
        <v>副驾驶员座椅总成</v>
      </c>
      <c r="F3" s="76" t="str">
        <f>销量!F5</f>
        <v>座椅安装支架</v>
      </c>
      <c r="G3" s="76">
        <f>销量!G5</f>
        <v>0</v>
      </c>
      <c r="H3" s="76">
        <f>销量!H5</f>
        <v>0</v>
      </c>
      <c r="I3" s="76">
        <f>销量!I5</f>
        <v>0</v>
      </c>
      <c r="J3" s="76">
        <f>销量!J5</f>
        <v>0</v>
      </c>
      <c r="K3" s="76">
        <f>销量!K5</f>
        <v>0</v>
      </c>
      <c r="L3" s="76">
        <f>销量!L5</f>
        <v>0</v>
      </c>
      <c r="M3" s="76">
        <f>销量!M5</f>
        <v>0</v>
      </c>
      <c r="N3" s="76">
        <f>销量!N5</f>
        <v>0</v>
      </c>
      <c r="O3" s="76">
        <f>销量!O5</f>
        <v>0</v>
      </c>
      <c r="P3" s="76">
        <f>销量!P5</f>
        <v>0</v>
      </c>
      <c r="Q3" s="76">
        <f>销量!Q5</f>
        <v>0</v>
      </c>
      <c r="R3" s="76">
        <f>销量!R5</f>
        <v>0</v>
      </c>
      <c r="S3" s="233" t="s">
        <v>51</v>
      </c>
    </row>
    <row r="4" spans="1:45" ht="33.75">
      <c r="A4" s="232" t="s">
        <v>144</v>
      </c>
      <c r="B4" s="232"/>
      <c r="C4" s="76" t="str">
        <f>销量!C6</f>
        <v>A6681000000167
（基础件A668100000026）</v>
      </c>
      <c r="D4" s="76" t="str">
        <f>销量!D6</f>
        <v>A6681000000168
（基础件A668100000023）</v>
      </c>
      <c r="E4" s="76" t="str">
        <f>销量!E6</f>
        <v>A6681000000169
（基础件A668100000025）</v>
      </c>
      <c r="F4" s="76" t="str">
        <f>销量!F6</f>
        <v>A6681000000166
（基础件A668100000022）</v>
      </c>
      <c r="G4" s="76">
        <f>销量!G6</f>
        <v>0</v>
      </c>
      <c r="H4" s="76">
        <f>销量!H6</f>
        <v>0</v>
      </c>
      <c r="I4" s="76">
        <f>销量!I6</f>
        <v>0</v>
      </c>
      <c r="J4" s="76">
        <f>销量!J6</f>
        <v>0</v>
      </c>
      <c r="K4" s="76">
        <f>销量!K6</f>
        <v>0</v>
      </c>
      <c r="L4" s="76">
        <f>销量!L6</f>
        <v>0</v>
      </c>
      <c r="M4" s="76">
        <f>销量!M6</f>
        <v>0</v>
      </c>
      <c r="N4" s="76">
        <f>销量!N6</f>
        <v>0</v>
      </c>
      <c r="O4" s="76">
        <f>销量!O6</f>
        <v>0</v>
      </c>
      <c r="P4" s="76">
        <f>销量!P6</f>
        <v>0</v>
      </c>
      <c r="Q4" s="76">
        <f>销量!Q6</f>
        <v>0</v>
      </c>
      <c r="R4" s="76">
        <f>销量!R6</f>
        <v>0</v>
      </c>
      <c r="S4" s="234"/>
    </row>
    <row r="5" spans="1:45" ht="31.5" customHeight="1">
      <c r="A5" s="232" t="s">
        <v>145</v>
      </c>
      <c r="B5" s="232"/>
      <c r="C5" s="77" t="str">
        <f>销量!C7</f>
        <v>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手动靠背角度可调，手动空气高度调节，手动短滑轨前后可调，手动坐垫倾角可调，手动座深可调，空气腰部支撑，靠背两侧空气腰托，内侧扶手，集成三点式安全带，安全带未系报警（只有带扣），PVC包覆</v>
      </c>
      <c r="D5" s="77" t="str">
        <f>销量!D7</f>
        <v>空气悬浮减震（匹配空气高度调节），悬浮高度记忆功能，减震器阻尼可调，速降功能，手动靠背角度可调，手动空气高度调节，手动短滑轨前后可调，手动坐垫倾角可调，手动座深可调，空气腰部支撑，靠背两侧空气腰托，内侧扶手，靠背坐垫电加热，通风（吸风式），集成三点式安全带，安全带未系报警（只有带扣，PVC包覆）</v>
      </c>
      <c r="E5" s="77" t="str">
        <f>销量!E7</f>
        <v>分体式无减震，手动靠背角度可调，手动坐垫翻转，集成三点式安全带，安全带未系报警（带扣+压力传感器），PVC包覆</v>
      </c>
      <c r="F5" s="77" t="str">
        <f>销量!F7</f>
        <v>金属支架</v>
      </c>
      <c r="G5" s="77">
        <f>销量!G7</f>
        <v>0</v>
      </c>
      <c r="H5" s="77">
        <f>销量!H7</f>
        <v>0</v>
      </c>
      <c r="I5" s="77">
        <f>销量!I7</f>
        <v>0</v>
      </c>
      <c r="J5" s="77">
        <f>销量!J7</f>
        <v>0</v>
      </c>
      <c r="K5" s="77">
        <f>销量!K7</f>
        <v>0</v>
      </c>
      <c r="L5" s="77">
        <f>销量!L7</f>
        <v>0</v>
      </c>
      <c r="M5" s="77">
        <f>销量!M7</f>
        <v>0</v>
      </c>
      <c r="N5" s="77">
        <f>销量!N7</f>
        <v>0</v>
      </c>
      <c r="O5" s="77">
        <f>销量!O7</f>
        <v>0</v>
      </c>
      <c r="P5" s="77">
        <f>销量!P7</f>
        <v>0</v>
      </c>
      <c r="Q5" s="77">
        <f>销量!Q7</f>
        <v>0</v>
      </c>
      <c r="R5" s="77">
        <f>销量!R7</f>
        <v>0</v>
      </c>
      <c r="S5" s="235"/>
      <c r="AS5" s="71" t="s">
        <v>52</v>
      </c>
    </row>
    <row r="6" spans="1:45" ht="17.25">
      <c r="A6" s="78" t="s">
        <v>18</v>
      </c>
      <c r="B6" s="79" t="s">
        <v>146</v>
      </c>
      <c r="C6" s="98">
        <f>销量!C9</f>
        <v>50</v>
      </c>
      <c r="D6" s="98">
        <f>销量!D9</f>
        <v>50</v>
      </c>
      <c r="E6" s="98">
        <f>销量!E9</f>
        <v>100</v>
      </c>
      <c r="F6" s="98">
        <f>销量!F9</f>
        <v>100</v>
      </c>
      <c r="G6" s="98">
        <f>销量!G9</f>
        <v>0</v>
      </c>
      <c r="H6" s="98">
        <f>销量!H9</f>
        <v>0</v>
      </c>
      <c r="I6" s="98">
        <f>销量!I9</f>
        <v>0</v>
      </c>
      <c r="J6" s="98">
        <f>销量!J9</f>
        <v>0</v>
      </c>
      <c r="K6" s="98">
        <f>销量!K9</f>
        <v>0</v>
      </c>
      <c r="L6" s="98">
        <f>销量!L9</f>
        <v>0</v>
      </c>
      <c r="M6" s="98">
        <f>销量!M9</f>
        <v>0</v>
      </c>
      <c r="N6" s="98">
        <f>销量!N9</f>
        <v>0</v>
      </c>
      <c r="O6" s="98">
        <f>销量!O9</f>
        <v>0</v>
      </c>
      <c r="P6" s="98">
        <f>销量!P9</f>
        <v>0</v>
      </c>
      <c r="Q6" s="98">
        <f>销量!Q9</f>
        <v>0</v>
      </c>
      <c r="R6" s="98">
        <f>销量!R9</f>
        <v>0</v>
      </c>
      <c r="S6" s="81">
        <f>+SUM(C6:R6)</f>
        <v>300</v>
      </c>
      <c r="AQ6" s="78" t="s">
        <v>18</v>
      </c>
      <c r="AR6" s="79" t="s">
        <v>3</v>
      </c>
      <c r="AS6" s="71" t="s">
        <v>53</v>
      </c>
    </row>
    <row r="7" spans="1:45">
      <c r="A7" s="75">
        <v>1</v>
      </c>
      <c r="B7" s="79" t="s">
        <v>54</v>
      </c>
      <c r="C7" s="81">
        <f>C6*销量!C8</f>
        <v>96504</v>
      </c>
      <c r="D7" s="81">
        <f>D6*销量!D8</f>
        <v>119734.5</v>
      </c>
      <c r="E7" s="81">
        <f>E6*销量!E8</f>
        <v>78053</v>
      </c>
      <c r="F7" s="81">
        <f>F6*销量!F8</f>
        <v>7809.9999999999991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26" si="0">+SUM(C7:R7)</f>
        <v>302101.5</v>
      </c>
      <c r="T7" s="74"/>
      <c r="AQ7" s="78" t="s">
        <v>55</v>
      </c>
      <c r="AR7" s="79" t="s">
        <v>54</v>
      </c>
      <c r="AS7" s="71" t="s">
        <v>53</v>
      </c>
    </row>
    <row r="8" spans="1:45">
      <c r="A8" s="75">
        <v>2</v>
      </c>
      <c r="B8" s="75" t="s">
        <v>56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>
        <f t="shared" si="0"/>
        <v>0</v>
      </c>
      <c r="T8" s="82"/>
      <c r="AQ8" s="78" t="s">
        <v>57</v>
      </c>
      <c r="AR8" s="75" t="s">
        <v>58</v>
      </c>
      <c r="AS8" s="71" t="s">
        <v>53</v>
      </c>
    </row>
    <row r="9" spans="1:45">
      <c r="A9" s="75">
        <v>3</v>
      </c>
      <c r="B9" s="79" t="s">
        <v>59</v>
      </c>
      <c r="C9" s="81">
        <f>+C7-C8</f>
        <v>96504</v>
      </c>
      <c r="D9" s="81">
        <f t="shared" ref="D9:R9" si="1">+D7-D8</f>
        <v>119734.5</v>
      </c>
      <c r="E9" s="81">
        <f t="shared" si="1"/>
        <v>78053</v>
      </c>
      <c r="F9" s="81">
        <f t="shared" si="1"/>
        <v>7809.9999999999991</v>
      </c>
      <c r="G9" s="81">
        <f t="shared" si="1"/>
        <v>0</v>
      </c>
      <c r="H9" s="81">
        <f t="shared" si="1"/>
        <v>0</v>
      </c>
      <c r="I9" s="81">
        <f t="shared" si="1"/>
        <v>0</v>
      </c>
      <c r="J9" s="81">
        <f t="shared" si="1"/>
        <v>0</v>
      </c>
      <c r="K9" s="81">
        <f t="shared" si="1"/>
        <v>0</v>
      </c>
      <c r="L9" s="81">
        <f t="shared" si="1"/>
        <v>0</v>
      </c>
      <c r="M9" s="81">
        <f t="shared" si="1"/>
        <v>0</v>
      </c>
      <c r="N9" s="81">
        <f t="shared" si="1"/>
        <v>0</v>
      </c>
      <c r="O9" s="81">
        <f t="shared" si="1"/>
        <v>0</v>
      </c>
      <c r="P9" s="81">
        <f t="shared" si="1"/>
        <v>0</v>
      </c>
      <c r="Q9" s="81">
        <f t="shared" si="1"/>
        <v>0</v>
      </c>
      <c r="R9" s="81">
        <f t="shared" si="1"/>
        <v>0</v>
      </c>
      <c r="S9" s="81">
        <f t="shared" si="0"/>
        <v>302101.5</v>
      </c>
      <c r="AQ9" s="78" t="s">
        <v>60</v>
      </c>
      <c r="AR9" s="79" t="s">
        <v>59</v>
      </c>
      <c r="AS9" s="71" t="s">
        <v>61</v>
      </c>
    </row>
    <row r="10" spans="1:45">
      <c r="A10" s="75">
        <v>4</v>
      </c>
      <c r="B10" s="78" t="s">
        <v>63</v>
      </c>
      <c r="C10" s="81">
        <f>C6*C33</f>
        <v>55000</v>
      </c>
      <c r="D10" s="81">
        <f t="shared" ref="D10:R10" si="2">D6*D33</f>
        <v>71000</v>
      </c>
      <c r="E10" s="81">
        <f t="shared" si="2"/>
        <v>44422</v>
      </c>
      <c r="F10" s="81">
        <f t="shared" si="2"/>
        <v>2440</v>
      </c>
      <c r="G10" s="81">
        <f t="shared" si="2"/>
        <v>0</v>
      </c>
      <c r="H10" s="81">
        <f t="shared" si="2"/>
        <v>0</v>
      </c>
      <c r="I10" s="81">
        <f t="shared" si="2"/>
        <v>0</v>
      </c>
      <c r="J10" s="81">
        <f t="shared" si="2"/>
        <v>0</v>
      </c>
      <c r="K10" s="81">
        <f t="shared" si="2"/>
        <v>0</v>
      </c>
      <c r="L10" s="81">
        <f t="shared" si="2"/>
        <v>0</v>
      </c>
      <c r="M10" s="81">
        <f t="shared" si="2"/>
        <v>0</v>
      </c>
      <c r="N10" s="81">
        <f t="shared" si="2"/>
        <v>0</v>
      </c>
      <c r="O10" s="81">
        <f t="shared" si="2"/>
        <v>0</v>
      </c>
      <c r="P10" s="81">
        <f t="shared" si="2"/>
        <v>0</v>
      </c>
      <c r="Q10" s="81">
        <f t="shared" si="2"/>
        <v>0</v>
      </c>
      <c r="R10" s="81">
        <f t="shared" si="2"/>
        <v>0</v>
      </c>
      <c r="S10" s="81">
        <f t="shared" si="0"/>
        <v>172862</v>
      </c>
      <c r="AQ10" s="78" t="s">
        <v>62</v>
      </c>
      <c r="AR10" s="78" t="s">
        <v>63</v>
      </c>
      <c r="AS10" s="71" t="s">
        <v>64</v>
      </c>
    </row>
    <row r="11" spans="1:45">
      <c r="A11" s="75">
        <v>5</v>
      </c>
      <c r="B11" s="78" t="s">
        <v>65</v>
      </c>
      <c r="C11" s="81">
        <f>+C6*C36</f>
        <v>6697.3775999999998</v>
      </c>
      <c r="D11" s="81">
        <f t="shared" ref="D11:R11" si="3">+D6*D36</f>
        <v>8309.5743000000002</v>
      </c>
      <c r="E11" s="81">
        <f t="shared" si="3"/>
        <v>5416.8782000000001</v>
      </c>
      <c r="F11" s="81">
        <f t="shared" si="3"/>
        <v>542.01400000000001</v>
      </c>
      <c r="G11" s="81">
        <f t="shared" si="3"/>
        <v>0</v>
      </c>
      <c r="H11" s="81">
        <f t="shared" si="3"/>
        <v>0</v>
      </c>
      <c r="I11" s="81">
        <f t="shared" si="3"/>
        <v>0</v>
      </c>
      <c r="J11" s="81">
        <f t="shared" si="3"/>
        <v>0</v>
      </c>
      <c r="K11" s="81">
        <f t="shared" si="3"/>
        <v>0</v>
      </c>
      <c r="L11" s="81">
        <f t="shared" si="3"/>
        <v>0</v>
      </c>
      <c r="M11" s="81">
        <f t="shared" si="3"/>
        <v>0</v>
      </c>
      <c r="N11" s="81">
        <f t="shared" si="3"/>
        <v>0</v>
      </c>
      <c r="O11" s="81">
        <f t="shared" si="3"/>
        <v>0</v>
      </c>
      <c r="P11" s="81">
        <f t="shared" si="3"/>
        <v>0</v>
      </c>
      <c r="Q11" s="81">
        <f t="shared" si="3"/>
        <v>0</v>
      </c>
      <c r="R11" s="81">
        <f t="shared" si="3"/>
        <v>0</v>
      </c>
      <c r="S11" s="81">
        <f t="shared" si="0"/>
        <v>20965.844099999998</v>
      </c>
      <c r="AQ11" s="78" t="s">
        <v>66</v>
      </c>
      <c r="AR11" s="78" t="s">
        <v>65</v>
      </c>
    </row>
    <row r="12" spans="1:45">
      <c r="A12" s="75">
        <v>6</v>
      </c>
      <c r="B12" s="78" t="s">
        <v>67</v>
      </c>
      <c r="C12" s="81">
        <f>+C6*C37</f>
        <v>4188.2736000000004</v>
      </c>
      <c r="D12" s="81">
        <f t="shared" ref="D12:R12" si="4">+D6*D37</f>
        <v>5196.4773000000005</v>
      </c>
      <c r="E12" s="81">
        <f t="shared" si="4"/>
        <v>3387.5002000000004</v>
      </c>
      <c r="F12" s="81">
        <f t="shared" si="4"/>
        <v>338.95399999999995</v>
      </c>
      <c r="G12" s="81">
        <f t="shared" si="4"/>
        <v>0</v>
      </c>
      <c r="H12" s="81">
        <f t="shared" si="4"/>
        <v>0</v>
      </c>
      <c r="I12" s="81">
        <f t="shared" si="4"/>
        <v>0</v>
      </c>
      <c r="J12" s="81">
        <f t="shared" si="4"/>
        <v>0</v>
      </c>
      <c r="K12" s="81">
        <f t="shared" si="4"/>
        <v>0</v>
      </c>
      <c r="L12" s="81">
        <f t="shared" si="4"/>
        <v>0</v>
      </c>
      <c r="M12" s="81">
        <f t="shared" si="4"/>
        <v>0</v>
      </c>
      <c r="N12" s="81">
        <f t="shared" si="4"/>
        <v>0</v>
      </c>
      <c r="O12" s="81">
        <f t="shared" si="4"/>
        <v>0</v>
      </c>
      <c r="P12" s="81">
        <f t="shared" si="4"/>
        <v>0</v>
      </c>
      <c r="Q12" s="81">
        <f t="shared" si="4"/>
        <v>0</v>
      </c>
      <c r="R12" s="81">
        <f t="shared" si="4"/>
        <v>0</v>
      </c>
      <c r="S12" s="81">
        <f t="shared" si="0"/>
        <v>13111.205100000001</v>
      </c>
      <c r="AQ12" s="78" t="s">
        <v>68</v>
      </c>
      <c r="AR12" s="78" t="s">
        <v>67</v>
      </c>
    </row>
    <row r="13" spans="1:45">
      <c r="A13" s="75">
        <v>7</v>
      </c>
      <c r="B13" s="78" t="s">
        <v>69</v>
      </c>
      <c r="C13" s="81">
        <f>+C6*C38</f>
        <v>6282.4104000000007</v>
      </c>
      <c r="D13" s="81">
        <f t="shared" ref="D13:R13" si="5">+D6*D38</f>
        <v>7794.7159500000016</v>
      </c>
      <c r="E13" s="81">
        <f t="shared" si="5"/>
        <v>5081.2502999999997</v>
      </c>
      <c r="F13" s="81">
        <f t="shared" si="5"/>
        <v>508.43100000000004</v>
      </c>
      <c r="G13" s="81">
        <f t="shared" si="5"/>
        <v>0</v>
      </c>
      <c r="H13" s="81">
        <f t="shared" si="5"/>
        <v>0</v>
      </c>
      <c r="I13" s="81">
        <f t="shared" si="5"/>
        <v>0</v>
      </c>
      <c r="J13" s="81">
        <f t="shared" si="5"/>
        <v>0</v>
      </c>
      <c r="K13" s="81">
        <f t="shared" si="5"/>
        <v>0</v>
      </c>
      <c r="L13" s="81">
        <f t="shared" si="5"/>
        <v>0</v>
      </c>
      <c r="M13" s="81">
        <f t="shared" si="5"/>
        <v>0</v>
      </c>
      <c r="N13" s="81">
        <f t="shared" si="5"/>
        <v>0</v>
      </c>
      <c r="O13" s="81">
        <f t="shared" si="5"/>
        <v>0</v>
      </c>
      <c r="P13" s="81">
        <f t="shared" si="5"/>
        <v>0</v>
      </c>
      <c r="Q13" s="81">
        <f t="shared" si="5"/>
        <v>0</v>
      </c>
      <c r="R13" s="81">
        <f t="shared" si="5"/>
        <v>0</v>
      </c>
      <c r="S13" s="81">
        <f t="shared" si="0"/>
        <v>19666.807650000002</v>
      </c>
      <c r="AQ13" s="78" t="s">
        <v>70</v>
      </c>
      <c r="AR13" s="78" t="s">
        <v>69</v>
      </c>
      <c r="AS13" s="71" t="s">
        <v>53</v>
      </c>
    </row>
    <row r="14" spans="1:45">
      <c r="A14" s="75">
        <v>8</v>
      </c>
      <c r="B14" s="83" t="s">
        <v>71</v>
      </c>
      <c r="C14" s="81">
        <f>SUM(C11:C13)</f>
        <v>17168.061600000001</v>
      </c>
      <c r="D14" s="81">
        <f t="shared" ref="D14:R14" si="6">SUM(D11:D13)</f>
        <v>21300.767550000004</v>
      </c>
      <c r="E14" s="81">
        <f t="shared" si="6"/>
        <v>13885.628700000001</v>
      </c>
      <c r="F14" s="81">
        <f t="shared" si="6"/>
        <v>1389.3989999999999</v>
      </c>
      <c r="G14" s="81">
        <f t="shared" si="6"/>
        <v>0</v>
      </c>
      <c r="H14" s="81">
        <f t="shared" si="6"/>
        <v>0</v>
      </c>
      <c r="I14" s="81">
        <f t="shared" si="6"/>
        <v>0</v>
      </c>
      <c r="J14" s="81">
        <f t="shared" si="6"/>
        <v>0</v>
      </c>
      <c r="K14" s="81">
        <f t="shared" si="6"/>
        <v>0</v>
      </c>
      <c r="L14" s="81">
        <f t="shared" si="6"/>
        <v>0</v>
      </c>
      <c r="M14" s="81">
        <f t="shared" si="6"/>
        <v>0</v>
      </c>
      <c r="N14" s="81">
        <f t="shared" si="6"/>
        <v>0</v>
      </c>
      <c r="O14" s="81">
        <f t="shared" si="6"/>
        <v>0</v>
      </c>
      <c r="P14" s="81">
        <f t="shared" si="6"/>
        <v>0</v>
      </c>
      <c r="Q14" s="81">
        <f t="shared" si="6"/>
        <v>0</v>
      </c>
      <c r="R14" s="81">
        <f t="shared" si="6"/>
        <v>0</v>
      </c>
      <c r="S14" s="81">
        <f>SUM(S11:S13)</f>
        <v>53743.856850000004</v>
      </c>
      <c r="AQ14" s="78" t="s">
        <v>72</v>
      </c>
      <c r="AR14" s="83" t="s">
        <v>71</v>
      </c>
    </row>
    <row r="15" spans="1:45">
      <c r="A15" s="75">
        <v>9</v>
      </c>
      <c r="B15" s="83" t="s">
        <v>73</v>
      </c>
      <c r="C15" s="81">
        <f>+C9-C10-C14</f>
        <v>24335.938399999999</v>
      </c>
      <c r="D15" s="81">
        <f t="shared" ref="D15:R15" si="7">+D9-D10-D14</f>
        <v>27433.732449999996</v>
      </c>
      <c r="E15" s="81">
        <f t="shared" si="7"/>
        <v>19745.371299999999</v>
      </c>
      <c r="F15" s="81">
        <f t="shared" si="7"/>
        <v>3980.6009999999992</v>
      </c>
      <c r="G15" s="81">
        <f t="shared" si="7"/>
        <v>0</v>
      </c>
      <c r="H15" s="81">
        <f t="shared" si="7"/>
        <v>0</v>
      </c>
      <c r="I15" s="81">
        <f t="shared" si="7"/>
        <v>0</v>
      </c>
      <c r="J15" s="81">
        <f t="shared" si="7"/>
        <v>0</v>
      </c>
      <c r="K15" s="81">
        <f t="shared" si="7"/>
        <v>0</v>
      </c>
      <c r="L15" s="81">
        <f t="shared" si="7"/>
        <v>0</v>
      </c>
      <c r="M15" s="81">
        <f t="shared" si="7"/>
        <v>0</v>
      </c>
      <c r="N15" s="81">
        <f t="shared" si="7"/>
        <v>0</v>
      </c>
      <c r="O15" s="81">
        <f t="shared" si="7"/>
        <v>0</v>
      </c>
      <c r="P15" s="81">
        <f t="shared" si="7"/>
        <v>0</v>
      </c>
      <c r="Q15" s="81">
        <f t="shared" si="7"/>
        <v>0</v>
      </c>
      <c r="R15" s="81">
        <f t="shared" si="7"/>
        <v>0</v>
      </c>
      <c r="S15" s="81">
        <f t="shared" ref="S15" si="8">+S9-S10-S14</f>
        <v>75495.643149999989</v>
      </c>
      <c r="AQ15" s="78" t="s">
        <v>74</v>
      </c>
      <c r="AR15" s="83" t="s">
        <v>73</v>
      </c>
    </row>
    <row r="16" spans="1:45">
      <c r="A16" s="75">
        <v>10</v>
      </c>
      <c r="B16" s="78" t="s">
        <v>75</v>
      </c>
      <c r="C16" s="84">
        <f>+C15/C9</f>
        <v>0.25217543728757358</v>
      </c>
      <c r="D16" s="84">
        <f t="shared" ref="D16:R16" si="9">+D15/D9</f>
        <v>0.22912136811027728</v>
      </c>
      <c r="E16" s="84">
        <f t="shared" si="9"/>
        <v>0.25297389338013915</v>
      </c>
      <c r="F16" s="84">
        <f t="shared" si="9"/>
        <v>0.50968002560819459</v>
      </c>
      <c r="G16" s="84" t="e">
        <f t="shared" si="9"/>
        <v>#DIV/0!</v>
      </c>
      <c r="H16" s="84" t="e">
        <f t="shared" si="9"/>
        <v>#DIV/0!</v>
      </c>
      <c r="I16" s="84" t="e">
        <f t="shared" si="9"/>
        <v>#DIV/0!</v>
      </c>
      <c r="J16" s="84" t="e">
        <f t="shared" si="9"/>
        <v>#DIV/0!</v>
      </c>
      <c r="K16" s="84" t="e">
        <f t="shared" si="9"/>
        <v>#DIV/0!</v>
      </c>
      <c r="L16" s="84" t="e">
        <f t="shared" si="9"/>
        <v>#DIV/0!</v>
      </c>
      <c r="M16" s="84" t="e">
        <f t="shared" si="9"/>
        <v>#DIV/0!</v>
      </c>
      <c r="N16" s="84" t="e">
        <f t="shared" si="9"/>
        <v>#DIV/0!</v>
      </c>
      <c r="O16" s="84" t="e">
        <f t="shared" si="9"/>
        <v>#DIV/0!</v>
      </c>
      <c r="P16" s="84" t="e">
        <f t="shared" si="9"/>
        <v>#DIV/0!</v>
      </c>
      <c r="Q16" s="84" t="e">
        <f t="shared" si="9"/>
        <v>#DIV/0!</v>
      </c>
      <c r="R16" s="84" t="e">
        <f t="shared" si="9"/>
        <v>#DIV/0!</v>
      </c>
      <c r="S16" s="84">
        <f>+S15/S9</f>
        <v>0.24990158324271805</v>
      </c>
      <c r="AQ16" s="78" t="s">
        <v>76</v>
      </c>
      <c r="AR16" s="78" t="s">
        <v>75</v>
      </c>
    </row>
    <row r="17" spans="1:45">
      <c r="A17" s="75">
        <v>11</v>
      </c>
      <c r="B17" s="78" t="s">
        <v>77</v>
      </c>
      <c r="C17" s="81">
        <f>C6*C43+C18</f>
        <v>39944.91333333333</v>
      </c>
      <c r="D17" s="81">
        <f t="shared" ref="D17:R17" si="10">D6*D43+D18</f>
        <v>41861.429583333331</v>
      </c>
      <c r="E17" s="81">
        <f t="shared" si="10"/>
        <v>70406.039166666669</v>
      </c>
      <c r="F17" s="81">
        <f t="shared" si="10"/>
        <v>64610.991666666661</v>
      </c>
      <c r="G17" s="81">
        <f t="shared" si="10"/>
        <v>0</v>
      </c>
      <c r="H17" s="81">
        <f t="shared" si="10"/>
        <v>0</v>
      </c>
      <c r="I17" s="81">
        <f t="shared" si="10"/>
        <v>0</v>
      </c>
      <c r="J17" s="81">
        <f t="shared" si="10"/>
        <v>0</v>
      </c>
      <c r="K17" s="81">
        <f t="shared" si="10"/>
        <v>0</v>
      </c>
      <c r="L17" s="81">
        <f t="shared" si="10"/>
        <v>0</v>
      </c>
      <c r="M17" s="81">
        <f t="shared" si="10"/>
        <v>0</v>
      </c>
      <c r="N17" s="81">
        <f t="shared" si="10"/>
        <v>0</v>
      </c>
      <c r="O17" s="81">
        <f t="shared" si="10"/>
        <v>0</v>
      </c>
      <c r="P17" s="81">
        <f t="shared" si="10"/>
        <v>0</v>
      </c>
      <c r="Q17" s="81">
        <f t="shared" si="10"/>
        <v>0</v>
      </c>
      <c r="R17" s="81">
        <f t="shared" si="10"/>
        <v>0</v>
      </c>
      <c r="S17" s="81">
        <f t="shared" si="0"/>
        <v>216823.37375</v>
      </c>
      <c r="T17" s="82"/>
      <c r="AQ17" s="78" t="s">
        <v>78</v>
      </c>
      <c r="AR17" s="78" t="s">
        <v>77</v>
      </c>
    </row>
    <row r="18" spans="1:45" s="72" customFormat="1">
      <c r="A18" s="75">
        <v>12</v>
      </c>
      <c r="B18" s="86" t="s">
        <v>147</v>
      </c>
      <c r="C18" s="87">
        <f t="shared" ref="C18:R18" si="11">$S$18/$S$6*C6</f>
        <v>31983.333333333332</v>
      </c>
      <c r="D18" s="87">
        <f t="shared" si="11"/>
        <v>31983.333333333332</v>
      </c>
      <c r="E18" s="87">
        <f t="shared" si="11"/>
        <v>63966.666666666664</v>
      </c>
      <c r="F18" s="87">
        <f t="shared" si="11"/>
        <v>63966.666666666664</v>
      </c>
      <c r="G18" s="87">
        <f t="shared" si="11"/>
        <v>0</v>
      </c>
      <c r="H18" s="87">
        <f t="shared" si="11"/>
        <v>0</v>
      </c>
      <c r="I18" s="87">
        <f t="shared" si="11"/>
        <v>0</v>
      </c>
      <c r="J18" s="87">
        <f t="shared" si="11"/>
        <v>0</v>
      </c>
      <c r="K18" s="87">
        <f t="shared" si="11"/>
        <v>0</v>
      </c>
      <c r="L18" s="87">
        <f t="shared" si="11"/>
        <v>0</v>
      </c>
      <c r="M18" s="87">
        <f t="shared" si="11"/>
        <v>0</v>
      </c>
      <c r="N18" s="87">
        <f t="shared" si="11"/>
        <v>0</v>
      </c>
      <c r="O18" s="87">
        <f t="shared" si="11"/>
        <v>0</v>
      </c>
      <c r="P18" s="87">
        <f t="shared" si="11"/>
        <v>0</v>
      </c>
      <c r="Q18" s="87">
        <f t="shared" si="11"/>
        <v>0</v>
      </c>
      <c r="R18" s="87">
        <f t="shared" si="11"/>
        <v>0</v>
      </c>
      <c r="S18" s="81">
        <f>项目投资!D26</f>
        <v>191900</v>
      </c>
      <c r="T18" s="88" t="s">
        <v>148</v>
      </c>
      <c r="U18" s="88"/>
      <c r="V18" s="88"/>
    </row>
    <row r="19" spans="1:45">
      <c r="A19" s="75">
        <v>13</v>
      </c>
      <c r="B19" s="78" t="s">
        <v>79</v>
      </c>
      <c r="C19" s="81">
        <f>C6*C44</f>
        <v>1659.8688</v>
      </c>
      <c r="D19" s="81">
        <f t="shared" ref="D19:R19" si="12">D6*D44</f>
        <v>2059.4333999999999</v>
      </c>
      <c r="E19" s="81">
        <f t="shared" si="12"/>
        <v>1342.5115999999998</v>
      </c>
      <c r="F19" s="81">
        <f t="shared" si="12"/>
        <v>134.33199999999999</v>
      </c>
      <c r="G19" s="81">
        <f t="shared" si="12"/>
        <v>0</v>
      </c>
      <c r="H19" s="81">
        <f t="shared" si="12"/>
        <v>0</v>
      </c>
      <c r="I19" s="81">
        <f t="shared" si="12"/>
        <v>0</v>
      </c>
      <c r="J19" s="81">
        <f t="shared" si="12"/>
        <v>0</v>
      </c>
      <c r="K19" s="81">
        <f t="shared" si="12"/>
        <v>0</v>
      </c>
      <c r="L19" s="81">
        <f t="shared" si="12"/>
        <v>0</v>
      </c>
      <c r="M19" s="81">
        <f t="shared" si="12"/>
        <v>0</v>
      </c>
      <c r="N19" s="81">
        <f t="shared" si="12"/>
        <v>0</v>
      </c>
      <c r="O19" s="81">
        <f t="shared" si="12"/>
        <v>0</v>
      </c>
      <c r="P19" s="81">
        <f t="shared" si="12"/>
        <v>0</v>
      </c>
      <c r="Q19" s="81">
        <f t="shared" si="12"/>
        <v>0</v>
      </c>
      <c r="R19" s="81">
        <f t="shared" si="12"/>
        <v>0</v>
      </c>
      <c r="S19" s="81">
        <f t="shared" si="0"/>
        <v>5196.1458000000002</v>
      </c>
      <c r="T19" s="72"/>
      <c r="AQ19" s="78" t="s">
        <v>80</v>
      </c>
      <c r="AR19" s="78" t="s">
        <v>79</v>
      </c>
      <c r="AS19" s="71" t="s">
        <v>53</v>
      </c>
    </row>
    <row r="20" spans="1:45">
      <c r="A20" s="75">
        <v>14</v>
      </c>
      <c r="B20" s="78" t="s">
        <v>81</v>
      </c>
      <c r="C20" s="81">
        <f>C6*C45</f>
        <v>2547.7055999999998</v>
      </c>
      <c r="D20" s="81">
        <f t="shared" ref="D20:R20" si="13">D6*D45</f>
        <v>3160.9908</v>
      </c>
      <c r="E20" s="81">
        <f t="shared" si="13"/>
        <v>2060.5992000000001</v>
      </c>
      <c r="F20" s="81">
        <f t="shared" si="13"/>
        <v>206.18399999999997</v>
      </c>
      <c r="G20" s="81">
        <f t="shared" si="13"/>
        <v>0</v>
      </c>
      <c r="H20" s="81">
        <f t="shared" si="13"/>
        <v>0</v>
      </c>
      <c r="I20" s="81">
        <f t="shared" si="13"/>
        <v>0</v>
      </c>
      <c r="J20" s="81">
        <f t="shared" si="13"/>
        <v>0</v>
      </c>
      <c r="K20" s="81">
        <f t="shared" si="13"/>
        <v>0</v>
      </c>
      <c r="L20" s="81">
        <f t="shared" si="13"/>
        <v>0</v>
      </c>
      <c r="M20" s="81">
        <f t="shared" si="13"/>
        <v>0</v>
      </c>
      <c r="N20" s="81">
        <f t="shared" si="13"/>
        <v>0</v>
      </c>
      <c r="O20" s="81">
        <f t="shared" si="13"/>
        <v>0</v>
      </c>
      <c r="P20" s="81">
        <f t="shared" si="13"/>
        <v>0</v>
      </c>
      <c r="Q20" s="81">
        <f t="shared" si="13"/>
        <v>0</v>
      </c>
      <c r="R20" s="81">
        <f t="shared" si="13"/>
        <v>0</v>
      </c>
      <c r="S20" s="81">
        <f t="shared" si="0"/>
        <v>7975.4795999999997</v>
      </c>
      <c r="AQ20" s="78" t="s">
        <v>82</v>
      </c>
      <c r="AR20" s="78" t="s">
        <v>81</v>
      </c>
    </row>
    <row r="21" spans="1:45">
      <c r="A21" s="75">
        <v>15</v>
      </c>
      <c r="B21" s="78" t="s">
        <v>83</v>
      </c>
      <c r="C21" s="89">
        <f>$S$21/$S$6*C6</f>
        <v>7500</v>
      </c>
      <c r="D21" s="89">
        <f t="shared" ref="D21:R21" si="14">$S$21/$S$6*D6</f>
        <v>7500</v>
      </c>
      <c r="E21" s="89">
        <f t="shared" si="14"/>
        <v>15000</v>
      </c>
      <c r="F21" s="89">
        <f t="shared" si="14"/>
        <v>15000</v>
      </c>
      <c r="G21" s="89">
        <f t="shared" si="14"/>
        <v>0</v>
      </c>
      <c r="H21" s="89">
        <f t="shared" si="14"/>
        <v>0</v>
      </c>
      <c r="I21" s="89">
        <f t="shared" si="14"/>
        <v>0</v>
      </c>
      <c r="J21" s="89">
        <f t="shared" si="14"/>
        <v>0</v>
      </c>
      <c r="K21" s="89">
        <f t="shared" si="14"/>
        <v>0</v>
      </c>
      <c r="L21" s="89">
        <f t="shared" si="14"/>
        <v>0</v>
      </c>
      <c r="M21" s="89">
        <f t="shared" si="14"/>
        <v>0</v>
      </c>
      <c r="N21" s="89">
        <f t="shared" si="14"/>
        <v>0</v>
      </c>
      <c r="O21" s="89">
        <f t="shared" si="14"/>
        <v>0</v>
      </c>
      <c r="P21" s="89">
        <f t="shared" si="14"/>
        <v>0</v>
      </c>
      <c r="Q21" s="89">
        <f t="shared" si="14"/>
        <v>0</v>
      </c>
      <c r="R21" s="89">
        <f t="shared" si="14"/>
        <v>0</v>
      </c>
      <c r="S21" s="81">
        <f>项目投资!D27</f>
        <v>45000</v>
      </c>
      <c r="AQ21" s="78"/>
      <c r="AR21" s="78"/>
    </row>
    <row r="22" spans="1:45">
      <c r="A22" s="75">
        <v>16</v>
      </c>
      <c r="B22" s="78" t="s">
        <v>84</v>
      </c>
      <c r="C22" s="81">
        <f>C6*C47</f>
        <v>3425.8919999999998</v>
      </c>
      <c r="D22" s="81">
        <f t="shared" ref="D22:R22" si="15">D6*D47</f>
        <v>4250.5747499999998</v>
      </c>
      <c r="E22" s="81">
        <f t="shared" si="15"/>
        <v>2770.8815</v>
      </c>
      <c r="F22" s="81">
        <f t="shared" si="15"/>
        <v>277.25499999999994</v>
      </c>
      <c r="G22" s="81">
        <f t="shared" si="15"/>
        <v>0</v>
      </c>
      <c r="H22" s="81">
        <f t="shared" si="15"/>
        <v>0</v>
      </c>
      <c r="I22" s="81">
        <f t="shared" si="15"/>
        <v>0</v>
      </c>
      <c r="J22" s="81">
        <f t="shared" si="15"/>
        <v>0</v>
      </c>
      <c r="K22" s="81">
        <f t="shared" si="15"/>
        <v>0</v>
      </c>
      <c r="L22" s="81">
        <f t="shared" si="15"/>
        <v>0</v>
      </c>
      <c r="M22" s="81">
        <f t="shared" si="15"/>
        <v>0</v>
      </c>
      <c r="N22" s="81">
        <f t="shared" si="15"/>
        <v>0</v>
      </c>
      <c r="O22" s="81">
        <f t="shared" si="15"/>
        <v>0</v>
      </c>
      <c r="P22" s="81">
        <f t="shared" si="15"/>
        <v>0</v>
      </c>
      <c r="Q22" s="81">
        <f t="shared" si="15"/>
        <v>0</v>
      </c>
      <c r="R22" s="81">
        <f t="shared" si="15"/>
        <v>0</v>
      </c>
      <c r="S22" s="81">
        <f t="shared" si="0"/>
        <v>10724.603249999998</v>
      </c>
      <c r="AQ22" s="78" t="s">
        <v>85</v>
      </c>
      <c r="AR22" s="78" t="s">
        <v>84</v>
      </c>
    </row>
    <row r="23" spans="1:45">
      <c r="A23" s="75">
        <v>17</v>
      </c>
      <c r="B23" s="83" t="s">
        <v>86</v>
      </c>
      <c r="C23" s="89">
        <f>+C22+C21+C20+C19+C17</f>
        <v>55078.379733333328</v>
      </c>
      <c r="D23" s="89">
        <f t="shared" ref="D23:R23" si="16">+D22+D21+D20+D19+D17</f>
        <v>58832.428533333332</v>
      </c>
      <c r="E23" s="89">
        <f t="shared" si="16"/>
        <v>91580.031466666667</v>
      </c>
      <c r="F23" s="89">
        <f t="shared" si="16"/>
        <v>80228.762666666662</v>
      </c>
      <c r="G23" s="89">
        <f t="shared" si="16"/>
        <v>0</v>
      </c>
      <c r="H23" s="89">
        <f t="shared" si="16"/>
        <v>0</v>
      </c>
      <c r="I23" s="89">
        <f t="shared" si="16"/>
        <v>0</v>
      </c>
      <c r="J23" s="89">
        <f t="shared" si="16"/>
        <v>0</v>
      </c>
      <c r="K23" s="89">
        <f t="shared" si="16"/>
        <v>0</v>
      </c>
      <c r="L23" s="89">
        <f t="shared" si="16"/>
        <v>0</v>
      </c>
      <c r="M23" s="89">
        <f t="shared" si="16"/>
        <v>0</v>
      </c>
      <c r="N23" s="89">
        <f t="shared" si="16"/>
        <v>0</v>
      </c>
      <c r="O23" s="89">
        <f t="shared" si="16"/>
        <v>0</v>
      </c>
      <c r="P23" s="89">
        <f t="shared" si="16"/>
        <v>0</v>
      </c>
      <c r="Q23" s="89">
        <f t="shared" si="16"/>
        <v>0</v>
      </c>
      <c r="R23" s="89">
        <f t="shared" si="16"/>
        <v>0</v>
      </c>
      <c r="S23" s="89">
        <f>+S22+S21+S20+S19+S17</f>
        <v>285719.60239999997</v>
      </c>
      <c r="AQ23" s="78" t="s">
        <v>87</v>
      </c>
      <c r="AR23" s="83" t="s">
        <v>86</v>
      </c>
    </row>
    <row r="24" spans="1:45">
      <c r="A24" s="75">
        <v>18</v>
      </c>
      <c r="B24" s="90" t="s">
        <v>88</v>
      </c>
      <c r="C24" s="89">
        <f>+C15-C23</f>
        <v>-30742.441333333329</v>
      </c>
      <c r="D24" s="89">
        <f t="shared" ref="D24:R24" si="17">+D15-D23</f>
        <v>-31398.696083333336</v>
      </c>
      <c r="E24" s="89">
        <f t="shared" si="17"/>
        <v>-71834.660166666668</v>
      </c>
      <c r="F24" s="89">
        <f t="shared" si="17"/>
        <v>-76248.161666666667</v>
      </c>
      <c r="G24" s="89">
        <f t="shared" si="17"/>
        <v>0</v>
      </c>
      <c r="H24" s="89">
        <f t="shared" si="17"/>
        <v>0</v>
      </c>
      <c r="I24" s="89">
        <f t="shared" si="17"/>
        <v>0</v>
      </c>
      <c r="J24" s="89">
        <f t="shared" si="17"/>
        <v>0</v>
      </c>
      <c r="K24" s="89">
        <f t="shared" si="17"/>
        <v>0</v>
      </c>
      <c r="L24" s="89">
        <f t="shared" si="17"/>
        <v>0</v>
      </c>
      <c r="M24" s="89">
        <f t="shared" si="17"/>
        <v>0</v>
      </c>
      <c r="N24" s="89">
        <f t="shared" si="17"/>
        <v>0</v>
      </c>
      <c r="O24" s="89">
        <f t="shared" si="17"/>
        <v>0</v>
      </c>
      <c r="P24" s="89">
        <f t="shared" si="17"/>
        <v>0</v>
      </c>
      <c r="Q24" s="89">
        <f t="shared" si="17"/>
        <v>0</v>
      </c>
      <c r="R24" s="89">
        <f t="shared" si="17"/>
        <v>0</v>
      </c>
      <c r="S24" s="89">
        <f>+S15-S23</f>
        <v>-210223.95924999999</v>
      </c>
      <c r="U24" s="91"/>
      <c r="AQ24" s="78" t="s">
        <v>89</v>
      </c>
      <c r="AR24" s="78" t="s">
        <v>88</v>
      </c>
    </row>
    <row r="25" spans="1:45">
      <c r="A25" s="75">
        <v>19</v>
      </c>
      <c r="B25" s="78" t="s">
        <v>274</v>
      </c>
      <c r="C25" s="89">
        <f>IF(C24&lt;0,0,C24*0.15)</f>
        <v>0</v>
      </c>
      <c r="D25" s="89">
        <f t="shared" ref="D25:R25" si="18">IF(D24&lt;0,0,D24*0.15)</f>
        <v>0</v>
      </c>
      <c r="E25" s="89">
        <f t="shared" si="18"/>
        <v>0</v>
      </c>
      <c r="F25" s="89">
        <f t="shared" si="18"/>
        <v>0</v>
      </c>
      <c r="G25" s="89">
        <f t="shared" si="18"/>
        <v>0</v>
      </c>
      <c r="H25" s="89">
        <f t="shared" si="18"/>
        <v>0</v>
      </c>
      <c r="I25" s="89">
        <f t="shared" si="18"/>
        <v>0</v>
      </c>
      <c r="J25" s="89">
        <f t="shared" si="18"/>
        <v>0</v>
      </c>
      <c r="K25" s="89">
        <f t="shared" si="18"/>
        <v>0</v>
      </c>
      <c r="L25" s="89">
        <f t="shared" si="18"/>
        <v>0</v>
      </c>
      <c r="M25" s="89">
        <f t="shared" si="18"/>
        <v>0</v>
      </c>
      <c r="N25" s="89">
        <f t="shared" si="18"/>
        <v>0</v>
      </c>
      <c r="O25" s="89">
        <f t="shared" si="18"/>
        <v>0</v>
      </c>
      <c r="P25" s="89">
        <f t="shared" si="18"/>
        <v>0</v>
      </c>
      <c r="Q25" s="89">
        <f t="shared" si="18"/>
        <v>0</v>
      </c>
      <c r="R25" s="89">
        <f t="shared" si="18"/>
        <v>0</v>
      </c>
      <c r="S25" s="89">
        <f t="shared" ref="S25" si="19">IF(S24&lt;0,0,S24*0.15)</f>
        <v>0</v>
      </c>
      <c r="T25" s="2"/>
      <c r="U25" s="2"/>
      <c r="V25" s="2"/>
      <c r="AQ25" s="78" t="s">
        <v>90</v>
      </c>
      <c r="AR25" s="78" t="s">
        <v>35</v>
      </c>
    </row>
    <row r="26" spans="1:45">
      <c r="A26" s="75">
        <v>20</v>
      </c>
      <c r="B26" s="78" t="s">
        <v>91</v>
      </c>
      <c r="C26" s="89">
        <f>C24-C25</f>
        <v>-30742.441333333329</v>
      </c>
      <c r="D26" s="89">
        <f t="shared" ref="D26:R26" si="20">D24-D25</f>
        <v>-31398.696083333336</v>
      </c>
      <c r="E26" s="89">
        <f t="shared" si="20"/>
        <v>-71834.660166666668</v>
      </c>
      <c r="F26" s="89">
        <f t="shared" si="20"/>
        <v>-76248.161666666667</v>
      </c>
      <c r="G26" s="89">
        <f t="shared" si="20"/>
        <v>0</v>
      </c>
      <c r="H26" s="89">
        <f t="shared" si="20"/>
        <v>0</v>
      </c>
      <c r="I26" s="89">
        <f t="shared" si="20"/>
        <v>0</v>
      </c>
      <c r="J26" s="89">
        <f t="shared" si="20"/>
        <v>0</v>
      </c>
      <c r="K26" s="89">
        <f t="shared" si="20"/>
        <v>0</v>
      </c>
      <c r="L26" s="89">
        <f t="shared" si="20"/>
        <v>0</v>
      </c>
      <c r="M26" s="89">
        <f t="shared" si="20"/>
        <v>0</v>
      </c>
      <c r="N26" s="89">
        <f t="shared" si="20"/>
        <v>0</v>
      </c>
      <c r="O26" s="89">
        <f t="shared" si="20"/>
        <v>0</v>
      </c>
      <c r="P26" s="89">
        <f t="shared" si="20"/>
        <v>0</v>
      </c>
      <c r="Q26" s="89">
        <f t="shared" si="20"/>
        <v>0</v>
      </c>
      <c r="R26" s="89">
        <f t="shared" si="20"/>
        <v>0</v>
      </c>
      <c r="S26" s="81">
        <f t="shared" si="0"/>
        <v>-210223.95925000001</v>
      </c>
      <c r="T26" s="2"/>
      <c r="U26" s="2"/>
      <c r="V26" s="2"/>
      <c r="AQ26" s="78" t="s">
        <v>92</v>
      </c>
      <c r="AR26" s="78" t="s">
        <v>91</v>
      </c>
    </row>
    <row r="27" spans="1:45">
      <c r="A27" s="75">
        <v>21</v>
      </c>
      <c r="B27" s="78" t="s">
        <v>95</v>
      </c>
      <c r="C27" s="92">
        <f>C26/C9</f>
        <v>-0.3185613169747713</v>
      </c>
      <c r="D27" s="92">
        <f t="shared" ref="D27:R27" si="21">D26/D9</f>
        <v>-0.26223599783966473</v>
      </c>
      <c r="E27" s="92">
        <f t="shared" si="21"/>
        <v>-0.92033182794596835</v>
      </c>
      <c r="F27" s="92">
        <f t="shared" si="21"/>
        <v>-9.7628888177550159</v>
      </c>
      <c r="G27" s="92" t="e">
        <f t="shared" si="21"/>
        <v>#DIV/0!</v>
      </c>
      <c r="H27" s="92" t="e">
        <f t="shared" si="21"/>
        <v>#DIV/0!</v>
      </c>
      <c r="I27" s="92" t="e">
        <f t="shared" si="21"/>
        <v>#DIV/0!</v>
      </c>
      <c r="J27" s="92" t="e">
        <f t="shared" si="21"/>
        <v>#DIV/0!</v>
      </c>
      <c r="K27" s="92" t="e">
        <f t="shared" si="21"/>
        <v>#DIV/0!</v>
      </c>
      <c r="L27" s="92" t="e">
        <f t="shared" si="21"/>
        <v>#DIV/0!</v>
      </c>
      <c r="M27" s="92" t="e">
        <f t="shared" si="21"/>
        <v>#DIV/0!</v>
      </c>
      <c r="N27" s="92" t="e">
        <f t="shared" si="21"/>
        <v>#DIV/0!</v>
      </c>
      <c r="O27" s="92" t="e">
        <f t="shared" si="21"/>
        <v>#DIV/0!</v>
      </c>
      <c r="P27" s="92" t="e">
        <f t="shared" si="21"/>
        <v>#DIV/0!</v>
      </c>
      <c r="Q27" s="92" t="e">
        <f t="shared" si="21"/>
        <v>#DIV/0!</v>
      </c>
      <c r="R27" s="92" t="e">
        <f t="shared" si="21"/>
        <v>#DIV/0!</v>
      </c>
      <c r="S27" s="92">
        <f>S26/S9</f>
        <v>-0.69587194783872308</v>
      </c>
      <c r="T27" s="2"/>
      <c r="U27" s="2"/>
      <c r="V27" s="2"/>
      <c r="AQ27" s="78" t="s">
        <v>94</v>
      </c>
      <c r="AR27" s="78" t="s">
        <v>95</v>
      </c>
    </row>
    <row r="28" spans="1:45">
      <c r="T28" s="2"/>
      <c r="U28" s="2"/>
      <c r="V28" s="2"/>
    </row>
    <row r="29" spans="1:45">
      <c r="A29" s="71" t="s">
        <v>96</v>
      </c>
      <c r="S29" s="74" t="s">
        <v>149</v>
      </c>
      <c r="T29" s="2"/>
      <c r="U29" s="2"/>
      <c r="V29" s="2"/>
      <c r="AQ29" s="71" t="s">
        <v>96</v>
      </c>
    </row>
    <row r="30" spans="1:45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Q30" s="78" t="s">
        <v>99</v>
      </c>
      <c r="AR30" s="83" t="s">
        <v>98</v>
      </c>
    </row>
    <row r="31" spans="1:45">
      <c r="A31" s="75">
        <v>1</v>
      </c>
      <c r="B31" s="86" t="s">
        <v>100</v>
      </c>
      <c r="C31" s="93">
        <f>销量!C8</f>
        <v>1930.08</v>
      </c>
      <c r="D31" s="93">
        <f>销量!D8</f>
        <v>2394.69</v>
      </c>
      <c r="E31" s="93">
        <f>销量!E8</f>
        <v>780.53</v>
      </c>
      <c r="F31" s="93">
        <f>销量!F8</f>
        <v>78.099999999999994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Q31" s="78" t="s">
        <v>55</v>
      </c>
      <c r="AR31" s="78" t="s">
        <v>100</v>
      </c>
    </row>
    <row r="32" spans="1:45">
      <c r="A32" s="75">
        <v>2</v>
      </c>
      <c r="B32" s="78" t="s">
        <v>150</v>
      </c>
      <c r="C32" s="81">
        <f>C9/C6</f>
        <v>1930.08</v>
      </c>
      <c r="D32" s="81">
        <f t="shared" ref="D32:R32" si="22">D9/D6</f>
        <v>2394.69</v>
      </c>
      <c r="E32" s="81">
        <f t="shared" si="22"/>
        <v>780.53</v>
      </c>
      <c r="F32" s="81">
        <f t="shared" si="22"/>
        <v>78.099999999999994</v>
      </c>
      <c r="G32" s="81" t="e">
        <f t="shared" si="22"/>
        <v>#DIV/0!</v>
      </c>
      <c r="H32" s="81" t="e">
        <f t="shared" si="22"/>
        <v>#DIV/0!</v>
      </c>
      <c r="I32" s="81" t="e">
        <f t="shared" si="22"/>
        <v>#DIV/0!</v>
      </c>
      <c r="J32" s="81" t="e">
        <f t="shared" si="22"/>
        <v>#DIV/0!</v>
      </c>
      <c r="K32" s="81" t="e">
        <f t="shared" si="22"/>
        <v>#DIV/0!</v>
      </c>
      <c r="L32" s="81" t="e">
        <f t="shared" si="22"/>
        <v>#DIV/0!</v>
      </c>
      <c r="M32" s="81" t="e">
        <f t="shared" si="22"/>
        <v>#DIV/0!</v>
      </c>
      <c r="N32" s="81" t="e">
        <f t="shared" si="22"/>
        <v>#DIV/0!</v>
      </c>
      <c r="O32" s="81" t="e">
        <f t="shared" si="22"/>
        <v>#DIV/0!</v>
      </c>
      <c r="P32" s="81" t="e">
        <f t="shared" si="22"/>
        <v>#DIV/0!</v>
      </c>
      <c r="Q32" s="81" t="e">
        <f t="shared" si="22"/>
        <v>#DIV/0!</v>
      </c>
      <c r="R32" s="81" t="e">
        <f t="shared" si="22"/>
        <v>#DIV/0!</v>
      </c>
      <c r="S32" s="89"/>
      <c r="T32" s="2"/>
      <c r="U32" s="2"/>
      <c r="V32" s="2"/>
      <c r="W32" s="2"/>
      <c r="X32" s="2"/>
      <c r="Y32" s="2"/>
      <c r="Z32" s="2"/>
      <c r="AQ32" s="78"/>
      <c r="AR32" s="78"/>
    </row>
    <row r="33" spans="1:44">
      <c r="A33" s="75">
        <v>3</v>
      </c>
      <c r="B33" s="86" t="s">
        <v>101</v>
      </c>
      <c r="C33" s="81">
        <f>材料成本!D24</f>
        <v>1100</v>
      </c>
      <c r="D33" s="81">
        <f>材料成本!E24</f>
        <v>1420</v>
      </c>
      <c r="E33" s="81">
        <f>材料成本!F24</f>
        <v>444.22</v>
      </c>
      <c r="F33" s="81">
        <f>材料成本!G24</f>
        <v>24.4</v>
      </c>
      <c r="G33" s="81">
        <f>材料成本!H24</f>
        <v>0</v>
      </c>
      <c r="H33" s="81">
        <f>材料成本!I24</f>
        <v>0</v>
      </c>
      <c r="I33" s="81">
        <f>材料成本!J24</f>
        <v>0</v>
      </c>
      <c r="J33" s="81">
        <f>材料成本!K24</f>
        <v>0</v>
      </c>
      <c r="K33" s="81">
        <f>材料成本!L24</f>
        <v>0</v>
      </c>
      <c r="L33" s="81">
        <f>材料成本!M24</f>
        <v>0</v>
      </c>
      <c r="M33" s="81">
        <f>材料成本!N24</f>
        <v>0</v>
      </c>
      <c r="N33" s="81">
        <f>材料成本!O24</f>
        <v>0</v>
      </c>
      <c r="O33" s="81">
        <f>材料成本!P24</f>
        <v>0</v>
      </c>
      <c r="P33" s="81">
        <f>材料成本!Q24</f>
        <v>0</v>
      </c>
      <c r="Q33" s="81">
        <f>材料成本!R24</f>
        <v>0</v>
      </c>
      <c r="R33" s="81">
        <f>材料成本!S24</f>
        <v>0</v>
      </c>
      <c r="S33" s="89"/>
      <c r="U33" s="2"/>
      <c r="V33" s="2"/>
      <c r="W33" s="2"/>
      <c r="X33" s="2"/>
      <c r="Y33" s="2"/>
      <c r="Z33" s="2"/>
      <c r="AQ33" s="78" t="s">
        <v>57</v>
      </c>
      <c r="AR33" s="78" t="s">
        <v>101</v>
      </c>
    </row>
    <row r="34" spans="1:44" ht="17.25" customHeight="1">
      <c r="A34" s="75">
        <v>4</v>
      </c>
      <c r="B34" s="78" t="s">
        <v>103</v>
      </c>
      <c r="C34" s="94">
        <f>C32-C33</f>
        <v>830.07999999999993</v>
      </c>
      <c r="D34" s="94">
        <f t="shared" ref="D34:R34" si="23">D32-D33</f>
        <v>974.69</v>
      </c>
      <c r="E34" s="94">
        <f t="shared" si="23"/>
        <v>336.30999999999995</v>
      </c>
      <c r="F34" s="94">
        <f t="shared" si="23"/>
        <v>53.699999999999996</v>
      </c>
      <c r="G34" s="94" t="e">
        <f t="shared" si="23"/>
        <v>#DIV/0!</v>
      </c>
      <c r="H34" s="94" t="e">
        <f t="shared" si="23"/>
        <v>#DIV/0!</v>
      </c>
      <c r="I34" s="94" t="e">
        <f t="shared" si="23"/>
        <v>#DIV/0!</v>
      </c>
      <c r="J34" s="94" t="e">
        <f t="shared" si="23"/>
        <v>#DIV/0!</v>
      </c>
      <c r="K34" s="94" t="e">
        <f t="shared" si="23"/>
        <v>#DIV/0!</v>
      </c>
      <c r="L34" s="94" t="e">
        <f t="shared" si="23"/>
        <v>#DIV/0!</v>
      </c>
      <c r="M34" s="94" t="e">
        <f t="shared" si="23"/>
        <v>#DIV/0!</v>
      </c>
      <c r="N34" s="94" t="e">
        <f t="shared" si="23"/>
        <v>#DIV/0!</v>
      </c>
      <c r="O34" s="94" t="e">
        <f t="shared" si="23"/>
        <v>#DIV/0!</v>
      </c>
      <c r="P34" s="94" t="e">
        <f t="shared" si="23"/>
        <v>#DIV/0!</v>
      </c>
      <c r="Q34" s="94" t="e">
        <f t="shared" si="23"/>
        <v>#DIV/0!</v>
      </c>
      <c r="R34" s="94" t="e">
        <f t="shared" si="23"/>
        <v>#DIV/0!</v>
      </c>
      <c r="S34" s="89"/>
      <c r="U34" s="2"/>
      <c r="V34" s="2"/>
      <c r="W34" s="2"/>
      <c r="X34" s="2"/>
      <c r="Y34" s="2"/>
      <c r="Z34" s="2"/>
      <c r="AQ34" s="78" t="s">
        <v>102</v>
      </c>
      <c r="AR34" s="78" t="s">
        <v>103</v>
      </c>
    </row>
    <row r="35" spans="1:44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Q35" s="78" t="s">
        <v>105</v>
      </c>
      <c r="AR35" s="83" t="s">
        <v>9</v>
      </c>
    </row>
    <row r="36" spans="1:44">
      <c r="A36" s="75">
        <v>1</v>
      </c>
      <c r="B36" s="78" t="s">
        <v>106</v>
      </c>
      <c r="C36" s="87">
        <f>标准成本!E4</f>
        <v>133.947552</v>
      </c>
      <c r="D36" s="87">
        <f>标准成本!E16</f>
        <v>166.191486</v>
      </c>
      <c r="E36" s="87">
        <f>标准成本!E29</f>
        <v>54.168782</v>
      </c>
      <c r="F36" s="87">
        <f>标准成本!E42</f>
        <v>5.42014</v>
      </c>
      <c r="G36" s="87">
        <f>标准成本!E55</f>
        <v>0</v>
      </c>
      <c r="H36" s="87">
        <f>标准成本!E68</f>
        <v>0</v>
      </c>
      <c r="I36" s="87">
        <f>标准成本!E81</f>
        <v>0</v>
      </c>
      <c r="J36" s="87">
        <f>标准成本!E94</f>
        <v>0</v>
      </c>
      <c r="K36" s="87">
        <f>标准成本!E107</f>
        <v>0</v>
      </c>
      <c r="L36" s="87">
        <f>标准成本!E120</f>
        <v>0</v>
      </c>
      <c r="M36" s="87">
        <f>标准成本!E133</f>
        <v>0</v>
      </c>
      <c r="N36" s="87">
        <f>标准成本!E146</f>
        <v>0</v>
      </c>
      <c r="O36" s="87">
        <f>标准成本!E159</f>
        <v>0</v>
      </c>
      <c r="P36" s="87">
        <f>标准成本!E172</f>
        <v>0</v>
      </c>
      <c r="Q36" s="87">
        <f>标准成本!E185</f>
        <v>0</v>
      </c>
      <c r="R36" s="87">
        <f>标准成本!E198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Q36" s="78" t="s">
        <v>102</v>
      </c>
      <c r="AR36" s="78" t="s">
        <v>106</v>
      </c>
    </row>
    <row r="37" spans="1:44">
      <c r="A37" s="75">
        <v>2</v>
      </c>
      <c r="B37" s="78" t="s">
        <v>107</v>
      </c>
      <c r="C37" s="87">
        <f>标准成本!E6</f>
        <v>83.765472000000003</v>
      </c>
      <c r="D37" s="87">
        <f>标准成本!E18</f>
        <v>103.929546</v>
      </c>
      <c r="E37" s="87">
        <f>标准成本!E31</f>
        <v>33.875002000000002</v>
      </c>
      <c r="F37" s="87">
        <f>标准成本!E44</f>
        <v>3.3895399999999998</v>
      </c>
      <c r="G37" s="87">
        <f>标准成本!E57</f>
        <v>0</v>
      </c>
      <c r="H37" s="87">
        <f>标准成本!E70</f>
        <v>0</v>
      </c>
      <c r="I37" s="87">
        <f>标准成本!E83</f>
        <v>0</v>
      </c>
      <c r="J37" s="87">
        <f>标准成本!E96</f>
        <v>0</v>
      </c>
      <c r="K37" s="87">
        <f>标准成本!E109</f>
        <v>0</v>
      </c>
      <c r="L37" s="87">
        <f>标准成本!E122</f>
        <v>0</v>
      </c>
      <c r="M37" s="87">
        <f>标准成本!E135</f>
        <v>0</v>
      </c>
      <c r="N37" s="87">
        <f>标准成本!E148</f>
        <v>0</v>
      </c>
      <c r="O37" s="87">
        <f>标准成本!E161</f>
        <v>0</v>
      </c>
      <c r="P37" s="87">
        <f>标准成本!E174</f>
        <v>0</v>
      </c>
      <c r="Q37" s="87">
        <f>标准成本!E187</f>
        <v>0</v>
      </c>
      <c r="R37" s="87">
        <f>标准成本!E200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Q37" s="78" t="s">
        <v>60</v>
      </c>
      <c r="AR37" s="78" t="s">
        <v>107</v>
      </c>
    </row>
    <row r="38" spans="1:44">
      <c r="A38" s="75">
        <v>3</v>
      </c>
      <c r="B38" s="78" t="s">
        <v>108</v>
      </c>
      <c r="C38" s="87">
        <f>标准成本!E10</f>
        <v>125.64820800000001</v>
      </c>
      <c r="D38" s="87">
        <f>标准成本!E22</f>
        <v>155.89431900000002</v>
      </c>
      <c r="E38" s="87">
        <f>标准成本!E35</f>
        <v>50.812503</v>
      </c>
      <c r="F38" s="87">
        <f>标准成本!E48</f>
        <v>5.0843100000000003</v>
      </c>
      <c r="G38" s="87">
        <f>标准成本!E61</f>
        <v>0</v>
      </c>
      <c r="H38" s="87">
        <f>标准成本!E74</f>
        <v>0</v>
      </c>
      <c r="I38" s="87">
        <f>标准成本!E87</f>
        <v>0</v>
      </c>
      <c r="J38" s="87">
        <f>标准成本!E100</f>
        <v>0</v>
      </c>
      <c r="K38" s="87">
        <f>标准成本!E113</f>
        <v>0</v>
      </c>
      <c r="L38" s="87">
        <f>标准成本!E126</f>
        <v>0</v>
      </c>
      <c r="M38" s="87">
        <f>标准成本!E139</f>
        <v>0</v>
      </c>
      <c r="N38" s="87">
        <f>标准成本!E152</f>
        <v>0</v>
      </c>
      <c r="O38" s="87">
        <f>标准成本!E165</f>
        <v>0</v>
      </c>
      <c r="P38" s="87">
        <f>标准成本!E178</f>
        <v>0</v>
      </c>
      <c r="Q38" s="87">
        <f>标准成本!E191</f>
        <v>0</v>
      </c>
      <c r="R38" s="87">
        <f>标准成本!E204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Q38" s="78" t="s">
        <v>66</v>
      </c>
      <c r="AR38" s="78" t="s">
        <v>108</v>
      </c>
    </row>
    <row r="39" spans="1:44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Q39" s="78" t="s">
        <v>109</v>
      </c>
      <c r="AR39" s="83" t="s">
        <v>110</v>
      </c>
    </row>
    <row r="40" spans="1:44">
      <c r="A40" s="75">
        <v>1</v>
      </c>
      <c r="B40" s="78" t="s">
        <v>111</v>
      </c>
      <c r="C40" s="89">
        <f>C34-C36-C37-C38</f>
        <v>486.7187679999999</v>
      </c>
      <c r="D40" s="89">
        <f>D34-D36-D37-D38</f>
        <v>548.67464900000016</v>
      </c>
      <c r="E40" s="89">
        <f t="shared" ref="E40:R40" si="24">E34-E36-E37-E38</f>
        <v>197.45371299999994</v>
      </c>
      <c r="F40" s="89">
        <f t="shared" si="24"/>
        <v>39.806010000000001</v>
      </c>
      <c r="G40" s="89" t="e">
        <f t="shared" si="24"/>
        <v>#DIV/0!</v>
      </c>
      <c r="H40" s="89" t="e">
        <f t="shared" si="24"/>
        <v>#DIV/0!</v>
      </c>
      <c r="I40" s="89" t="e">
        <f t="shared" si="24"/>
        <v>#DIV/0!</v>
      </c>
      <c r="J40" s="89" t="e">
        <f t="shared" si="24"/>
        <v>#DIV/0!</v>
      </c>
      <c r="K40" s="89" t="e">
        <f t="shared" si="24"/>
        <v>#DIV/0!</v>
      </c>
      <c r="L40" s="89" t="e">
        <f t="shared" si="24"/>
        <v>#DIV/0!</v>
      </c>
      <c r="M40" s="89" t="e">
        <f t="shared" si="24"/>
        <v>#DIV/0!</v>
      </c>
      <c r="N40" s="89" t="e">
        <f t="shared" si="24"/>
        <v>#DIV/0!</v>
      </c>
      <c r="O40" s="89" t="e">
        <f t="shared" si="24"/>
        <v>#DIV/0!</v>
      </c>
      <c r="P40" s="89" t="e">
        <f t="shared" si="24"/>
        <v>#DIV/0!</v>
      </c>
      <c r="Q40" s="89" t="e">
        <f t="shared" si="24"/>
        <v>#DIV/0!</v>
      </c>
      <c r="R40" s="89" t="e">
        <f t="shared" si="24"/>
        <v>#DIV/0!</v>
      </c>
      <c r="S40" s="89"/>
      <c r="AQ40" s="78" t="s">
        <v>55</v>
      </c>
      <c r="AR40" s="78" t="s">
        <v>111</v>
      </c>
    </row>
    <row r="41" spans="1:44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Q41" s="78" t="s">
        <v>57</v>
      </c>
      <c r="AR41" s="78" t="s">
        <v>112</v>
      </c>
    </row>
    <row r="42" spans="1:44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Q42" s="78" t="s">
        <v>113</v>
      </c>
      <c r="AR42" s="83" t="s">
        <v>114</v>
      </c>
    </row>
    <row r="43" spans="1:44">
      <c r="A43" s="75">
        <v>1</v>
      </c>
      <c r="B43" s="90" t="s">
        <v>115</v>
      </c>
      <c r="C43" s="87">
        <f>标准成本!E5</f>
        <v>159.23160000000001</v>
      </c>
      <c r="D43" s="87">
        <f>标准成本!E17</f>
        <v>197.561925</v>
      </c>
      <c r="E43" s="87">
        <f>标准成本!E30</f>
        <v>64.393725000000003</v>
      </c>
      <c r="F43" s="87">
        <f>标准成本!E43</f>
        <v>6.4432499999999999</v>
      </c>
      <c r="G43" s="87">
        <f>标准成本!E56</f>
        <v>0</v>
      </c>
      <c r="H43" s="87">
        <f>标准成本!E69</f>
        <v>0</v>
      </c>
      <c r="I43" s="87">
        <f>标准成本!E82</f>
        <v>0</v>
      </c>
      <c r="J43" s="87">
        <f>标准成本!E95</f>
        <v>0</v>
      </c>
      <c r="K43" s="87">
        <f>标准成本!E108</f>
        <v>0</v>
      </c>
      <c r="L43" s="87">
        <f>标准成本!E121</f>
        <v>0</v>
      </c>
      <c r="M43" s="87">
        <f>标准成本!E134</f>
        <v>0</v>
      </c>
      <c r="N43" s="87">
        <f>标准成本!E147</f>
        <v>0</v>
      </c>
      <c r="O43" s="87">
        <f>标准成本!E160</f>
        <v>0</v>
      </c>
      <c r="P43" s="87">
        <f>标准成本!E173</f>
        <v>0</v>
      </c>
      <c r="Q43" s="87">
        <f>标准成本!E186</f>
        <v>0</v>
      </c>
      <c r="R43" s="87">
        <f>标准成本!E199</f>
        <v>0</v>
      </c>
      <c r="S43" s="89"/>
      <c r="AQ43" s="78" t="s">
        <v>55</v>
      </c>
      <c r="AR43" s="78" t="s">
        <v>115</v>
      </c>
    </row>
    <row r="44" spans="1:44">
      <c r="A44" s="75">
        <v>2</v>
      </c>
      <c r="B44" s="90" t="s">
        <v>116</v>
      </c>
      <c r="C44" s="87">
        <f>标准成本!E9</f>
        <v>33.197375999999998</v>
      </c>
      <c r="D44" s="87">
        <f>标准成本!E21</f>
        <v>41.188668</v>
      </c>
      <c r="E44" s="87">
        <f>标准成本!E34</f>
        <v>13.425115999999999</v>
      </c>
      <c r="F44" s="87">
        <f>标准成本!E47</f>
        <v>1.3433199999999998</v>
      </c>
      <c r="G44" s="87">
        <f>标准成本!E60</f>
        <v>0</v>
      </c>
      <c r="H44" s="87">
        <f>标准成本!E73</f>
        <v>0</v>
      </c>
      <c r="I44" s="87">
        <f>标准成本!E86</f>
        <v>0</v>
      </c>
      <c r="J44" s="87">
        <f>标准成本!E99</f>
        <v>0</v>
      </c>
      <c r="K44" s="87">
        <f>标准成本!E112</f>
        <v>0</v>
      </c>
      <c r="L44" s="87">
        <f>标准成本!E125</f>
        <v>0</v>
      </c>
      <c r="M44" s="87">
        <f>标准成本!E138</f>
        <v>0</v>
      </c>
      <c r="N44" s="87">
        <f>标准成本!E151</f>
        <v>0</v>
      </c>
      <c r="O44" s="87">
        <f>标准成本!E164</f>
        <v>0</v>
      </c>
      <c r="P44" s="87">
        <f>标准成本!E177</f>
        <v>0</v>
      </c>
      <c r="Q44" s="87">
        <f>标准成本!E190</f>
        <v>0</v>
      </c>
      <c r="R44" s="87">
        <f>标准成本!E203</f>
        <v>0</v>
      </c>
      <c r="S44" s="89"/>
      <c r="AQ44" s="78" t="s">
        <v>57</v>
      </c>
      <c r="AR44" s="78" t="s">
        <v>116</v>
      </c>
    </row>
    <row r="45" spans="1:44">
      <c r="A45" s="75">
        <v>3</v>
      </c>
      <c r="B45" s="90" t="s">
        <v>117</v>
      </c>
      <c r="C45" s="87">
        <f>标准成本!E8</f>
        <v>50.954111999999995</v>
      </c>
      <c r="D45" s="87">
        <f>标准成本!E20</f>
        <v>63.219816000000002</v>
      </c>
      <c r="E45" s="87">
        <f>标准成本!E33</f>
        <v>20.605992000000001</v>
      </c>
      <c r="F45" s="87">
        <f>标准成本!E46</f>
        <v>2.0618399999999997</v>
      </c>
      <c r="G45" s="87">
        <f>标准成本!E59</f>
        <v>0</v>
      </c>
      <c r="H45" s="87">
        <f>标准成本!E72</f>
        <v>0</v>
      </c>
      <c r="I45" s="87">
        <f>标准成本!E85</f>
        <v>0</v>
      </c>
      <c r="J45" s="87">
        <f>标准成本!E98</f>
        <v>0</v>
      </c>
      <c r="K45" s="87">
        <f>标准成本!E111</f>
        <v>0</v>
      </c>
      <c r="L45" s="87">
        <f>标准成本!E124</f>
        <v>0</v>
      </c>
      <c r="M45" s="87">
        <f>标准成本!E137</f>
        <v>0</v>
      </c>
      <c r="N45" s="87">
        <f>标准成本!E150</f>
        <v>0</v>
      </c>
      <c r="O45" s="87">
        <f>标准成本!E163</f>
        <v>0</v>
      </c>
      <c r="P45" s="87">
        <f>标准成本!E176</f>
        <v>0</v>
      </c>
      <c r="Q45" s="87">
        <f>标准成本!E189</f>
        <v>0</v>
      </c>
      <c r="R45" s="87">
        <f>标准成本!E202</f>
        <v>0</v>
      </c>
      <c r="S45" s="89"/>
      <c r="AQ45" s="78" t="s">
        <v>102</v>
      </c>
      <c r="AR45" s="78" t="s">
        <v>117</v>
      </c>
    </row>
    <row r="46" spans="1:44" s="73" customFormat="1">
      <c r="A46" s="75">
        <v>4</v>
      </c>
      <c r="B46" s="90" t="s">
        <v>118</v>
      </c>
      <c r="C46" s="95">
        <f>C21/C6</f>
        <v>150</v>
      </c>
      <c r="D46" s="95">
        <f>D21/D6</f>
        <v>150</v>
      </c>
      <c r="E46" s="95">
        <f t="shared" ref="E46:R46" si="25">E21/E6</f>
        <v>150</v>
      </c>
      <c r="F46" s="95">
        <f t="shared" si="25"/>
        <v>150</v>
      </c>
      <c r="G46" s="95" t="e">
        <f t="shared" si="25"/>
        <v>#DIV/0!</v>
      </c>
      <c r="H46" s="95" t="e">
        <f t="shared" si="25"/>
        <v>#DIV/0!</v>
      </c>
      <c r="I46" s="95" t="e">
        <f t="shared" si="25"/>
        <v>#DIV/0!</v>
      </c>
      <c r="J46" s="95" t="e">
        <f t="shared" si="25"/>
        <v>#DIV/0!</v>
      </c>
      <c r="K46" s="95" t="e">
        <f t="shared" si="25"/>
        <v>#DIV/0!</v>
      </c>
      <c r="L46" s="95" t="e">
        <f t="shared" si="25"/>
        <v>#DIV/0!</v>
      </c>
      <c r="M46" s="95" t="e">
        <f t="shared" si="25"/>
        <v>#DIV/0!</v>
      </c>
      <c r="N46" s="95" t="e">
        <f t="shared" si="25"/>
        <v>#DIV/0!</v>
      </c>
      <c r="O46" s="95" t="e">
        <f t="shared" si="25"/>
        <v>#DIV/0!</v>
      </c>
      <c r="P46" s="95" t="e">
        <f t="shared" si="25"/>
        <v>#DIV/0!</v>
      </c>
      <c r="Q46" s="95" t="e">
        <f t="shared" si="25"/>
        <v>#DIV/0!</v>
      </c>
      <c r="R46" s="95" t="e">
        <f t="shared" si="25"/>
        <v>#DIV/0!</v>
      </c>
      <c r="S46" s="95"/>
      <c r="AQ46" s="90" t="s">
        <v>62</v>
      </c>
      <c r="AR46" s="90" t="s">
        <v>120</v>
      </c>
    </row>
    <row r="47" spans="1:44" s="73" customFormat="1">
      <c r="A47" s="75">
        <v>5</v>
      </c>
      <c r="B47" s="90" t="s">
        <v>120</v>
      </c>
      <c r="C47" s="87">
        <f>标准成本!E11</f>
        <v>68.517839999999993</v>
      </c>
      <c r="D47" s="87">
        <f>标准成本!E23</f>
        <v>85.011494999999996</v>
      </c>
      <c r="E47" s="87">
        <f>标准成本!E36</f>
        <v>27.708814999999998</v>
      </c>
      <c r="F47" s="87">
        <f>标准成本!E49</f>
        <v>2.7725499999999994</v>
      </c>
      <c r="G47" s="87">
        <f>标准成本!E62</f>
        <v>0</v>
      </c>
      <c r="H47" s="87">
        <f>标准成本!E75</f>
        <v>0</v>
      </c>
      <c r="I47" s="87">
        <f>标准成本!E88</f>
        <v>0</v>
      </c>
      <c r="J47" s="87">
        <f>标准成本!E101</f>
        <v>0</v>
      </c>
      <c r="K47" s="87">
        <f>标准成本!E114</f>
        <v>0</v>
      </c>
      <c r="L47" s="87">
        <f>标准成本!E127</f>
        <v>0</v>
      </c>
      <c r="M47" s="87">
        <f>标准成本!E140</f>
        <v>0</v>
      </c>
      <c r="N47" s="87">
        <f>标准成本!E153</f>
        <v>0</v>
      </c>
      <c r="O47" s="87">
        <f>标准成本!E166</f>
        <v>0</v>
      </c>
      <c r="P47" s="87">
        <f>标准成本!E179</f>
        <v>0</v>
      </c>
      <c r="Q47" s="87">
        <f>标准成本!E192</f>
        <v>0</v>
      </c>
      <c r="R47" s="87">
        <f>标准成本!E205</f>
        <v>0</v>
      </c>
      <c r="S47" s="95"/>
      <c r="AQ47" s="90" t="s">
        <v>62</v>
      </c>
      <c r="AR47" s="90" t="s">
        <v>120</v>
      </c>
    </row>
    <row r="48" spans="1:44">
      <c r="A48" s="78" t="s">
        <v>113</v>
      </c>
      <c r="B48" s="83" t="s">
        <v>131</v>
      </c>
      <c r="C48" s="89">
        <f>C40-C43-C44-C45-C47-C46</f>
        <v>24.817839999999876</v>
      </c>
      <c r="D48" s="89">
        <f>D40-D43-D44-D45-D47-D46</f>
        <v>11.692745000000173</v>
      </c>
      <c r="E48" s="89">
        <f t="shared" ref="E48:R48" si="26">E40-E43-E44-E45-E47-E46</f>
        <v>-78.679935000000086</v>
      </c>
      <c r="F48" s="89">
        <f t="shared" si="26"/>
        <v>-122.81495</v>
      </c>
      <c r="G48" s="89" t="e">
        <f t="shared" si="26"/>
        <v>#DIV/0!</v>
      </c>
      <c r="H48" s="89" t="e">
        <f t="shared" si="26"/>
        <v>#DIV/0!</v>
      </c>
      <c r="I48" s="89" t="e">
        <f t="shared" si="26"/>
        <v>#DIV/0!</v>
      </c>
      <c r="J48" s="89" t="e">
        <f t="shared" si="26"/>
        <v>#DIV/0!</v>
      </c>
      <c r="K48" s="89" t="e">
        <f t="shared" si="26"/>
        <v>#DIV/0!</v>
      </c>
      <c r="L48" s="89" t="e">
        <f t="shared" si="26"/>
        <v>#DIV/0!</v>
      </c>
      <c r="M48" s="89" t="e">
        <f t="shared" si="26"/>
        <v>#DIV/0!</v>
      </c>
      <c r="N48" s="89" t="e">
        <f t="shared" si="26"/>
        <v>#DIV/0!</v>
      </c>
      <c r="O48" s="89" t="e">
        <f t="shared" si="26"/>
        <v>#DIV/0!</v>
      </c>
      <c r="P48" s="89" t="e">
        <f t="shared" si="26"/>
        <v>#DIV/0!</v>
      </c>
      <c r="Q48" s="89" t="e">
        <f t="shared" si="26"/>
        <v>#DIV/0!</v>
      </c>
      <c r="R48" s="89" t="e">
        <f t="shared" si="26"/>
        <v>#DIV/0!</v>
      </c>
      <c r="S48" s="89"/>
      <c r="AQ48" s="78" t="s">
        <v>130</v>
      </c>
      <c r="AR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G8" sqref="G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2" t="s">
        <v>141</v>
      </c>
      <c r="B1" s="232"/>
      <c r="C1" s="236" t="s">
        <v>263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/>
    </row>
    <row r="2" spans="1:47">
      <c r="A2" s="232" t="s">
        <v>142</v>
      </c>
      <c r="B2" s="232"/>
      <c r="C2" s="239" t="str">
        <f>'2025年'!$C$2</f>
        <v>北汽福田戴姆勒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47">
      <c r="A3" s="232" t="s">
        <v>143</v>
      </c>
      <c r="B3" s="232"/>
      <c r="C3" s="76" t="str">
        <f>'2025年'!C3</f>
        <v>驾驶员座椅总成</v>
      </c>
      <c r="D3" s="76" t="str">
        <f>'2025年'!D3</f>
        <v>驾驶员座椅总成</v>
      </c>
      <c r="E3" s="76" t="str">
        <f>'2025年'!E3</f>
        <v>副驾驶员座椅总成</v>
      </c>
      <c r="F3" s="76" t="str">
        <f>'2025年'!F3</f>
        <v>座椅安装支架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3" t="s">
        <v>51</v>
      </c>
    </row>
    <row r="4" spans="1:47" ht="33.75">
      <c r="A4" s="232" t="s">
        <v>144</v>
      </c>
      <c r="B4" s="232"/>
      <c r="C4" s="76" t="str">
        <f>'2025年'!C4</f>
        <v>A6681000000167
（基础件A668100000026）</v>
      </c>
      <c r="D4" s="76" t="str">
        <f>'2025年'!D4</f>
        <v>A6681000000168
（基础件A668100000023）</v>
      </c>
      <c r="E4" s="76" t="str">
        <f>'2025年'!E4</f>
        <v>A6681000000169
（基础件A668100000025）</v>
      </c>
      <c r="F4" s="76" t="str">
        <f>'2025年'!F4</f>
        <v>A6681000000166
（基础件A668100000022）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4"/>
    </row>
    <row r="5" spans="1:47" ht="242.25">
      <c r="A5" s="232" t="s">
        <v>145</v>
      </c>
      <c r="B5" s="232"/>
      <c r="C5" s="77" t="str">
        <f>'2025年'!C5</f>
        <v>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手动靠背角度可调，手动空气高度调节，手动短滑轨前后可调，手动坐垫倾角可调，手动座深可调，空气腰部支撑，靠背两侧空气腰托，内侧扶手，集成三点式安全带，安全带未系报警（只有带扣），PVC包覆</v>
      </c>
      <c r="D5" s="77" t="str">
        <f>'2025年'!D5</f>
        <v>空气悬浮减震（匹配空气高度调节），悬浮高度记忆功能，减震器阻尼可调，速降功能，手动靠背角度可调，手动空气高度调节，手动短滑轨前后可调，手动坐垫倾角可调，手动座深可调，空气腰部支撑，靠背两侧空气腰托，内侧扶手，靠背坐垫电加热，通风（吸风式），集成三点式安全带，安全带未系报警（只有带扣，PVC包覆）</v>
      </c>
      <c r="E5" s="77" t="str">
        <f>'2025年'!E5</f>
        <v>分体式无减震，手动靠背角度可调，手动坐垫翻转，集成三点式安全带，安全带未系报警（带扣+压力传感器），PVC包覆</v>
      </c>
      <c r="F5" s="77" t="str">
        <f>'2025年'!F5</f>
        <v>金属支架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5"/>
      <c r="AU5" s="71" t="s">
        <v>52</v>
      </c>
    </row>
    <row r="6" spans="1:47" ht="17.25">
      <c r="A6" s="78" t="s">
        <v>18</v>
      </c>
      <c r="B6" s="79" t="s">
        <v>146</v>
      </c>
      <c r="C6" s="98">
        <f>销量!C10</f>
        <v>300</v>
      </c>
      <c r="D6" s="98">
        <f>销量!D10</f>
        <v>300</v>
      </c>
      <c r="E6" s="98">
        <f>销量!E10</f>
        <v>600</v>
      </c>
      <c r="F6" s="98">
        <f>销量!F10</f>
        <v>600</v>
      </c>
      <c r="G6" s="98">
        <f>销量!G10</f>
        <v>0</v>
      </c>
      <c r="H6" s="98">
        <f>销量!H10</f>
        <v>0</v>
      </c>
      <c r="I6" s="98">
        <f>销量!I10</f>
        <v>0</v>
      </c>
      <c r="J6" s="98">
        <f>销量!J10</f>
        <v>0</v>
      </c>
      <c r="K6" s="98">
        <f>销量!K10</f>
        <v>0</v>
      </c>
      <c r="L6" s="98">
        <f>销量!L10</f>
        <v>0</v>
      </c>
      <c r="M6" s="98">
        <f>销量!M10</f>
        <v>0</v>
      </c>
      <c r="N6" s="98">
        <f>销量!N10</f>
        <v>0</v>
      </c>
      <c r="O6" s="98">
        <f>销量!O10</f>
        <v>0</v>
      </c>
      <c r="P6" s="98">
        <f>销量!P10</f>
        <v>0</v>
      </c>
      <c r="Q6" s="98">
        <f>销量!Q10</f>
        <v>0</v>
      </c>
      <c r="R6" s="98">
        <f>销量!R10</f>
        <v>0</v>
      </c>
      <c r="S6" s="81">
        <f>+SUM(C6:R6)</f>
        <v>1800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579024</v>
      </c>
      <c r="D7" s="81">
        <f>D6*销量!D8</f>
        <v>718407</v>
      </c>
      <c r="E7" s="81">
        <f>E6*销量!E8</f>
        <v>468318</v>
      </c>
      <c r="F7" s="81">
        <f>F6*销量!F8</f>
        <v>46860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1812609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C7*(1-销量!$V$7)</f>
        <v>28951.200000000026</v>
      </c>
      <c r="D8" s="81">
        <f>D7*(1-销量!$V$7)</f>
        <v>35920.350000000035</v>
      </c>
      <c r="E8" s="81">
        <f>E7*(1-销量!$V$7)</f>
        <v>23415.90000000002</v>
      </c>
      <c r="F8" s="81">
        <f>F7*(1-销量!$V$7)</f>
        <v>2343.0000000000023</v>
      </c>
      <c r="G8" s="81">
        <f>G7*(1-销量!$V$7)</f>
        <v>0</v>
      </c>
      <c r="H8" s="81">
        <f>H7*(1-销量!$V$7)</f>
        <v>0</v>
      </c>
      <c r="I8" s="81">
        <f>I7*(1-销量!$V$7)</f>
        <v>0</v>
      </c>
      <c r="J8" s="81">
        <f>J7*(1-销量!$V$7)</f>
        <v>0</v>
      </c>
      <c r="K8" s="81">
        <f>K7*(1-销量!$V$7)</f>
        <v>0</v>
      </c>
      <c r="L8" s="81">
        <f>L7*(1-销量!$V$7)</f>
        <v>0</v>
      </c>
      <c r="M8" s="81">
        <f>M7*(1-销量!$V$7)</f>
        <v>0</v>
      </c>
      <c r="N8" s="81">
        <f>N7*(1-销量!$V$7)</f>
        <v>0</v>
      </c>
      <c r="O8" s="81">
        <f>O7*(1-销量!$V$7)</f>
        <v>0</v>
      </c>
      <c r="P8" s="81">
        <f>P7*(1-销量!$V$7)</f>
        <v>0</v>
      </c>
      <c r="Q8" s="81">
        <f>Q7*(1-销量!$V$7)</f>
        <v>0</v>
      </c>
      <c r="R8" s="81">
        <f>R7*(1-销量!$V$7)</f>
        <v>0</v>
      </c>
      <c r="S8" s="81">
        <f t="shared" si="0"/>
        <v>90630.450000000084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550072.79999999993</v>
      </c>
      <c r="D9" s="81">
        <f>+D7-D8</f>
        <v>682486.64999999991</v>
      </c>
      <c r="E9" s="81">
        <f t="shared" ref="E9:F9" si="1">+E7-E8</f>
        <v>444902.1</v>
      </c>
      <c r="F9" s="81">
        <f t="shared" si="1"/>
        <v>44517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1721978.5499999998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313500</v>
      </c>
      <c r="D10" s="81">
        <f>D6*D33</f>
        <v>404700</v>
      </c>
      <c r="E10" s="81">
        <f t="shared" ref="E10:F10" si="3">E6*E33</f>
        <v>253205.40000000002</v>
      </c>
      <c r="F10" s="81">
        <f t="shared" si="3"/>
        <v>13907.999999999998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985313.4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40184.265599999999</v>
      </c>
      <c r="D11" s="81">
        <f>+D6*D36</f>
        <v>49857.445800000001</v>
      </c>
      <c r="E11" s="81">
        <f t="shared" ref="E11:F11" si="5">+E6*E36</f>
        <v>32501.269199999999</v>
      </c>
      <c r="F11" s="81">
        <f t="shared" si="5"/>
        <v>3252.0839999999998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125795.0646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25129.641599999999</v>
      </c>
      <c r="D12" s="81">
        <f>+D6*D37</f>
        <v>31178.863799999999</v>
      </c>
      <c r="E12" s="81">
        <f t="shared" ref="E12:F12" si="7">+E6*E37</f>
        <v>20325.001200000002</v>
      </c>
      <c r="F12" s="81">
        <f t="shared" si="7"/>
        <v>2033.7239999999999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78667.230599999995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37694.462400000004</v>
      </c>
      <c r="D13" s="81">
        <f>+D6*D38</f>
        <v>46768.29570000001</v>
      </c>
      <c r="E13" s="81">
        <f t="shared" ref="E13:F13" si="9">+E6*E38</f>
        <v>30487.501799999998</v>
      </c>
      <c r="F13" s="81">
        <f t="shared" si="9"/>
        <v>3050.5860000000002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118000.8459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103008.36960000001</v>
      </c>
      <c r="D14" s="81">
        <f>SUM(D11:D13)</f>
        <v>127804.60530000002</v>
      </c>
      <c r="E14" s="81">
        <f t="shared" ref="E14:S14" si="11">SUM(E11:E13)</f>
        <v>83313.772200000007</v>
      </c>
      <c r="F14" s="81">
        <f t="shared" si="11"/>
        <v>8336.3940000000002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322463.14110000001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133564.43039999992</v>
      </c>
      <c r="D15" s="81">
        <f>+D9-D10-D14</f>
        <v>149982.04469999988</v>
      </c>
      <c r="E15" s="81">
        <f t="shared" ref="E15:F15" si="13">+E9-E10-E14</f>
        <v>108382.92779999995</v>
      </c>
      <c r="F15" s="81">
        <f t="shared" si="13"/>
        <v>22272.606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>+S9-S10-S14</f>
        <v>414202.00889999978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0.24281227939283662</v>
      </c>
      <c r="D16" s="84">
        <f>+D15/D9</f>
        <v>0.21975821021554034</v>
      </c>
      <c r="E16" s="84">
        <f t="shared" ref="E16:F16" si="15">+E15/E9</f>
        <v>0.24361073548540219</v>
      </c>
      <c r="F16" s="84">
        <f t="shared" si="15"/>
        <v>0.50031686771345774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0.24053842534798114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79752.813333333339</v>
      </c>
      <c r="D17" s="81">
        <f>D6*D43+D18</f>
        <v>91251.910833333328</v>
      </c>
      <c r="E17" s="81">
        <f t="shared" ref="E17:F17" si="17">E6*E43+E18</f>
        <v>102602.90166666667</v>
      </c>
      <c r="F17" s="81">
        <f t="shared" si="17"/>
        <v>67832.616666666669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341440.24250000005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31983.333333333336</v>
      </c>
      <c r="D18" s="87">
        <f>$S$18/$S$6*D6</f>
        <v>31983.333333333336</v>
      </c>
      <c r="E18" s="87">
        <f>$S$18/$S$6*E6</f>
        <v>63966.666666666672</v>
      </c>
      <c r="F18" s="87">
        <f>$S$18/$S$6*F6</f>
        <v>63966.666666666672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项目投资!E26</f>
        <v>191900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9959.2127999999993</v>
      </c>
      <c r="D19" s="81">
        <f>D6*D44</f>
        <v>12356.600399999999</v>
      </c>
      <c r="E19" s="81">
        <f t="shared" ref="E19:F19" si="20">E6*E44</f>
        <v>8055.0695999999998</v>
      </c>
      <c r="F19" s="81">
        <f t="shared" si="20"/>
        <v>805.99199999999996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31176.874799999994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15286.233599999998</v>
      </c>
      <c r="D20" s="81">
        <f>D6*D45</f>
        <v>18965.944800000001</v>
      </c>
      <c r="E20" s="81">
        <f t="shared" ref="E20:F20" si="23">E6*E45</f>
        <v>12363.5952</v>
      </c>
      <c r="F20" s="81">
        <f t="shared" si="23"/>
        <v>1237.1039999999998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47852.8776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7500</v>
      </c>
      <c r="D21" s="89">
        <f>$S$21/$S$6*D6</f>
        <v>7500</v>
      </c>
      <c r="E21" s="89">
        <f t="shared" ref="E21:F21" si="25">$S$21/$S$6*E6</f>
        <v>15000</v>
      </c>
      <c r="F21" s="89">
        <f t="shared" si="25"/>
        <v>15000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项目投资!E27</f>
        <v>45000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20555.351999999999</v>
      </c>
      <c r="D22" s="81">
        <f>D6*D47</f>
        <v>25503.448499999999</v>
      </c>
      <c r="E22" s="81">
        <f t="shared" ref="E22:F22" si="27">E6*E47</f>
        <v>16625.288999999997</v>
      </c>
      <c r="F22" s="81">
        <f t="shared" si="27"/>
        <v>1663.5299999999997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64347.619499999993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133053.61173333332</v>
      </c>
      <c r="D23" s="89">
        <f>+D22+D21+D20+D19+D17</f>
        <v>155577.90453333332</v>
      </c>
      <c r="E23" s="89">
        <f t="shared" ref="E23:F23" si="29">+E22+E21+E20+E19+E17</f>
        <v>154646.85546666669</v>
      </c>
      <c r="F23" s="89">
        <f t="shared" si="29"/>
        <v>86539.242666666658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529817.61440000008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510.81866666660062</v>
      </c>
      <c r="D24" s="89">
        <f>+D15-D23</f>
        <v>-5595.8598333334376</v>
      </c>
      <c r="E24" s="89">
        <f t="shared" ref="E24:F24" si="31">+E15-E23</f>
        <v>-46263.927666666743</v>
      </c>
      <c r="F24" s="89">
        <f t="shared" si="31"/>
        <v>-64266.636666666658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-115615.6055000003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274</v>
      </c>
      <c r="C25" s="89">
        <f>IF(C24&lt;0,0,C24*0.15)</f>
        <v>76.622799999990093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434.19586666661053</v>
      </c>
      <c r="D26" s="89">
        <f>D24-D25</f>
        <v>-5595.8598333334376</v>
      </c>
      <c r="E26" s="89">
        <f t="shared" ref="E26:F26" si="36">E24-E25</f>
        <v>-46263.927666666743</v>
      </c>
      <c r="F26" s="89">
        <f t="shared" si="36"/>
        <v>-64266.636666666658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>S24-S25</f>
        <v>-115615.6055000003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7.8934255005266678E-4</v>
      </c>
      <c r="D27" s="92">
        <f t="shared" ref="D27:F27" si="38">D26/D9</f>
        <v>-8.199222407256521E-3</v>
      </c>
      <c r="E27" s="92">
        <f t="shared" si="38"/>
        <v>-0.10398675948409042</v>
      </c>
      <c r="F27" s="92">
        <f t="shared" si="38"/>
        <v>-1.4436425784906139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>S26/S9</f>
        <v>-6.7141141508412119E-2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1930.08</v>
      </c>
      <c r="D31" s="93">
        <f>销量!D8</f>
        <v>2394.69</v>
      </c>
      <c r="E31" s="93">
        <f>销量!E8</f>
        <v>780.53</v>
      </c>
      <c r="F31" s="93">
        <f>销量!F8</f>
        <v>78.099999999999994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1833.5759999999998</v>
      </c>
      <c r="D32" s="81">
        <f t="shared" ref="D32:F32" si="40">D9/D6</f>
        <v>2274.9554999999996</v>
      </c>
      <c r="E32" s="81">
        <f t="shared" si="40"/>
        <v>741.50349999999992</v>
      </c>
      <c r="F32" s="81">
        <f t="shared" si="40"/>
        <v>74.194999999999993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材料成本!D25</f>
        <v>1045</v>
      </c>
      <c r="D33" s="81">
        <f>材料成本!E25</f>
        <v>1349</v>
      </c>
      <c r="E33" s="81">
        <f>材料成本!F25</f>
        <v>422.00900000000001</v>
      </c>
      <c r="F33" s="81">
        <f>材料成本!G25</f>
        <v>23.179999999999996</v>
      </c>
      <c r="G33" s="81">
        <f>材料成本!H25</f>
        <v>0</v>
      </c>
      <c r="H33" s="81">
        <f>材料成本!I25</f>
        <v>0</v>
      </c>
      <c r="I33" s="81">
        <f>材料成本!J25</f>
        <v>0</v>
      </c>
      <c r="J33" s="81">
        <f>材料成本!K25</f>
        <v>0</v>
      </c>
      <c r="K33" s="81">
        <f>材料成本!L25</f>
        <v>0</v>
      </c>
      <c r="L33" s="81">
        <f>材料成本!M25</f>
        <v>0</v>
      </c>
      <c r="M33" s="81">
        <f>材料成本!N25</f>
        <v>0</v>
      </c>
      <c r="N33" s="81">
        <f>材料成本!O25</f>
        <v>0</v>
      </c>
      <c r="O33" s="81">
        <f>材料成本!P25</f>
        <v>0</v>
      </c>
      <c r="P33" s="81">
        <f>材料成本!Q25</f>
        <v>0</v>
      </c>
      <c r="Q33" s="81">
        <f>材料成本!R25</f>
        <v>0</v>
      </c>
      <c r="R33" s="81">
        <f>材料成本!S25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788.57599999999979</v>
      </c>
      <c r="D34" s="94">
        <f t="shared" ref="D34:F34" si="42">D32-D33</f>
        <v>925.95549999999957</v>
      </c>
      <c r="E34" s="94">
        <f t="shared" si="42"/>
        <v>319.4944999999999</v>
      </c>
      <c r="F34" s="94">
        <f t="shared" si="42"/>
        <v>51.015000000000001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133.947552</v>
      </c>
      <c r="D36" s="87">
        <f>'2025年'!D36</f>
        <v>166.191486</v>
      </c>
      <c r="E36" s="87">
        <f>'2025年'!E36</f>
        <v>54.168782</v>
      </c>
      <c r="F36" s="87">
        <f>'2025年'!F36</f>
        <v>5.42014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83.765472000000003</v>
      </c>
      <c r="D37" s="87">
        <f>'2025年'!D37</f>
        <v>103.929546</v>
      </c>
      <c r="E37" s="87">
        <f>'2025年'!E37</f>
        <v>33.875002000000002</v>
      </c>
      <c r="F37" s="87">
        <f>'2025年'!F37</f>
        <v>3.3895399999999998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125.64820800000001</v>
      </c>
      <c r="D38" s="87">
        <f>'2025年'!D38</f>
        <v>155.89431900000002</v>
      </c>
      <c r="E38" s="87">
        <f>'2025年'!E38</f>
        <v>50.812503</v>
      </c>
      <c r="F38" s="87">
        <f>'2025年'!F38</f>
        <v>5.0843100000000003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445.21476799999976</v>
      </c>
      <c r="D40" s="89">
        <f>D34-D36-D37-D38</f>
        <v>499.94014899999968</v>
      </c>
      <c r="E40" s="89">
        <f t="shared" ref="E40:F40" si="44">E34-E36-E37-E38</f>
        <v>180.63821299999989</v>
      </c>
      <c r="F40" s="89">
        <f t="shared" si="44"/>
        <v>37.121009999999998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159.23160000000001</v>
      </c>
      <c r="D43" s="87">
        <f>'2025年'!D43</f>
        <v>197.561925</v>
      </c>
      <c r="E43" s="87">
        <f>'2025年'!E43</f>
        <v>64.393725000000003</v>
      </c>
      <c r="F43" s="87">
        <f>'2025年'!F43</f>
        <v>6.4432499999999999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33.197375999999998</v>
      </c>
      <c r="D44" s="87">
        <f>'2025年'!D44</f>
        <v>41.188668</v>
      </c>
      <c r="E44" s="87">
        <f>'2025年'!E44</f>
        <v>13.425115999999999</v>
      </c>
      <c r="F44" s="87">
        <f>'2025年'!F44</f>
        <v>1.3433199999999998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50.954111999999995</v>
      </c>
      <c r="D45" s="87">
        <f>'2025年'!D45</f>
        <v>63.219816000000002</v>
      </c>
      <c r="E45" s="87">
        <f>'2025年'!E45</f>
        <v>20.605992000000001</v>
      </c>
      <c r="F45" s="87">
        <f>'2025年'!F45</f>
        <v>2.0618399999999997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25</v>
      </c>
      <c r="D46" s="95">
        <f>D21/D6</f>
        <v>25</v>
      </c>
      <c r="E46" s="95">
        <f t="shared" ref="E46:F46" si="46">E21/E6</f>
        <v>25</v>
      </c>
      <c r="F46" s="95">
        <f t="shared" si="46"/>
        <v>25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68.517839999999993</v>
      </c>
      <c r="D47" s="87">
        <f>'2025年'!D47</f>
        <v>85.011494999999996</v>
      </c>
      <c r="E47" s="87">
        <f>'2025年'!E47</f>
        <v>27.708814999999998</v>
      </c>
      <c r="F47" s="87">
        <f>'2025年'!F47</f>
        <v>2.7725499999999994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108.3138399999998</v>
      </c>
      <c r="D48" s="89">
        <f>D40-D43-D44-D45-D47-D46</f>
        <v>87.958244999999692</v>
      </c>
      <c r="E48" s="89">
        <f t="shared" ref="E48:F48" si="48">E40-E43-E44-E45-E47-E46</f>
        <v>29.504564999999886</v>
      </c>
      <c r="F48" s="89">
        <f t="shared" si="48"/>
        <v>-0.49994999999999834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71" customWidth="1"/>
    <col min="2" max="2" width="17.5" style="71" customWidth="1"/>
    <col min="3" max="3" width="15.375" style="74" customWidth="1"/>
    <col min="4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2" t="s">
        <v>141</v>
      </c>
      <c r="B1" s="232"/>
      <c r="C1" s="236" t="s">
        <v>262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/>
    </row>
    <row r="2" spans="1:47">
      <c r="A2" s="232" t="s">
        <v>142</v>
      </c>
      <c r="B2" s="232"/>
      <c r="C2" s="239" t="str">
        <f>'2025年'!$C$2</f>
        <v>北汽福田戴姆勒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47">
      <c r="A3" s="232" t="s">
        <v>143</v>
      </c>
      <c r="B3" s="232"/>
      <c r="C3" s="76" t="str">
        <f>'2025年'!C3</f>
        <v>驾驶员座椅总成</v>
      </c>
      <c r="D3" s="76" t="str">
        <f>'2025年'!D3</f>
        <v>驾驶员座椅总成</v>
      </c>
      <c r="E3" s="76" t="str">
        <f>'2025年'!E3</f>
        <v>副驾驶员座椅总成</v>
      </c>
      <c r="F3" s="76" t="str">
        <f>'2025年'!F3</f>
        <v>座椅安装支架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3" t="s">
        <v>51</v>
      </c>
    </row>
    <row r="4" spans="1:47" ht="33.75">
      <c r="A4" s="232" t="s">
        <v>144</v>
      </c>
      <c r="B4" s="232"/>
      <c r="C4" s="76" t="str">
        <f>'2025年'!C4</f>
        <v>A6681000000167
（基础件A668100000026）</v>
      </c>
      <c r="D4" s="76" t="str">
        <f>'2025年'!D4</f>
        <v>A6681000000168
（基础件A668100000023）</v>
      </c>
      <c r="E4" s="76" t="str">
        <f>'2025年'!E4</f>
        <v>A6681000000169
（基础件A668100000025）</v>
      </c>
      <c r="F4" s="76" t="str">
        <f>'2025年'!F4</f>
        <v>A6681000000166
（基础件A668100000022）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4"/>
    </row>
    <row r="5" spans="1:47" ht="242.25">
      <c r="A5" s="232" t="s">
        <v>145</v>
      </c>
      <c r="B5" s="232"/>
      <c r="C5" s="77" t="str">
        <f>'2025年'!C5</f>
        <v>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手动靠背角度可调，手动空气高度调节，手动短滑轨前后可调，手动坐垫倾角可调，手动座深可调，空气腰部支撑，靠背两侧空气腰托，内侧扶手，集成三点式安全带，安全带未系报警（只有带扣），PVC包覆</v>
      </c>
      <c r="D5" s="77" t="str">
        <f>'2025年'!D5</f>
        <v>空气悬浮减震（匹配空气高度调节），悬浮高度记忆功能，减震器阻尼可调，速降功能，手动靠背角度可调，手动空气高度调节，手动短滑轨前后可调，手动坐垫倾角可调，手动座深可调，空气腰部支撑，靠背两侧空气腰托，内侧扶手，靠背坐垫电加热，通风（吸风式），集成三点式安全带，安全带未系报警（只有带扣，PVC包覆）</v>
      </c>
      <c r="E5" s="77" t="str">
        <f>'2025年'!E5</f>
        <v>分体式无减震，手动靠背角度可调，手动坐垫翻转，集成三点式安全带，安全带未系报警（带扣+压力传感器），PVC包覆</v>
      </c>
      <c r="F5" s="77" t="str">
        <f>'2025年'!F5</f>
        <v>金属支架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5"/>
      <c r="AU5" s="71" t="s">
        <v>52</v>
      </c>
    </row>
    <row r="6" spans="1:47">
      <c r="A6" s="78" t="s">
        <v>18</v>
      </c>
      <c r="B6" s="79" t="s">
        <v>146</v>
      </c>
      <c r="C6" s="80">
        <f>销量!C11</f>
        <v>650</v>
      </c>
      <c r="D6" s="80">
        <f>销量!D11</f>
        <v>650</v>
      </c>
      <c r="E6" s="80">
        <f>销量!E11</f>
        <v>1300</v>
      </c>
      <c r="F6" s="80">
        <f>销量!F11</f>
        <v>1300</v>
      </c>
      <c r="G6" s="80">
        <f>销量!G11</f>
        <v>0</v>
      </c>
      <c r="H6" s="80">
        <f>销量!H11</f>
        <v>0</v>
      </c>
      <c r="I6" s="80">
        <f>销量!I11</f>
        <v>0</v>
      </c>
      <c r="J6" s="80">
        <f>销量!J11</f>
        <v>0</v>
      </c>
      <c r="K6" s="80">
        <f>销量!K11</f>
        <v>0</v>
      </c>
      <c r="L6" s="80">
        <f>销量!L11</f>
        <v>0</v>
      </c>
      <c r="M6" s="80">
        <f>销量!M11</f>
        <v>0</v>
      </c>
      <c r="N6" s="80">
        <f>销量!N11</f>
        <v>0</v>
      </c>
      <c r="O6" s="80">
        <f>销量!O11</f>
        <v>0</v>
      </c>
      <c r="P6" s="80">
        <f>销量!P11</f>
        <v>0</v>
      </c>
      <c r="Q6" s="80">
        <f>销量!Q11</f>
        <v>0</v>
      </c>
      <c r="R6" s="80">
        <f>销量!R11</f>
        <v>0</v>
      </c>
      <c r="S6" s="81">
        <f>+SUM(C6:R6)</f>
        <v>3900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1254552</v>
      </c>
      <c r="D7" s="81">
        <f>D6*销量!D8</f>
        <v>1556548.5</v>
      </c>
      <c r="E7" s="81">
        <f>E6*销量!E8</f>
        <v>1014689</v>
      </c>
      <c r="F7" s="81">
        <f>F6*销量!F8</f>
        <v>101529.99999999999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3927319.5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C7*(1-销量!$V$8)</f>
        <v>122318.82000000004</v>
      </c>
      <c r="D8" s="81">
        <f>D7*(1-销量!$V$8)</f>
        <v>151763.47875000004</v>
      </c>
      <c r="E8" s="81">
        <f>E7*(1-销量!$V$8)</f>
        <v>98932.177500000034</v>
      </c>
      <c r="F8" s="81">
        <f>F7*(1-销量!$V$8)</f>
        <v>9899.1750000000011</v>
      </c>
      <c r="G8" s="81">
        <f>G7*(1-销量!$V$8)</f>
        <v>0</v>
      </c>
      <c r="H8" s="81">
        <f>H7*(1-销量!$V$8)</f>
        <v>0</v>
      </c>
      <c r="I8" s="81">
        <f>I7*(1-销量!$V$8)</f>
        <v>0</v>
      </c>
      <c r="J8" s="81">
        <f>J7*(1-销量!$V$8)</f>
        <v>0</v>
      </c>
      <c r="K8" s="81">
        <f>K7*(1-销量!$V$8)</f>
        <v>0</v>
      </c>
      <c r="L8" s="81">
        <f>L7*(1-销量!$V$8)</f>
        <v>0</v>
      </c>
      <c r="M8" s="81">
        <f>M7*(1-销量!$V$8)</f>
        <v>0</v>
      </c>
      <c r="N8" s="81">
        <f>N7*(1-销量!$V$8)</f>
        <v>0</v>
      </c>
      <c r="O8" s="81">
        <f>O7*(1-销量!$V$8)</f>
        <v>0</v>
      </c>
      <c r="P8" s="81">
        <f>P7*(1-销量!$V$8)</f>
        <v>0</v>
      </c>
      <c r="Q8" s="81">
        <f>Q7*(1-销量!$V$8)</f>
        <v>0</v>
      </c>
      <c r="R8" s="81">
        <f>R7*(1-销量!$V$8)</f>
        <v>0</v>
      </c>
      <c r="S8" s="81">
        <f t="shared" si="0"/>
        <v>382913.65125000011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1132233.18</v>
      </c>
      <c r="D9" s="81">
        <f>+D7-D8</f>
        <v>1404785.02125</v>
      </c>
      <c r="E9" s="81">
        <f t="shared" ref="E9:F9" si="1">+E7-E8</f>
        <v>915756.82250000001</v>
      </c>
      <c r="F9" s="81">
        <f t="shared" si="1"/>
        <v>91630.824999999983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3544405.8487499999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645287.5</v>
      </c>
      <c r="D10" s="81">
        <f>D6*D33</f>
        <v>833007.5</v>
      </c>
      <c r="E10" s="81">
        <f t="shared" ref="E10:F10" si="3">E6*E33</f>
        <v>521181.11499999999</v>
      </c>
      <c r="F10" s="81">
        <f t="shared" si="3"/>
        <v>28627.299999999992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2028103.415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87065.908800000005</v>
      </c>
      <c r="D11" s="81">
        <f>+D6*D36</f>
        <v>108024.4659</v>
      </c>
      <c r="E11" s="81">
        <f t="shared" ref="E11:F11" si="5">+E6*E36</f>
        <v>70419.416599999997</v>
      </c>
      <c r="F11" s="81">
        <f t="shared" si="5"/>
        <v>7046.1819999999998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272555.97329999995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54447.556799999998</v>
      </c>
      <c r="D12" s="81">
        <f>+D6*D37</f>
        <v>67554.204899999997</v>
      </c>
      <c r="E12" s="81">
        <f t="shared" ref="E12:F12" si="7">+E6*E37</f>
        <v>44037.5026</v>
      </c>
      <c r="F12" s="81">
        <f t="shared" si="7"/>
        <v>4406.402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170445.66630000001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81671.335200000001</v>
      </c>
      <c r="D13" s="81">
        <f>+D6*D38</f>
        <v>101331.30735000002</v>
      </c>
      <c r="E13" s="81">
        <f t="shared" ref="E13:F13" si="9">+E6*E38</f>
        <v>66056.253899999996</v>
      </c>
      <c r="F13" s="81">
        <f t="shared" si="9"/>
        <v>6609.6030000000001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255668.49945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223184.8008</v>
      </c>
      <c r="D14" s="81">
        <f>SUM(D11:D13)</f>
        <v>276909.97814999998</v>
      </c>
      <c r="E14" s="81">
        <f t="shared" ref="E14:S14" si="11">SUM(E11:E13)</f>
        <v>180513.17310000001</v>
      </c>
      <c r="F14" s="81">
        <f t="shared" si="11"/>
        <v>18062.186999999998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698670.13905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263760.87919999997</v>
      </c>
      <c r="D15" s="81">
        <f>+D9-D10-D14</f>
        <v>294867.54310000001</v>
      </c>
      <c r="E15" s="81">
        <f t="shared" ref="E15:S15" si="13">+E9-E10-E14</f>
        <v>214062.5344</v>
      </c>
      <c r="F15" s="81">
        <f t="shared" si="13"/>
        <v>44941.337999999996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817632.29469999985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0.23295632371416636</v>
      </c>
      <c r="D16" s="84">
        <f>+D15/D9</f>
        <v>0.20990225453687011</v>
      </c>
      <c r="E16" s="84">
        <f t="shared" ref="E16:F16" si="15">+E15/E9</f>
        <v>0.23375477980673193</v>
      </c>
      <c r="F16" s="84">
        <f t="shared" si="15"/>
        <v>0.49046091203478748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0.23068246966931086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135483.87333333335</v>
      </c>
      <c r="D17" s="81">
        <f>D6*D43+D18</f>
        <v>160398.58458333334</v>
      </c>
      <c r="E17" s="81">
        <f t="shared" ref="E17:F17" si="17">E6*E43+E18</f>
        <v>147678.50916666666</v>
      </c>
      <c r="F17" s="81">
        <f t="shared" si="17"/>
        <v>72342.891666666663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515903.85875000001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31983.333333333332</v>
      </c>
      <c r="D18" s="87">
        <f>$S$18/$S$6*D6</f>
        <v>31983.333333333332</v>
      </c>
      <c r="E18" s="87">
        <f>$S$18/$S$6*E6</f>
        <v>63966.666666666664</v>
      </c>
      <c r="F18" s="87">
        <f>$S$18/$S$6*F6</f>
        <v>63966.666666666664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项目投资!F26</f>
        <v>191900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21578.294399999999</v>
      </c>
      <c r="D19" s="81">
        <f>D6*D44</f>
        <v>26772.6342</v>
      </c>
      <c r="E19" s="81">
        <f t="shared" ref="E19:F19" si="20">E6*E44</f>
        <v>17452.650799999999</v>
      </c>
      <c r="F19" s="81">
        <f t="shared" si="20"/>
        <v>1746.3159999999998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>+SUM(C19:R19)</f>
        <v>67549.895400000009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33120.1728</v>
      </c>
      <c r="D20" s="81">
        <f>D6*D45</f>
        <v>41092.880400000002</v>
      </c>
      <c r="E20" s="81">
        <f t="shared" ref="E20:F20" si="22">E6*E45</f>
        <v>26787.7896</v>
      </c>
      <c r="F20" s="81">
        <f t="shared" si="22"/>
        <v>2680.3919999999994</v>
      </c>
      <c r="G20" s="81">
        <f t="shared" ref="G20:R20" si="23">G6*G45</f>
        <v>0</v>
      </c>
      <c r="H20" s="81">
        <f t="shared" si="23"/>
        <v>0</v>
      </c>
      <c r="I20" s="81">
        <f t="shared" si="23"/>
        <v>0</v>
      </c>
      <c r="J20" s="81">
        <f t="shared" si="23"/>
        <v>0</v>
      </c>
      <c r="K20" s="81">
        <f t="shared" si="23"/>
        <v>0</v>
      </c>
      <c r="L20" s="81">
        <f t="shared" si="23"/>
        <v>0</v>
      </c>
      <c r="M20" s="81">
        <f t="shared" si="23"/>
        <v>0</v>
      </c>
      <c r="N20" s="81">
        <f t="shared" si="23"/>
        <v>0</v>
      </c>
      <c r="O20" s="81">
        <f t="shared" si="23"/>
        <v>0</v>
      </c>
      <c r="P20" s="81">
        <f t="shared" si="23"/>
        <v>0</v>
      </c>
      <c r="Q20" s="81">
        <f t="shared" si="23"/>
        <v>0</v>
      </c>
      <c r="R20" s="81">
        <f t="shared" si="23"/>
        <v>0</v>
      </c>
      <c r="S20" s="81">
        <f>+SUM(C20:R20)</f>
        <v>103681.23479999999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7500</v>
      </c>
      <c r="D21" s="89">
        <f>$S$21/$S$6*D6</f>
        <v>7500</v>
      </c>
      <c r="E21" s="89">
        <f>$S$21/$S$6*E6</f>
        <v>15000</v>
      </c>
      <c r="F21" s="89">
        <f>$S$21/$S$6*F6</f>
        <v>15000</v>
      </c>
      <c r="G21" s="89">
        <f t="shared" ref="G21:R21" si="24">$S$21/$S$6*G6</f>
        <v>0</v>
      </c>
      <c r="H21" s="89">
        <f t="shared" si="24"/>
        <v>0</v>
      </c>
      <c r="I21" s="89">
        <f t="shared" si="24"/>
        <v>0</v>
      </c>
      <c r="J21" s="89">
        <f t="shared" si="24"/>
        <v>0</v>
      </c>
      <c r="K21" s="89">
        <f t="shared" si="24"/>
        <v>0</v>
      </c>
      <c r="L21" s="89">
        <f t="shared" si="24"/>
        <v>0</v>
      </c>
      <c r="M21" s="89">
        <f t="shared" si="24"/>
        <v>0</v>
      </c>
      <c r="N21" s="89">
        <f t="shared" si="24"/>
        <v>0</v>
      </c>
      <c r="O21" s="89">
        <f t="shared" si="24"/>
        <v>0</v>
      </c>
      <c r="P21" s="89">
        <f t="shared" si="24"/>
        <v>0</v>
      </c>
      <c r="Q21" s="89">
        <f t="shared" si="24"/>
        <v>0</v>
      </c>
      <c r="R21" s="89">
        <f t="shared" si="24"/>
        <v>0</v>
      </c>
      <c r="S21" s="81">
        <f>项目投资!F27</f>
        <v>45000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44536.595999999998</v>
      </c>
      <c r="D22" s="81">
        <f>D6*D47</f>
        <v>55257.471749999997</v>
      </c>
      <c r="E22" s="81">
        <f t="shared" ref="E22:F22" si="25">E6*E47</f>
        <v>36021.459499999997</v>
      </c>
      <c r="F22" s="81">
        <f t="shared" si="25"/>
        <v>3604.3149999999991</v>
      </c>
      <c r="G22" s="81">
        <f t="shared" ref="G22:R22" si="26">G6*G47</f>
        <v>0</v>
      </c>
      <c r="H22" s="81">
        <f t="shared" si="26"/>
        <v>0</v>
      </c>
      <c r="I22" s="81">
        <f t="shared" si="26"/>
        <v>0</v>
      </c>
      <c r="J22" s="81">
        <f t="shared" si="26"/>
        <v>0</v>
      </c>
      <c r="K22" s="81">
        <f t="shared" si="26"/>
        <v>0</v>
      </c>
      <c r="L22" s="81">
        <f t="shared" si="26"/>
        <v>0</v>
      </c>
      <c r="M22" s="81">
        <f t="shared" si="26"/>
        <v>0</v>
      </c>
      <c r="N22" s="81">
        <f t="shared" si="26"/>
        <v>0</v>
      </c>
      <c r="O22" s="81">
        <f t="shared" si="26"/>
        <v>0</v>
      </c>
      <c r="P22" s="81">
        <f t="shared" si="26"/>
        <v>0</v>
      </c>
      <c r="Q22" s="81">
        <f t="shared" si="26"/>
        <v>0</v>
      </c>
      <c r="R22" s="81">
        <f t="shared" si="26"/>
        <v>0</v>
      </c>
      <c r="S22" s="81">
        <f t="shared" ref="S22:S23" si="27">+SUM(C22:R22)</f>
        <v>139419.84224999999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242218.93653333333</v>
      </c>
      <c r="D23" s="89">
        <f>+D22+D21+D20+D19+D17</f>
        <v>291021.57093333337</v>
      </c>
      <c r="E23" s="89">
        <f t="shared" ref="E23:F23" si="28">+E22+E21+E20+E19+E17</f>
        <v>242940.40906666667</v>
      </c>
      <c r="F23" s="89">
        <f t="shared" si="28"/>
        <v>95373.914666666664</v>
      </c>
      <c r="G23" s="89">
        <f t="shared" ref="G23:R23" si="29">+G22+G21+G20+G19+G17</f>
        <v>0</v>
      </c>
      <c r="H23" s="89">
        <f t="shared" si="29"/>
        <v>0</v>
      </c>
      <c r="I23" s="89">
        <f t="shared" si="29"/>
        <v>0</v>
      </c>
      <c r="J23" s="89">
        <f t="shared" si="29"/>
        <v>0</v>
      </c>
      <c r="K23" s="89">
        <f t="shared" si="29"/>
        <v>0</v>
      </c>
      <c r="L23" s="89">
        <f t="shared" si="29"/>
        <v>0</v>
      </c>
      <c r="M23" s="89">
        <f t="shared" si="29"/>
        <v>0</v>
      </c>
      <c r="N23" s="89">
        <f t="shared" si="29"/>
        <v>0</v>
      </c>
      <c r="O23" s="89">
        <f t="shared" si="29"/>
        <v>0</v>
      </c>
      <c r="P23" s="89">
        <f t="shared" si="29"/>
        <v>0</v>
      </c>
      <c r="Q23" s="89">
        <f t="shared" si="29"/>
        <v>0</v>
      </c>
      <c r="R23" s="89">
        <f t="shared" si="29"/>
        <v>0</v>
      </c>
      <c r="S23" s="81">
        <f t="shared" si="27"/>
        <v>871554.8311999999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21541.94266666664</v>
      </c>
      <c r="D24" s="89">
        <f>+D15-D23</f>
        <v>3845.9721666666446</v>
      </c>
      <c r="E24" s="89">
        <f t="shared" ref="E24:F24" si="30">+E15-E23</f>
        <v>-28877.87466666667</v>
      </c>
      <c r="F24" s="89">
        <f t="shared" si="30"/>
        <v>-50432.576666666668</v>
      </c>
      <c r="G24" s="89">
        <f t="shared" ref="G24:R24" si="31">+G15-G23</f>
        <v>0</v>
      </c>
      <c r="H24" s="89">
        <f t="shared" si="31"/>
        <v>0</v>
      </c>
      <c r="I24" s="89">
        <f t="shared" si="31"/>
        <v>0</v>
      </c>
      <c r="J24" s="89">
        <f t="shared" si="31"/>
        <v>0</v>
      </c>
      <c r="K24" s="89">
        <f t="shared" si="31"/>
        <v>0</v>
      </c>
      <c r="L24" s="89">
        <f t="shared" si="31"/>
        <v>0</v>
      </c>
      <c r="M24" s="89">
        <f t="shared" si="31"/>
        <v>0</v>
      </c>
      <c r="N24" s="89">
        <f t="shared" si="31"/>
        <v>0</v>
      </c>
      <c r="O24" s="89">
        <f t="shared" si="31"/>
        <v>0</v>
      </c>
      <c r="P24" s="89">
        <f t="shared" si="31"/>
        <v>0</v>
      </c>
      <c r="Q24" s="89">
        <f t="shared" si="31"/>
        <v>0</v>
      </c>
      <c r="R24" s="89">
        <f t="shared" si="31"/>
        <v>0</v>
      </c>
      <c r="S24" s="89">
        <f>+S15-S23</f>
        <v>-53922.536500000046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274</v>
      </c>
      <c r="C25" s="89">
        <f>IF(C24&lt;0,0,C24*0.15)</f>
        <v>3231.291399999996</v>
      </c>
      <c r="D25" s="89">
        <f t="shared" ref="D25:S25" si="32">IF(D24&lt;0,0,D24*0.15)</f>
        <v>576.89582499999665</v>
      </c>
      <c r="E25" s="89">
        <f t="shared" ref="E25:F25" si="33">IF(E24&lt;0,0,E24*0.15)</f>
        <v>0</v>
      </c>
      <c r="F25" s="89">
        <f t="shared" si="33"/>
        <v>0</v>
      </c>
      <c r="G25" s="89">
        <f t="shared" ref="G25:R25" si="34">IF(G24&lt;0,0,G24*0.15)</f>
        <v>0</v>
      </c>
      <c r="H25" s="89">
        <f t="shared" si="34"/>
        <v>0</v>
      </c>
      <c r="I25" s="89">
        <f t="shared" si="34"/>
        <v>0</v>
      </c>
      <c r="J25" s="89">
        <f t="shared" si="34"/>
        <v>0</v>
      </c>
      <c r="K25" s="89">
        <f t="shared" si="34"/>
        <v>0</v>
      </c>
      <c r="L25" s="89">
        <f t="shared" si="34"/>
        <v>0</v>
      </c>
      <c r="M25" s="89">
        <f t="shared" si="34"/>
        <v>0</v>
      </c>
      <c r="N25" s="89">
        <f t="shared" si="34"/>
        <v>0</v>
      </c>
      <c r="O25" s="89">
        <f t="shared" si="34"/>
        <v>0</v>
      </c>
      <c r="P25" s="89">
        <f t="shared" si="34"/>
        <v>0</v>
      </c>
      <c r="Q25" s="89">
        <f t="shared" si="34"/>
        <v>0</v>
      </c>
      <c r="R25" s="89">
        <f t="shared" si="34"/>
        <v>0</v>
      </c>
      <c r="S25" s="89">
        <f t="shared" si="32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18310.651266666646</v>
      </c>
      <c r="D26" s="89">
        <f>D24-D25</f>
        <v>3269.0763416666477</v>
      </c>
      <c r="E26" s="89">
        <f t="shared" ref="E26:S26" si="35">E24-E25</f>
        <v>-28877.87466666667</v>
      </c>
      <c r="F26" s="89">
        <f t="shared" si="35"/>
        <v>-50432.576666666668</v>
      </c>
      <c r="G26" s="89">
        <f t="shared" ref="G26:R26" si="36">G24-G25</f>
        <v>0</v>
      </c>
      <c r="H26" s="89">
        <f t="shared" si="36"/>
        <v>0</v>
      </c>
      <c r="I26" s="89">
        <f t="shared" si="36"/>
        <v>0</v>
      </c>
      <c r="J26" s="89">
        <f t="shared" si="36"/>
        <v>0</v>
      </c>
      <c r="K26" s="89">
        <f t="shared" si="36"/>
        <v>0</v>
      </c>
      <c r="L26" s="89">
        <f t="shared" si="36"/>
        <v>0</v>
      </c>
      <c r="M26" s="89">
        <f t="shared" si="36"/>
        <v>0</v>
      </c>
      <c r="N26" s="89">
        <f t="shared" si="36"/>
        <v>0</v>
      </c>
      <c r="O26" s="89">
        <f t="shared" si="36"/>
        <v>0</v>
      </c>
      <c r="P26" s="89">
        <f t="shared" si="36"/>
        <v>0</v>
      </c>
      <c r="Q26" s="89">
        <f t="shared" si="36"/>
        <v>0</v>
      </c>
      <c r="R26" s="89">
        <f t="shared" si="36"/>
        <v>0</v>
      </c>
      <c r="S26" s="89">
        <f t="shared" si="35"/>
        <v>-53922.536500000046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1.6172155692051566E-2</v>
      </c>
      <c r="D27" s="92">
        <f t="shared" ref="D27:S27" si="37">D26/D9</f>
        <v>2.3271007963608353E-3</v>
      </c>
      <c r="E27" s="92">
        <f t="shared" si="37"/>
        <v>-3.1534435733528668E-2</v>
      </c>
      <c r="F27" s="92">
        <f t="shared" si="37"/>
        <v>-0.5503887656437304</v>
      </c>
      <c r="G27" s="92" t="e">
        <f t="shared" ref="G27:R27" si="38">G26/G9</f>
        <v>#DIV/0!</v>
      </c>
      <c r="H27" s="92" t="e">
        <f t="shared" si="38"/>
        <v>#DIV/0!</v>
      </c>
      <c r="I27" s="92" t="e">
        <f t="shared" si="38"/>
        <v>#DIV/0!</v>
      </c>
      <c r="J27" s="92" t="e">
        <f t="shared" si="38"/>
        <v>#DIV/0!</v>
      </c>
      <c r="K27" s="92" t="e">
        <f t="shared" si="38"/>
        <v>#DIV/0!</v>
      </c>
      <c r="L27" s="92" t="e">
        <f t="shared" si="38"/>
        <v>#DIV/0!</v>
      </c>
      <c r="M27" s="92" t="e">
        <f t="shared" si="38"/>
        <v>#DIV/0!</v>
      </c>
      <c r="N27" s="92" t="e">
        <f t="shared" si="38"/>
        <v>#DIV/0!</v>
      </c>
      <c r="O27" s="92" t="e">
        <f t="shared" si="38"/>
        <v>#DIV/0!</v>
      </c>
      <c r="P27" s="92" t="e">
        <f t="shared" si="38"/>
        <v>#DIV/0!</v>
      </c>
      <c r="Q27" s="92" t="e">
        <f t="shared" si="38"/>
        <v>#DIV/0!</v>
      </c>
      <c r="R27" s="92" t="e">
        <f t="shared" si="38"/>
        <v>#DIV/0!</v>
      </c>
      <c r="S27" s="92">
        <f t="shared" si="37"/>
        <v>-1.5213420471873114E-2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1930.08</v>
      </c>
      <c r="D31" s="93">
        <f>销量!D8</f>
        <v>2394.69</v>
      </c>
      <c r="E31" s="93">
        <f>销量!E8</f>
        <v>780.53</v>
      </c>
      <c r="F31" s="93">
        <f>销量!F8</f>
        <v>78.099999999999994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1741.8971999999999</v>
      </c>
      <c r="D32" s="81">
        <f t="shared" ref="D32:F32" si="39">D9/D6</f>
        <v>2161.2077250000002</v>
      </c>
      <c r="E32" s="81">
        <f t="shared" si="39"/>
        <v>704.42832499999997</v>
      </c>
      <c r="F32" s="81">
        <f t="shared" si="39"/>
        <v>70.485249999999994</v>
      </c>
      <c r="G32" s="81" t="e">
        <f t="shared" ref="G32:R32" si="40">G9/G6</f>
        <v>#DIV/0!</v>
      </c>
      <c r="H32" s="81" t="e">
        <f t="shared" si="40"/>
        <v>#DIV/0!</v>
      </c>
      <c r="I32" s="81" t="e">
        <f t="shared" si="40"/>
        <v>#DIV/0!</v>
      </c>
      <c r="J32" s="81" t="e">
        <f t="shared" si="40"/>
        <v>#DIV/0!</v>
      </c>
      <c r="K32" s="81" t="e">
        <f t="shared" si="40"/>
        <v>#DIV/0!</v>
      </c>
      <c r="L32" s="81" t="e">
        <f t="shared" si="40"/>
        <v>#DIV/0!</v>
      </c>
      <c r="M32" s="81" t="e">
        <f t="shared" si="40"/>
        <v>#DIV/0!</v>
      </c>
      <c r="N32" s="81" t="e">
        <f t="shared" si="40"/>
        <v>#DIV/0!</v>
      </c>
      <c r="O32" s="81" t="e">
        <f t="shared" si="40"/>
        <v>#DIV/0!</v>
      </c>
      <c r="P32" s="81" t="e">
        <f t="shared" si="40"/>
        <v>#DIV/0!</v>
      </c>
      <c r="Q32" s="81" t="e">
        <f t="shared" si="40"/>
        <v>#DIV/0!</v>
      </c>
      <c r="R32" s="81" t="e">
        <f t="shared" si="40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材料成本!D26</f>
        <v>992.75</v>
      </c>
      <c r="D33" s="81">
        <f>材料成本!E26</f>
        <v>1281.55</v>
      </c>
      <c r="E33" s="81">
        <f>材料成本!F26</f>
        <v>400.90854999999999</v>
      </c>
      <c r="F33" s="81">
        <f>材料成本!G26</f>
        <v>22.020999999999994</v>
      </c>
      <c r="G33" s="81">
        <f>材料成本!H26</f>
        <v>0</v>
      </c>
      <c r="H33" s="81">
        <f>材料成本!I26</f>
        <v>0</v>
      </c>
      <c r="I33" s="81">
        <f>材料成本!J26</f>
        <v>0</v>
      </c>
      <c r="J33" s="81">
        <f>材料成本!K26</f>
        <v>0</v>
      </c>
      <c r="K33" s="81">
        <f>材料成本!L26</f>
        <v>0</v>
      </c>
      <c r="L33" s="81">
        <f>材料成本!M26</f>
        <v>0</v>
      </c>
      <c r="M33" s="81">
        <f>材料成本!N26</f>
        <v>0</v>
      </c>
      <c r="N33" s="81">
        <f>材料成本!O26</f>
        <v>0</v>
      </c>
      <c r="O33" s="81">
        <f>材料成本!P26</f>
        <v>0</v>
      </c>
      <c r="P33" s="81">
        <f>材料成本!Q26</f>
        <v>0</v>
      </c>
      <c r="Q33" s="81">
        <f>材料成本!R26</f>
        <v>0</v>
      </c>
      <c r="R33" s="81">
        <f>材料成本!S26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749.14719999999988</v>
      </c>
      <c r="D34" s="94">
        <f>D32-D33</f>
        <v>879.65772500000026</v>
      </c>
      <c r="E34" s="94">
        <f t="shared" ref="E34:F34" si="41">E32-E33</f>
        <v>303.51977499999998</v>
      </c>
      <c r="F34" s="94">
        <f t="shared" si="41"/>
        <v>48.46425</v>
      </c>
      <c r="G34" s="94" t="e">
        <f t="shared" ref="G34:R34" si="42">G32-G33</f>
        <v>#DIV/0!</v>
      </c>
      <c r="H34" s="94" t="e">
        <f t="shared" si="42"/>
        <v>#DIV/0!</v>
      </c>
      <c r="I34" s="94" t="e">
        <f t="shared" si="42"/>
        <v>#DIV/0!</v>
      </c>
      <c r="J34" s="94" t="e">
        <f t="shared" si="42"/>
        <v>#DIV/0!</v>
      </c>
      <c r="K34" s="94" t="e">
        <f t="shared" si="42"/>
        <v>#DIV/0!</v>
      </c>
      <c r="L34" s="94" t="e">
        <f t="shared" si="42"/>
        <v>#DIV/0!</v>
      </c>
      <c r="M34" s="94" t="e">
        <f t="shared" si="42"/>
        <v>#DIV/0!</v>
      </c>
      <c r="N34" s="94" t="e">
        <f t="shared" si="42"/>
        <v>#DIV/0!</v>
      </c>
      <c r="O34" s="94" t="e">
        <f t="shared" si="42"/>
        <v>#DIV/0!</v>
      </c>
      <c r="P34" s="94" t="e">
        <f t="shared" si="42"/>
        <v>#DIV/0!</v>
      </c>
      <c r="Q34" s="94" t="e">
        <f t="shared" si="42"/>
        <v>#DIV/0!</v>
      </c>
      <c r="R34" s="94" t="e">
        <f t="shared" si="42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133.947552</v>
      </c>
      <c r="D36" s="87">
        <f>'2025年'!D36</f>
        <v>166.191486</v>
      </c>
      <c r="E36" s="87">
        <f>'2025年'!E36</f>
        <v>54.168782</v>
      </c>
      <c r="F36" s="87">
        <f>'2025年'!F36</f>
        <v>5.42014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83.765472000000003</v>
      </c>
      <c r="D37" s="87">
        <f>'2025年'!D37</f>
        <v>103.929546</v>
      </c>
      <c r="E37" s="87">
        <f>'2025年'!E37</f>
        <v>33.875002000000002</v>
      </c>
      <c r="F37" s="87">
        <f>'2025年'!F37</f>
        <v>3.3895399999999998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125.64820800000001</v>
      </c>
      <c r="D38" s="87">
        <f>'2025年'!D38</f>
        <v>155.89431900000002</v>
      </c>
      <c r="E38" s="87">
        <f>'2025年'!E38</f>
        <v>50.812503</v>
      </c>
      <c r="F38" s="87">
        <f>'2025年'!F38</f>
        <v>5.0843100000000003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405.78596799999985</v>
      </c>
      <c r="D40" s="89">
        <f>D34-D36-D37-D38</f>
        <v>453.64237400000036</v>
      </c>
      <c r="E40" s="89">
        <f t="shared" ref="E40:F40" si="43">E34-E36-E37-E38</f>
        <v>164.663488</v>
      </c>
      <c r="F40" s="89">
        <f t="shared" si="43"/>
        <v>34.570260000000005</v>
      </c>
      <c r="G40" s="89" t="e">
        <f t="shared" ref="G40:R40" si="44">G34-G36-G37-G38</f>
        <v>#DIV/0!</v>
      </c>
      <c r="H40" s="89" t="e">
        <f t="shared" si="44"/>
        <v>#DIV/0!</v>
      </c>
      <c r="I40" s="89" t="e">
        <f t="shared" si="44"/>
        <v>#DIV/0!</v>
      </c>
      <c r="J40" s="89" t="e">
        <f t="shared" si="44"/>
        <v>#DIV/0!</v>
      </c>
      <c r="K40" s="89" t="e">
        <f t="shared" si="44"/>
        <v>#DIV/0!</v>
      </c>
      <c r="L40" s="89" t="e">
        <f t="shared" si="44"/>
        <v>#DIV/0!</v>
      </c>
      <c r="M40" s="89" t="e">
        <f t="shared" si="44"/>
        <v>#DIV/0!</v>
      </c>
      <c r="N40" s="89" t="e">
        <f t="shared" si="44"/>
        <v>#DIV/0!</v>
      </c>
      <c r="O40" s="89" t="e">
        <f t="shared" si="44"/>
        <v>#DIV/0!</v>
      </c>
      <c r="P40" s="89" t="e">
        <f t="shared" si="44"/>
        <v>#DIV/0!</v>
      </c>
      <c r="Q40" s="89" t="e">
        <f t="shared" si="44"/>
        <v>#DIV/0!</v>
      </c>
      <c r="R40" s="89" t="e">
        <f t="shared" si="44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159.23160000000001</v>
      </c>
      <c r="D43" s="87">
        <f>'2025年'!D43</f>
        <v>197.561925</v>
      </c>
      <c r="E43" s="87">
        <f>'2025年'!E43</f>
        <v>64.393725000000003</v>
      </c>
      <c r="F43" s="87">
        <f>'2025年'!F43</f>
        <v>6.4432499999999999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33.197375999999998</v>
      </c>
      <c r="D44" s="87">
        <f>'2025年'!D44</f>
        <v>41.188668</v>
      </c>
      <c r="E44" s="87">
        <f>'2025年'!E44</f>
        <v>13.425115999999999</v>
      </c>
      <c r="F44" s="87">
        <f>'2025年'!F44</f>
        <v>1.3433199999999998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50.954111999999995</v>
      </c>
      <c r="D45" s="87">
        <f>'2025年'!D45</f>
        <v>63.219816000000002</v>
      </c>
      <c r="E45" s="87">
        <f>'2025年'!E45</f>
        <v>20.605992000000001</v>
      </c>
      <c r="F45" s="87">
        <f>'2025年'!F45</f>
        <v>2.0618399999999997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11.538461538461538</v>
      </c>
      <c r="D46" s="95">
        <f>D21/D6</f>
        <v>11.538461538461538</v>
      </c>
      <c r="E46" s="95">
        <f t="shared" ref="E46:F46" si="45">E21/E6</f>
        <v>11.538461538461538</v>
      </c>
      <c r="F46" s="95">
        <f t="shared" si="45"/>
        <v>11.538461538461538</v>
      </c>
      <c r="G46" s="95" t="e">
        <f t="shared" ref="G46:R46" si="46">G21/G6</f>
        <v>#DIV/0!</v>
      </c>
      <c r="H46" s="95" t="e">
        <f t="shared" si="46"/>
        <v>#DIV/0!</v>
      </c>
      <c r="I46" s="95" t="e">
        <f t="shared" si="46"/>
        <v>#DIV/0!</v>
      </c>
      <c r="J46" s="95" t="e">
        <f t="shared" si="46"/>
        <v>#DIV/0!</v>
      </c>
      <c r="K46" s="95" t="e">
        <f t="shared" si="46"/>
        <v>#DIV/0!</v>
      </c>
      <c r="L46" s="95" t="e">
        <f t="shared" si="46"/>
        <v>#DIV/0!</v>
      </c>
      <c r="M46" s="95" t="e">
        <f t="shared" si="46"/>
        <v>#DIV/0!</v>
      </c>
      <c r="N46" s="95" t="e">
        <f t="shared" si="46"/>
        <v>#DIV/0!</v>
      </c>
      <c r="O46" s="95" t="e">
        <f t="shared" si="46"/>
        <v>#DIV/0!</v>
      </c>
      <c r="P46" s="95" t="e">
        <f t="shared" si="46"/>
        <v>#DIV/0!</v>
      </c>
      <c r="Q46" s="95" t="e">
        <f t="shared" si="46"/>
        <v>#DIV/0!</v>
      </c>
      <c r="R46" s="95" t="e">
        <f t="shared" si="46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68.517839999999993</v>
      </c>
      <c r="D47" s="87">
        <f>'2025年'!D47</f>
        <v>85.011494999999996</v>
      </c>
      <c r="E47" s="87">
        <f>'2025年'!E47</f>
        <v>27.708814999999998</v>
      </c>
      <c r="F47" s="87">
        <f>'2025年'!F47</f>
        <v>2.7725499999999994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82.346578461538343</v>
      </c>
      <c r="D48" s="89">
        <f>D40-D43-D44-D45-D47-D46</f>
        <v>55.122008461538833</v>
      </c>
      <c r="E48" s="89">
        <f t="shared" ref="E48:F48" si="47">E40-E43-E44-E45-E47-E46</f>
        <v>26.991378461538453</v>
      </c>
      <c r="F48" s="89">
        <f t="shared" si="47"/>
        <v>10.41083846153847</v>
      </c>
      <c r="G48" s="89" t="e">
        <f t="shared" ref="G48:R48" si="48">G40-G43-G44-G45-G47-G46</f>
        <v>#DIV/0!</v>
      </c>
      <c r="H48" s="89" t="e">
        <f t="shared" si="48"/>
        <v>#DIV/0!</v>
      </c>
      <c r="I48" s="89" t="e">
        <f t="shared" si="48"/>
        <v>#DIV/0!</v>
      </c>
      <c r="J48" s="89" t="e">
        <f t="shared" si="48"/>
        <v>#DIV/0!</v>
      </c>
      <c r="K48" s="89" t="e">
        <f t="shared" si="48"/>
        <v>#DIV/0!</v>
      </c>
      <c r="L48" s="89" t="e">
        <f t="shared" si="48"/>
        <v>#DIV/0!</v>
      </c>
      <c r="M48" s="89" t="e">
        <f t="shared" si="48"/>
        <v>#DIV/0!</v>
      </c>
      <c r="N48" s="89" t="e">
        <f t="shared" si="48"/>
        <v>#DIV/0!</v>
      </c>
      <c r="O48" s="89" t="e">
        <f t="shared" si="48"/>
        <v>#DIV/0!</v>
      </c>
      <c r="P48" s="89" t="e">
        <f t="shared" si="48"/>
        <v>#DIV/0!</v>
      </c>
      <c r="Q48" s="89" t="e">
        <f t="shared" si="48"/>
        <v>#DIV/0!</v>
      </c>
      <c r="R48" s="89" t="e">
        <f t="shared" si="48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2" t="s">
        <v>141</v>
      </c>
      <c r="B1" s="232"/>
      <c r="C1" s="236" t="s">
        <v>261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/>
    </row>
    <row r="2" spans="1:47">
      <c r="A2" s="232" t="s">
        <v>142</v>
      </c>
      <c r="B2" s="232"/>
      <c r="C2" s="239" t="str">
        <f>'2025年'!$C$2</f>
        <v>北汽福田戴姆勒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47">
      <c r="A3" s="232" t="s">
        <v>143</v>
      </c>
      <c r="B3" s="232"/>
      <c r="C3" s="76" t="str">
        <f>'2025年'!C3</f>
        <v>驾驶员座椅总成</v>
      </c>
      <c r="D3" s="76" t="str">
        <f>'2025年'!D3</f>
        <v>驾驶员座椅总成</v>
      </c>
      <c r="E3" s="76" t="str">
        <f>'2025年'!E3</f>
        <v>副驾驶员座椅总成</v>
      </c>
      <c r="F3" s="76" t="str">
        <f>'2025年'!F3</f>
        <v>座椅安装支架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3" t="s">
        <v>51</v>
      </c>
    </row>
    <row r="4" spans="1:47" ht="33.75">
      <c r="A4" s="232" t="s">
        <v>144</v>
      </c>
      <c r="B4" s="232"/>
      <c r="C4" s="76" t="str">
        <f>'2025年'!C4</f>
        <v>A6681000000167
（基础件A668100000026）</v>
      </c>
      <c r="D4" s="76" t="str">
        <f>'2025年'!D4</f>
        <v>A6681000000168
（基础件A668100000023）</v>
      </c>
      <c r="E4" s="76" t="str">
        <f>'2025年'!E4</f>
        <v>A6681000000169
（基础件A668100000025）</v>
      </c>
      <c r="F4" s="76" t="str">
        <f>'2025年'!F4</f>
        <v>A6681000000166
（基础件A668100000022）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4"/>
    </row>
    <row r="5" spans="1:47" ht="242.25">
      <c r="A5" s="232" t="s">
        <v>145</v>
      </c>
      <c r="B5" s="232"/>
      <c r="C5" s="77" t="str">
        <f>'2025年'!C5</f>
        <v>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手动靠背角度可调，手动空气高度调节，手动短滑轨前后可调，手动坐垫倾角可调，手动座深可调，空气腰部支撑，靠背两侧空气腰托，内侧扶手，集成三点式安全带，安全带未系报警（只有带扣），PVC包覆</v>
      </c>
      <c r="D5" s="77" t="str">
        <f>'2025年'!D5</f>
        <v>空气悬浮减震（匹配空气高度调节），悬浮高度记忆功能，减震器阻尼可调，速降功能，手动靠背角度可调，手动空气高度调节，手动短滑轨前后可调，手动坐垫倾角可调，手动座深可调，空气腰部支撑，靠背两侧空气腰托，内侧扶手，靠背坐垫电加热，通风（吸风式），集成三点式安全带，安全带未系报警（只有带扣，PVC包覆）</v>
      </c>
      <c r="E5" s="77" t="str">
        <f>'2025年'!E5</f>
        <v>分体式无减震，手动靠背角度可调，手动坐垫翻转，集成三点式安全带，安全带未系报警（带扣+压力传感器），PVC包覆</v>
      </c>
      <c r="F5" s="77" t="str">
        <f>'2025年'!F5</f>
        <v>金属支架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5"/>
      <c r="AU5" s="71" t="s">
        <v>52</v>
      </c>
    </row>
    <row r="6" spans="1:47" ht="17.25">
      <c r="A6" s="78" t="s">
        <v>18</v>
      </c>
      <c r="B6" s="79" t="s">
        <v>146</v>
      </c>
      <c r="C6" s="98">
        <f>销量!C12</f>
        <v>700</v>
      </c>
      <c r="D6" s="98">
        <f>销量!D12</f>
        <v>700</v>
      </c>
      <c r="E6" s="98">
        <f>销量!E12</f>
        <v>1400</v>
      </c>
      <c r="F6" s="98">
        <f>销量!F12</f>
        <v>1400</v>
      </c>
      <c r="G6" s="98">
        <f>销量!G12</f>
        <v>0</v>
      </c>
      <c r="H6" s="98">
        <f>销量!H12</f>
        <v>0</v>
      </c>
      <c r="I6" s="98">
        <f>销量!I12</f>
        <v>0</v>
      </c>
      <c r="J6" s="98">
        <f>销量!J12</f>
        <v>0</v>
      </c>
      <c r="K6" s="98">
        <f>销量!K12</f>
        <v>0</v>
      </c>
      <c r="L6" s="98">
        <f>销量!L12</f>
        <v>0</v>
      </c>
      <c r="M6" s="98">
        <f>销量!M12</f>
        <v>0</v>
      </c>
      <c r="N6" s="98">
        <f>销量!N12</f>
        <v>0</v>
      </c>
      <c r="O6" s="98">
        <f>销量!O12</f>
        <v>0</v>
      </c>
      <c r="P6" s="98">
        <f>销量!P12</f>
        <v>0</v>
      </c>
      <c r="Q6" s="98">
        <f>销量!Q12</f>
        <v>0</v>
      </c>
      <c r="R6" s="98">
        <f>销量!R12</f>
        <v>0</v>
      </c>
      <c r="S6" s="81">
        <f>+SUM(C6:R6)</f>
        <v>4200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1351056</v>
      </c>
      <c r="D7" s="81">
        <f>D6*销量!D8</f>
        <v>1676283</v>
      </c>
      <c r="E7" s="81">
        <f>E6*销量!E8</f>
        <v>1092742</v>
      </c>
      <c r="F7" s="81">
        <f>F6*销量!F8</f>
        <v>109339.99999999999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4229421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C7*(1-销量!$V$9)</f>
        <v>192694.36199999999</v>
      </c>
      <c r="D8" s="81">
        <f>D7*(1-销量!$V$9)</f>
        <v>239079.86287499999</v>
      </c>
      <c r="E8" s="81">
        <f>E7*(1-销量!$V$9)</f>
        <v>155852.32775</v>
      </c>
      <c r="F8" s="81">
        <f>F7*(1-销量!$V$9)</f>
        <v>15594.617499999998</v>
      </c>
      <c r="G8" s="81">
        <f>G7*(1-销量!$V$9)</f>
        <v>0</v>
      </c>
      <c r="H8" s="81">
        <f>H7*(1-销量!$V$9)</f>
        <v>0</v>
      </c>
      <c r="I8" s="81">
        <f>I7*(1-销量!$V$9)</f>
        <v>0</v>
      </c>
      <c r="J8" s="81">
        <f>J7*(1-销量!$V$9)</f>
        <v>0</v>
      </c>
      <c r="K8" s="81">
        <f>K7*(1-销量!$V$9)</f>
        <v>0</v>
      </c>
      <c r="L8" s="81">
        <f>L7*(1-销量!$V$9)</f>
        <v>0</v>
      </c>
      <c r="M8" s="81">
        <f>M7*(1-销量!$V$9)</f>
        <v>0</v>
      </c>
      <c r="N8" s="81">
        <f>N7*(1-销量!$V$9)</f>
        <v>0</v>
      </c>
      <c r="O8" s="81">
        <f>O7*(1-销量!$V$9)</f>
        <v>0</v>
      </c>
      <c r="P8" s="81">
        <f>P7*(1-销量!$V$9)</f>
        <v>0</v>
      </c>
      <c r="Q8" s="81">
        <f>Q7*(1-销量!$V$9)</f>
        <v>0</v>
      </c>
      <c r="R8" s="81">
        <f>R7*(1-销量!$V$9)</f>
        <v>0</v>
      </c>
      <c r="S8" s="81">
        <f t="shared" si="0"/>
        <v>603221.17012500006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1158361.638</v>
      </c>
      <c r="D9" s="81">
        <f>+D7-D8</f>
        <v>1437203.1371249999</v>
      </c>
      <c r="E9" s="81">
        <f t="shared" ref="E9:S9" si="1">+E7-E8</f>
        <v>936889.67225000006</v>
      </c>
      <c r="F9" s="81">
        <f t="shared" si="1"/>
        <v>93745.382499999992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3626199.8298749998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660178.75</v>
      </c>
      <c r="D10" s="81">
        <f>D6*D33</f>
        <v>852230.74999999988</v>
      </c>
      <c r="E10" s="81">
        <f t="shared" ref="E10:F10" si="3">E6*E33</f>
        <v>533208.37150000001</v>
      </c>
      <c r="F10" s="81">
        <f t="shared" si="3"/>
        <v>29287.929999999989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2074905.8014999998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93763.286399999997</v>
      </c>
      <c r="D11" s="81">
        <f>+D6*D36</f>
        <v>116334.0402</v>
      </c>
      <c r="E11" s="81">
        <f t="shared" ref="E11:F11" si="5">+E6*E36</f>
        <v>75836.294800000003</v>
      </c>
      <c r="F11" s="81">
        <f t="shared" si="5"/>
        <v>7588.1959999999999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293521.8174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58635.830399999999</v>
      </c>
      <c r="D12" s="81">
        <f>+D6*D37</f>
        <v>72750.682199999996</v>
      </c>
      <c r="E12" s="81">
        <f t="shared" ref="E12:F12" si="7">+E6*E37</f>
        <v>47425.002800000002</v>
      </c>
      <c r="F12" s="81">
        <f t="shared" si="7"/>
        <v>4745.3559999999998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183556.87139999997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87953.745600000009</v>
      </c>
      <c r="D13" s="81">
        <f>+D6*D38</f>
        <v>109126.02330000002</v>
      </c>
      <c r="E13" s="81">
        <f t="shared" ref="E13:F13" si="9">+E6*E38</f>
        <v>71137.504199999996</v>
      </c>
      <c r="F13" s="81">
        <f t="shared" si="9"/>
        <v>7118.0340000000006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275335.30709999998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240352.86239999998</v>
      </c>
      <c r="D14" s="81">
        <f>SUM(D11:D13)</f>
        <v>298210.74570000003</v>
      </c>
      <c r="E14" s="81">
        <f t="shared" ref="E14:S14" si="11">SUM(E11:E13)</f>
        <v>194398.80180000002</v>
      </c>
      <c r="F14" s="81">
        <f t="shared" si="11"/>
        <v>19451.585999999999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752413.99589999998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257830.02560000005</v>
      </c>
      <c r="D15" s="81">
        <f>+D9-D10-D14</f>
        <v>286761.64142499998</v>
      </c>
      <c r="E15" s="81">
        <f t="shared" ref="E15:S15" si="13">+E9-E10-E14</f>
        <v>209282.49895000004</v>
      </c>
      <c r="F15" s="81">
        <f t="shared" si="13"/>
        <v>45005.866500000004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798880.03247500001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0.22258163352609234</v>
      </c>
      <c r="D16" s="84">
        <f>+D15/D9</f>
        <v>0.19952756434879607</v>
      </c>
      <c r="E16" s="84">
        <f t="shared" ref="E16:F16" si="15">+E15/E9</f>
        <v>0.22338008961865791</v>
      </c>
      <c r="F16" s="84">
        <f t="shared" si="15"/>
        <v>0.48008622184671346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0.22030777948123684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143445.45333333334</v>
      </c>
      <c r="D17" s="81">
        <f>D6*D43+D18</f>
        <v>170276.68083333335</v>
      </c>
      <c r="E17" s="81">
        <f t="shared" ref="E17:F17" si="17">E6*E43+E18</f>
        <v>154117.88166666668</v>
      </c>
      <c r="F17" s="81">
        <f t="shared" si="17"/>
        <v>72987.21666666666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540827.23250000004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31983.333333333332</v>
      </c>
      <c r="D18" s="87">
        <f>$S$18/$S$6*D6</f>
        <v>31983.333333333332</v>
      </c>
      <c r="E18" s="87">
        <f>$S$18/$S$6*E6</f>
        <v>63966.666666666664</v>
      </c>
      <c r="F18" s="87">
        <f>$S$18/$S$6*F6</f>
        <v>63966.666666666664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项目投资!G26</f>
        <v>191900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23238.163199999999</v>
      </c>
      <c r="D19" s="81">
        <f>D6*D44</f>
        <v>28832.067599999998</v>
      </c>
      <c r="E19" s="81">
        <f t="shared" ref="E19:F19" si="20">E6*E44</f>
        <v>18795.162399999997</v>
      </c>
      <c r="F19" s="81">
        <f t="shared" si="20"/>
        <v>1880.6479999999997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72746.041199999992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35667.878399999994</v>
      </c>
      <c r="D20" s="81">
        <f>D6*D45</f>
        <v>44253.871200000001</v>
      </c>
      <c r="E20" s="81">
        <f t="shared" ref="E20:F20" si="23">E6*E45</f>
        <v>28848.388800000001</v>
      </c>
      <c r="F20" s="81">
        <f t="shared" si="23"/>
        <v>2886.5759999999996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111656.7144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7499.9999999999991</v>
      </c>
      <c r="D21" s="89">
        <f>$S$21/$S$6*D6</f>
        <v>7499.9999999999991</v>
      </c>
      <c r="E21" s="89">
        <f t="shared" ref="E21:F21" si="25">$S$21/$S$6*E6</f>
        <v>14999.999999999998</v>
      </c>
      <c r="F21" s="89">
        <f t="shared" si="25"/>
        <v>14999.999999999998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项目投资!G27</f>
        <v>45000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47962.487999999998</v>
      </c>
      <c r="D22" s="81">
        <f>D6*D47</f>
        <v>59508.046499999997</v>
      </c>
      <c r="E22" s="81">
        <f t="shared" ref="E22:F22" si="27">E6*E47</f>
        <v>38792.341</v>
      </c>
      <c r="F22" s="81">
        <f t="shared" si="27"/>
        <v>3881.5699999999993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150144.4455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257813.98293333332</v>
      </c>
      <c r="D23" s="89">
        <f>+D22+D21+D20+D19+D17</f>
        <v>310370.66613333335</v>
      </c>
      <c r="E23" s="89">
        <f t="shared" ref="E23:F23" si="29">+E22+E21+E20+E19+E17</f>
        <v>255553.77386666668</v>
      </c>
      <c r="F23" s="89">
        <f t="shared" si="29"/>
        <v>96636.010666666654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920374.43359999999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16.042666666733567</v>
      </c>
      <c r="D24" s="89">
        <f>+D15-D23</f>
        <v>-23609.024708333367</v>
      </c>
      <c r="E24" s="89">
        <f t="shared" ref="E24:F24" si="31">+E15-E23</f>
        <v>-46271.274916666647</v>
      </c>
      <c r="F24" s="89">
        <f t="shared" si="31"/>
        <v>-51630.144166666651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-121494.40112499997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274</v>
      </c>
      <c r="C25" s="89">
        <f>IF(C24&lt;0,0,C24*0.15)</f>
        <v>2.4064000000100347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13.636266666723532</v>
      </c>
      <c r="D26" s="89">
        <f>D24-D25</f>
        <v>-23609.024708333367</v>
      </c>
      <c r="E26" s="89">
        <f t="shared" ref="E26:S26" si="36">E24-E25</f>
        <v>-46271.274916666647</v>
      </c>
      <c r="F26" s="89">
        <f t="shared" si="36"/>
        <v>-51630.144166666651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 t="shared" si="36"/>
        <v>-121494.40112499997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1.1772028889240142E-5</v>
      </c>
      <c r="D27" s="92">
        <f t="shared" ref="D27:S27" si="38">D26/D9</f>
        <v>-1.6427061769125534E-2</v>
      </c>
      <c r="E27" s="92">
        <f t="shared" si="38"/>
        <v>-4.9388179085743618E-2</v>
      </c>
      <c r="F27" s="92">
        <f t="shared" si="38"/>
        <v>-0.55074866398530775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 t="shared" si="38"/>
        <v>-3.3504607254142435E-2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1930.08</v>
      </c>
      <c r="D31" s="93">
        <f>销量!D8</f>
        <v>2394.69</v>
      </c>
      <c r="E31" s="93">
        <f>销量!E8</f>
        <v>780.53</v>
      </c>
      <c r="F31" s="93">
        <f>销量!F8</f>
        <v>78.099999999999994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1654.80234</v>
      </c>
      <c r="D32" s="81">
        <f t="shared" ref="D32:F32" si="40">D9/D6</f>
        <v>2053.14733875</v>
      </c>
      <c r="E32" s="81">
        <f t="shared" si="40"/>
        <v>669.20690875000003</v>
      </c>
      <c r="F32" s="81">
        <f t="shared" si="40"/>
        <v>66.960987500000002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材料成本!D27</f>
        <v>943.11249999999995</v>
      </c>
      <c r="D33" s="81">
        <f>材料成本!E27</f>
        <v>1217.4724999999999</v>
      </c>
      <c r="E33" s="81">
        <f>材料成本!F27</f>
        <v>380.86312249999997</v>
      </c>
      <c r="F33" s="81">
        <f>材料成本!G27</f>
        <v>20.919949999999993</v>
      </c>
      <c r="G33" s="81">
        <f>材料成本!H27</f>
        <v>0</v>
      </c>
      <c r="H33" s="81">
        <f>材料成本!I27</f>
        <v>0</v>
      </c>
      <c r="I33" s="81">
        <f>材料成本!J27</f>
        <v>0</v>
      </c>
      <c r="J33" s="81">
        <f>材料成本!K27</f>
        <v>0</v>
      </c>
      <c r="K33" s="81">
        <f>材料成本!L27</f>
        <v>0</v>
      </c>
      <c r="L33" s="81">
        <f>材料成本!M27</f>
        <v>0</v>
      </c>
      <c r="M33" s="81">
        <f>材料成本!N27</f>
        <v>0</v>
      </c>
      <c r="N33" s="81">
        <f>材料成本!O27</f>
        <v>0</v>
      </c>
      <c r="O33" s="81">
        <f>材料成本!P27</f>
        <v>0</v>
      </c>
      <c r="P33" s="81">
        <f>材料成本!Q27</f>
        <v>0</v>
      </c>
      <c r="Q33" s="81">
        <f>材料成本!R27</f>
        <v>0</v>
      </c>
      <c r="R33" s="81">
        <f>材料成本!S27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711.68984</v>
      </c>
      <c r="D34" s="94">
        <f>D32-D33</f>
        <v>835.67483875000016</v>
      </c>
      <c r="E34" s="94">
        <f t="shared" ref="E34:F34" si="42">E32-E33</f>
        <v>288.34378625000005</v>
      </c>
      <c r="F34" s="94">
        <f t="shared" si="42"/>
        <v>46.041037500000009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133.947552</v>
      </c>
      <c r="D36" s="87">
        <f>'2025年'!D36</f>
        <v>166.191486</v>
      </c>
      <c r="E36" s="87">
        <f>'2025年'!E36</f>
        <v>54.168782</v>
      </c>
      <c r="F36" s="87">
        <f>'2025年'!F36</f>
        <v>5.42014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83.765472000000003</v>
      </c>
      <c r="D37" s="87">
        <f>'2025年'!D37</f>
        <v>103.929546</v>
      </c>
      <c r="E37" s="87">
        <f>'2025年'!E37</f>
        <v>33.875002000000002</v>
      </c>
      <c r="F37" s="87">
        <f>'2025年'!F37</f>
        <v>3.3895399999999998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125.64820800000001</v>
      </c>
      <c r="D38" s="87">
        <f>'2025年'!D38</f>
        <v>155.89431900000002</v>
      </c>
      <c r="E38" s="87">
        <f>'2025年'!E38</f>
        <v>50.812503</v>
      </c>
      <c r="F38" s="87">
        <f>'2025年'!F38</f>
        <v>5.0843100000000003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368.32860800000003</v>
      </c>
      <c r="D40" s="89">
        <f>D34-D36-D37-D38</f>
        <v>409.65948775000027</v>
      </c>
      <c r="E40" s="89">
        <f t="shared" ref="E40:F40" si="44">E34-E36-E37-E38</f>
        <v>149.48749925000007</v>
      </c>
      <c r="F40" s="89">
        <f t="shared" si="44"/>
        <v>32.147047500000014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159.23160000000001</v>
      </c>
      <c r="D43" s="87">
        <f>'2025年'!D43</f>
        <v>197.561925</v>
      </c>
      <c r="E43" s="87">
        <f>'2025年'!E43</f>
        <v>64.393725000000003</v>
      </c>
      <c r="F43" s="87">
        <f>'2025年'!F43</f>
        <v>6.4432499999999999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33.197375999999998</v>
      </c>
      <c r="D44" s="87">
        <f>'2025年'!D44</f>
        <v>41.188668</v>
      </c>
      <c r="E44" s="87">
        <f>'2025年'!E44</f>
        <v>13.425115999999999</v>
      </c>
      <c r="F44" s="87">
        <f>'2025年'!F44</f>
        <v>1.3433199999999998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50.954111999999995</v>
      </c>
      <c r="D45" s="87">
        <f>'2025年'!D45</f>
        <v>63.219816000000002</v>
      </c>
      <c r="E45" s="87">
        <f>'2025年'!E45</f>
        <v>20.605992000000001</v>
      </c>
      <c r="F45" s="87">
        <f>'2025年'!F45</f>
        <v>2.0618399999999997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10.714285714285714</v>
      </c>
      <c r="D46" s="95">
        <f>D21/D6</f>
        <v>10.714285714285714</v>
      </c>
      <c r="E46" s="95">
        <f t="shared" ref="E46:F46" si="46">E21/E6</f>
        <v>10.714285714285714</v>
      </c>
      <c r="F46" s="95">
        <f t="shared" si="46"/>
        <v>10.714285714285714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68.517839999999993</v>
      </c>
      <c r="D47" s="87">
        <f>'2025年'!D47</f>
        <v>85.011494999999996</v>
      </c>
      <c r="E47" s="87">
        <f>'2025年'!E47</f>
        <v>27.708814999999998</v>
      </c>
      <c r="F47" s="87">
        <f>'2025年'!F47</f>
        <v>2.7725499999999994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45.713394285714323</v>
      </c>
      <c r="D48" s="89">
        <f>D40-D43-D44-D45-D47-D46</f>
        <v>11.963298035714539</v>
      </c>
      <c r="E48" s="89">
        <f t="shared" ref="E48:F48" si="48">E40-E43-E44-E45-E47-E46</f>
        <v>12.639565535714352</v>
      </c>
      <c r="F48" s="89">
        <f t="shared" si="48"/>
        <v>8.8118017857143034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2" t="s">
        <v>141</v>
      </c>
      <c r="B1" s="232"/>
      <c r="C1" s="236" t="s">
        <v>260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/>
    </row>
    <row r="2" spans="1:47">
      <c r="A2" s="232" t="s">
        <v>142</v>
      </c>
      <c r="B2" s="232"/>
      <c r="C2" s="239" t="str">
        <f>'2025年'!$C$2</f>
        <v>北汽福田戴姆勒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47">
      <c r="A3" s="232" t="s">
        <v>143</v>
      </c>
      <c r="B3" s="232"/>
      <c r="C3" s="76" t="str">
        <f>'2025年'!C3</f>
        <v>驾驶员座椅总成</v>
      </c>
      <c r="D3" s="76" t="str">
        <f>'2025年'!D3</f>
        <v>驾驶员座椅总成</v>
      </c>
      <c r="E3" s="76" t="str">
        <f>'2025年'!E3</f>
        <v>副驾驶员座椅总成</v>
      </c>
      <c r="F3" s="76" t="str">
        <f>'2025年'!F3</f>
        <v>座椅安装支架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3" t="s">
        <v>51</v>
      </c>
    </row>
    <row r="4" spans="1:47" ht="33.75">
      <c r="A4" s="232" t="s">
        <v>144</v>
      </c>
      <c r="B4" s="232"/>
      <c r="C4" s="76" t="str">
        <f>'2025年'!C4</f>
        <v>A6681000000167
（基础件A668100000026）</v>
      </c>
      <c r="D4" s="76" t="str">
        <f>'2025年'!D4</f>
        <v>A6681000000168
（基础件A668100000023）</v>
      </c>
      <c r="E4" s="76" t="str">
        <f>'2025年'!E4</f>
        <v>A6681000000169
（基础件A668100000025）</v>
      </c>
      <c r="F4" s="76" t="str">
        <f>'2025年'!F4</f>
        <v>A6681000000166
（基础件A668100000022）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4"/>
    </row>
    <row r="5" spans="1:47" ht="242.25">
      <c r="A5" s="232" t="s">
        <v>145</v>
      </c>
      <c r="B5" s="232"/>
      <c r="C5" s="77" t="str">
        <f>'2025年'!C5</f>
        <v>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手动靠背角度可调，手动空气高度调节，手动短滑轨前后可调，手动坐垫倾角可调，手动座深可调，空气腰部支撑，靠背两侧空气腰托，内侧扶手，集成三点式安全带，安全带未系报警（只有带扣），PVC包覆</v>
      </c>
      <c r="D5" s="77" t="str">
        <f>'2025年'!D5</f>
        <v>空气悬浮减震（匹配空气高度调节），悬浮高度记忆功能，减震器阻尼可调，速降功能，手动靠背角度可调，手动空气高度调节，手动短滑轨前后可调，手动坐垫倾角可调，手动座深可调，空气腰部支撑，靠背两侧空气腰托，内侧扶手，靠背坐垫电加热，通风（吸风式），集成三点式安全带，安全带未系报警（只有带扣，PVC包覆）</v>
      </c>
      <c r="E5" s="77" t="str">
        <f>'2025年'!E5</f>
        <v>分体式无减震，手动靠背角度可调，手动坐垫翻转，集成三点式安全带，安全带未系报警（带扣+压力传感器），PVC包覆</v>
      </c>
      <c r="F5" s="77" t="str">
        <f>'2025年'!F5</f>
        <v>金属支架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5"/>
      <c r="AU5" s="71" t="s">
        <v>52</v>
      </c>
    </row>
    <row r="6" spans="1:47">
      <c r="A6" s="78" t="s">
        <v>18</v>
      </c>
      <c r="B6" s="79" t="s">
        <v>146</v>
      </c>
      <c r="C6" s="80">
        <f>销量!C13</f>
        <v>800</v>
      </c>
      <c r="D6" s="80">
        <f>销量!D13</f>
        <v>800</v>
      </c>
      <c r="E6" s="80">
        <f>销量!E13</f>
        <v>1600</v>
      </c>
      <c r="F6" s="80">
        <f>销量!F13</f>
        <v>1600</v>
      </c>
      <c r="G6" s="80">
        <f>销量!G13</f>
        <v>0</v>
      </c>
      <c r="H6" s="80">
        <f>销量!H13</f>
        <v>0</v>
      </c>
      <c r="I6" s="80">
        <f>销量!I13</f>
        <v>0</v>
      </c>
      <c r="J6" s="80">
        <f>销量!J13</f>
        <v>0</v>
      </c>
      <c r="K6" s="80">
        <f>销量!K13</f>
        <v>0</v>
      </c>
      <c r="L6" s="80">
        <f>销量!L13</f>
        <v>0</v>
      </c>
      <c r="M6" s="80">
        <f>销量!M13</f>
        <v>0</v>
      </c>
      <c r="N6" s="80">
        <f>销量!N13</f>
        <v>0</v>
      </c>
      <c r="O6" s="80">
        <f>销量!O13</f>
        <v>0</v>
      </c>
      <c r="P6" s="80">
        <f>销量!P13</f>
        <v>0</v>
      </c>
      <c r="Q6" s="80">
        <f>销量!Q13</f>
        <v>0</v>
      </c>
      <c r="R6" s="80">
        <f>销量!R13</f>
        <v>0</v>
      </c>
      <c r="S6" s="81">
        <f>+SUM(C6:R6)</f>
        <v>4800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1544064</v>
      </c>
      <c r="D7" s="81">
        <f>D6*销量!D8</f>
        <v>1915752</v>
      </c>
      <c r="E7" s="81">
        <f>E6*销量!E8</f>
        <v>1248848</v>
      </c>
      <c r="F7" s="81">
        <f>F6*销量!F8</f>
        <v>124959.99999999999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4833624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C7*(1-销量!$V$10)</f>
        <v>286414.22160000016</v>
      </c>
      <c r="D8" s="81">
        <f>D7*(1-销量!$V$10)</f>
        <v>355360.02255000023</v>
      </c>
      <c r="E8" s="81">
        <f>E7*(1-销量!$V$10)</f>
        <v>231653.49870000014</v>
      </c>
      <c r="F8" s="81">
        <f>F7*(1-销量!$V$10)</f>
        <v>23179.299000000014</v>
      </c>
      <c r="G8" s="81">
        <f>G7*(1-销量!$V$10)</f>
        <v>0</v>
      </c>
      <c r="H8" s="81">
        <f>H7*(1-销量!$V$10)</f>
        <v>0</v>
      </c>
      <c r="I8" s="81">
        <f>I7*(1-销量!$V$10)</f>
        <v>0</v>
      </c>
      <c r="J8" s="81">
        <f>J7*(1-销量!$V$10)</f>
        <v>0</v>
      </c>
      <c r="K8" s="81">
        <f>K7*(1-销量!$V$10)</f>
        <v>0</v>
      </c>
      <c r="L8" s="81">
        <f>L7*(1-销量!$V$10)</f>
        <v>0</v>
      </c>
      <c r="M8" s="81">
        <f>M7*(1-销量!$V$10)</f>
        <v>0</v>
      </c>
      <c r="N8" s="81">
        <f>N7*(1-销量!$V$10)</f>
        <v>0</v>
      </c>
      <c r="O8" s="81">
        <f>O7*(1-销量!$V$10)</f>
        <v>0</v>
      </c>
      <c r="P8" s="81">
        <f>P7*(1-销量!$V$10)</f>
        <v>0</v>
      </c>
      <c r="Q8" s="81">
        <f>Q7*(1-销量!$V$10)</f>
        <v>0</v>
      </c>
      <c r="R8" s="81">
        <f>R7*(1-销量!$V$10)</f>
        <v>0</v>
      </c>
      <c r="S8" s="81">
        <f t="shared" si="0"/>
        <v>896607.0418500005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1257649.7783999997</v>
      </c>
      <c r="D9" s="81">
        <f>+D7-D8</f>
        <v>1560391.9774499997</v>
      </c>
      <c r="E9" s="81">
        <f t="shared" ref="E9:S9" si="1">+E7-E8</f>
        <v>1017194.5012999999</v>
      </c>
      <c r="F9" s="81">
        <f t="shared" si="1"/>
        <v>101780.70099999997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3937016.9581499994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716765.5</v>
      </c>
      <c r="D10" s="81">
        <f>D6*D33</f>
        <v>925279.1</v>
      </c>
      <c r="E10" s="81">
        <f t="shared" ref="E10:F10" si="3">E6*E33</f>
        <v>578911.94620000001</v>
      </c>
      <c r="F10" s="81">
        <f t="shared" si="3"/>
        <v>31798.323999999986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2252754.8702000002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107158.0416</v>
      </c>
      <c r="D11" s="81">
        <f>+D6*D36</f>
        <v>132953.1888</v>
      </c>
      <c r="E11" s="81">
        <f t="shared" ref="E11:F11" si="5">+E6*E36</f>
        <v>86670.051200000002</v>
      </c>
      <c r="F11" s="81">
        <f t="shared" si="5"/>
        <v>8672.2240000000002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335453.50559999997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67012.377600000007</v>
      </c>
      <c r="D12" s="81">
        <f>+D6*D37</f>
        <v>83143.636800000007</v>
      </c>
      <c r="E12" s="81">
        <f t="shared" ref="E12:F12" si="7">+E6*E37</f>
        <v>54200.003200000006</v>
      </c>
      <c r="F12" s="81">
        <f t="shared" si="7"/>
        <v>5423.2639999999992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209779.28160000002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100518.56640000001</v>
      </c>
      <c r="D13" s="81">
        <f>+D6*D38</f>
        <v>124715.45520000003</v>
      </c>
      <c r="E13" s="81">
        <f t="shared" ref="E13:F13" si="9">+E6*E38</f>
        <v>81300.004799999995</v>
      </c>
      <c r="F13" s="81">
        <f t="shared" si="9"/>
        <v>8134.8960000000006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314668.92240000004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274688.98560000001</v>
      </c>
      <c r="D14" s="81">
        <f>SUM(D11:D13)</f>
        <v>340812.28080000007</v>
      </c>
      <c r="E14" s="81">
        <f t="shared" ref="E14:S14" si="11">SUM(E11:E13)</f>
        <v>222170.05920000002</v>
      </c>
      <c r="F14" s="81">
        <f t="shared" si="11"/>
        <v>22230.383999999998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859901.70960000006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266195.2927999997</v>
      </c>
      <c r="D15" s="81">
        <f>+D9-D10-D14</f>
        <v>294300.59664999961</v>
      </c>
      <c r="E15" s="81">
        <f t="shared" ref="E15:S15" si="13">+E9-E10-E14</f>
        <v>216112.49589999986</v>
      </c>
      <c r="F15" s="81">
        <f t="shared" si="13"/>
        <v>47751.99299999998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824360.37834999908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0.21166090701232995</v>
      </c>
      <c r="D16" s="84">
        <f>+D15/D9</f>
        <v>0.18860683783503368</v>
      </c>
      <c r="E16" s="84">
        <f t="shared" ref="E16:F16" si="15">+E15/E9</f>
        <v>0.21245936310489558</v>
      </c>
      <c r="F16" s="84">
        <f t="shared" si="15"/>
        <v>0.4691654953329511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0.20938705296747445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159368.61333333334</v>
      </c>
      <c r="D17" s="81">
        <f>D6*D43+D18</f>
        <v>190032.87333333335</v>
      </c>
      <c r="E17" s="81">
        <f t="shared" ref="E17:F17" si="17">E6*E43+E18</f>
        <v>166996.62666666668</v>
      </c>
      <c r="F17" s="81">
        <f t="shared" si="17"/>
        <v>74275.866666666669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 t="shared" ref="S17" si="19">+SUM(C17:R17)</f>
        <v>590673.9800000001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31983.333333333332</v>
      </c>
      <c r="D18" s="87">
        <f>$S$18/$S$6*D6</f>
        <v>31983.333333333332</v>
      </c>
      <c r="E18" s="87">
        <f>$S$18/$S$6*E6</f>
        <v>63966.666666666664</v>
      </c>
      <c r="F18" s="87">
        <f>$S$18/$S$6*F6</f>
        <v>63966.666666666664</v>
      </c>
      <c r="G18" s="87">
        <f t="shared" ref="G18:R18" si="20">$S$18/$S$6*G6</f>
        <v>0</v>
      </c>
      <c r="H18" s="87">
        <f t="shared" si="20"/>
        <v>0</v>
      </c>
      <c r="I18" s="87">
        <f t="shared" si="20"/>
        <v>0</v>
      </c>
      <c r="J18" s="87">
        <f t="shared" si="20"/>
        <v>0</v>
      </c>
      <c r="K18" s="87">
        <f t="shared" si="20"/>
        <v>0</v>
      </c>
      <c r="L18" s="87">
        <f t="shared" si="20"/>
        <v>0</v>
      </c>
      <c r="M18" s="87">
        <f t="shared" si="20"/>
        <v>0</v>
      </c>
      <c r="N18" s="87">
        <f t="shared" si="20"/>
        <v>0</v>
      </c>
      <c r="O18" s="87">
        <f t="shared" si="20"/>
        <v>0</v>
      </c>
      <c r="P18" s="87">
        <f t="shared" si="20"/>
        <v>0</v>
      </c>
      <c r="Q18" s="87">
        <f t="shared" si="20"/>
        <v>0</v>
      </c>
      <c r="R18" s="87">
        <f t="shared" si="20"/>
        <v>0</v>
      </c>
      <c r="S18" s="81">
        <f>项目投资!H26</f>
        <v>191900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26557.900799999999</v>
      </c>
      <c r="D19" s="81">
        <f>D6*D44</f>
        <v>32950.934399999998</v>
      </c>
      <c r="E19" s="81">
        <f t="shared" ref="E19:F19" si="21">E6*E44</f>
        <v>21480.185599999997</v>
      </c>
      <c r="F19" s="81">
        <f t="shared" si="21"/>
        <v>2149.3119999999999</v>
      </c>
      <c r="G19" s="81">
        <f t="shared" ref="G19:R19" si="22">G6*G44</f>
        <v>0</v>
      </c>
      <c r="H19" s="81">
        <f t="shared" si="22"/>
        <v>0</v>
      </c>
      <c r="I19" s="81">
        <f t="shared" si="22"/>
        <v>0</v>
      </c>
      <c r="J19" s="81">
        <f t="shared" si="22"/>
        <v>0</v>
      </c>
      <c r="K19" s="81">
        <f t="shared" si="22"/>
        <v>0</v>
      </c>
      <c r="L19" s="81">
        <f t="shared" si="22"/>
        <v>0</v>
      </c>
      <c r="M19" s="81">
        <f t="shared" si="22"/>
        <v>0</v>
      </c>
      <c r="N19" s="81">
        <f t="shared" si="22"/>
        <v>0</v>
      </c>
      <c r="O19" s="81">
        <f t="shared" si="22"/>
        <v>0</v>
      </c>
      <c r="P19" s="81">
        <f t="shared" si="22"/>
        <v>0</v>
      </c>
      <c r="Q19" s="81">
        <f t="shared" si="22"/>
        <v>0</v>
      </c>
      <c r="R19" s="81">
        <f t="shared" si="22"/>
        <v>0</v>
      </c>
      <c r="S19" s="81">
        <f t="shared" ref="S19:S20" si="23">+SUM(C19:R19)</f>
        <v>83138.332800000004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40763.289599999996</v>
      </c>
      <c r="D20" s="81">
        <f>D6*D45</f>
        <v>50575.852800000001</v>
      </c>
      <c r="E20" s="81">
        <f t="shared" ref="E20:F20" si="24">E6*E45</f>
        <v>32969.587200000002</v>
      </c>
      <c r="F20" s="81">
        <f t="shared" si="24"/>
        <v>3298.9439999999995</v>
      </c>
      <c r="G20" s="81">
        <f t="shared" ref="G20:R20" si="25">G6*G45</f>
        <v>0</v>
      </c>
      <c r="H20" s="81">
        <f t="shared" si="25"/>
        <v>0</v>
      </c>
      <c r="I20" s="81">
        <f t="shared" si="25"/>
        <v>0</v>
      </c>
      <c r="J20" s="81">
        <f t="shared" si="25"/>
        <v>0</v>
      </c>
      <c r="K20" s="81">
        <f t="shared" si="25"/>
        <v>0</v>
      </c>
      <c r="L20" s="81">
        <f t="shared" si="25"/>
        <v>0</v>
      </c>
      <c r="M20" s="81">
        <f t="shared" si="25"/>
        <v>0</v>
      </c>
      <c r="N20" s="81">
        <f t="shared" si="25"/>
        <v>0</v>
      </c>
      <c r="O20" s="81">
        <f t="shared" si="25"/>
        <v>0</v>
      </c>
      <c r="P20" s="81">
        <f t="shared" si="25"/>
        <v>0</v>
      </c>
      <c r="Q20" s="81">
        <f t="shared" si="25"/>
        <v>0</v>
      </c>
      <c r="R20" s="81">
        <f t="shared" si="25"/>
        <v>0</v>
      </c>
      <c r="S20" s="81">
        <f t="shared" si="23"/>
        <v>127607.67359999999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7500</v>
      </c>
      <c r="D21" s="89">
        <f>$S$21/$S$6*D6</f>
        <v>7500</v>
      </c>
      <c r="E21" s="89">
        <f>$S$21/$S$6*E6</f>
        <v>15000</v>
      </c>
      <c r="F21" s="89">
        <f>$S$21/$S$6*F6</f>
        <v>15000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项目投资!H27</f>
        <v>45000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54814.271999999997</v>
      </c>
      <c r="D22" s="81">
        <f>D6*D47</f>
        <v>68009.195999999996</v>
      </c>
      <c r="E22" s="81">
        <f t="shared" ref="E22:F22" si="27">E6*E47</f>
        <v>44334.103999999999</v>
      </c>
      <c r="F22" s="81">
        <f t="shared" si="27"/>
        <v>4436.079999999999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 t="shared" ref="S22" si="29">+SUM(C22:R22)</f>
        <v>171593.65199999997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289004.07573333336</v>
      </c>
      <c r="D23" s="89">
        <f>+D22+D21+D20+D19+D17</f>
        <v>349068.85653333331</v>
      </c>
      <c r="E23" s="89">
        <f t="shared" ref="E23:F23" si="30">+E22+E21+E20+E19+E17</f>
        <v>280780.50346666668</v>
      </c>
      <c r="F23" s="89">
        <f t="shared" si="30"/>
        <v>99160.202666666664</v>
      </c>
      <c r="G23" s="89">
        <f t="shared" ref="G23:R23" si="31">+G22+G21+G20+G19+G17</f>
        <v>0</v>
      </c>
      <c r="H23" s="89">
        <f t="shared" si="31"/>
        <v>0</v>
      </c>
      <c r="I23" s="89">
        <f t="shared" si="31"/>
        <v>0</v>
      </c>
      <c r="J23" s="89">
        <f t="shared" si="31"/>
        <v>0</v>
      </c>
      <c r="K23" s="89">
        <f t="shared" si="31"/>
        <v>0</v>
      </c>
      <c r="L23" s="89">
        <f t="shared" si="31"/>
        <v>0</v>
      </c>
      <c r="M23" s="89">
        <f t="shared" si="31"/>
        <v>0</v>
      </c>
      <c r="N23" s="89">
        <f t="shared" si="31"/>
        <v>0</v>
      </c>
      <c r="O23" s="89">
        <f t="shared" si="31"/>
        <v>0</v>
      </c>
      <c r="P23" s="89">
        <f t="shared" si="31"/>
        <v>0</v>
      </c>
      <c r="Q23" s="89">
        <f t="shared" si="31"/>
        <v>0</v>
      </c>
      <c r="R23" s="89">
        <f t="shared" si="31"/>
        <v>0</v>
      </c>
      <c r="S23" s="89">
        <f>+S22+S21+S20+S19+S17</f>
        <v>1018013.6384000001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-22808.782933333656</v>
      </c>
      <c r="D24" s="89">
        <f>+D15-D23</f>
        <v>-54768.259883333696</v>
      </c>
      <c r="E24" s="89">
        <f t="shared" ref="E24:F24" si="32">+E15-E23</f>
        <v>-64668.007566666813</v>
      </c>
      <c r="F24" s="89">
        <f t="shared" si="32"/>
        <v>-51408.209666666684</v>
      </c>
      <c r="G24" s="89">
        <f t="shared" ref="G24:R24" si="33">+G15-G23</f>
        <v>0</v>
      </c>
      <c r="H24" s="89">
        <f t="shared" si="33"/>
        <v>0</v>
      </c>
      <c r="I24" s="89">
        <f t="shared" si="33"/>
        <v>0</v>
      </c>
      <c r="J24" s="89">
        <f t="shared" si="33"/>
        <v>0</v>
      </c>
      <c r="K24" s="89">
        <f t="shared" si="33"/>
        <v>0</v>
      </c>
      <c r="L24" s="89">
        <f t="shared" si="33"/>
        <v>0</v>
      </c>
      <c r="M24" s="89">
        <f t="shared" si="33"/>
        <v>0</v>
      </c>
      <c r="N24" s="89">
        <f t="shared" si="33"/>
        <v>0</v>
      </c>
      <c r="O24" s="89">
        <f t="shared" si="33"/>
        <v>0</v>
      </c>
      <c r="P24" s="89">
        <f t="shared" si="33"/>
        <v>0</v>
      </c>
      <c r="Q24" s="89">
        <f t="shared" si="33"/>
        <v>0</v>
      </c>
      <c r="R24" s="89">
        <f t="shared" si="33"/>
        <v>0</v>
      </c>
      <c r="S24" s="89">
        <f>+S15-S23</f>
        <v>-193653.26005000097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274</v>
      </c>
      <c r="C25" s="89">
        <f>IF(C24&lt;0,0,C24*0.15)</f>
        <v>0</v>
      </c>
      <c r="D25" s="89">
        <f t="shared" ref="D25:S25" si="34">IF(D24&lt;0,0,D24*0.15)</f>
        <v>0</v>
      </c>
      <c r="E25" s="89">
        <f t="shared" ref="E25:F25" si="35">IF(E24&lt;0,0,E24*0.15)</f>
        <v>0</v>
      </c>
      <c r="F25" s="89">
        <f t="shared" si="35"/>
        <v>0</v>
      </c>
      <c r="G25" s="89">
        <f t="shared" ref="G25:R25" si="36">IF(G24&lt;0,0,G24*0.15)</f>
        <v>0</v>
      </c>
      <c r="H25" s="89">
        <f t="shared" si="36"/>
        <v>0</v>
      </c>
      <c r="I25" s="89">
        <f t="shared" si="36"/>
        <v>0</v>
      </c>
      <c r="J25" s="89">
        <f t="shared" si="36"/>
        <v>0</v>
      </c>
      <c r="K25" s="89">
        <f t="shared" si="36"/>
        <v>0</v>
      </c>
      <c r="L25" s="89">
        <f t="shared" si="36"/>
        <v>0</v>
      </c>
      <c r="M25" s="89">
        <f t="shared" si="36"/>
        <v>0</v>
      </c>
      <c r="N25" s="89">
        <f t="shared" si="36"/>
        <v>0</v>
      </c>
      <c r="O25" s="89">
        <f t="shared" si="36"/>
        <v>0</v>
      </c>
      <c r="P25" s="89">
        <f t="shared" si="36"/>
        <v>0</v>
      </c>
      <c r="Q25" s="89">
        <f t="shared" si="36"/>
        <v>0</v>
      </c>
      <c r="R25" s="89">
        <f t="shared" si="36"/>
        <v>0</v>
      </c>
      <c r="S25" s="89">
        <f t="shared" si="34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-22808.782933333656</v>
      </c>
      <c r="D26" s="89">
        <f>D24-D25</f>
        <v>-54768.259883333696</v>
      </c>
      <c r="E26" s="89">
        <f t="shared" ref="E26:S26" si="37">E24-E25</f>
        <v>-64668.007566666813</v>
      </c>
      <c r="F26" s="89">
        <f t="shared" si="37"/>
        <v>-51408.209666666684</v>
      </c>
      <c r="G26" s="89">
        <f t="shared" ref="G26:R26" si="38">G24-G25</f>
        <v>0</v>
      </c>
      <c r="H26" s="89">
        <f t="shared" si="38"/>
        <v>0</v>
      </c>
      <c r="I26" s="89">
        <f t="shared" si="38"/>
        <v>0</v>
      </c>
      <c r="J26" s="89">
        <f t="shared" si="38"/>
        <v>0</v>
      </c>
      <c r="K26" s="89">
        <f t="shared" si="38"/>
        <v>0</v>
      </c>
      <c r="L26" s="89">
        <f t="shared" si="38"/>
        <v>0</v>
      </c>
      <c r="M26" s="89">
        <f t="shared" si="38"/>
        <v>0</v>
      </c>
      <c r="N26" s="89">
        <f t="shared" si="38"/>
        <v>0</v>
      </c>
      <c r="O26" s="89">
        <f t="shared" si="38"/>
        <v>0</v>
      </c>
      <c r="P26" s="89">
        <f t="shared" si="38"/>
        <v>0</v>
      </c>
      <c r="Q26" s="89">
        <f t="shared" si="38"/>
        <v>0</v>
      </c>
      <c r="R26" s="89">
        <f t="shared" si="38"/>
        <v>0</v>
      </c>
      <c r="S26" s="89">
        <f t="shared" si="37"/>
        <v>-193653.26005000097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-1.8136037015289996E-2</v>
      </c>
      <c r="D27" s="92">
        <f t="shared" ref="D27:S27" si="39">D26/D9</f>
        <v>-3.5099039648253165E-2</v>
      </c>
      <c r="E27" s="92">
        <f t="shared" si="39"/>
        <v>-6.3574869392254374E-2</v>
      </c>
      <c r="F27" s="92">
        <f t="shared" si="39"/>
        <v>-0.50508798978174363</v>
      </c>
      <c r="G27" s="92" t="e">
        <f t="shared" ref="G27:R27" si="40">G26/G9</f>
        <v>#DIV/0!</v>
      </c>
      <c r="H27" s="92" t="e">
        <f t="shared" si="40"/>
        <v>#DIV/0!</v>
      </c>
      <c r="I27" s="92" t="e">
        <f t="shared" si="40"/>
        <v>#DIV/0!</v>
      </c>
      <c r="J27" s="92" t="e">
        <f t="shared" si="40"/>
        <v>#DIV/0!</v>
      </c>
      <c r="K27" s="92" t="e">
        <f t="shared" si="40"/>
        <v>#DIV/0!</v>
      </c>
      <c r="L27" s="92" t="e">
        <f t="shared" si="40"/>
        <v>#DIV/0!</v>
      </c>
      <c r="M27" s="92" t="e">
        <f t="shared" si="40"/>
        <v>#DIV/0!</v>
      </c>
      <c r="N27" s="92" t="e">
        <f t="shared" si="40"/>
        <v>#DIV/0!</v>
      </c>
      <c r="O27" s="92" t="e">
        <f t="shared" si="40"/>
        <v>#DIV/0!</v>
      </c>
      <c r="P27" s="92" t="e">
        <f t="shared" si="40"/>
        <v>#DIV/0!</v>
      </c>
      <c r="Q27" s="92" t="e">
        <f t="shared" si="40"/>
        <v>#DIV/0!</v>
      </c>
      <c r="R27" s="92" t="e">
        <f t="shared" si="40"/>
        <v>#DIV/0!</v>
      </c>
      <c r="S27" s="92">
        <f t="shared" si="39"/>
        <v>-4.9187814558207657E-2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 ht="21" customHeight="1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1930.08</v>
      </c>
      <c r="D31" s="93">
        <f>销量!D8</f>
        <v>2394.69</v>
      </c>
      <c r="E31" s="93">
        <f>销量!E8</f>
        <v>780.53</v>
      </c>
      <c r="F31" s="93">
        <f>销量!F8</f>
        <v>78.099999999999994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1572.0622229999997</v>
      </c>
      <c r="D32" s="81">
        <f t="shared" ref="D32:F32" si="41">D9/D6</f>
        <v>1950.4899718124996</v>
      </c>
      <c r="E32" s="81">
        <f t="shared" si="41"/>
        <v>635.74656331249992</v>
      </c>
      <c r="F32" s="81">
        <f t="shared" si="41"/>
        <v>63.612938124999985</v>
      </c>
      <c r="G32" s="81" t="e">
        <f t="shared" ref="G32:R32" si="42">G9/G6</f>
        <v>#DIV/0!</v>
      </c>
      <c r="H32" s="81" t="e">
        <f t="shared" si="42"/>
        <v>#DIV/0!</v>
      </c>
      <c r="I32" s="81" t="e">
        <f t="shared" si="42"/>
        <v>#DIV/0!</v>
      </c>
      <c r="J32" s="81" t="e">
        <f t="shared" si="42"/>
        <v>#DIV/0!</v>
      </c>
      <c r="K32" s="81" t="e">
        <f t="shared" si="42"/>
        <v>#DIV/0!</v>
      </c>
      <c r="L32" s="81" t="e">
        <f t="shared" si="42"/>
        <v>#DIV/0!</v>
      </c>
      <c r="M32" s="81" t="e">
        <f t="shared" si="42"/>
        <v>#DIV/0!</v>
      </c>
      <c r="N32" s="81" t="e">
        <f t="shared" si="42"/>
        <v>#DIV/0!</v>
      </c>
      <c r="O32" s="81" t="e">
        <f t="shared" si="42"/>
        <v>#DIV/0!</v>
      </c>
      <c r="P32" s="81" t="e">
        <f t="shared" si="42"/>
        <v>#DIV/0!</v>
      </c>
      <c r="Q32" s="81" t="e">
        <f t="shared" si="42"/>
        <v>#DIV/0!</v>
      </c>
      <c r="R32" s="81" t="e">
        <f t="shared" si="42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材料成本!D28</f>
        <v>895.95687499999997</v>
      </c>
      <c r="D33" s="81">
        <f>材料成本!E28</f>
        <v>1156.5988749999999</v>
      </c>
      <c r="E33" s="81">
        <f>材料成本!F28</f>
        <v>361.81996637499998</v>
      </c>
      <c r="F33" s="81">
        <f>材料成本!G28</f>
        <v>19.873952499999991</v>
      </c>
      <c r="G33" s="81">
        <f>材料成本!H28</f>
        <v>0</v>
      </c>
      <c r="H33" s="81">
        <f>材料成本!I28</f>
        <v>0</v>
      </c>
      <c r="I33" s="81">
        <f>材料成本!J28</f>
        <v>0</v>
      </c>
      <c r="J33" s="81">
        <f>材料成本!K28</f>
        <v>0</v>
      </c>
      <c r="K33" s="81">
        <f>材料成本!L28</f>
        <v>0</v>
      </c>
      <c r="L33" s="81">
        <f>材料成本!M28</f>
        <v>0</v>
      </c>
      <c r="M33" s="81">
        <f>材料成本!N28</f>
        <v>0</v>
      </c>
      <c r="N33" s="81">
        <f>材料成本!O28</f>
        <v>0</v>
      </c>
      <c r="O33" s="81">
        <f>材料成本!P28</f>
        <v>0</v>
      </c>
      <c r="P33" s="81">
        <f>材料成本!Q28</f>
        <v>0</v>
      </c>
      <c r="Q33" s="81">
        <f>材料成本!R28</f>
        <v>0</v>
      </c>
      <c r="R33" s="81">
        <f>材料成本!S28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676.10534799999971</v>
      </c>
      <c r="D34" s="94">
        <f>D32-D33</f>
        <v>793.89109681249965</v>
      </c>
      <c r="E34" s="94">
        <f t="shared" ref="E34:F34" si="43">E32-E33</f>
        <v>273.92659693749994</v>
      </c>
      <c r="F34" s="94">
        <f t="shared" si="43"/>
        <v>43.738985624999998</v>
      </c>
      <c r="G34" s="94" t="e">
        <f t="shared" ref="G34:R34" si="44">G32-G33</f>
        <v>#DIV/0!</v>
      </c>
      <c r="H34" s="94" t="e">
        <f t="shared" si="44"/>
        <v>#DIV/0!</v>
      </c>
      <c r="I34" s="94" t="e">
        <f t="shared" si="44"/>
        <v>#DIV/0!</v>
      </c>
      <c r="J34" s="94" t="e">
        <f t="shared" si="44"/>
        <v>#DIV/0!</v>
      </c>
      <c r="K34" s="94" t="e">
        <f t="shared" si="44"/>
        <v>#DIV/0!</v>
      </c>
      <c r="L34" s="94" t="e">
        <f t="shared" si="44"/>
        <v>#DIV/0!</v>
      </c>
      <c r="M34" s="94" t="e">
        <f t="shared" si="44"/>
        <v>#DIV/0!</v>
      </c>
      <c r="N34" s="94" t="e">
        <f t="shared" si="44"/>
        <v>#DIV/0!</v>
      </c>
      <c r="O34" s="94" t="e">
        <f t="shared" si="44"/>
        <v>#DIV/0!</v>
      </c>
      <c r="P34" s="94" t="e">
        <f t="shared" si="44"/>
        <v>#DIV/0!</v>
      </c>
      <c r="Q34" s="94" t="e">
        <f t="shared" si="44"/>
        <v>#DIV/0!</v>
      </c>
      <c r="R34" s="94" t="e">
        <f t="shared" si="44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133.947552</v>
      </c>
      <c r="D36" s="87">
        <f>'2025年'!D36</f>
        <v>166.191486</v>
      </c>
      <c r="E36" s="87">
        <f>'2025年'!E36</f>
        <v>54.168782</v>
      </c>
      <c r="F36" s="87">
        <f>'2025年'!F36</f>
        <v>5.42014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83.765472000000003</v>
      </c>
      <c r="D37" s="87">
        <f>'2025年'!D37</f>
        <v>103.929546</v>
      </c>
      <c r="E37" s="87">
        <f>'2025年'!E37</f>
        <v>33.875002000000002</v>
      </c>
      <c r="F37" s="87">
        <f>'2025年'!F37</f>
        <v>3.3895399999999998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125.64820800000001</v>
      </c>
      <c r="D38" s="87">
        <f>'2025年'!D38</f>
        <v>155.89431900000002</v>
      </c>
      <c r="E38" s="87">
        <f>'2025年'!E38</f>
        <v>50.812503</v>
      </c>
      <c r="F38" s="87">
        <f>'2025年'!F38</f>
        <v>5.0843100000000003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332.74411599999974</v>
      </c>
      <c r="D40" s="89">
        <f>D34-D36-D37-D38</f>
        <v>367.87574581249976</v>
      </c>
      <c r="E40" s="89">
        <f t="shared" ref="E40:F40" si="45">E34-E36-E37-E38</f>
        <v>135.07030993749996</v>
      </c>
      <c r="F40" s="89">
        <f t="shared" si="45"/>
        <v>29.844995624999996</v>
      </c>
      <c r="G40" s="89" t="e">
        <f t="shared" ref="G40:R40" si="46">G34-G36-G37-G38</f>
        <v>#DIV/0!</v>
      </c>
      <c r="H40" s="89" t="e">
        <f t="shared" si="46"/>
        <v>#DIV/0!</v>
      </c>
      <c r="I40" s="89" t="e">
        <f t="shared" si="46"/>
        <v>#DIV/0!</v>
      </c>
      <c r="J40" s="89" t="e">
        <f t="shared" si="46"/>
        <v>#DIV/0!</v>
      </c>
      <c r="K40" s="89" t="e">
        <f t="shared" si="46"/>
        <v>#DIV/0!</v>
      </c>
      <c r="L40" s="89" t="e">
        <f t="shared" si="46"/>
        <v>#DIV/0!</v>
      </c>
      <c r="M40" s="89" t="e">
        <f t="shared" si="46"/>
        <v>#DIV/0!</v>
      </c>
      <c r="N40" s="89" t="e">
        <f t="shared" si="46"/>
        <v>#DIV/0!</v>
      </c>
      <c r="O40" s="89" t="e">
        <f t="shared" si="46"/>
        <v>#DIV/0!</v>
      </c>
      <c r="P40" s="89" t="e">
        <f t="shared" si="46"/>
        <v>#DIV/0!</v>
      </c>
      <c r="Q40" s="89" t="e">
        <f t="shared" si="46"/>
        <v>#DIV/0!</v>
      </c>
      <c r="R40" s="89" t="e">
        <f t="shared" si="46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159.23160000000001</v>
      </c>
      <c r="D43" s="87">
        <f>'2025年'!D43</f>
        <v>197.561925</v>
      </c>
      <c r="E43" s="87">
        <f>'2025年'!E43</f>
        <v>64.393725000000003</v>
      </c>
      <c r="F43" s="87">
        <f>'2025年'!F43</f>
        <v>6.4432499999999999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33.197375999999998</v>
      </c>
      <c r="D44" s="87">
        <f>'2025年'!D44</f>
        <v>41.188668</v>
      </c>
      <c r="E44" s="87">
        <f>'2025年'!E44</f>
        <v>13.425115999999999</v>
      </c>
      <c r="F44" s="87">
        <f>'2025年'!F44</f>
        <v>1.3433199999999998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50.954111999999995</v>
      </c>
      <c r="D45" s="87">
        <f>'2025年'!D45</f>
        <v>63.219816000000002</v>
      </c>
      <c r="E45" s="87">
        <f>'2025年'!E45</f>
        <v>20.605992000000001</v>
      </c>
      <c r="F45" s="87">
        <f>'2025年'!F45</f>
        <v>2.0618399999999997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9.375</v>
      </c>
      <c r="D46" s="95">
        <f>D21/D6</f>
        <v>9.375</v>
      </c>
      <c r="E46" s="95">
        <f t="shared" ref="E46:F46" si="47">E21/E6</f>
        <v>9.375</v>
      </c>
      <c r="F46" s="95">
        <f t="shared" si="47"/>
        <v>9.375</v>
      </c>
      <c r="G46" s="95" t="e">
        <f t="shared" ref="G46:R46" si="48">G21/G6</f>
        <v>#DIV/0!</v>
      </c>
      <c r="H46" s="95" t="e">
        <f t="shared" si="48"/>
        <v>#DIV/0!</v>
      </c>
      <c r="I46" s="95" t="e">
        <f t="shared" si="48"/>
        <v>#DIV/0!</v>
      </c>
      <c r="J46" s="95" t="e">
        <f t="shared" si="48"/>
        <v>#DIV/0!</v>
      </c>
      <c r="K46" s="95" t="e">
        <f t="shared" si="48"/>
        <v>#DIV/0!</v>
      </c>
      <c r="L46" s="95" t="e">
        <f t="shared" si="48"/>
        <v>#DIV/0!</v>
      </c>
      <c r="M46" s="95" t="e">
        <f t="shared" si="48"/>
        <v>#DIV/0!</v>
      </c>
      <c r="N46" s="95" t="e">
        <f t="shared" si="48"/>
        <v>#DIV/0!</v>
      </c>
      <c r="O46" s="95" t="e">
        <f t="shared" si="48"/>
        <v>#DIV/0!</v>
      </c>
      <c r="P46" s="95" t="e">
        <f t="shared" si="48"/>
        <v>#DIV/0!</v>
      </c>
      <c r="Q46" s="95" t="e">
        <f t="shared" si="48"/>
        <v>#DIV/0!</v>
      </c>
      <c r="R46" s="95" t="e">
        <f t="shared" si="48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68.517839999999993</v>
      </c>
      <c r="D47" s="87">
        <f>'2025年'!D47</f>
        <v>85.011494999999996</v>
      </c>
      <c r="E47" s="87">
        <f>'2025年'!E47</f>
        <v>27.708814999999998</v>
      </c>
      <c r="F47" s="87">
        <f>'2025年'!F47</f>
        <v>2.7725499999999994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11.468187999999742</v>
      </c>
      <c r="D48" s="89">
        <f>D40-D43-D44-D45-D47-D46</f>
        <v>-28.481158187500256</v>
      </c>
      <c r="E48" s="89">
        <f t="shared" ref="E48:F48" si="49">E40-E43-E44-E45-E47-E46</f>
        <v>-0.4383380625000477</v>
      </c>
      <c r="F48" s="89">
        <f t="shared" si="49"/>
        <v>7.8490356249999991</v>
      </c>
      <c r="G48" s="89" t="e">
        <f t="shared" ref="G48:R48" si="50">G40-G43-G44-G45-G47-G46</f>
        <v>#DIV/0!</v>
      </c>
      <c r="H48" s="89" t="e">
        <f t="shared" si="50"/>
        <v>#DIV/0!</v>
      </c>
      <c r="I48" s="89" t="e">
        <f t="shared" si="50"/>
        <v>#DIV/0!</v>
      </c>
      <c r="J48" s="89" t="e">
        <f t="shared" si="50"/>
        <v>#DIV/0!</v>
      </c>
      <c r="K48" s="89" t="e">
        <f t="shared" si="50"/>
        <v>#DIV/0!</v>
      </c>
      <c r="L48" s="89" t="e">
        <f t="shared" si="50"/>
        <v>#DIV/0!</v>
      </c>
      <c r="M48" s="89" t="e">
        <f t="shared" si="50"/>
        <v>#DIV/0!</v>
      </c>
      <c r="N48" s="89" t="e">
        <f t="shared" si="50"/>
        <v>#DIV/0!</v>
      </c>
      <c r="O48" s="89" t="e">
        <f t="shared" si="50"/>
        <v>#DIV/0!</v>
      </c>
      <c r="P48" s="89" t="e">
        <f t="shared" si="50"/>
        <v>#DIV/0!</v>
      </c>
      <c r="Q48" s="89" t="e">
        <f t="shared" si="50"/>
        <v>#DIV/0!</v>
      </c>
      <c r="R48" s="89" t="e">
        <f t="shared" si="50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E23" sqref="E23:H23"/>
    </sheetView>
  </sheetViews>
  <sheetFormatPr defaultColWidth="9" defaultRowHeight="13.5"/>
  <cols>
    <col min="1" max="1" width="19.5" customWidth="1"/>
    <col min="2" max="2" width="14.875" style="4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24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40" t="s">
        <v>151</v>
      </c>
      <c r="B1" s="240"/>
      <c r="C1" s="240"/>
      <c r="E1" s="241" t="s">
        <v>257</v>
      </c>
      <c r="F1" s="242"/>
      <c r="G1" s="242"/>
      <c r="H1" s="243"/>
    </row>
    <row r="2" spans="1:10" ht="23.45" customHeight="1">
      <c r="A2" s="45" t="s">
        <v>1</v>
      </c>
      <c r="B2" s="46" t="s">
        <v>152</v>
      </c>
      <c r="C2" s="47" t="s">
        <v>153</v>
      </c>
      <c r="E2" s="48" t="s">
        <v>154</v>
      </c>
      <c r="F2" s="48" t="s">
        <v>1</v>
      </c>
      <c r="G2" s="49" t="s">
        <v>155</v>
      </c>
      <c r="H2" s="48" t="s">
        <v>153</v>
      </c>
    </row>
    <row r="3" spans="1:10" ht="15.75" customHeight="1">
      <c r="A3" s="50" t="s">
        <v>156</v>
      </c>
      <c r="B3" s="51"/>
      <c r="C3" s="52"/>
      <c r="E3" s="248" t="s">
        <v>157</v>
      </c>
      <c r="F3" s="53" t="s">
        <v>158</v>
      </c>
      <c r="G3" s="54"/>
      <c r="H3" s="53"/>
    </row>
    <row r="4" spans="1:10" ht="15.75" customHeight="1">
      <c r="A4" s="50" t="s">
        <v>159</v>
      </c>
      <c r="B4" s="51"/>
      <c r="C4" s="55"/>
      <c r="E4" s="249"/>
      <c r="F4" s="53" t="s">
        <v>160</v>
      </c>
      <c r="G4" s="54"/>
      <c r="H4" s="53"/>
    </row>
    <row r="5" spans="1:10" ht="15.75" customHeight="1">
      <c r="A5" s="50" t="s">
        <v>161</v>
      </c>
      <c r="B5" s="56">
        <f>SUM(G3:G4)</f>
        <v>0</v>
      </c>
      <c r="C5" s="52"/>
      <c r="E5" s="250" t="s">
        <v>162</v>
      </c>
      <c r="F5" s="57" t="s">
        <v>163</v>
      </c>
      <c r="G5" s="54"/>
      <c r="H5" s="57"/>
    </row>
    <row r="6" spans="1:10" ht="15.75" customHeight="1">
      <c r="A6" s="50" t="s">
        <v>164</v>
      </c>
      <c r="B6" s="51"/>
      <c r="C6" s="52"/>
      <c r="E6" s="251"/>
      <c r="F6" s="57" t="s">
        <v>165</v>
      </c>
      <c r="G6" s="54">
        <v>78</v>
      </c>
      <c r="H6" s="173"/>
      <c r="J6">
        <v>10000</v>
      </c>
    </row>
    <row r="7" spans="1:10" ht="15.75" customHeight="1">
      <c r="A7" s="58" t="s">
        <v>166</v>
      </c>
      <c r="B7" s="56">
        <f>SUM(B3:B6)</f>
        <v>0</v>
      </c>
      <c r="C7" s="52"/>
      <c r="E7" s="251"/>
      <c r="F7" s="57" t="s">
        <v>167</v>
      </c>
      <c r="G7" s="54">
        <v>20</v>
      </c>
      <c r="H7" s="173"/>
    </row>
    <row r="8" spans="1:10" ht="15.75" customHeight="1">
      <c r="A8" s="59" t="s">
        <v>168</v>
      </c>
      <c r="B8" s="56">
        <f>SUM(G5:G12)</f>
        <v>101</v>
      </c>
      <c r="C8" s="60"/>
      <c r="E8" s="251"/>
      <c r="F8" s="57" t="s">
        <v>169</v>
      </c>
      <c r="G8" s="54">
        <v>0</v>
      </c>
      <c r="H8" s="173"/>
    </row>
    <row r="9" spans="1:10" ht="15.75" customHeight="1">
      <c r="A9" s="50" t="s">
        <v>170</v>
      </c>
      <c r="B9" s="56">
        <f>SUM(G13:G21)</f>
        <v>22.5</v>
      </c>
      <c r="C9" s="52"/>
      <c r="E9" s="251"/>
      <c r="F9" s="53" t="s">
        <v>171</v>
      </c>
      <c r="G9" s="54">
        <v>3</v>
      </c>
      <c r="H9" s="173"/>
    </row>
    <row r="10" spans="1:10" ht="15.75" customHeight="1">
      <c r="A10" s="55" t="s">
        <v>51</v>
      </c>
      <c r="B10" s="56">
        <f>B7+B8+B9</f>
        <v>123.5</v>
      </c>
      <c r="C10" s="52"/>
      <c r="E10" s="251"/>
      <c r="F10" s="53" t="s">
        <v>172</v>
      </c>
      <c r="G10" s="61">
        <v>0</v>
      </c>
      <c r="H10" s="173"/>
    </row>
    <row r="11" spans="1:10" ht="15.75" customHeight="1">
      <c r="E11" s="251"/>
      <c r="F11" s="53" t="s">
        <v>173</v>
      </c>
      <c r="G11" s="61">
        <v>0</v>
      </c>
      <c r="H11" s="173"/>
    </row>
    <row r="12" spans="1:10" ht="15.75" customHeight="1">
      <c r="E12" s="252"/>
      <c r="F12" s="53" t="s">
        <v>174</v>
      </c>
      <c r="G12" s="54"/>
      <c r="H12" s="173"/>
    </row>
    <row r="13" spans="1:10" ht="15.75" customHeight="1">
      <c r="E13" s="248" t="s">
        <v>83</v>
      </c>
      <c r="F13" s="53" t="s">
        <v>175</v>
      </c>
      <c r="G13" s="54">
        <v>0</v>
      </c>
      <c r="H13" s="174"/>
    </row>
    <row r="14" spans="1:10" ht="15.75" customHeight="1">
      <c r="E14" s="249"/>
      <c r="F14" s="53" t="s">
        <v>176</v>
      </c>
      <c r="G14" s="54">
        <v>0.5</v>
      </c>
      <c r="H14" s="176"/>
    </row>
    <row r="15" spans="1:10" ht="15.75" customHeight="1">
      <c r="E15" s="249"/>
      <c r="F15" s="53" t="s">
        <v>177</v>
      </c>
      <c r="G15" s="54">
        <v>0.5</v>
      </c>
      <c r="H15" s="176"/>
    </row>
    <row r="16" spans="1:10" ht="15.75" customHeight="1">
      <c r="E16" s="249"/>
      <c r="F16" s="53" t="s">
        <v>178</v>
      </c>
      <c r="G16" s="54">
        <v>0.5</v>
      </c>
      <c r="H16" s="176"/>
    </row>
    <row r="17" spans="1:12" ht="15.75" customHeight="1">
      <c r="E17" s="249"/>
      <c r="F17" s="53" t="s">
        <v>179</v>
      </c>
      <c r="G17" s="54">
        <v>0</v>
      </c>
      <c r="H17" s="174"/>
    </row>
    <row r="18" spans="1:12" ht="15.75" customHeight="1">
      <c r="E18" s="249"/>
      <c r="F18" s="53" t="s">
        <v>180</v>
      </c>
      <c r="G18" s="54">
        <v>1</v>
      </c>
      <c r="H18" s="175"/>
    </row>
    <row r="19" spans="1:12" ht="15.75" customHeight="1">
      <c r="E19" s="249"/>
      <c r="F19" s="53" t="s">
        <v>181</v>
      </c>
      <c r="G19" s="54">
        <v>20</v>
      </c>
      <c r="H19" s="175"/>
      <c r="I19" s="177"/>
    </row>
    <row r="20" spans="1:12" ht="15.75" customHeight="1">
      <c r="E20" s="249"/>
      <c r="F20" s="53" t="s">
        <v>182</v>
      </c>
      <c r="G20" s="54"/>
      <c r="H20" s="53"/>
    </row>
    <row r="21" spans="1:12" ht="15.75" customHeight="1">
      <c r="E21" s="253"/>
      <c r="F21" s="53" t="s">
        <v>36</v>
      </c>
      <c r="G21" s="54">
        <v>0</v>
      </c>
      <c r="H21" s="53"/>
    </row>
    <row r="22" spans="1:12" ht="51" customHeight="1">
      <c r="E22" s="48" t="s">
        <v>51</v>
      </c>
      <c r="F22" s="53"/>
      <c r="G22" s="49">
        <f>SUM(G3:G21)</f>
        <v>123.5</v>
      </c>
      <c r="H22" s="62" t="s">
        <v>311</v>
      </c>
    </row>
    <row r="23" spans="1:12" ht="30.75" customHeight="1">
      <c r="E23" s="244" t="s">
        <v>183</v>
      </c>
      <c r="F23" s="244"/>
      <c r="G23" s="244"/>
      <c r="H23" s="244"/>
    </row>
    <row r="25" spans="1:12" ht="24.75" customHeight="1">
      <c r="A25" s="63" t="s">
        <v>1</v>
      </c>
      <c r="B25" s="63" t="s">
        <v>152</v>
      </c>
      <c r="C25" s="63" t="s">
        <v>184</v>
      </c>
      <c r="D25" s="64" t="s">
        <v>272</v>
      </c>
      <c r="E25" s="64" t="s">
        <v>49</v>
      </c>
      <c r="F25" s="64" t="s">
        <v>50</v>
      </c>
      <c r="G25" s="64" t="s">
        <v>185</v>
      </c>
      <c r="H25" s="64" t="s">
        <v>186</v>
      </c>
      <c r="I25" s="64" t="s">
        <v>187</v>
      </c>
      <c r="J25" s="64" t="s">
        <v>259</v>
      </c>
      <c r="K25" s="64" t="s">
        <v>51</v>
      </c>
      <c r="L25" s="69" t="s">
        <v>188</v>
      </c>
    </row>
    <row r="26" spans="1:12" ht="16.5">
      <c r="A26" s="65" t="s">
        <v>147</v>
      </c>
      <c r="B26" s="66">
        <f>(B5+B8)*10000</f>
        <v>1010000</v>
      </c>
      <c r="C26" s="67">
        <v>0.05</v>
      </c>
      <c r="D26" s="68">
        <f>B26*(1-C26)/5</f>
        <v>191900</v>
      </c>
      <c r="E26" s="68">
        <f t="shared" ref="E26:F26" si="0">D26</f>
        <v>191900</v>
      </c>
      <c r="F26" s="68">
        <f t="shared" si="0"/>
        <v>191900</v>
      </c>
      <c r="G26" s="68">
        <f t="shared" ref="G26:G27" si="1">F26</f>
        <v>191900</v>
      </c>
      <c r="H26" s="68">
        <f t="shared" ref="H26:H27" si="2">G26</f>
        <v>191900</v>
      </c>
      <c r="I26" s="68"/>
      <c r="J26" s="68"/>
      <c r="K26" s="68">
        <f>SUM(D26:J26)</f>
        <v>959500</v>
      </c>
      <c r="L26" s="68">
        <f>B26*0.05</f>
        <v>50500</v>
      </c>
    </row>
    <row r="27" spans="1:12" ht="16.5">
      <c r="A27" s="65" t="s">
        <v>189</v>
      </c>
      <c r="B27" s="66">
        <f>B9*10000</f>
        <v>225000</v>
      </c>
      <c r="C27" s="68"/>
      <c r="D27" s="68">
        <f>B27/5</f>
        <v>45000</v>
      </c>
      <c r="E27" s="68">
        <f t="shared" ref="E27:F27" si="3">D27</f>
        <v>45000</v>
      </c>
      <c r="F27" s="68">
        <f t="shared" si="3"/>
        <v>45000</v>
      </c>
      <c r="G27" s="68">
        <f t="shared" si="1"/>
        <v>45000</v>
      </c>
      <c r="H27" s="68">
        <f t="shared" si="2"/>
        <v>45000</v>
      </c>
      <c r="I27" s="68"/>
      <c r="J27" s="68"/>
      <c r="K27" s="68">
        <f>SUM(D27:J27)</f>
        <v>225000</v>
      </c>
      <c r="L27" s="68"/>
    </row>
    <row r="28" spans="1:12" ht="26.25" customHeight="1">
      <c r="A28" s="245" t="s">
        <v>139</v>
      </c>
      <c r="B28" s="246"/>
      <c r="C28" s="247"/>
      <c r="D28" s="68">
        <f>SUM(D26:D27)</f>
        <v>236900</v>
      </c>
      <c r="E28" s="68">
        <f t="shared" ref="E28:K28" si="4">SUM(E26:E27)</f>
        <v>236900</v>
      </c>
      <c r="F28" s="68">
        <f t="shared" si="4"/>
        <v>236900</v>
      </c>
      <c r="G28" s="68">
        <f t="shared" si="4"/>
        <v>236900</v>
      </c>
      <c r="H28" s="68">
        <f t="shared" si="4"/>
        <v>236900</v>
      </c>
      <c r="I28" s="68">
        <f t="shared" si="4"/>
        <v>0</v>
      </c>
      <c r="J28" s="68">
        <f t="shared" si="4"/>
        <v>0</v>
      </c>
      <c r="K28" s="68">
        <f t="shared" si="4"/>
        <v>1184500</v>
      </c>
      <c r="L28" s="7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2025-07-03T02:10:04Z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