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rc\Desktop\速降阀项目\"/>
    </mc:Choice>
  </mc:AlternateContent>
  <bookViews>
    <workbookView xWindow="0" yWindow="300" windowWidth="18525" windowHeight="6390" tabRatio="889" activeTab="1"/>
  </bookViews>
  <sheets>
    <sheet name="假设条件" sheetId="34" r:id="rId1"/>
    <sheet name="损益表" sheetId="2" r:id="rId2"/>
    <sheet name="现金" sheetId="36" state="hidden" r:id="rId3"/>
    <sheet name="2025年" sheetId="43" r:id="rId4"/>
    <sheet name="2026年" sheetId="56" r:id="rId5"/>
    <sheet name="2027年" sheetId="57" r:id="rId6"/>
    <sheet name="2029年" sheetId="58" r:id="rId7"/>
    <sheet name="2030年 " sheetId="60" r:id="rId8"/>
    <sheet name="2031年" sheetId="59" r:id="rId9"/>
    <sheet name="2032年" sheetId="61" r:id="rId10"/>
    <sheet name="项目投资" sheetId="51" r:id="rId11"/>
    <sheet name="销量" sheetId="55" r:id="rId12"/>
    <sheet name="材料成本" sheetId="53" r:id="rId13"/>
    <sheet name="其他" sheetId="54" r:id="rId14"/>
    <sheet name="标准成本" sheetId="50" r:id="rId15"/>
    <sheet name="附加值" sheetId="62" r:id="rId16"/>
  </sheets>
  <externalReferences>
    <externalReference r:id="rId17"/>
  </externalReferences>
  <definedNames>
    <definedName name="_xlnm.Print_Area" localSheetId="3">'2025年'!$A$1:$I$48</definedName>
    <definedName name="_xlnm.Print_Area" localSheetId="4">'2026年'!$A$1:$I$48</definedName>
    <definedName name="_xlnm.Print_Area" localSheetId="5">'2027年'!$A$1:$I$48</definedName>
    <definedName name="_xlnm.Print_Area" localSheetId="6">'2029年'!$A$1:$I$48</definedName>
    <definedName name="_xlnm.Print_Area" localSheetId="7">'2030年 '!$A$1:$I$48</definedName>
    <definedName name="_xlnm.Print_Area" localSheetId="8">'2031年'!$A$1:$I$48</definedName>
    <definedName name="_xlnm.Print_Area" localSheetId="1">损益表!$A$2:$J$62</definedName>
    <definedName name="_xlnm.Print_Area" localSheetId="10">项目投资!$A$1:$C$35</definedName>
  </definedNames>
  <calcPr calcId="152511"/>
</workbook>
</file>

<file path=xl/calcChain.xml><?xml version="1.0" encoding="utf-8"?>
<calcChain xmlns="http://schemas.openxmlformats.org/spreadsheetml/2006/main">
  <c r="J23" i="51" l="1"/>
  <c r="B26" i="51"/>
  <c r="B27" i="51"/>
  <c r="G7" i="50" l="1"/>
  <c r="I7" i="50" l="1"/>
  <c r="D83" i="50" l="1"/>
  <c r="D69" i="50"/>
  <c r="D56" i="50"/>
  <c r="D43" i="50"/>
  <c r="D30" i="50"/>
  <c r="D16" i="50"/>
  <c r="I31" i="50"/>
  <c r="I17" i="50"/>
  <c r="I3" i="50"/>
  <c r="E10" i="50" l="1"/>
  <c r="E11" i="50"/>
  <c r="F9" i="50" l="1"/>
  <c r="D28" i="2"/>
  <c r="E28" i="2"/>
  <c r="F28" i="2"/>
  <c r="G28" i="2"/>
  <c r="H28" i="2"/>
  <c r="I28" i="2"/>
  <c r="C28" i="2"/>
  <c r="E5" i="62"/>
  <c r="D5" i="62"/>
  <c r="C5" i="62"/>
  <c r="B5" i="62"/>
  <c r="F4" i="62" l="1"/>
  <c r="D25" i="53"/>
  <c r="D24" i="53"/>
  <c r="D23" i="53"/>
  <c r="D22" i="53"/>
  <c r="B9" i="51" l="1"/>
  <c r="I18" i="59" l="1"/>
  <c r="I18" i="60"/>
  <c r="I18" i="58"/>
  <c r="C6" i="57" l="1"/>
  <c r="C7" i="57" s="1"/>
  <c r="D6" i="57"/>
  <c r="D7" i="57" s="1"/>
  <c r="D31" i="43"/>
  <c r="D32" i="43" s="1"/>
  <c r="E31" i="43"/>
  <c r="E32" i="43" s="1"/>
  <c r="F31" i="43"/>
  <c r="F32" i="43" s="1"/>
  <c r="G31" i="43"/>
  <c r="G32" i="43" s="1"/>
  <c r="H31" i="43"/>
  <c r="H32" i="43" s="1"/>
  <c r="D6" i="43"/>
  <c r="D7" i="43" s="1"/>
  <c r="D9" i="43" s="1"/>
  <c r="E6" i="43"/>
  <c r="E7" i="43" s="1"/>
  <c r="E9" i="43" s="1"/>
  <c r="F6" i="43"/>
  <c r="F7" i="43" s="1"/>
  <c r="F9" i="43" s="1"/>
  <c r="G6" i="43"/>
  <c r="H6" i="43"/>
  <c r="H7" i="43" s="1"/>
  <c r="H9" i="43" s="1"/>
  <c r="C3" i="43"/>
  <c r="C3" i="58" s="1"/>
  <c r="D3" i="43"/>
  <c r="D3" i="61" s="1"/>
  <c r="E3" i="43"/>
  <c r="E3" i="59" s="1"/>
  <c r="F3" i="43"/>
  <c r="F3" i="56" s="1"/>
  <c r="G3" i="43"/>
  <c r="G3" i="61" s="1"/>
  <c r="H3" i="43"/>
  <c r="H3" i="59" s="1"/>
  <c r="C4" i="43"/>
  <c r="C4" i="57" s="1"/>
  <c r="D4" i="43"/>
  <c r="D4" i="56" s="1"/>
  <c r="E4" i="43"/>
  <c r="E4" i="58" s="1"/>
  <c r="F4" i="43"/>
  <c r="F4" i="61" s="1"/>
  <c r="G4" i="43"/>
  <c r="G4" i="59" s="1"/>
  <c r="H4" i="43"/>
  <c r="H4" i="56" s="1"/>
  <c r="F85" i="50"/>
  <c r="F86" i="50"/>
  <c r="F87" i="50"/>
  <c r="F89" i="50"/>
  <c r="F90" i="50"/>
  <c r="F91" i="50"/>
  <c r="F92" i="50"/>
  <c r="F71" i="50"/>
  <c r="F72" i="50"/>
  <c r="F73" i="50"/>
  <c r="F75" i="50"/>
  <c r="F76" i="50"/>
  <c r="F77" i="50"/>
  <c r="F78" i="50"/>
  <c r="F58" i="50"/>
  <c r="F59" i="50"/>
  <c r="F60" i="50"/>
  <c r="F62" i="50"/>
  <c r="F63" i="50"/>
  <c r="F64" i="50"/>
  <c r="F65" i="50"/>
  <c r="F45" i="50"/>
  <c r="F46" i="50"/>
  <c r="F47" i="50"/>
  <c r="F49" i="50"/>
  <c r="F50" i="50"/>
  <c r="F51" i="50"/>
  <c r="F52" i="50"/>
  <c r="F32" i="50"/>
  <c r="F33" i="50"/>
  <c r="F34" i="50"/>
  <c r="F36" i="50"/>
  <c r="F37" i="50"/>
  <c r="F38" i="50"/>
  <c r="F39" i="50"/>
  <c r="F18" i="50"/>
  <c r="F19" i="50"/>
  <c r="F20" i="50"/>
  <c r="F22" i="50"/>
  <c r="F23" i="50"/>
  <c r="F24" i="50"/>
  <c r="F25" i="50"/>
  <c r="G71" i="50"/>
  <c r="G72" i="50"/>
  <c r="G73" i="50"/>
  <c r="G75" i="50"/>
  <c r="G76" i="50"/>
  <c r="G77" i="50"/>
  <c r="G78" i="50"/>
  <c r="G58" i="50"/>
  <c r="G59" i="50"/>
  <c r="G60" i="50"/>
  <c r="G62" i="50"/>
  <c r="G63" i="50"/>
  <c r="G64" i="50"/>
  <c r="G65" i="50"/>
  <c r="G45" i="50"/>
  <c r="G46" i="50"/>
  <c r="G47" i="50"/>
  <c r="G49" i="50"/>
  <c r="G50" i="50"/>
  <c r="G51" i="50"/>
  <c r="G52" i="50"/>
  <c r="G32" i="50"/>
  <c r="G33" i="50"/>
  <c r="G34" i="50"/>
  <c r="G36" i="50"/>
  <c r="G37" i="50"/>
  <c r="G38" i="50"/>
  <c r="E38" i="50" s="1"/>
  <c r="G39" i="50"/>
  <c r="G18" i="50"/>
  <c r="G19" i="50"/>
  <c r="G20" i="50"/>
  <c r="G22" i="50"/>
  <c r="G23" i="50"/>
  <c r="G24" i="50"/>
  <c r="E24" i="50" s="1"/>
  <c r="G25" i="50"/>
  <c r="D9" i="62"/>
  <c r="D8" i="62"/>
  <c r="D7" i="62"/>
  <c r="D6" i="62"/>
  <c r="D4" i="62"/>
  <c r="D4" i="58" l="1"/>
  <c r="D4" i="59"/>
  <c r="H4" i="59"/>
  <c r="F4" i="56"/>
  <c r="E4" i="57"/>
  <c r="E4" i="59"/>
  <c r="G3" i="58"/>
  <c r="E4" i="56"/>
  <c r="D4" i="57"/>
  <c r="H4" i="60"/>
  <c r="G3" i="59"/>
  <c r="H3" i="56"/>
  <c r="G3" i="57"/>
  <c r="E4" i="60"/>
  <c r="F3" i="59"/>
  <c r="G3" i="56"/>
  <c r="F3" i="57"/>
  <c r="D4" i="60"/>
  <c r="H4" i="61"/>
  <c r="D3" i="56"/>
  <c r="H4" i="58"/>
  <c r="G3" i="60"/>
  <c r="E4" i="61"/>
  <c r="H4" i="57"/>
  <c r="F3" i="61"/>
  <c r="F3" i="58"/>
  <c r="F3" i="60"/>
  <c r="D4" i="61"/>
  <c r="C3" i="57"/>
  <c r="C4" i="61"/>
  <c r="C4" i="59"/>
  <c r="C4" i="56"/>
  <c r="C4" i="60"/>
  <c r="C4" i="58"/>
  <c r="C3" i="61"/>
  <c r="C3" i="59"/>
  <c r="C3" i="60"/>
  <c r="C3" i="56"/>
  <c r="H3" i="57"/>
  <c r="F4" i="58"/>
  <c r="D3" i="58"/>
  <c r="H3" i="60"/>
  <c r="F4" i="59"/>
  <c r="D3" i="59"/>
  <c r="H3" i="61"/>
  <c r="G7" i="43"/>
  <c r="G9" i="43" s="1"/>
  <c r="G4" i="57"/>
  <c r="E3" i="57"/>
  <c r="G4" i="60"/>
  <c r="E3" i="60"/>
  <c r="G4" i="61"/>
  <c r="E3" i="61"/>
  <c r="G4" i="56"/>
  <c r="E3" i="56"/>
  <c r="F4" i="57"/>
  <c r="D3" i="57"/>
  <c r="H3" i="58"/>
  <c r="F4" i="60"/>
  <c r="D3" i="60"/>
  <c r="G4" i="58"/>
  <c r="E3" i="58"/>
  <c r="F7" i="50"/>
  <c r="F61" i="50" l="1"/>
  <c r="F21" i="50"/>
  <c r="F74" i="50"/>
  <c r="F35" i="50"/>
  <c r="F88" i="50"/>
  <c r="F48" i="50"/>
  <c r="F10" i="62"/>
  <c r="F9" i="62"/>
  <c r="F8" i="62"/>
  <c r="F7" i="62"/>
  <c r="E10" i="62"/>
  <c r="E9" i="62"/>
  <c r="E8" i="62"/>
  <c r="E7" i="62"/>
  <c r="E6" i="62"/>
  <c r="E4" i="62"/>
  <c r="C10" i="62"/>
  <c r="C9" i="62"/>
  <c r="C8" i="62"/>
  <c r="C7" i="62"/>
  <c r="C6" i="62"/>
  <c r="C4" i="62"/>
  <c r="B10" i="62"/>
  <c r="B9" i="62"/>
  <c r="B8" i="62"/>
  <c r="B7" i="62"/>
  <c r="B6" i="62"/>
  <c r="B4" i="62"/>
  <c r="G9" i="62" l="1"/>
  <c r="H9" i="62" s="1"/>
  <c r="G5" i="62"/>
  <c r="H5" i="62" s="1"/>
  <c r="G8" i="62"/>
  <c r="H8" i="62" s="1"/>
  <c r="E11" i="62"/>
  <c r="G7" i="62"/>
  <c r="H7" i="62" s="1"/>
  <c r="F11" i="62"/>
  <c r="G6" i="62"/>
  <c r="H6" i="62" s="1"/>
  <c r="G4" i="62"/>
  <c r="G10" i="62"/>
  <c r="H10" i="62" s="1"/>
  <c r="H4" i="62" l="1"/>
  <c r="G11" i="62"/>
  <c r="H11" i="62" s="1"/>
  <c r="D31" i="61" l="1"/>
  <c r="E31" i="61"/>
  <c r="F31" i="61"/>
  <c r="G31" i="61"/>
  <c r="H31" i="61"/>
  <c r="D31" i="59"/>
  <c r="E31" i="59"/>
  <c r="F31" i="59"/>
  <c r="G31" i="59"/>
  <c r="H31" i="59"/>
  <c r="D6" i="61"/>
  <c r="E6" i="61"/>
  <c r="F6" i="61"/>
  <c r="G6" i="61"/>
  <c r="H6" i="61"/>
  <c r="C6" i="61"/>
  <c r="C31" i="61"/>
  <c r="C2" i="61"/>
  <c r="D6" i="59"/>
  <c r="E6" i="59"/>
  <c r="F6" i="59"/>
  <c r="G6" i="59"/>
  <c r="H6" i="59"/>
  <c r="G7" i="59"/>
  <c r="D31" i="60"/>
  <c r="E31" i="60"/>
  <c r="F31" i="60"/>
  <c r="G31" i="60"/>
  <c r="H31" i="60"/>
  <c r="D6" i="60"/>
  <c r="E6" i="60"/>
  <c r="F6" i="60"/>
  <c r="G6" i="60"/>
  <c r="H6" i="60"/>
  <c r="D31" i="58"/>
  <c r="E31" i="58"/>
  <c r="F31" i="58"/>
  <c r="G31" i="58"/>
  <c r="H31" i="58"/>
  <c r="D6" i="58"/>
  <c r="E6" i="58"/>
  <c r="F6" i="58"/>
  <c r="G6" i="58"/>
  <c r="H6" i="58"/>
  <c r="G7" i="58"/>
  <c r="H7" i="61" l="1"/>
  <c r="G7" i="61"/>
  <c r="D7" i="59"/>
  <c r="D7" i="61"/>
  <c r="D7" i="58"/>
  <c r="D7" i="60"/>
  <c r="F7" i="58"/>
  <c r="G7" i="60"/>
  <c r="H7" i="58"/>
  <c r="E7" i="58"/>
  <c r="H7" i="60"/>
  <c r="E7" i="60"/>
  <c r="H7" i="59"/>
  <c r="E7" i="59"/>
  <c r="F7" i="61"/>
  <c r="E7" i="61"/>
  <c r="I6" i="61"/>
  <c r="I4" i="2" s="1"/>
  <c r="F7" i="60"/>
  <c r="F7" i="59"/>
  <c r="C7" i="61"/>
  <c r="I7" i="61" l="1"/>
  <c r="I5" i="2" s="1"/>
  <c r="D31" i="57"/>
  <c r="E31" i="57"/>
  <c r="F31" i="57"/>
  <c r="G31" i="57"/>
  <c r="H31" i="57"/>
  <c r="E6" i="57"/>
  <c r="F6" i="57"/>
  <c r="G6" i="57"/>
  <c r="H6" i="57"/>
  <c r="D31" i="56"/>
  <c r="E31" i="56"/>
  <c r="F31" i="56"/>
  <c r="G31" i="56"/>
  <c r="H31" i="56"/>
  <c r="D6" i="56"/>
  <c r="E6" i="56"/>
  <c r="F6" i="56"/>
  <c r="G6" i="56"/>
  <c r="H6" i="56"/>
  <c r="I8" i="43"/>
  <c r="G7" i="56" l="1"/>
  <c r="D7" i="56"/>
  <c r="F7" i="57"/>
  <c r="F7" i="56"/>
  <c r="H7" i="57"/>
  <c r="E7" i="57"/>
  <c r="H7" i="56"/>
  <c r="E7" i="56"/>
  <c r="G7" i="57"/>
  <c r="G88" i="50"/>
  <c r="I84" i="50"/>
  <c r="J11" i="53"/>
  <c r="E25" i="53" s="1"/>
  <c r="J5" i="53"/>
  <c r="J10" i="55"/>
  <c r="J11" i="55"/>
  <c r="J12" i="55"/>
  <c r="J13" i="55"/>
  <c r="J14" i="55"/>
  <c r="J15" i="55"/>
  <c r="J9" i="55"/>
  <c r="I16" i="55"/>
  <c r="E86" i="50" l="1"/>
  <c r="E87" i="50"/>
  <c r="E91" i="50"/>
  <c r="E88" i="50"/>
  <c r="E92" i="50"/>
  <c r="E89" i="50"/>
  <c r="E90" i="50"/>
  <c r="E85" i="50"/>
  <c r="G61" i="50" l="1"/>
  <c r="G35" i="50"/>
  <c r="G74" i="50"/>
  <c r="G48" i="50"/>
  <c r="G21" i="50"/>
  <c r="C6" i="59"/>
  <c r="C31" i="60"/>
  <c r="C6" i="60"/>
  <c r="C2" i="60"/>
  <c r="I6" i="59" l="1"/>
  <c r="I6" i="60"/>
  <c r="G4" i="2" s="1"/>
  <c r="C7" i="60"/>
  <c r="I7" i="60" s="1"/>
  <c r="I70" i="50"/>
  <c r="I57" i="50"/>
  <c r="H62" i="50"/>
  <c r="H61" i="50"/>
  <c r="I44" i="50"/>
  <c r="H49" i="50"/>
  <c r="H48" i="50"/>
  <c r="H36" i="50"/>
  <c r="H35" i="50"/>
  <c r="H22" i="50"/>
  <c r="H21" i="50"/>
  <c r="I11" i="53"/>
  <c r="E24" i="53" s="1"/>
  <c r="I4" i="53"/>
  <c r="I5" i="53"/>
  <c r="E4" i="53"/>
  <c r="D20" i="53" s="1"/>
  <c r="F4" i="53"/>
  <c r="D21" i="53" s="1"/>
  <c r="G4" i="53"/>
  <c r="H4" i="53"/>
  <c r="E5" i="53"/>
  <c r="F5" i="53"/>
  <c r="G5" i="53"/>
  <c r="H5" i="53"/>
  <c r="D5" i="53"/>
  <c r="D4" i="53"/>
  <c r="D19" i="53" s="1"/>
  <c r="H33" i="43" l="1"/>
  <c r="E20" i="50"/>
  <c r="D37" i="43" s="1"/>
  <c r="D12" i="43" s="1"/>
  <c r="E21" i="50"/>
  <c r="E25" i="50"/>
  <c r="D47" i="43" s="1"/>
  <c r="D22" i="43" s="1"/>
  <c r="E22" i="50"/>
  <c r="D45" i="43" s="1"/>
  <c r="D20" i="43" s="1"/>
  <c r="E19" i="50"/>
  <c r="D43" i="43" s="1"/>
  <c r="E23" i="50"/>
  <c r="D44" i="43" s="1"/>
  <c r="D19" i="43" s="1"/>
  <c r="D38" i="43"/>
  <c r="D13" i="43" s="1"/>
  <c r="E18" i="50"/>
  <c r="D36" i="43" s="1"/>
  <c r="E50" i="50"/>
  <c r="E51" i="50"/>
  <c r="E48" i="50"/>
  <c r="E52" i="50"/>
  <c r="E49" i="50"/>
  <c r="E46" i="50"/>
  <c r="E45" i="50"/>
  <c r="E47" i="50"/>
  <c r="E71" i="50"/>
  <c r="E73" i="50"/>
  <c r="E77" i="50"/>
  <c r="E74" i="50"/>
  <c r="E78" i="50"/>
  <c r="E75" i="50"/>
  <c r="E72" i="50"/>
  <c r="E76" i="50"/>
  <c r="E32" i="50"/>
  <c r="E36" i="43" s="1"/>
  <c r="E37" i="50"/>
  <c r="E44" i="43" s="1"/>
  <c r="E34" i="50"/>
  <c r="E37" i="43" s="1"/>
  <c r="E35" i="50"/>
  <c r="E39" i="50"/>
  <c r="E47" i="43" s="1"/>
  <c r="E36" i="50"/>
  <c r="E45" i="43" s="1"/>
  <c r="E33" i="50"/>
  <c r="E43" i="43" s="1"/>
  <c r="E38" i="43"/>
  <c r="E60" i="50"/>
  <c r="E64" i="50"/>
  <c r="E61" i="50"/>
  <c r="E65" i="50"/>
  <c r="E62" i="50"/>
  <c r="E59" i="50"/>
  <c r="E63" i="50"/>
  <c r="E58" i="50"/>
  <c r="E6" i="50"/>
  <c r="E8" i="50"/>
  <c r="C45" i="43" s="1"/>
  <c r="C45" i="61" s="1"/>
  <c r="C20" i="61" s="1"/>
  <c r="E4" i="50"/>
  <c r="E9" i="50"/>
  <c r="C44" i="43" s="1"/>
  <c r="C44" i="61" s="1"/>
  <c r="C19" i="61" s="1"/>
  <c r="E7" i="50"/>
  <c r="E5" i="50"/>
  <c r="C43" i="43" s="1"/>
  <c r="C43" i="61" s="1"/>
  <c r="G5" i="2"/>
  <c r="E43" i="60" l="1"/>
  <c r="E43" i="56"/>
  <c r="E43" i="58"/>
  <c r="E43" i="59"/>
  <c r="E43" i="57"/>
  <c r="E43" i="61"/>
  <c r="E36" i="60"/>
  <c r="E36" i="56"/>
  <c r="E11" i="56" s="1"/>
  <c r="E36" i="61"/>
  <c r="E11" i="61" s="1"/>
  <c r="E36" i="58"/>
  <c r="E11" i="58" s="1"/>
  <c r="E36" i="59"/>
  <c r="E36" i="57"/>
  <c r="E11" i="57" s="1"/>
  <c r="E20" i="43"/>
  <c r="E45" i="61"/>
  <c r="E45" i="58"/>
  <c r="E45" i="59"/>
  <c r="E45" i="57"/>
  <c r="E45" i="60"/>
  <c r="E45" i="56"/>
  <c r="E12" i="43"/>
  <c r="E37" i="59"/>
  <c r="E37" i="57"/>
  <c r="E12" i="57" s="1"/>
  <c r="E37" i="60"/>
  <c r="E37" i="56"/>
  <c r="E12" i="56" s="1"/>
  <c r="E37" i="61"/>
  <c r="E37" i="58"/>
  <c r="E13" i="43"/>
  <c r="E38" i="61"/>
  <c r="E38" i="58"/>
  <c r="E38" i="59"/>
  <c r="E38" i="57"/>
  <c r="E13" i="57" s="1"/>
  <c r="E38" i="60"/>
  <c r="E13" i="60" s="1"/>
  <c r="E38" i="56"/>
  <c r="E13" i="56" s="1"/>
  <c r="E22" i="43"/>
  <c r="E47" i="61"/>
  <c r="E47" i="58"/>
  <c r="E47" i="59"/>
  <c r="E47" i="57"/>
  <c r="E47" i="60"/>
  <c r="E47" i="56"/>
  <c r="E22" i="56" s="1"/>
  <c r="E19" i="43"/>
  <c r="E44" i="59"/>
  <c r="E44" i="57"/>
  <c r="E44" i="60"/>
  <c r="E44" i="56"/>
  <c r="E44" i="61"/>
  <c r="E44" i="58"/>
  <c r="H34" i="43"/>
  <c r="H10" i="43"/>
  <c r="G36" i="43"/>
  <c r="H44" i="43"/>
  <c r="F37" i="43"/>
  <c r="G44" i="43"/>
  <c r="H43" i="43"/>
  <c r="F36" i="43"/>
  <c r="F43" i="43"/>
  <c r="G45" i="43"/>
  <c r="H47" i="43"/>
  <c r="F45" i="43"/>
  <c r="H45" i="43"/>
  <c r="H38" i="43"/>
  <c r="G47" i="43"/>
  <c r="F47" i="43"/>
  <c r="G38" i="43"/>
  <c r="H37" i="43"/>
  <c r="F38" i="43"/>
  <c r="G43" i="43"/>
  <c r="G37" i="43"/>
  <c r="E11" i="43"/>
  <c r="H36" i="43"/>
  <c r="F44" i="43"/>
  <c r="D11" i="43"/>
  <c r="D14" i="43" s="1"/>
  <c r="E11" i="59"/>
  <c r="D38" i="59"/>
  <c r="D13" i="59" s="1"/>
  <c r="D38" i="60"/>
  <c r="D13" i="60" s="1"/>
  <c r="D38" i="58"/>
  <c r="D13" i="58" s="1"/>
  <c r="D38" i="61"/>
  <c r="D13" i="61" s="1"/>
  <c r="D38" i="57"/>
  <c r="D13" i="57" s="1"/>
  <c r="D45" i="61"/>
  <c r="D20" i="61" s="1"/>
  <c r="D45" i="59"/>
  <c r="D20" i="59" s="1"/>
  <c r="D45" i="58"/>
  <c r="D20" i="58" s="1"/>
  <c r="D45" i="60"/>
  <c r="D20" i="60" s="1"/>
  <c r="D45" i="57"/>
  <c r="D20" i="57" s="1"/>
  <c r="D37" i="59"/>
  <c r="D12" i="59" s="1"/>
  <c r="D37" i="60"/>
  <c r="D12" i="60" s="1"/>
  <c r="D37" i="61"/>
  <c r="D12" i="61" s="1"/>
  <c r="D37" i="58"/>
  <c r="D12" i="58" s="1"/>
  <c r="D37" i="57"/>
  <c r="D12" i="57" s="1"/>
  <c r="D44" i="59"/>
  <c r="D19" i="59" s="1"/>
  <c r="D44" i="61"/>
  <c r="D19" i="61" s="1"/>
  <c r="D44" i="60"/>
  <c r="D19" i="60" s="1"/>
  <c r="D44" i="58"/>
  <c r="D19" i="58" s="1"/>
  <c r="D44" i="57"/>
  <c r="D19" i="57" s="1"/>
  <c r="E13" i="61"/>
  <c r="E13" i="58"/>
  <c r="D36" i="56"/>
  <c r="D11" i="56" s="1"/>
  <c r="D36" i="59"/>
  <c r="D11" i="59" s="1"/>
  <c r="D36" i="60"/>
  <c r="D11" i="60" s="1"/>
  <c r="D36" i="61"/>
  <c r="D11" i="61" s="1"/>
  <c r="D36" i="58"/>
  <c r="D11" i="58" s="1"/>
  <c r="D36" i="57"/>
  <c r="D11" i="57" s="1"/>
  <c r="D43" i="60"/>
  <c r="D43" i="59"/>
  <c r="D43" i="58"/>
  <c r="D43" i="61"/>
  <c r="D43" i="57"/>
  <c r="D47" i="60"/>
  <c r="D47" i="59"/>
  <c r="D47" i="58"/>
  <c r="D47" i="61"/>
  <c r="D47" i="57"/>
  <c r="D45" i="56"/>
  <c r="D20" i="56" s="1"/>
  <c r="D38" i="56"/>
  <c r="D13" i="56" s="1"/>
  <c r="D47" i="56"/>
  <c r="D22" i="56" s="1"/>
  <c r="D44" i="56"/>
  <c r="D19" i="56" s="1"/>
  <c r="D43" i="56"/>
  <c r="D37" i="56"/>
  <c r="D12" i="56" s="1"/>
  <c r="C45" i="59"/>
  <c r="C45" i="60"/>
  <c r="C45" i="57"/>
  <c r="C45" i="58"/>
  <c r="C45" i="56"/>
  <c r="C44" i="58"/>
  <c r="C44" i="60"/>
  <c r="C19" i="60" s="1"/>
  <c r="C44" i="56"/>
  <c r="C44" i="57"/>
  <c r="C44" i="59"/>
  <c r="C43" i="57"/>
  <c r="C43" i="56"/>
  <c r="C43" i="58"/>
  <c r="C43" i="60"/>
  <c r="C43" i="59"/>
  <c r="E14" i="43" l="1"/>
  <c r="F13" i="43"/>
  <c r="F38" i="61"/>
  <c r="F13" i="61" s="1"/>
  <c r="F38" i="59"/>
  <c r="F13" i="59" s="1"/>
  <c r="F38" i="60"/>
  <c r="F13" i="60" s="1"/>
  <c r="F38" i="58"/>
  <c r="F13" i="58" s="1"/>
  <c r="F38" i="57"/>
  <c r="F13" i="57" s="1"/>
  <c r="F38" i="56"/>
  <c r="F13" i="56" s="1"/>
  <c r="G38" i="61"/>
  <c r="G13" i="61" s="1"/>
  <c r="G38" i="59"/>
  <c r="G13" i="59" s="1"/>
  <c r="G38" i="60"/>
  <c r="G38" i="58"/>
  <c r="G13" i="58" s="1"/>
  <c r="G38" i="57"/>
  <c r="G13" i="57" s="1"/>
  <c r="G38" i="56"/>
  <c r="G13" i="56" s="1"/>
  <c r="H43" i="61"/>
  <c r="H43" i="59"/>
  <c r="H43" i="60"/>
  <c r="H43" i="58"/>
  <c r="H43" i="57"/>
  <c r="H43" i="56"/>
  <c r="H38" i="61"/>
  <c r="H13" i="61" s="1"/>
  <c r="H38" i="59"/>
  <c r="H13" i="59" s="1"/>
  <c r="H38" i="60"/>
  <c r="H38" i="58"/>
  <c r="H38" i="57"/>
  <c r="H13" i="57" s="1"/>
  <c r="H38" i="56"/>
  <c r="F43" i="61"/>
  <c r="F43" i="59"/>
  <c r="F43" i="60"/>
  <c r="F43" i="58"/>
  <c r="F43" i="57"/>
  <c r="F43" i="56"/>
  <c r="G43" i="61"/>
  <c r="G43" i="59"/>
  <c r="G43" i="60"/>
  <c r="G43" i="58"/>
  <c r="G43" i="57"/>
  <c r="G43" i="56"/>
  <c r="E13" i="59"/>
  <c r="G22" i="43"/>
  <c r="G47" i="61"/>
  <c r="G47" i="59"/>
  <c r="G47" i="60"/>
  <c r="G22" i="60" s="1"/>
  <c r="G47" i="58"/>
  <c r="G47" i="57"/>
  <c r="G22" i="57" s="1"/>
  <c r="G47" i="56"/>
  <c r="G22" i="56" s="1"/>
  <c r="F22" i="43"/>
  <c r="F47" i="61"/>
  <c r="F22" i="61" s="1"/>
  <c r="F47" i="59"/>
  <c r="F22" i="59" s="1"/>
  <c r="F47" i="60"/>
  <c r="F47" i="58"/>
  <c r="F22" i="58" s="1"/>
  <c r="F47" i="57"/>
  <c r="F22" i="57" s="1"/>
  <c r="F47" i="56"/>
  <c r="F22" i="56" s="1"/>
  <c r="H22" i="43"/>
  <c r="H47" i="61"/>
  <c r="H22" i="61" s="1"/>
  <c r="H47" i="59"/>
  <c r="H47" i="60"/>
  <c r="H22" i="60" s="1"/>
  <c r="H47" i="58"/>
  <c r="H22" i="58" s="1"/>
  <c r="H47" i="57"/>
  <c r="H47" i="56"/>
  <c r="H22" i="56" s="1"/>
  <c r="F20" i="43"/>
  <c r="F45" i="61"/>
  <c r="F20" i="61" s="1"/>
  <c r="F45" i="59"/>
  <c r="F20" i="59" s="1"/>
  <c r="F45" i="60"/>
  <c r="F20" i="60" s="1"/>
  <c r="F45" i="58"/>
  <c r="F45" i="57"/>
  <c r="F20" i="57" s="1"/>
  <c r="F45" i="56"/>
  <c r="G20" i="43"/>
  <c r="G45" i="61"/>
  <c r="G45" i="59"/>
  <c r="G20" i="59" s="1"/>
  <c r="G45" i="60"/>
  <c r="G45" i="58"/>
  <c r="G20" i="58" s="1"/>
  <c r="G45" i="57"/>
  <c r="G20" i="57" s="1"/>
  <c r="G45" i="56"/>
  <c r="H20" i="43"/>
  <c r="H45" i="61"/>
  <c r="H20" i="61" s="1"/>
  <c r="H45" i="59"/>
  <c r="H20" i="59" s="1"/>
  <c r="H45" i="60"/>
  <c r="H20" i="60" s="1"/>
  <c r="H45" i="58"/>
  <c r="H20" i="58" s="1"/>
  <c r="H45" i="57"/>
  <c r="H45" i="56"/>
  <c r="G19" i="43"/>
  <c r="G44" i="61"/>
  <c r="G19" i="61" s="1"/>
  <c r="G44" i="59"/>
  <c r="G19" i="59" s="1"/>
  <c r="G44" i="60"/>
  <c r="G19" i="60" s="1"/>
  <c r="G44" i="58"/>
  <c r="G44" i="57"/>
  <c r="G19" i="57" s="1"/>
  <c r="G44" i="56"/>
  <c r="G19" i="56" s="1"/>
  <c r="H19" i="43"/>
  <c r="H44" i="61"/>
  <c r="H19" i="61" s="1"/>
  <c r="H44" i="59"/>
  <c r="H19" i="59" s="1"/>
  <c r="H44" i="60"/>
  <c r="H44" i="58"/>
  <c r="H19" i="58" s="1"/>
  <c r="H44" i="57"/>
  <c r="H19" i="57" s="1"/>
  <c r="H44" i="56"/>
  <c r="H19" i="56" s="1"/>
  <c r="F19" i="43"/>
  <c r="F44" i="61"/>
  <c r="F19" i="61" s="1"/>
  <c r="F44" i="59"/>
  <c r="F44" i="60"/>
  <c r="F19" i="60" s="1"/>
  <c r="F44" i="58"/>
  <c r="F19" i="58" s="1"/>
  <c r="F44" i="57"/>
  <c r="F44" i="56"/>
  <c r="F19" i="56" s="1"/>
  <c r="F12" i="43"/>
  <c r="F37" i="61"/>
  <c r="F12" i="61" s="1"/>
  <c r="F37" i="59"/>
  <c r="F12" i="59" s="1"/>
  <c r="F37" i="60"/>
  <c r="F12" i="60" s="1"/>
  <c r="F37" i="58"/>
  <c r="F12" i="58" s="1"/>
  <c r="F37" i="57"/>
  <c r="F12" i="57" s="1"/>
  <c r="F37" i="56"/>
  <c r="F12" i="56" s="1"/>
  <c r="G12" i="43"/>
  <c r="G37" i="61"/>
  <c r="G12" i="61" s="1"/>
  <c r="G37" i="59"/>
  <c r="G12" i="59" s="1"/>
  <c r="G37" i="60"/>
  <c r="G12" i="60" s="1"/>
  <c r="G37" i="58"/>
  <c r="G12" i="58" s="1"/>
  <c r="G37" i="57"/>
  <c r="G12" i="57" s="1"/>
  <c r="G37" i="56"/>
  <c r="H12" i="43"/>
  <c r="H37" i="61"/>
  <c r="H12" i="61" s="1"/>
  <c r="H37" i="59"/>
  <c r="H12" i="59" s="1"/>
  <c r="H37" i="60"/>
  <c r="H12" i="60" s="1"/>
  <c r="H37" i="58"/>
  <c r="H12" i="58" s="1"/>
  <c r="H37" i="57"/>
  <c r="H12" i="57" s="1"/>
  <c r="H37" i="56"/>
  <c r="H12" i="56" s="1"/>
  <c r="G11" i="43"/>
  <c r="G36" i="61"/>
  <c r="G36" i="59"/>
  <c r="G11" i="59" s="1"/>
  <c r="G36" i="60"/>
  <c r="G11" i="60" s="1"/>
  <c r="G36" i="58"/>
  <c r="G11" i="58" s="1"/>
  <c r="G36" i="57"/>
  <c r="G11" i="57" s="1"/>
  <c r="G36" i="56"/>
  <c r="G11" i="56" s="1"/>
  <c r="H11" i="43"/>
  <c r="H36" i="61"/>
  <c r="H11" i="61" s="1"/>
  <c r="H36" i="59"/>
  <c r="H11" i="59" s="1"/>
  <c r="H36" i="60"/>
  <c r="H36" i="58"/>
  <c r="H36" i="57"/>
  <c r="H11" i="57" s="1"/>
  <c r="H36" i="56"/>
  <c r="F36" i="61"/>
  <c r="F11" i="61" s="1"/>
  <c r="F14" i="61" s="1"/>
  <c r="F36" i="59"/>
  <c r="F11" i="59" s="1"/>
  <c r="F36" i="60"/>
  <c r="F11" i="60" s="1"/>
  <c r="F36" i="58"/>
  <c r="F11" i="58" s="1"/>
  <c r="F36" i="57"/>
  <c r="F11" i="57" s="1"/>
  <c r="F36" i="56"/>
  <c r="F11" i="56" s="1"/>
  <c r="H20" i="56"/>
  <c r="E22" i="58"/>
  <c r="F19" i="57"/>
  <c r="F19" i="59"/>
  <c r="H19" i="60"/>
  <c r="E19" i="58"/>
  <c r="E19" i="60"/>
  <c r="G20" i="60"/>
  <c r="E19" i="56"/>
  <c r="E19" i="61"/>
  <c r="E20" i="57"/>
  <c r="F20" i="58"/>
  <c r="G11" i="61"/>
  <c r="E20" i="56"/>
  <c r="G22" i="58"/>
  <c r="H11" i="56"/>
  <c r="E19" i="57"/>
  <c r="E19" i="59"/>
  <c r="E20" i="61"/>
  <c r="F20" i="56"/>
  <c r="E12" i="60"/>
  <c r="E12" i="58"/>
  <c r="E14" i="58" s="1"/>
  <c r="E12" i="59"/>
  <c r="E12" i="61"/>
  <c r="E14" i="61" s="1"/>
  <c r="H11" i="58"/>
  <c r="H11" i="60"/>
  <c r="G20" i="61"/>
  <c r="H13" i="56"/>
  <c r="G20" i="56"/>
  <c r="E20" i="60"/>
  <c r="H13" i="58"/>
  <c r="E20" i="58"/>
  <c r="E20" i="59"/>
  <c r="H13" i="60"/>
  <c r="H20" i="57"/>
  <c r="G13" i="60"/>
  <c r="G12" i="56"/>
  <c r="G19" i="58"/>
  <c r="H40" i="43"/>
  <c r="H13" i="43"/>
  <c r="G13" i="43"/>
  <c r="F11" i="43"/>
  <c r="E11" i="60"/>
  <c r="D14" i="60"/>
  <c r="D14" i="61"/>
  <c r="D14" i="59"/>
  <c r="D14" i="56"/>
  <c r="D14" i="57"/>
  <c r="E14" i="57"/>
  <c r="E14" i="56"/>
  <c r="D14" i="58"/>
  <c r="H22" i="57"/>
  <c r="H22" i="59"/>
  <c r="G22" i="61"/>
  <c r="G22" i="59"/>
  <c r="F22" i="60"/>
  <c r="E22" i="60"/>
  <c r="E22" i="59"/>
  <c r="E22" i="57"/>
  <c r="E22" i="61"/>
  <c r="D22" i="61"/>
  <c r="D22" i="58"/>
  <c r="D22" i="59"/>
  <c r="D22" i="57"/>
  <c r="D22" i="60"/>
  <c r="L7" i="55"/>
  <c r="L8" i="55" s="1"/>
  <c r="L9" i="55" s="1"/>
  <c r="C16" i="55"/>
  <c r="D16" i="55"/>
  <c r="E16" i="55"/>
  <c r="F16" i="55"/>
  <c r="G16" i="55"/>
  <c r="H16" i="55"/>
  <c r="L10" i="55" l="1"/>
  <c r="M9" i="55"/>
  <c r="F14" i="43"/>
  <c r="F14" i="56"/>
  <c r="F14" i="60"/>
  <c r="G14" i="57"/>
  <c r="F14" i="58"/>
  <c r="G14" i="58"/>
  <c r="G14" i="43"/>
  <c r="F14" i="57"/>
  <c r="F14" i="59"/>
  <c r="E14" i="59"/>
  <c r="I19" i="61"/>
  <c r="I17" i="2" s="1"/>
  <c r="I43" i="2" s="1"/>
  <c r="H14" i="56"/>
  <c r="H14" i="43"/>
  <c r="H15" i="43" s="1"/>
  <c r="H16" i="43" s="1"/>
  <c r="I20" i="61"/>
  <c r="I18" i="2" s="1"/>
  <c r="I44" i="2" s="1"/>
  <c r="H14" i="59"/>
  <c r="H14" i="57"/>
  <c r="G14" i="60"/>
  <c r="G14" i="61"/>
  <c r="G14" i="56"/>
  <c r="H14" i="61"/>
  <c r="H14" i="58"/>
  <c r="H14" i="60"/>
  <c r="I19" i="60"/>
  <c r="G17" i="2" s="1"/>
  <c r="G43" i="2" s="1"/>
  <c r="G14" i="59"/>
  <c r="E14" i="60"/>
  <c r="C2" i="59"/>
  <c r="C2" i="58"/>
  <c r="C2" i="57"/>
  <c r="C2" i="56"/>
  <c r="M10" i="55" l="1"/>
  <c r="L11" i="55"/>
  <c r="M11" i="55" s="1"/>
  <c r="H33" i="59"/>
  <c r="H10" i="59" s="1"/>
  <c r="H33" i="61" l="1"/>
  <c r="H10" i="61" s="1"/>
  <c r="C36" i="43"/>
  <c r="C36" i="61" s="1"/>
  <c r="C11" i="61" s="1"/>
  <c r="I11" i="61" l="1"/>
  <c r="I9" i="2" s="1"/>
  <c r="I35" i="2" s="1"/>
  <c r="C36" i="58"/>
  <c r="C36" i="60"/>
  <c r="C11" i="60" s="1"/>
  <c r="I11" i="60" s="1"/>
  <c r="C36" i="59"/>
  <c r="C36" i="57"/>
  <c r="C36" i="56"/>
  <c r="M8" i="55"/>
  <c r="M7" i="55"/>
  <c r="C31" i="59"/>
  <c r="C6" i="58"/>
  <c r="C31" i="58"/>
  <c r="I6" i="57"/>
  <c r="C31" i="57"/>
  <c r="C6" i="56"/>
  <c r="C31" i="56"/>
  <c r="F25" i="53" l="1"/>
  <c r="G25" i="53" s="1"/>
  <c r="F24" i="53"/>
  <c r="G24" i="53" s="1"/>
  <c r="C8" i="57"/>
  <c r="D8" i="57"/>
  <c r="I6" i="58"/>
  <c r="I6" i="56"/>
  <c r="D4" i="2" s="1"/>
  <c r="D9" i="57"/>
  <c r="F8" i="57"/>
  <c r="F9" i="57" s="1"/>
  <c r="G8" i="57"/>
  <c r="G9" i="57" s="1"/>
  <c r="H8" i="57"/>
  <c r="H9" i="57" s="1"/>
  <c r="E8" i="57"/>
  <c r="E9" i="57" s="1"/>
  <c r="H8" i="56"/>
  <c r="H9" i="56" s="1"/>
  <c r="E8" i="56"/>
  <c r="E9" i="56" s="1"/>
  <c r="F8" i="56"/>
  <c r="F9" i="56" s="1"/>
  <c r="D8" i="56"/>
  <c r="D9" i="56" s="1"/>
  <c r="G8" i="56"/>
  <c r="G9" i="56" s="1"/>
  <c r="G9" i="2"/>
  <c r="E4" i="2"/>
  <c r="C7" i="56"/>
  <c r="I7" i="56" s="1"/>
  <c r="I7" i="57"/>
  <c r="C7" i="58"/>
  <c r="I7" i="58" s="1"/>
  <c r="C38" i="43"/>
  <c r="C38" i="61" s="1"/>
  <c r="C13" i="61" s="1"/>
  <c r="I13" i="61" s="1"/>
  <c r="I11" i="2" s="1"/>
  <c r="C19" i="59"/>
  <c r="I19" i="59" s="1"/>
  <c r="C37" i="43"/>
  <c r="C37" i="61" s="1"/>
  <c r="C12" i="61" s="1"/>
  <c r="C7" i="59"/>
  <c r="I7" i="59" s="1"/>
  <c r="H4" i="2"/>
  <c r="C11" i="58"/>
  <c r="I11" i="58" s="1"/>
  <c r="C11" i="56"/>
  <c r="I11" i="56" s="1"/>
  <c r="H33" i="56" l="1"/>
  <c r="H10" i="56" s="1"/>
  <c r="G8" i="58"/>
  <c r="G9" i="58" s="1"/>
  <c r="D8" i="58"/>
  <c r="D9" i="58" s="1"/>
  <c r="F8" i="58"/>
  <c r="F9" i="58" s="1"/>
  <c r="E8" i="58"/>
  <c r="E9" i="58" s="1"/>
  <c r="H8" i="58"/>
  <c r="H9" i="58" s="1"/>
  <c r="I37" i="2"/>
  <c r="F32" i="56"/>
  <c r="H32" i="56"/>
  <c r="H15" i="56"/>
  <c r="H16" i="56" s="1"/>
  <c r="G32" i="57"/>
  <c r="D32" i="57"/>
  <c r="I12" i="61"/>
  <c r="I10" i="2" s="1"/>
  <c r="I36" i="2" s="1"/>
  <c r="C14" i="61"/>
  <c r="I14" i="61" s="1"/>
  <c r="I12" i="2" s="1"/>
  <c r="G32" i="56"/>
  <c r="E32" i="57"/>
  <c r="D8" i="61"/>
  <c r="D9" i="61" s="1"/>
  <c r="H8" i="61"/>
  <c r="H9" i="61" s="1"/>
  <c r="D8" i="60"/>
  <c r="D9" i="60" s="1"/>
  <c r="D8" i="59"/>
  <c r="D9" i="59" s="1"/>
  <c r="F8" i="61"/>
  <c r="F9" i="61" s="1"/>
  <c r="E8" i="61"/>
  <c r="E9" i="61" s="1"/>
  <c r="F8" i="59"/>
  <c r="F9" i="59" s="1"/>
  <c r="E8" i="59"/>
  <c r="E9" i="59" s="1"/>
  <c r="F8" i="60"/>
  <c r="F9" i="60" s="1"/>
  <c r="E8" i="60"/>
  <c r="E9" i="60" s="1"/>
  <c r="G8" i="60"/>
  <c r="G9" i="60" s="1"/>
  <c r="G8" i="59"/>
  <c r="G9" i="59" s="1"/>
  <c r="G8" i="61"/>
  <c r="G9" i="61" s="1"/>
  <c r="H8" i="60"/>
  <c r="H9" i="60" s="1"/>
  <c r="C8" i="61"/>
  <c r="H8" i="59"/>
  <c r="H9" i="59" s="1"/>
  <c r="D32" i="56"/>
  <c r="E32" i="56"/>
  <c r="H32" i="57"/>
  <c r="F32" i="57"/>
  <c r="G35" i="2"/>
  <c r="C38" i="60"/>
  <c r="C13" i="60" s="1"/>
  <c r="C38" i="59"/>
  <c r="C13" i="59" s="1"/>
  <c r="C38" i="57"/>
  <c r="C13" i="57" s="1"/>
  <c r="C38" i="58"/>
  <c r="C13" i="58" s="1"/>
  <c r="I13" i="58" s="1"/>
  <c r="C38" i="56"/>
  <c r="C13" i="56" s="1"/>
  <c r="I13" i="56" s="1"/>
  <c r="C37" i="59"/>
  <c r="C12" i="59" s="1"/>
  <c r="C37" i="57"/>
  <c r="C12" i="57" s="1"/>
  <c r="I12" i="57" s="1"/>
  <c r="C37" i="58"/>
  <c r="C12" i="58" s="1"/>
  <c r="I12" i="58" s="1"/>
  <c r="C37" i="60"/>
  <c r="C12" i="60" s="1"/>
  <c r="I12" i="60" s="1"/>
  <c r="C37" i="56"/>
  <c r="C12" i="56" s="1"/>
  <c r="I12" i="56" s="1"/>
  <c r="C8" i="60"/>
  <c r="C8" i="56"/>
  <c r="D5" i="2"/>
  <c r="E5" i="2"/>
  <c r="I8" i="57"/>
  <c r="C8" i="58"/>
  <c r="C11" i="57"/>
  <c r="I11" i="57" s="1"/>
  <c r="D9" i="2"/>
  <c r="C19" i="58"/>
  <c r="I19" i="58" s="1"/>
  <c r="C19" i="57"/>
  <c r="I19" i="57" s="1"/>
  <c r="C11" i="59"/>
  <c r="I11" i="59" s="1"/>
  <c r="C19" i="56"/>
  <c r="I19" i="56" s="1"/>
  <c r="C8" i="59"/>
  <c r="F4" i="2"/>
  <c r="H17" i="2"/>
  <c r="H43" i="2" s="1"/>
  <c r="H5" i="2"/>
  <c r="F5" i="2"/>
  <c r="H34" i="56" l="1"/>
  <c r="H40" i="56" s="1"/>
  <c r="H33" i="57"/>
  <c r="H10" i="57" s="1"/>
  <c r="H15" i="57" s="1"/>
  <c r="H16" i="57" s="1"/>
  <c r="I8" i="58"/>
  <c r="F6" i="2" s="1"/>
  <c r="I13" i="60"/>
  <c r="G11" i="2" s="1"/>
  <c r="G37" i="2" s="1"/>
  <c r="I8" i="61"/>
  <c r="I6" i="2" s="1"/>
  <c r="C9" i="61"/>
  <c r="G32" i="60"/>
  <c r="E32" i="59"/>
  <c r="F32" i="61"/>
  <c r="H32" i="61"/>
  <c r="H34" i="61" s="1"/>
  <c r="H40" i="61" s="1"/>
  <c r="H15" i="61"/>
  <c r="H16" i="61" s="1"/>
  <c r="F32" i="58"/>
  <c r="C9" i="56"/>
  <c r="I9" i="56" s="1"/>
  <c r="D7" i="2" s="1"/>
  <c r="I8" i="56"/>
  <c r="D6" i="2" s="1"/>
  <c r="I12" i="59"/>
  <c r="H10" i="2" s="1"/>
  <c r="H36" i="2" s="1"/>
  <c r="I13" i="57"/>
  <c r="E11" i="2" s="1"/>
  <c r="E37" i="2" s="1"/>
  <c r="H32" i="59"/>
  <c r="H34" i="59" s="1"/>
  <c r="H40" i="59" s="1"/>
  <c r="H15" i="59"/>
  <c r="H16" i="59" s="1"/>
  <c r="H32" i="60"/>
  <c r="G32" i="61"/>
  <c r="E32" i="60"/>
  <c r="F32" i="59"/>
  <c r="D32" i="59"/>
  <c r="D32" i="61"/>
  <c r="H32" i="58"/>
  <c r="D32" i="58"/>
  <c r="I8" i="59"/>
  <c r="H6" i="2" s="1"/>
  <c r="I8" i="60"/>
  <c r="G6" i="2" s="1"/>
  <c r="I13" i="59"/>
  <c r="H11" i="2" s="1"/>
  <c r="H37" i="2" s="1"/>
  <c r="G32" i="59"/>
  <c r="F32" i="60"/>
  <c r="E32" i="61"/>
  <c r="D32" i="60"/>
  <c r="E32" i="58"/>
  <c r="G32" i="58"/>
  <c r="G10" i="2"/>
  <c r="C14" i="60"/>
  <c r="C9" i="60"/>
  <c r="I9" i="60" s="1"/>
  <c r="C14" i="59"/>
  <c r="H9" i="2"/>
  <c r="H35" i="2" s="1"/>
  <c r="C9" i="57"/>
  <c r="I9" i="57" s="1"/>
  <c r="E6" i="2"/>
  <c r="E9" i="2"/>
  <c r="E35" i="2" s="1"/>
  <c r="C14" i="56"/>
  <c r="I14" i="56" s="1"/>
  <c r="C9" i="58"/>
  <c r="I9" i="58" s="1"/>
  <c r="C14" i="57"/>
  <c r="I14" i="57" s="1"/>
  <c r="C14" i="58"/>
  <c r="I14" i="58" s="1"/>
  <c r="E17" i="2"/>
  <c r="E43" i="2" s="1"/>
  <c r="F11" i="2"/>
  <c r="F37" i="2" s="1"/>
  <c r="D11" i="2"/>
  <c r="D37" i="2" s="1"/>
  <c r="D17" i="2"/>
  <c r="D43" i="2" s="1"/>
  <c r="C9" i="59"/>
  <c r="I9" i="59" s="1"/>
  <c r="F9" i="2"/>
  <c r="F35" i="2" s="1"/>
  <c r="D35" i="2"/>
  <c r="H33" i="60" l="1"/>
  <c r="H10" i="60" s="1"/>
  <c r="H15" i="60" s="1"/>
  <c r="H16" i="60" s="1"/>
  <c r="H33" i="58"/>
  <c r="H10" i="58" s="1"/>
  <c r="H15" i="58" s="1"/>
  <c r="H16" i="58" s="1"/>
  <c r="H34" i="57"/>
  <c r="H40" i="57" s="1"/>
  <c r="G18" i="59"/>
  <c r="D18" i="59"/>
  <c r="H18" i="59"/>
  <c r="E18" i="59"/>
  <c r="F18" i="59"/>
  <c r="C18" i="59"/>
  <c r="D18" i="58"/>
  <c r="G18" i="58"/>
  <c r="C18" i="58"/>
  <c r="F18" i="58"/>
  <c r="H18" i="58"/>
  <c r="E18" i="58"/>
  <c r="C18" i="60"/>
  <c r="D18" i="60"/>
  <c r="F18" i="60"/>
  <c r="E18" i="60"/>
  <c r="G18" i="60"/>
  <c r="H18" i="60"/>
  <c r="I14" i="59"/>
  <c r="H12" i="2" s="1"/>
  <c r="I9" i="61"/>
  <c r="C32" i="61"/>
  <c r="C32" i="56"/>
  <c r="C20" i="56" s="1"/>
  <c r="I20" i="56" s="1"/>
  <c r="I14" i="60"/>
  <c r="G12" i="2" s="1"/>
  <c r="G36" i="2"/>
  <c r="C32" i="60"/>
  <c r="G7" i="2"/>
  <c r="C32" i="57"/>
  <c r="C20" i="57" s="1"/>
  <c r="I20" i="57" s="1"/>
  <c r="E7" i="2"/>
  <c r="E30" i="2" s="1"/>
  <c r="C32" i="58"/>
  <c r="C20" i="58" s="1"/>
  <c r="I20" i="58" s="1"/>
  <c r="F7" i="2"/>
  <c r="F30" i="2" s="1"/>
  <c r="C32" i="59"/>
  <c r="H7" i="2"/>
  <c r="H30" i="2" s="1"/>
  <c r="D30" i="2"/>
  <c r="D48" i="2"/>
  <c r="H34" i="60" l="1"/>
  <c r="H40" i="60" s="1"/>
  <c r="H34" i="58"/>
  <c r="H40" i="58" s="1"/>
  <c r="I7" i="2"/>
  <c r="I48" i="2" s="1"/>
  <c r="G30" i="2"/>
  <c r="G48" i="2"/>
  <c r="C20" i="60"/>
  <c r="E18" i="2"/>
  <c r="E48" i="2"/>
  <c r="F18" i="2"/>
  <c r="F10" i="2"/>
  <c r="F36" i="2" s="1"/>
  <c r="C20" i="59"/>
  <c r="I20" i="59" s="1"/>
  <c r="F12" i="2"/>
  <c r="H48" i="2"/>
  <c r="D12" i="2"/>
  <c r="D10" i="2"/>
  <c r="D36" i="2" s="1"/>
  <c r="I50" i="2" l="1"/>
  <c r="I30" i="2"/>
  <c r="I20" i="60"/>
  <c r="G18" i="2" s="1"/>
  <c r="E44" i="2"/>
  <c r="E50" i="2"/>
  <c r="F50" i="2"/>
  <c r="F44" i="2"/>
  <c r="E12" i="2"/>
  <c r="E10" i="2"/>
  <c r="E36" i="2" s="1"/>
  <c r="F17" i="2"/>
  <c r="G44" i="2" l="1"/>
  <c r="G50" i="2"/>
  <c r="D18" i="2"/>
  <c r="F43" i="2"/>
  <c r="F48" i="2"/>
  <c r="D44" i="2" l="1"/>
  <c r="D50" i="2"/>
  <c r="H18" i="2"/>
  <c r="B5" i="51"/>
  <c r="H44" i="2" l="1"/>
  <c r="H50" i="2"/>
  <c r="H11" i="53" l="1"/>
  <c r="E23" i="53" s="1"/>
  <c r="G11" i="53"/>
  <c r="E22" i="53" s="1"/>
  <c r="F11" i="53"/>
  <c r="E21" i="53" s="1"/>
  <c r="E11" i="53"/>
  <c r="E20" i="53" s="1"/>
  <c r="F20" i="53" s="1"/>
  <c r="D11" i="53"/>
  <c r="E19" i="53" s="1"/>
  <c r="F19" i="53" s="1"/>
  <c r="G22" i="51"/>
  <c r="B8" i="51"/>
  <c r="B7" i="51"/>
  <c r="C47" i="43"/>
  <c r="C47" i="61" s="1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J5" i="36" s="1"/>
  <c r="I6" i="36"/>
  <c r="I5" i="36" s="1"/>
  <c r="H6" i="36"/>
  <c r="G6" i="36"/>
  <c r="E6" i="36"/>
  <c r="E5" i="36" s="1"/>
  <c r="K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6" i="2"/>
  <c r="J6" i="2" s="1"/>
  <c r="G20" i="53" l="1"/>
  <c r="G19" i="53"/>
  <c r="C33" i="60" s="1"/>
  <c r="C10" i="60" s="1"/>
  <c r="D27" i="51"/>
  <c r="I21" i="61" s="1"/>
  <c r="F21" i="53"/>
  <c r="E33" i="43"/>
  <c r="F33" i="43"/>
  <c r="F22" i="53"/>
  <c r="G22" i="53" s="1"/>
  <c r="F23" i="53"/>
  <c r="G23" i="53" s="1"/>
  <c r="G33" i="43"/>
  <c r="I6" i="43"/>
  <c r="D33" i="56"/>
  <c r="E10" i="36"/>
  <c r="E17" i="36" s="1"/>
  <c r="E19" i="36" s="1"/>
  <c r="D33" i="43"/>
  <c r="C22" i="61"/>
  <c r="C57" i="2"/>
  <c r="C47" i="59"/>
  <c r="C22" i="59" s="1"/>
  <c r="C47" i="57"/>
  <c r="C22" i="57" s="1"/>
  <c r="C47" i="58"/>
  <c r="C22" i="58" s="1"/>
  <c r="C47" i="60"/>
  <c r="C22" i="60" s="1"/>
  <c r="C47" i="56"/>
  <c r="C22" i="56" s="1"/>
  <c r="K10" i="36"/>
  <c r="K17" i="36" s="1"/>
  <c r="K19" i="36" s="1"/>
  <c r="C22" i="43"/>
  <c r="I22" i="43" s="1"/>
  <c r="C4" i="2"/>
  <c r="J4" i="2" s="1"/>
  <c r="C19" i="43"/>
  <c r="I19" i="43" s="1"/>
  <c r="C33" i="43"/>
  <c r="C34" i="43" s="1"/>
  <c r="C40" i="43" s="1"/>
  <c r="C7" i="43"/>
  <c r="I7" i="43" s="1"/>
  <c r="D26" i="51"/>
  <c r="G5" i="36"/>
  <c r="M6" i="36"/>
  <c r="G10" i="36"/>
  <c r="J10" i="36"/>
  <c r="J17" i="36" s="1"/>
  <c r="J19" i="36" s="1"/>
  <c r="C10" i="36"/>
  <c r="C17" i="36" s="1"/>
  <c r="M15" i="36"/>
  <c r="H5" i="36"/>
  <c r="B10" i="51"/>
  <c r="J16" i="55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M13" i="36"/>
  <c r="M14" i="36"/>
  <c r="C11" i="43"/>
  <c r="I11" i="43" s="1"/>
  <c r="C12" i="43"/>
  <c r="I12" i="43" s="1"/>
  <c r="C13" i="43"/>
  <c r="I13" i="43" s="1"/>
  <c r="C20" i="43"/>
  <c r="I20" i="43" s="1"/>
  <c r="G21" i="53" l="1"/>
  <c r="E33" i="57" s="1"/>
  <c r="E33" i="56"/>
  <c r="E10" i="56" s="1"/>
  <c r="E15" i="56" s="1"/>
  <c r="E16" i="56" s="1"/>
  <c r="E21" i="61"/>
  <c r="E46" i="61" s="1"/>
  <c r="F21" i="61"/>
  <c r="F46" i="61" s="1"/>
  <c r="C21" i="61"/>
  <c r="C46" i="61" s="1"/>
  <c r="D21" i="61"/>
  <c r="D46" i="61" s="1"/>
  <c r="I19" i="2"/>
  <c r="I51" i="2" s="1"/>
  <c r="G21" i="61"/>
  <c r="G46" i="61" s="1"/>
  <c r="H21" i="61"/>
  <c r="H46" i="61" s="1"/>
  <c r="H48" i="61" s="1"/>
  <c r="C10" i="43"/>
  <c r="D34" i="43"/>
  <c r="D40" i="43" s="1"/>
  <c r="D10" i="43"/>
  <c r="D15" i="43" s="1"/>
  <c r="D16" i="43" s="1"/>
  <c r="G34" i="43"/>
  <c r="G40" i="43" s="1"/>
  <c r="G10" i="43"/>
  <c r="G15" i="43" s="1"/>
  <c r="G16" i="43" s="1"/>
  <c r="F10" i="43"/>
  <c r="F15" i="43" s="1"/>
  <c r="F16" i="43" s="1"/>
  <c r="F34" i="43"/>
  <c r="F40" i="43" s="1"/>
  <c r="F33" i="56"/>
  <c r="F34" i="56" s="1"/>
  <c r="F40" i="56" s="1"/>
  <c r="E34" i="43"/>
  <c r="E40" i="43" s="1"/>
  <c r="E10" i="43"/>
  <c r="E15" i="43" s="1"/>
  <c r="E16" i="43" s="1"/>
  <c r="G33" i="56"/>
  <c r="G34" i="56" s="1"/>
  <c r="G40" i="56" s="1"/>
  <c r="G10" i="56"/>
  <c r="G15" i="56" s="1"/>
  <c r="G16" i="56" s="1"/>
  <c r="D34" i="56"/>
  <c r="D40" i="56" s="1"/>
  <c r="D10" i="56"/>
  <c r="D15" i="56" s="1"/>
  <c r="D16" i="56" s="1"/>
  <c r="I18" i="43"/>
  <c r="E26" i="51"/>
  <c r="G33" i="57"/>
  <c r="D33" i="57"/>
  <c r="F33" i="57"/>
  <c r="C33" i="61"/>
  <c r="I22" i="59"/>
  <c r="H20" i="2" s="1"/>
  <c r="H52" i="2" s="1"/>
  <c r="I22" i="60"/>
  <c r="G20" i="2" s="1"/>
  <c r="G52" i="2" s="1"/>
  <c r="I22" i="58"/>
  <c r="F20" i="2" s="1"/>
  <c r="F52" i="2" s="1"/>
  <c r="I22" i="57"/>
  <c r="E20" i="2" s="1"/>
  <c r="E52" i="2" s="1"/>
  <c r="I22" i="61"/>
  <c r="I22" i="56"/>
  <c r="D20" i="2" s="1"/>
  <c r="D52" i="2" s="1"/>
  <c r="I21" i="58"/>
  <c r="I21" i="60"/>
  <c r="C9" i="43"/>
  <c r="C5" i="2"/>
  <c r="J5" i="2" s="1"/>
  <c r="C33" i="56"/>
  <c r="C14" i="43"/>
  <c r="I14" i="43" s="1"/>
  <c r="C58" i="2"/>
  <c r="C56" i="2" s="1"/>
  <c r="G17" i="36"/>
  <c r="G19" i="36" s="1"/>
  <c r="L26" i="51"/>
  <c r="E23" i="36"/>
  <c r="C18" i="36"/>
  <c r="D18" i="36" s="1"/>
  <c r="E18" i="36" s="1"/>
  <c r="C19" i="36"/>
  <c r="M10" i="36"/>
  <c r="D19" i="36"/>
  <c r="E22" i="36"/>
  <c r="H17" i="36"/>
  <c r="H19" i="36" s="1"/>
  <c r="I21" i="59"/>
  <c r="I21" i="56"/>
  <c r="I21" i="57"/>
  <c r="C18" i="2"/>
  <c r="J18" i="2" s="1"/>
  <c r="C10" i="2"/>
  <c r="J10" i="2" s="1"/>
  <c r="I21" i="43"/>
  <c r="E27" i="51"/>
  <c r="D28" i="51"/>
  <c r="M17" i="36"/>
  <c r="F10" i="56" l="1"/>
  <c r="F15" i="56" s="1"/>
  <c r="F16" i="56" s="1"/>
  <c r="E34" i="56"/>
  <c r="E40" i="56" s="1"/>
  <c r="I9" i="43"/>
  <c r="C15" i="43"/>
  <c r="I15" i="43" s="1"/>
  <c r="C34" i="61"/>
  <c r="C40" i="61" s="1"/>
  <c r="C48" i="61" s="1"/>
  <c r="C10" i="61"/>
  <c r="I10" i="43"/>
  <c r="C8" i="2" s="1"/>
  <c r="C31" i="2" s="1"/>
  <c r="C34" i="56"/>
  <c r="C40" i="56" s="1"/>
  <c r="C10" i="56"/>
  <c r="D34" i="57"/>
  <c r="D40" i="57" s="1"/>
  <c r="D10" i="57"/>
  <c r="D15" i="57" s="1"/>
  <c r="D16" i="57" s="1"/>
  <c r="G34" i="57"/>
  <c r="G40" i="57" s="1"/>
  <c r="G10" i="57"/>
  <c r="G15" i="57" s="1"/>
  <c r="G16" i="57" s="1"/>
  <c r="E34" i="57"/>
  <c r="E40" i="57" s="1"/>
  <c r="E10" i="57"/>
  <c r="E15" i="57" s="1"/>
  <c r="E16" i="57" s="1"/>
  <c r="F34" i="57"/>
  <c r="F40" i="57" s="1"/>
  <c r="F10" i="57"/>
  <c r="F15" i="57" s="1"/>
  <c r="F16" i="57" s="1"/>
  <c r="E21" i="43"/>
  <c r="E46" i="43" s="1"/>
  <c r="E48" i="43" s="1"/>
  <c r="H21" i="43"/>
  <c r="H46" i="43" s="1"/>
  <c r="H48" i="43" s="1"/>
  <c r="F21" i="43"/>
  <c r="F46" i="43" s="1"/>
  <c r="F48" i="43" s="1"/>
  <c r="D21" i="43"/>
  <c r="D46" i="43" s="1"/>
  <c r="D48" i="43" s="1"/>
  <c r="G21" i="43"/>
  <c r="G46" i="43" s="1"/>
  <c r="G48" i="43" s="1"/>
  <c r="I18" i="56"/>
  <c r="F26" i="51"/>
  <c r="I18" i="57" s="1"/>
  <c r="H18" i="43"/>
  <c r="D18" i="43"/>
  <c r="E18" i="43"/>
  <c r="F18" i="43"/>
  <c r="G18" i="43"/>
  <c r="D33" i="58"/>
  <c r="D10" i="58" s="1"/>
  <c r="G33" i="58"/>
  <c r="E33" i="58"/>
  <c r="E10" i="58" s="1"/>
  <c r="F33" i="58"/>
  <c r="C15" i="61"/>
  <c r="G19" i="2"/>
  <c r="G51" i="2" s="1"/>
  <c r="E21" i="60"/>
  <c r="E46" i="60" s="1"/>
  <c r="D21" i="60"/>
  <c r="D46" i="60" s="1"/>
  <c r="F21" i="60"/>
  <c r="F46" i="60" s="1"/>
  <c r="H21" i="60"/>
  <c r="H46" i="60" s="1"/>
  <c r="H48" i="60" s="1"/>
  <c r="G21" i="60"/>
  <c r="G46" i="60" s="1"/>
  <c r="D21" i="59"/>
  <c r="D46" i="59" s="1"/>
  <c r="E21" i="59"/>
  <c r="E46" i="59" s="1"/>
  <c r="F21" i="59"/>
  <c r="F46" i="59" s="1"/>
  <c r="H21" i="59"/>
  <c r="H46" i="59" s="1"/>
  <c r="H48" i="59" s="1"/>
  <c r="G21" i="59"/>
  <c r="G46" i="59" s="1"/>
  <c r="G21" i="58"/>
  <c r="G46" i="58" s="1"/>
  <c r="D21" i="58"/>
  <c r="D46" i="58" s="1"/>
  <c r="H21" i="58"/>
  <c r="H46" i="58" s="1"/>
  <c r="H48" i="58" s="1"/>
  <c r="E21" i="58"/>
  <c r="E46" i="58" s="1"/>
  <c r="F21" i="58"/>
  <c r="F46" i="58" s="1"/>
  <c r="D21" i="57"/>
  <c r="D46" i="57" s="1"/>
  <c r="H21" i="57"/>
  <c r="H46" i="57" s="1"/>
  <c r="H48" i="57" s="1"/>
  <c r="E21" i="57"/>
  <c r="E46" i="57" s="1"/>
  <c r="F21" i="57"/>
  <c r="F46" i="57" s="1"/>
  <c r="G21" i="57"/>
  <c r="G46" i="57" s="1"/>
  <c r="F21" i="56"/>
  <c r="F46" i="56" s="1"/>
  <c r="F48" i="56" s="1"/>
  <c r="H21" i="56"/>
  <c r="H46" i="56" s="1"/>
  <c r="H48" i="56" s="1"/>
  <c r="D21" i="56"/>
  <c r="D46" i="56" s="1"/>
  <c r="D48" i="56" s="1"/>
  <c r="E21" i="56"/>
  <c r="E46" i="56" s="1"/>
  <c r="E48" i="56" s="1"/>
  <c r="G21" i="56"/>
  <c r="G46" i="56" s="1"/>
  <c r="G48" i="56" s="1"/>
  <c r="H17" i="59"/>
  <c r="D17" i="59"/>
  <c r="E17" i="59"/>
  <c r="G17" i="59"/>
  <c r="F17" i="59"/>
  <c r="E61" i="2"/>
  <c r="F61" i="2"/>
  <c r="G17" i="58"/>
  <c r="E17" i="58"/>
  <c r="D17" i="58"/>
  <c r="H17" i="58"/>
  <c r="F17" i="58"/>
  <c r="F17" i="60"/>
  <c r="H17" i="60"/>
  <c r="D17" i="60"/>
  <c r="G17" i="60"/>
  <c r="E17" i="60"/>
  <c r="I20" i="2"/>
  <c r="I52" i="2" s="1"/>
  <c r="F27" i="51"/>
  <c r="H27" i="51" s="1"/>
  <c r="I27" i="51" s="1"/>
  <c r="J27" i="51" s="1"/>
  <c r="G16" i="2"/>
  <c r="G61" i="2"/>
  <c r="M19" i="36"/>
  <c r="C17" i="60"/>
  <c r="C21" i="60"/>
  <c r="C33" i="57"/>
  <c r="C36" i="2"/>
  <c r="J36" i="2"/>
  <c r="I22" i="36"/>
  <c r="C44" i="2"/>
  <c r="J44" i="2"/>
  <c r="F6" i="36"/>
  <c r="F5" i="36" s="1"/>
  <c r="F17" i="36" s="1"/>
  <c r="F19" i="36" s="1"/>
  <c r="L6" i="36"/>
  <c r="L5" i="36" s="1"/>
  <c r="L17" i="36" s="1"/>
  <c r="L19" i="36" s="1"/>
  <c r="I23" i="36"/>
  <c r="C21" i="43"/>
  <c r="C17" i="59"/>
  <c r="C7" i="2"/>
  <c r="C17" i="58"/>
  <c r="C20" i="36"/>
  <c r="D20" i="36" s="1"/>
  <c r="E20" i="36" s="1"/>
  <c r="C17" i="2"/>
  <c r="J17" i="2" s="1"/>
  <c r="F19" i="2"/>
  <c r="F51" i="2" s="1"/>
  <c r="C21" i="58"/>
  <c r="C46" i="58" s="1"/>
  <c r="D19" i="2"/>
  <c r="D51" i="2" s="1"/>
  <c r="C21" i="56"/>
  <c r="C46" i="56" s="1"/>
  <c r="E19" i="2"/>
  <c r="E51" i="2" s="1"/>
  <c r="C21" i="57"/>
  <c r="C46" i="57" s="1"/>
  <c r="H19" i="2"/>
  <c r="H51" i="2" s="1"/>
  <c r="C21" i="59"/>
  <c r="C46" i="59" s="1"/>
  <c r="C9" i="2"/>
  <c r="J9" i="2" s="1"/>
  <c r="C11" i="2"/>
  <c r="J11" i="2" s="1"/>
  <c r="E28" i="51"/>
  <c r="C20" i="2"/>
  <c r="C19" i="2"/>
  <c r="I10" i="56" l="1"/>
  <c r="D8" i="2" s="1"/>
  <c r="D31" i="2" s="1"/>
  <c r="D32" i="2" s="1"/>
  <c r="D33" i="2" s="1"/>
  <c r="F23" i="58"/>
  <c r="C48" i="56"/>
  <c r="C15" i="56"/>
  <c r="I15" i="56" s="1"/>
  <c r="I16" i="56" s="1"/>
  <c r="F48" i="57"/>
  <c r="D48" i="57"/>
  <c r="G48" i="57"/>
  <c r="D34" i="58"/>
  <c r="D40" i="58" s="1"/>
  <c r="D48" i="58" s="1"/>
  <c r="D15" i="58"/>
  <c r="D16" i="58" s="1"/>
  <c r="F34" i="58"/>
  <c r="F40" i="58" s="1"/>
  <c r="F48" i="58" s="1"/>
  <c r="F10" i="58"/>
  <c r="F15" i="58" s="1"/>
  <c r="F16" i="58" s="1"/>
  <c r="C34" i="57"/>
  <c r="C40" i="57" s="1"/>
  <c r="C48" i="57" s="1"/>
  <c r="C10" i="57"/>
  <c r="I10" i="57" s="1"/>
  <c r="E8" i="2" s="1"/>
  <c r="E34" i="58"/>
  <c r="E40" i="58" s="1"/>
  <c r="E48" i="58" s="1"/>
  <c r="E15" i="58"/>
  <c r="E16" i="58" s="1"/>
  <c r="E48" i="57"/>
  <c r="G34" i="58"/>
  <c r="G40" i="58" s="1"/>
  <c r="G48" i="58" s="1"/>
  <c r="G10" i="58"/>
  <c r="G15" i="58" s="1"/>
  <c r="G16" i="58" s="1"/>
  <c r="G23" i="59"/>
  <c r="H23" i="59"/>
  <c r="H24" i="59" s="1"/>
  <c r="H25" i="59" s="1"/>
  <c r="H26" i="59" s="1"/>
  <c r="H27" i="59" s="1"/>
  <c r="F23" i="59"/>
  <c r="F18" i="57"/>
  <c r="F17" i="57" s="1"/>
  <c r="F23" i="57" s="1"/>
  <c r="F24" i="57" s="1"/>
  <c r="F25" i="57" s="1"/>
  <c r="F26" i="57" s="1"/>
  <c r="F27" i="57" s="1"/>
  <c r="G18" i="57"/>
  <c r="G17" i="57" s="1"/>
  <c r="G23" i="57" s="1"/>
  <c r="G24" i="57" s="1"/>
  <c r="G25" i="57" s="1"/>
  <c r="G26" i="57" s="1"/>
  <c r="G27" i="57" s="1"/>
  <c r="H18" i="57"/>
  <c r="H17" i="57" s="1"/>
  <c r="H23" i="57" s="1"/>
  <c r="H24" i="57" s="1"/>
  <c r="H25" i="57" s="1"/>
  <c r="H26" i="57" s="1"/>
  <c r="H27" i="57" s="1"/>
  <c r="D18" i="57"/>
  <c r="D17" i="57" s="1"/>
  <c r="D23" i="57" s="1"/>
  <c r="D24" i="57" s="1"/>
  <c r="D25" i="57" s="1"/>
  <c r="D26" i="57" s="1"/>
  <c r="D27" i="57" s="1"/>
  <c r="E18" i="57"/>
  <c r="E17" i="57" s="1"/>
  <c r="E23" i="57" s="1"/>
  <c r="E24" i="57" s="1"/>
  <c r="E25" i="57" s="1"/>
  <c r="E26" i="57" s="1"/>
  <c r="E27" i="57" s="1"/>
  <c r="C18" i="57"/>
  <c r="C17" i="57" s="1"/>
  <c r="C23" i="57" s="1"/>
  <c r="D18" i="56"/>
  <c r="D17" i="56" s="1"/>
  <c r="D23" i="56" s="1"/>
  <c r="D24" i="56" s="1"/>
  <c r="D25" i="56" s="1"/>
  <c r="D26" i="56" s="1"/>
  <c r="D27" i="56" s="1"/>
  <c r="F18" i="56"/>
  <c r="F17" i="56" s="1"/>
  <c r="F23" i="56" s="1"/>
  <c r="F24" i="56" s="1"/>
  <c r="F25" i="56" s="1"/>
  <c r="F26" i="56" s="1"/>
  <c r="F27" i="56" s="1"/>
  <c r="C18" i="56"/>
  <c r="H18" i="56"/>
  <c r="H17" i="56" s="1"/>
  <c r="H23" i="56" s="1"/>
  <c r="H24" i="56" s="1"/>
  <c r="H25" i="56" s="1"/>
  <c r="H26" i="56" s="1"/>
  <c r="H27" i="56" s="1"/>
  <c r="E18" i="56"/>
  <c r="E17" i="56" s="1"/>
  <c r="E23" i="56" s="1"/>
  <c r="E24" i="56" s="1"/>
  <c r="E25" i="56" s="1"/>
  <c r="E26" i="56" s="1"/>
  <c r="E27" i="56" s="1"/>
  <c r="G18" i="56"/>
  <c r="G17" i="56" s="1"/>
  <c r="G23" i="56" s="1"/>
  <c r="G24" i="56" s="1"/>
  <c r="G25" i="56" s="1"/>
  <c r="G26" i="56" s="1"/>
  <c r="G27" i="56" s="1"/>
  <c r="G23" i="58"/>
  <c r="D23" i="60"/>
  <c r="D23" i="58"/>
  <c r="I17" i="60"/>
  <c r="F23" i="60"/>
  <c r="H23" i="58"/>
  <c r="H24" i="58" s="1"/>
  <c r="H25" i="58" s="1"/>
  <c r="H26" i="58" s="1"/>
  <c r="H27" i="58" s="1"/>
  <c r="G23" i="60"/>
  <c r="E23" i="59"/>
  <c r="E33" i="60"/>
  <c r="G33" i="60"/>
  <c r="D33" i="60"/>
  <c r="J19" i="2"/>
  <c r="C50" i="2"/>
  <c r="J7" i="2"/>
  <c r="E23" i="60"/>
  <c r="D23" i="59"/>
  <c r="F33" i="60"/>
  <c r="J20" i="2"/>
  <c r="I17" i="58"/>
  <c r="I17" i="59"/>
  <c r="I23" i="59" s="1"/>
  <c r="H23" i="60"/>
  <c r="H24" i="60" s="1"/>
  <c r="H25" i="60" s="1"/>
  <c r="H26" i="60" s="1"/>
  <c r="H27" i="60" s="1"/>
  <c r="E23" i="58"/>
  <c r="C16" i="61"/>
  <c r="I42" i="2"/>
  <c r="I49" i="2"/>
  <c r="K27" i="51"/>
  <c r="F20" i="36"/>
  <c r="G20" i="36" s="1"/>
  <c r="H20" i="36" s="1"/>
  <c r="I24" i="36" s="1"/>
  <c r="I28" i="51"/>
  <c r="J26" i="51"/>
  <c r="F28" i="51"/>
  <c r="J43" i="2"/>
  <c r="C46" i="60"/>
  <c r="C23" i="60"/>
  <c r="F18" i="36"/>
  <c r="G18" i="36" s="1"/>
  <c r="H18" i="36" s="1"/>
  <c r="E24" i="36" s="1"/>
  <c r="J37" i="2"/>
  <c r="C35" i="2"/>
  <c r="J35" i="2"/>
  <c r="C30" i="2"/>
  <c r="C32" i="2" s="1"/>
  <c r="C16" i="43"/>
  <c r="C33" i="58"/>
  <c r="C10" i="58" s="1"/>
  <c r="C23" i="59"/>
  <c r="C23" i="58"/>
  <c r="C43" i="2"/>
  <c r="C48" i="2"/>
  <c r="C12" i="2"/>
  <c r="J12" i="2" s="1"/>
  <c r="C37" i="2"/>
  <c r="C52" i="2"/>
  <c r="C46" i="43"/>
  <c r="C48" i="43" s="1"/>
  <c r="C51" i="2"/>
  <c r="G28" i="51"/>
  <c r="C16" i="56" l="1"/>
  <c r="I23" i="58"/>
  <c r="D24" i="58"/>
  <c r="D25" i="58" s="1"/>
  <c r="D26" i="58" s="1"/>
  <c r="D27" i="58" s="1"/>
  <c r="F24" i="58"/>
  <c r="F25" i="58" s="1"/>
  <c r="F26" i="58" s="1"/>
  <c r="F27" i="58" s="1"/>
  <c r="G24" i="58"/>
  <c r="G25" i="58" s="1"/>
  <c r="G26" i="58" s="1"/>
  <c r="G27" i="58" s="1"/>
  <c r="C15" i="57"/>
  <c r="I15" i="57" s="1"/>
  <c r="J28" i="51"/>
  <c r="I18" i="61"/>
  <c r="C34" i="58"/>
  <c r="C40" i="58" s="1"/>
  <c r="C48" i="58" s="1"/>
  <c r="I10" i="58"/>
  <c r="F8" i="2" s="1"/>
  <c r="F34" i="60"/>
  <c r="F40" i="60" s="1"/>
  <c r="F48" i="60" s="1"/>
  <c r="F10" i="60"/>
  <c r="F15" i="60" s="1"/>
  <c r="F16" i="60" s="1"/>
  <c r="D34" i="60"/>
  <c r="D40" i="60" s="1"/>
  <c r="D48" i="60" s="1"/>
  <c r="D10" i="60"/>
  <c r="D15" i="60" s="1"/>
  <c r="E34" i="60"/>
  <c r="E40" i="60" s="1"/>
  <c r="E48" i="60" s="1"/>
  <c r="E10" i="60"/>
  <c r="E15" i="60" s="1"/>
  <c r="E16" i="60" s="1"/>
  <c r="E24" i="58"/>
  <c r="E25" i="58" s="1"/>
  <c r="E26" i="58" s="1"/>
  <c r="E27" i="58" s="1"/>
  <c r="G34" i="60"/>
  <c r="G40" i="60" s="1"/>
  <c r="G48" i="60" s="1"/>
  <c r="G10" i="60"/>
  <c r="G15" i="60" s="1"/>
  <c r="G16" i="60" s="1"/>
  <c r="I17" i="57"/>
  <c r="E15" i="2" s="1"/>
  <c r="E49" i="2" s="1"/>
  <c r="F24" i="60"/>
  <c r="F25" i="60" s="1"/>
  <c r="F26" i="60" s="1"/>
  <c r="F27" i="60" s="1"/>
  <c r="F33" i="59"/>
  <c r="D33" i="59"/>
  <c r="G33" i="59"/>
  <c r="E33" i="59"/>
  <c r="I20" i="36"/>
  <c r="J20" i="36" s="1"/>
  <c r="K20" i="36" s="1"/>
  <c r="L20" i="36" s="1"/>
  <c r="K26" i="51"/>
  <c r="J61" i="2" s="1"/>
  <c r="I23" i="60"/>
  <c r="F42" i="2"/>
  <c r="I18" i="36"/>
  <c r="J18" i="36" s="1"/>
  <c r="K18" i="36" s="1"/>
  <c r="L18" i="36" s="1"/>
  <c r="J48" i="2"/>
  <c r="C33" i="2"/>
  <c r="C33" i="59"/>
  <c r="J30" i="2"/>
  <c r="J52" i="2"/>
  <c r="J50" i="2"/>
  <c r="J51" i="2"/>
  <c r="D13" i="2"/>
  <c r="C16" i="57"/>
  <c r="C15" i="58"/>
  <c r="I15" i="58" s="1"/>
  <c r="E31" i="2"/>
  <c r="E32" i="2" s="1"/>
  <c r="E33" i="2" s="1"/>
  <c r="H49" i="2"/>
  <c r="H28" i="51"/>
  <c r="F31" i="2" l="1"/>
  <c r="F32" i="2" s="1"/>
  <c r="F33" i="2" s="1"/>
  <c r="C24" i="57"/>
  <c r="C25" i="57" s="1"/>
  <c r="C26" i="57" s="1"/>
  <c r="E42" i="2"/>
  <c r="G34" i="59"/>
  <c r="G40" i="59" s="1"/>
  <c r="G48" i="59" s="1"/>
  <c r="G10" i="59"/>
  <c r="G15" i="59" s="1"/>
  <c r="G24" i="59" s="1"/>
  <c r="G25" i="59" s="1"/>
  <c r="G26" i="59" s="1"/>
  <c r="G27" i="59" s="1"/>
  <c r="I23" i="57"/>
  <c r="I24" i="57" s="1"/>
  <c r="I25" i="57" s="1"/>
  <c r="I26" i="57" s="1"/>
  <c r="E34" i="59"/>
  <c r="E40" i="59" s="1"/>
  <c r="E48" i="59" s="1"/>
  <c r="E10" i="59"/>
  <c r="E15" i="59" s="1"/>
  <c r="E16" i="59" s="1"/>
  <c r="F34" i="59"/>
  <c r="F40" i="59" s="1"/>
  <c r="F48" i="59" s="1"/>
  <c r="F10" i="59"/>
  <c r="F15" i="59" s="1"/>
  <c r="F24" i="59" s="1"/>
  <c r="F25" i="59" s="1"/>
  <c r="F26" i="59" s="1"/>
  <c r="F27" i="59" s="1"/>
  <c r="C34" i="59"/>
  <c r="C40" i="59" s="1"/>
  <c r="C48" i="59" s="1"/>
  <c r="C10" i="59"/>
  <c r="D18" i="61"/>
  <c r="D17" i="61" s="1"/>
  <c r="D23" i="61" s="1"/>
  <c r="F18" i="61"/>
  <c r="F17" i="61" s="1"/>
  <c r="F23" i="61" s="1"/>
  <c r="C18" i="61"/>
  <c r="C17" i="61" s="1"/>
  <c r="G18" i="61"/>
  <c r="G17" i="61" s="1"/>
  <c r="G23" i="61" s="1"/>
  <c r="H18" i="61"/>
  <c r="H17" i="61" s="1"/>
  <c r="H23" i="61" s="1"/>
  <c r="H24" i="61" s="1"/>
  <c r="H25" i="61" s="1"/>
  <c r="H26" i="61" s="1"/>
  <c r="H27" i="61" s="1"/>
  <c r="E18" i="61"/>
  <c r="E17" i="61" s="1"/>
  <c r="E23" i="61" s="1"/>
  <c r="I16" i="2"/>
  <c r="D34" i="59"/>
  <c r="D40" i="59" s="1"/>
  <c r="D48" i="59" s="1"/>
  <c r="D10" i="59"/>
  <c r="D15" i="59" s="1"/>
  <c r="D16" i="59" s="1"/>
  <c r="E24" i="60"/>
  <c r="E25" i="60" s="1"/>
  <c r="E26" i="60" s="1"/>
  <c r="E27" i="60" s="1"/>
  <c r="G24" i="60"/>
  <c r="G25" i="60" s="1"/>
  <c r="G26" i="60" s="1"/>
  <c r="G27" i="60" s="1"/>
  <c r="I10" i="60"/>
  <c r="D16" i="60"/>
  <c r="D24" i="60"/>
  <c r="D25" i="60" s="1"/>
  <c r="D26" i="60" s="1"/>
  <c r="D27" i="60" s="1"/>
  <c r="F33" i="61"/>
  <c r="E33" i="61"/>
  <c r="G33" i="61"/>
  <c r="D33" i="61"/>
  <c r="F16" i="59"/>
  <c r="D39" i="2"/>
  <c r="D14" i="2"/>
  <c r="F49" i="2"/>
  <c r="G42" i="2"/>
  <c r="G49" i="2"/>
  <c r="C34" i="60"/>
  <c r="C40" i="60" s="1"/>
  <c r="C48" i="60" s="1"/>
  <c r="I16" i="43"/>
  <c r="C13" i="2"/>
  <c r="C39" i="2" s="1"/>
  <c r="I16" i="58"/>
  <c r="I24" i="58"/>
  <c r="H42" i="2"/>
  <c r="C16" i="58"/>
  <c r="E13" i="2"/>
  <c r="I16" i="57"/>
  <c r="C24" i="58"/>
  <c r="E21" i="2" l="1"/>
  <c r="G16" i="59"/>
  <c r="E24" i="59"/>
  <c r="E25" i="59" s="1"/>
  <c r="E26" i="59" s="1"/>
  <c r="E27" i="59" s="1"/>
  <c r="G34" i="61"/>
  <c r="G40" i="61" s="1"/>
  <c r="G48" i="61" s="1"/>
  <c r="G10" i="61"/>
  <c r="G15" i="61" s="1"/>
  <c r="G16" i="61" s="1"/>
  <c r="F34" i="61"/>
  <c r="F40" i="61" s="1"/>
  <c r="F48" i="61" s="1"/>
  <c r="F10" i="61"/>
  <c r="F15" i="61" s="1"/>
  <c r="F24" i="61" s="1"/>
  <c r="F25" i="61" s="1"/>
  <c r="F26" i="61" s="1"/>
  <c r="F27" i="61" s="1"/>
  <c r="C23" i="61"/>
  <c r="C24" i="61" s="1"/>
  <c r="C25" i="61" s="1"/>
  <c r="C26" i="61" s="1"/>
  <c r="C27" i="61" s="1"/>
  <c r="I17" i="61"/>
  <c r="I23" i="61" s="1"/>
  <c r="E22" i="2"/>
  <c r="D34" i="61"/>
  <c r="D40" i="61" s="1"/>
  <c r="D48" i="61" s="1"/>
  <c r="D10" i="61"/>
  <c r="I10" i="61" s="1"/>
  <c r="I8" i="2" s="1"/>
  <c r="I31" i="2" s="1"/>
  <c r="I32" i="2" s="1"/>
  <c r="I33" i="2" s="1"/>
  <c r="D24" i="59"/>
  <c r="D25" i="59" s="1"/>
  <c r="D26" i="59" s="1"/>
  <c r="D27" i="59" s="1"/>
  <c r="E34" i="61"/>
  <c r="E40" i="61" s="1"/>
  <c r="E48" i="61" s="1"/>
  <c r="E10" i="61"/>
  <c r="E15" i="61" s="1"/>
  <c r="E16" i="61" s="1"/>
  <c r="D15" i="61"/>
  <c r="I25" i="58"/>
  <c r="I26" i="58" s="1"/>
  <c r="I10" i="59"/>
  <c r="H8" i="2" s="1"/>
  <c r="H31" i="2" s="1"/>
  <c r="H32" i="2" s="1"/>
  <c r="H33" i="2" s="1"/>
  <c r="E39" i="2"/>
  <c r="E40" i="2" s="1"/>
  <c r="E14" i="2"/>
  <c r="C27" i="57"/>
  <c r="I27" i="57"/>
  <c r="C25" i="58"/>
  <c r="C26" i="58" s="1"/>
  <c r="G8" i="2"/>
  <c r="C15" i="60"/>
  <c r="I15" i="60" s="1"/>
  <c r="C15" i="59"/>
  <c r="I15" i="59" s="1"/>
  <c r="I16" i="59" s="1"/>
  <c r="C14" i="2"/>
  <c r="F13" i="2"/>
  <c r="E54" i="2" l="1"/>
  <c r="E23" i="2"/>
  <c r="F16" i="61"/>
  <c r="G24" i="61"/>
  <c r="G25" i="61" s="1"/>
  <c r="G26" i="61" s="1"/>
  <c r="G27" i="61" s="1"/>
  <c r="E24" i="61"/>
  <c r="E25" i="61" s="1"/>
  <c r="E26" i="61" s="1"/>
  <c r="E27" i="61" s="1"/>
  <c r="D16" i="61"/>
  <c r="D24" i="61"/>
  <c r="D25" i="61" s="1"/>
  <c r="D26" i="61" s="1"/>
  <c r="I15" i="61"/>
  <c r="G31" i="2"/>
  <c r="G32" i="2" s="1"/>
  <c r="G33" i="2" s="1"/>
  <c r="J8" i="2"/>
  <c r="J31" i="2" s="1"/>
  <c r="J32" i="2" s="1"/>
  <c r="J33" i="2" s="1"/>
  <c r="F39" i="2"/>
  <c r="F40" i="2" s="1"/>
  <c r="F14" i="2"/>
  <c r="E24" i="2"/>
  <c r="E25" i="2" s="1"/>
  <c r="I27" i="58"/>
  <c r="C27" i="58"/>
  <c r="C24" i="59"/>
  <c r="G13" i="2"/>
  <c r="C16" i="60"/>
  <c r="C24" i="60"/>
  <c r="C16" i="59"/>
  <c r="H13" i="2"/>
  <c r="I24" i="59"/>
  <c r="H22" i="2" s="1"/>
  <c r="H23" i="2" s="1"/>
  <c r="F22" i="2"/>
  <c r="F54" i="2" l="1"/>
  <c r="F23" i="2"/>
  <c r="I13" i="2"/>
  <c r="I16" i="61"/>
  <c r="I24" i="61"/>
  <c r="I22" i="2" s="1"/>
  <c r="I23" i="2" s="1"/>
  <c r="D27" i="61"/>
  <c r="I26" i="61"/>
  <c r="I25" i="59"/>
  <c r="I26" i="59" s="1"/>
  <c r="H39" i="2"/>
  <c r="H40" i="2" s="1"/>
  <c r="H14" i="2"/>
  <c r="G39" i="2"/>
  <c r="G40" i="2" s="1"/>
  <c r="G14" i="2"/>
  <c r="J13" i="2"/>
  <c r="J39" i="2" s="1"/>
  <c r="E53" i="2"/>
  <c r="E60" i="2"/>
  <c r="E59" i="2" s="1"/>
  <c r="F24" i="2"/>
  <c r="F53" i="2" s="1"/>
  <c r="C25" i="59"/>
  <c r="C26" i="59" s="1"/>
  <c r="C25" i="60"/>
  <c r="C26" i="60" s="1"/>
  <c r="I16" i="60"/>
  <c r="I24" i="60"/>
  <c r="H54" i="2"/>
  <c r="I54" i="2" l="1"/>
  <c r="I25" i="61"/>
  <c r="J14" i="2"/>
  <c r="I27" i="61"/>
  <c r="I24" i="2"/>
  <c r="I39" i="2"/>
  <c r="I40" i="2" s="1"/>
  <c r="I14" i="2"/>
  <c r="F60" i="2"/>
  <c r="F59" i="2" s="1"/>
  <c r="F25" i="2"/>
  <c r="C27" i="60"/>
  <c r="C27" i="59"/>
  <c r="H24" i="2"/>
  <c r="I25" i="60"/>
  <c r="G22" i="2"/>
  <c r="G54" i="2" l="1"/>
  <c r="G23" i="2"/>
  <c r="I60" i="2"/>
  <c r="I59" i="2" s="1"/>
  <c r="I53" i="2"/>
  <c r="I25" i="2"/>
  <c r="I26" i="60"/>
  <c r="I27" i="60" s="1"/>
  <c r="H53" i="2"/>
  <c r="H25" i="2"/>
  <c r="I27" i="59"/>
  <c r="H60" i="2"/>
  <c r="H59" i="2" s="1"/>
  <c r="G24" i="2" l="1"/>
  <c r="G25" i="2" s="1"/>
  <c r="G60" i="2" l="1"/>
  <c r="G59" i="2" s="1"/>
  <c r="G53" i="2"/>
  <c r="D61" i="2" l="1"/>
  <c r="C17" i="56"/>
  <c r="I17" i="56" s="1"/>
  <c r="C23" i="56" l="1"/>
  <c r="C24" i="56" s="1"/>
  <c r="C25" i="56" s="1"/>
  <c r="D15" i="2" l="1"/>
  <c r="I23" i="56"/>
  <c r="C26" i="56"/>
  <c r="C27" i="56" l="1"/>
  <c r="I24" i="56"/>
  <c r="D21" i="2"/>
  <c r="D49" i="2"/>
  <c r="D42" i="2"/>
  <c r="I25" i="56" l="1"/>
  <c r="I26" i="56" s="1"/>
  <c r="D24" i="2" s="1"/>
  <c r="D25" i="2" s="1"/>
  <c r="D40" i="2"/>
  <c r="D22" i="2"/>
  <c r="D54" i="2" l="1"/>
  <c r="D23" i="2"/>
  <c r="I27" i="56"/>
  <c r="D60" i="2"/>
  <c r="D59" i="2" s="1"/>
  <c r="D53" i="2"/>
  <c r="C61" i="2"/>
  <c r="H17" i="43"/>
  <c r="H23" i="43" s="1"/>
  <c r="H24" i="43" s="1"/>
  <c r="G17" i="43"/>
  <c r="G23" i="43" s="1"/>
  <c r="G24" i="43" s="1"/>
  <c r="D17" i="43"/>
  <c r="D23" i="43" s="1"/>
  <c r="D24" i="43" s="1"/>
  <c r="E17" i="43"/>
  <c r="E23" i="43" s="1"/>
  <c r="E24" i="43" s="1"/>
  <c r="F17" i="43"/>
  <c r="F23" i="43" s="1"/>
  <c r="F24" i="43" s="1"/>
  <c r="C18" i="43"/>
  <c r="C17" i="43" s="1"/>
  <c r="C23" i="43" s="1"/>
  <c r="C24" i="43" s="1"/>
  <c r="C25" i="43" l="1"/>
  <c r="C26" i="43" s="1"/>
  <c r="H25" i="43"/>
  <c r="H26" i="43" s="1"/>
  <c r="H27" i="43" s="1"/>
  <c r="D25" i="43"/>
  <c r="D26" i="43" s="1"/>
  <c r="D27" i="43" s="1"/>
  <c r="E25" i="43"/>
  <c r="E26" i="43" s="1"/>
  <c r="E27" i="43" s="1"/>
  <c r="F25" i="43"/>
  <c r="F26" i="43" s="1"/>
  <c r="F27" i="43" s="1"/>
  <c r="G25" i="43"/>
  <c r="G26" i="43" s="1"/>
  <c r="G27" i="43" s="1"/>
  <c r="I17" i="43"/>
  <c r="I26" i="43" l="1"/>
  <c r="I27" i="43" s="1"/>
  <c r="C27" i="43"/>
  <c r="I23" i="43"/>
  <c r="I24" i="43" s="1"/>
  <c r="I25" i="43" s="1"/>
  <c r="C15" i="2"/>
  <c r="C49" i="2" l="1"/>
  <c r="J15" i="2"/>
  <c r="C21" i="2"/>
  <c r="C42" i="2"/>
  <c r="J42" i="2" l="1"/>
  <c r="J49" i="2"/>
  <c r="C40" i="2"/>
  <c r="J21" i="2"/>
  <c r="C22" i="2"/>
  <c r="C23" i="2" s="1"/>
  <c r="C54" i="2" l="1"/>
  <c r="C24" i="2"/>
  <c r="J22" i="2"/>
  <c r="J40" i="2"/>
  <c r="C60" i="2" l="1"/>
  <c r="C59" i="2" s="1"/>
  <c r="C53" i="2"/>
  <c r="C25" i="2"/>
  <c r="J54" i="2"/>
  <c r="J23" i="2"/>
  <c r="J24" i="2" s="1"/>
  <c r="J53" i="2" l="1"/>
  <c r="J25" i="2"/>
  <c r="J60" i="2"/>
  <c r="J59" i="2" s="1"/>
</calcChain>
</file>

<file path=xl/comments1.xml><?xml version="1.0" encoding="utf-8"?>
<comments xmlns="http://schemas.openxmlformats.org/spreadsheetml/2006/main">
  <authors>
    <author>作者</author>
  </authors>
  <commentList>
    <comment ref="K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  <author>User</author>
  </authors>
  <commentList>
    <comment ref="B7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不含原材料</t>
        </r>
      </text>
    </comment>
    <comment ref="G22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24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36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38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49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51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62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64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75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G89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</commentList>
</comments>
</file>

<file path=xl/sharedStrings.xml><?xml version="1.0" encoding="utf-8"?>
<sst xmlns="http://schemas.openxmlformats.org/spreadsheetml/2006/main" count="1825" uniqueCount="311">
  <si>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</si>
  <si>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</si>
  <si>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</si>
  <si>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</si>
  <si>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</si>
  <si>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</si>
  <si>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</si>
  <si>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</si>
  <si>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</si>
  <si>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</si>
  <si>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预测工厂产能满足客户订单。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</si>
  <si>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</si>
  <si>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</si>
  <si>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</si>
  <si>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</si>
  <si>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</si>
  <si>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</si>
  <si>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</si>
  <si>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</si>
  <si>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</si>
  <si>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</si>
  <si>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</si>
  <si>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</si>
  <si>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</si>
  <si>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</si>
  <si>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</si>
  <si>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</si>
  <si>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</si>
  <si>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</si>
  <si>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</si>
  <si>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</si>
  <si>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</si>
  <si>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</si>
  <si>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</si>
  <si>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</si>
  <si>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</si>
  <si>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</si>
  <si>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</si>
  <si>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</si>
  <si>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</si>
  <si>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</si>
  <si>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</si>
  <si>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</si>
  <si>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</si>
  <si>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</si>
  <si>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</si>
  <si>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</si>
  <si>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</si>
  <si>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</si>
  <si>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</si>
  <si>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</si>
  <si>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</si>
  <si>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</si>
  <si>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</si>
  <si>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</si>
  <si>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</si>
  <si>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</si>
  <si>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</si>
  <si>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</si>
  <si>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</si>
  <si>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</si>
  <si>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</si>
  <si>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</si>
  <si>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</si>
  <si>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</si>
  <si>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</si>
  <si>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</si>
  <si>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</si>
  <si>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</si>
  <si>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</si>
  <si>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</si>
  <si>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</si>
  <si>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</si>
  <si>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</si>
  <si>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</si>
  <si>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</si>
  <si>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</si>
  <si>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</si>
  <si>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</si>
  <si>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</si>
  <si>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</si>
  <si>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</si>
  <si>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</si>
  <si>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</si>
  <si>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</si>
  <si>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</si>
  <si>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</si>
  <si>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</si>
  <si>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</si>
  <si>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</si>
  <si>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</si>
  <si>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</si>
  <si>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</si>
  <si>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</si>
  <si>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</si>
  <si>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</si>
  <si>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</si>
  <si>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</si>
  <si>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</si>
  <si>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</si>
  <si>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</si>
  <si>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</si>
  <si>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</si>
  <si>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</si>
  <si>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</si>
  <si>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</si>
  <si>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</si>
  <si>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</si>
  <si>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</si>
  <si>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</si>
  <si>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</si>
  <si>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</si>
  <si>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</si>
  <si>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</si>
  <si>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</si>
  <si>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</si>
  <si>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</si>
  <si>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</si>
  <si>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</si>
  <si>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</si>
  <si>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</si>
  <si>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</si>
  <si>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</si>
  <si>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</si>
  <si>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</si>
  <si>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</si>
  <si>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</si>
  <si>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</si>
  <si>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</si>
  <si>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</si>
  <si>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</si>
  <si>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</si>
  <si>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</si>
  <si>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</si>
  <si>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</si>
  <si>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</si>
  <si>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</si>
  <si>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</si>
  <si>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</si>
  <si>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</si>
  <si>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</si>
  <si>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</si>
  <si>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</si>
  <si>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</si>
  <si>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</si>
  <si>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</si>
  <si>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</si>
  <si>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</si>
  <si>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</si>
  <si>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</si>
  <si>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</si>
  <si>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</si>
  <si>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</si>
  <si>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</si>
  <si>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</si>
  <si>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</si>
  <si>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</si>
  <si>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</si>
  <si>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</si>
  <si>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</si>
  <si>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</si>
  <si>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</si>
  <si>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</si>
  <si>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</si>
  <si>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</si>
  <si>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</si>
  <si>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</si>
  <si>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</si>
  <si>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</si>
  <si>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</si>
  <si>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</si>
  <si>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</si>
  <si>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</si>
  <si>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</si>
  <si>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</si>
  <si>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</si>
  <si>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</si>
  <si>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</si>
  <si>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</si>
  <si>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</si>
  <si>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</si>
  <si>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</si>
  <si>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</si>
  <si>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</si>
  <si>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</si>
  <si>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</si>
  <si>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</si>
  <si>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</si>
  <si>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</si>
  <si>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</si>
  <si>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</si>
  <si>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</si>
  <si>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</si>
  <si>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</si>
  <si>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</si>
  <si>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</si>
  <si>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</si>
  <si>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</si>
  <si>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</si>
  <si>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</si>
  <si>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</si>
  <si>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</si>
  <si>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</si>
  <si>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</si>
  <si>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</si>
  <si>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</si>
  <si>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</si>
  <si>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</si>
  <si>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</si>
  <si>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</si>
  <si>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</si>
  <si>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</si>
  <si>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</si>
  <si>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</si>
  <si>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</si>
  <si>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</si>
  <si>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</si>
  <si>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</si>
  <si>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</si>
  <si>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</si>
  <si>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</si>
  <si>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</si>
  <si>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产品名称</t>
    <phoneticPr fontId="38" type="noConversion"/>
  </si>
  <si>
    <t>材料成本</t>
    <phoneticPr fontId="38" type="noConversion"/>
  </si>
  <si>
    <t>2026年</t>
  </si>
  <si>
    <t>材料成本</t>
    <phoneticPr fontId="38" type="noConversion"/>
  </si>
  <si>
    <t>2027年</t>
  </si>
  <si>
    <t>所得税(税率15%）</t>
    <phoneticPr fontId="38" type="noConversion"/>
  </si>
  <si>
    <t>所得税(税率15%）</t>
    <phoneticPr fontId="38" type="noConversion"/>
  </si>
  <si>
    <t>所得税(税率15%）</t>
    <phoneticPr fontId="38" type="noConversion"/>
  </si>
  <si>
    <r>
      <t>2027年</t>
    </r>
    <r>
      <rPr>
        <b/>
        <sz val="10"/>
        <rFont val="宋体"/>
        <family val="3"/>
        <charset val="134"/>
      </rPr>
      <t/>
    </r>
  </si>
  <si>
    <t>2029年</t>
  </si>
  <si>
    <t>2028年</t>
  </si>
  <si>
    <t>一</t>
    <phoneticPr fontId="38" type="noConversion"/>
  </si>
  <si>
    <t>二</t>
    <phoneticPr fontId="38" type="noConversion"/>
  </si>
  <si>
    <t>三</t>
    <phoneticPr fontId="38" type="noConversion"/>
  </si>
  <si>
    <t>四</t>
    <phoneticPr fontId="38" type="noConversion"/>
  </si>
  <si>
    <t>五</t>
    <phoneticPr fontId="38" type="noConversion"/>
  </si>
  <si>
    <t>六</t>
    <phoneticPr fontId="38" type="noConversion"/>
  </si>
  <si>
    <t>七</t>
    <phoneticPr fontId="38" type="noConversion"/>
  </si>
  <si>
    <r>
      <t>2029年</t>
    </r>
    <r>
      <rPr>
        <b/>
        <sz val="10"/>
        <rFont val="宋体"/>
        <family val="3"/>
        <charset val="134"/>
      </rPr>
      <t/>
    </r>
  </si>
  <si>
    <t>产品图号</t>
    <phoneticPr fontId="38" type="noConversion"/>
  </si>
  <si>
    <t>名称</t>
    <phoneticPr fontId="38" type="noConversion"/>
  </si>
  <si>
    <t>配置</t>
    <phoneticPr fontId="38" type="noConversion"/>
  </si>
  <si>
    <t>成本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</si>
  <si>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</si>
  <si>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</si>
  <si>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</si>
  <si>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合计</t>
    <phoneticPr fontId="38" type="noConversion"/>
  </si>
  <si>
    <t>送货地点</t>
  </si>
  <si>
    <t>现汇或承兑的比例</t>
  </si>
  <si>
    <t>开发费分摊情况</t>
  </si>
  <si>
    <t>产品应用场景</t>
  </si>
  <si>
    <t>三包周期</t>
  </si>
  <si>
    <t>涂红色处为必填项</t>
  </si>
  <si>
    <t>按初步BOM预计。供应商年度降价与销价年降持平。</t>
    <phoneticPr fontId="38" type="noConversion"/>
  </si>
  <si>
    <t>2025年</t>
    <phoneticPr fontId="38" type="noConversion"/>
  </si>
  <si>
    <t>2030年</t>
  </si>
  <si>
    <t>2031年</t>
  </si>
  <si>
    <t>SOP</t>
    <phoneticPr fontId="38" type="noConversion"/>
  </si>
  <si>
    <r>
      <t>2028年</t>
    </r>
    <r>
      <rPr>
        <b/>
        <sz val="10"/>
        <rFont val="宋体"/>
        <family val="3"/>
        <charset val="134"/>
      </rPr>
      <t/>
    </r>
  </si>
  <si>
    <r>
      <t>2030年</t>
    </r>
    <r>
      <rPr>
        <b/>
        <sz val="10"/>
        <rFont val="宋体"/>
        <family val="3"/>
        <charset val="134"/>
      </rPr>
      <t/>
    </r>
  </si>
  <si>
    <r>
      <t>2031年</t>
    </r>
    <r>
      <rPr>
        <b/>
        <sz val="10"/>
        <rFont val="宋体"/>
        <family val="3"/>
        <charset val="134"/>
      </rPr>
      <t/>
    </r>
  </si>
  <si>
    <t xml:space="preserve">2031年  </t>
    <phoneticPr fontId="38" type="noConversion"/>
  </si>
  <si>
    <t xml:space="preserve">2029年  </t>
    <phoneticPr fontId="38" type="noConversion"/>
  </si>
  <si>
    <t xml:space="preserve">2027年  </t>
    <phoneticPr fontId="38" type="noConversion"/>
  </si>
  <si>
    <t xml:space="preserve">2032年  </t>
    <phoneticPr fontId="38" type="noConversion"/>
  </si>
  <si>
    <t xml:space="preserve">2030年  </t>
    <phoneticPr fontId="38" type="noConversion"/>
  </si>
  <si>
    <t xml:space="preserve">2026年  </t>
    <phoneticPr fontId="38" type="noConversion"/>
  </si>
  <si>
    <t>模具</t>
    <phoneticPr fontId="38" type="noConversion"/>
  </si>
  <si>
    <t>附加值汇总表（未税）</t>
    <phoneticPr fontId="38" type="noConversion"/>
  </si>
  <si>
    <t>报价（不含海外）</t>
    <phoneticPr fontId="38" type="noConversion"/>
  </si>
  <si>
    <t>不算出口海外所有费用</t>
    <phoneticPr fontId="38" type="noConversion"/>
  </si>
  <si>
    <t>财务费用按河北综合考虑。</t>
    <phoneticPr fontId="38" type="noConversion"/>
  </si>
  <si>
    <t>所得税15%</t>
    <phoneticPr fontId="38" type="noConversion"/>
  </si>
  <si>
    <t>合 计</t>
    <phoneticPr fontId="38" type="noConversion"/>
  </si>
  <si>
    <t>收   入</t>
    <phoneticPr fontId="38" type="noConversion"/>
  </si>
  <si>
    <t>年   降</t>
    <phoneticPr fontId="38" type="noConversion"/>
  </si>
  <si>
    <t>项   目</t>
    <phoneticPr fontId="38" type="noConversion"/>
  </si>
  <si>
    <t>单位：未税、元</t>
    <phoneticPr fontId="38" type="noConversion"/>
  </si>
  <si>
    <t>销   量</t>
    <phoneticPr fontId="38" type="noConversion"/>
  </si>
  <si>
    <t>安路普</t>
  </si>
  <si>
    <t>承兑</t>
  </si>
  <si>
    <t>纸箱汽运</t>
  </si>
  <si>
    <t>现有模式</t>
  </si>
  <si>
    <t>无</t>
  </si>
  <si>
    <t>分摊</t>
  </si>
  <si>
    <t>全车系车型</t>
  </si>
  <si>
    <t>18月</t>
  </si>
  <si>
    <t>材料成本年降汇总表</t>
    <phoneticPr fontId="38" type="noConversion"/>
  </si>
  <si>
    <t xml:space="preserve">2025年  </t>
    <phoneticPr fontId="38" type="noConversion"/>
  </si>
  <si>
    <t>中国重汽集团</t>
    <phoneticPr fontId="38" type="noConversion"/>
  </si>
  <si>
    <t>安路普工厂平均值</t>
    <phoneticPr fontId="38" type="noConversion"/>
  </si>
  <si>
    <r>
      <t>2025</t>
    </r>
    <r>
      <rPr>
        <b/>
        <sz val="10"/>
        <rFont val="宋体"/>
        <family val="3"/>
        <charset val="134"/>
      </rPr>
      <t>年</t>
    </r>
    <phoneticPr fontId="38" type="noConversion"/>
  </si>
  <si>
    <r>
      <t>2026年</t>
    </r>
    <r>
      <rPr>
        <b/>
        <sz val="10"/>
        <rFont val="宋体"/>
        <family val="3"/>
        <charset val="134"/>
      </rPr>
      <t/>
    </r>
  </si>
  <si>
    <t>新增开发费用无。</t>
    <phoneticPr fontId="38" type="noConversion"/>
  </si>
  <si>
    <t>变动费用参考安路普工厂2024年实际暂估。</t>
    <phoneticPr fontId="38" type="noConversion"/>
  </si>
  <si>
    <t>含研发</t>
    <phoneticPr fontId="38" type="noConversion"/>
  </si>
  <si>
    <t>安路普占收入比率</t>
    <phoneticPr fontId="38" type="noConversion"/>
  </si>
  <si>
    <t>安路普单件金额</t>
    <phoneticPr fontId="38" type="noConversion"/>
  </si>
  <si>
    <t>河北</t>
    <phoneticPr fontId="38" type="noConversion"/>
  </si>
  <si>
    <t>AZ160051000335</t>
  </si>
  <si>
    <t>速降阀</t>
  </si>
  <si>
    <t>需要匹配数据</t>
  </si>
  <si>
    <t>济南重汽速降阀项目</t>
    <phoneticPr fontId="38" type="noConversion"/>
  </si>
  <si>
    <t>供应商年降：   2%</t>
    <phoneticPr fontId="38" type="noConversion"/>
  </si>
  <si>
    <t xml:space="preserve">项目研发费用预算表 </t>
    <phoneticPr fontId="38" type="noConversion"/>
  </si>
  <si>
    <t>济南</t>
  </si>
  <si>
    <t>济南重汽速降阀项目投资收益分析</t>
    <phoneticPr fontId="38" type="noConversion"/>
  </si>
  <si>
    <t>销售价格（未税）：由营销部门提供，安路普制造，包括年降2%。</t>
    <phoneticPr fontId="38" type="noConversion"/>
  </si>
  <si>
    <t>单件分摊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</si>
</sst>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color rgb="FFFF0000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rgb="FF000000"/>
      <name val="Arial"/>
      <family val="2"/>
    </font>
    <font>
      <sz val="11"/>
      <color rgb="FF0D0D0D"/>
      <name val="Arial"/>
      <family val="2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i/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color rgb="FFFF0000"/>
      <name val="微软雅黑"/>
      <family val="2"/>
      <charset val="134"/>
    </font>
    <font>
      <b/>
      <sz val="11"/>
      <color rgb="FFFF0000"/>
      <name val="宋体"/>
      <family val="3"/>
      <charset val="134"/>
      <scheme val="minor"/>
    </font>
    <font>
      <b/>
      <sz val="10"/>
      <color rgb="FFFF0000"/>
      <name val="Arial"/>
      <family val="2"/>
    </font>
    <font>
      <sz val="9"/>
      <color theme="1"/>
      <name val="Helvetica"/>
      <family val="2"/>
    </font>
    <font>
      <sz val="9"/>
      <color theme="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12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  <xf numFmtId="0" fontId="29" fillId="0" borderId="0"/>
  </cellStyleXfs>
  <cellXfs count="33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43" fontId="0" fillId="0" borderId="0" xfId="1" applyFont="1" applyFill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0" fontId="27" fillId="0" borderId="0" xfId="0" applyFont="1" applyFill="1">
      <alignment vertical="center"/>
    </xf>
    <xf numFmtId="0" fontId="19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1" fillId="0" borderId="0" xfId="0" applyFont="1" applyBorder="1" applyAlignment="1">
      <alignment vertical="center" wrapText="1"/>
    </xf>
    <xf numFmtId="0" fontId="41" fillId="0" borderId="0" xfId="0" applyFont="1" applyBorder="1">
      <alignment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3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 wrapText="1"/>
    </xf>
    <xf numFmtId="10" fontId="0" fillId="0" borderId="1" xfId="1" applyNumberFormat="1" applyFont="1" applyFill="1" applyBorder="1">
      <alignment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5" fillId="3" borderId="3" xfId="1" applyNumberFormat="1" applyFont="1" applyFill="1" applyBorder="1" applyAlignment="1">
      <alignment horizontal="center" vertical="center" wrapText="1" readingOrder="1"/>
    </xf>
    <xf numFmtId="178" fontId="5" fillId="3" borderId="3" xfId="0" applyNumberFormat="1" applyFont="1" applyFill="1" applyBorder="1" applyAlignment="1">
      <alignment horizontal="center" wrapText="1" readingOrder="1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1" xfId="0" applyNumberForma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48" fillId="0" borderId="1" xfId="0" applyNumberFormat="1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2" fontId="2" fillId="0" borderId="1" xfId="0" applyNumberFormat="1" applyFont="1" applyBorder="1">
      <alignment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27" fillId="0" borderId="0" xfId="1" applyFont="1" applyFill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1" xfId="1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23" fillId="3" borderId="1" xfId="1" applyFont="1" applyFill="1" applyBorder="1" applyAlignment="1" applyProtection="1">
      <alignment vertical="center" wrapText="1"/>
      <protection locked="0"/>
    </xf>
    <xf numFmtId="0" fontId="52" fillId="0" borderId="1" xfId="0" applyFont="1" applyFill="1" applyBorder="1" applyAlignment="1">
      <alignment horizontal="center" vertical="center" wrapText="1" readingOrder="1"/>
    </xf>
    <xf numFmtId="0" fontId="41" fillId="9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5" fillId="9" borderId="0" xfId="0" applyFont="1" applyFill="1">
      <alignment vertical="center"/>
    </xf>
    <xf numFmtId="0" fontId="52" fillId="0" borderId="1" xfId="0" applyFont="1" applyBorder="1" applyAlignment="1">
      <alignment horizontal="left" vertical="center" wrapText="1" readingOrder="1"/>
    </xf>
    <xf numFmtId="0" fontId="52" fillId="0" borderId="1" xfId="0" applyFont="1" applyFill="1" applyBorder="1" applyAlignment="1">
      <alignment horizontal="left" vertical="center" wrapText="1" readingOrder="1"/>
    </xf>
    <xf numFmtId="43" fontId="2" fillId="0" borderId="1" xfId="1" applyFont="1" applyBorder="1">
      <alignment vertical="center"/>
    </xf>
    <xf numFmtId="43" fontId="27" fillId="0" borderId="1" xfId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15" fillId="0" borderId="4" xfId="11" applyFont="1" applyFill="1" applyBorder="1" applyAlignment="1">
      <alignment horizontal="center" vertical="center" wrapText="1"/>
    </xf>
    <xf numFmtId="0" fontId="16" fillId="0" borderId="4" xfId="1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16" fillId="0" borderId="5" xfId="0" applyFont="1" applyFill="1" applyBorder="1">
      <alignment vertical="center"/>
    </xf>
    <xf numFmtId="0" fontId="16" fillId="0" borderId="0" xfId="0" applyFont="1" applyFill="1" applyBorder="1">
      <alignment vertical="center"/>
    </xf>
    <xf numFmtId="10" fontId="16" fillId="0" borderId="0" xfId="3" applyNumberFormat="1" applyFont="1" applyFill="1" applyBorder="1">
      <alignment vertical="center"/>
    </xf>
    <xf numFmtId="43" fontId="16" fillId="0" borderId="0" xfId="1" applyFont="1" applyFill="1" applyBorder="1">
      <alignment vertical="center"/>
    </xf>
    <xf numFmtId="10" fontId="16" fillId="0" borderId="1" xfId="3" applyNumberFormat="1" applyFont="1" applyFill="1" applyBorder="1" applyAlignment="1">
      <alignment horizontal="right" vertical="center"/>
    </xf>
    <xf numFmtId="0" fontId="14" fillId="0" borderId="1" xfId="1" applyNumberFormat="1" applyFont="1" applyFill="1" applyBorder="1">
      <alignment vertical="center"/>
    </xf>
    <xf numFmtId="0" fontId="42" fillId="0" borderId="13" xfId="0" applyFont="1" applyFill="1" applyBorder="1" applyAlignment="1">
      <alignment horizontal="center" vertical="center" wrapText="1"/>
    </xf>
    <xf numFmtId="0" fontId="27" fillId="0" borderId="4" xfId="0" applyNumberFormat="1" applyFont="1" applyBorder="1" applyAlignment="1">
      <alignment horizontal="center" vertical="center" wrapText="1"/>
    </xf>
    <xf numFmtId="43" fontId="42" fillId="0" borderId="1" xfId="1" applyFont="1" applyFill="1" applyBorder="1" applyAlignment="1">
      <alignment horizontal="center" vertical="center" wrapText="1"/>
    </xf>
    <xf numFmtId="0" fontId="27" fillId="3" borderId="1" xfId="0" applyFont="1" applyFill="1" applyBorder="1">
      <alignment vertical="center"/>
    </xf>
    <xf numFmtId="43" fontId="53" fillId="0" borderId="0" xfId="1" applyFont="1">
      <alignment vertical="center"/>
    </xf>
    <xf numFmtId="31" fontId="54" fillId="0" borderId="0" xfId="0" applyNumberFormat="1" applyFont="1">
      <alignment vertical="center"/>
    </xf>
    <xf numFmtId="0" fontId="53" fillId="0" borderId="0" xfId="0" applyFont="1" applyBorder="1" applyAlignment="1">
      <alignment horizontal="center" vertical="center"/>
    </xf>
    <xf numFmtId="10" fontId="0" fillId="0" borderId="0" xfId="0" applyNumberFormat="1" applyFill="1">
      <alignment vertical="center"/>
    </xf>
    <xf numFmtId="10" fontId="1" fillId="0" borderId="0" xfId="3" applyNumberFormat="1" applyFont="1" applyFill="1">
      <alignment vertical="center"/>
    </xf>
    <xf numFmtId="10" fontId="0" fillId="0" borderId="0" xfId="3" applyNumberFormat="1" applyFont="1" applyFill="1">
      <alignment vertical="center"/>
    </xf>
    <xf numFmtId="10" fontId="19" fillId="0" borderId="0" xfId="3" applyNumberFormat="1" applyFont="1" applyFill="1">
      <alignment vertical="center"/>
    </xf>
    <xf numFmtId="10" fontId="53" fillId="0" borderId="0" xfId="3" applyNumberFormat="1" applyFont="1" applyFill="1">
      <alignment vertical="center"/>
    </xf>
    <xf numFmtId="43" fontId="0" fillId="7" borderId="0" xfId="1" applyFont="1" applyFill="1" applyAlignment="1">
      <alignment horizontal="center" vertical="center"/>
    </xf>
    <xf numFmtId="10" fontId="49" fillId="0" borderId="0" xfId="3" applyNumberFormat="1" applyFont="1" applyFill="1">
      <alignment vertical="center"/>
    </xf>
    <xf numFmtId="43" fontId="27" fillId="7" borderId="1" xfId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178" fontId="16" fillId="0" borderId="0" xfId="3" applyNumberFormat="1" applyFont="1" applyFill="1" applyBorder="1">
      <alignment vertical="center"/>
    </xf>
    <xf numFmtId="10" fontId="50" fillId="0" borderId="1" xfId="3" applyNumberFormat="1" applyFont="1" applyFill="1" applyBorder="1" applyAlignment="1">
      <alignment horizontal="center" vertical="center"/>
    </xf>
    <xf numFmtId="43" fontId="50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1" fillId="0" borderId="8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43" fontId="23" fillId="0" borderId="1" xfId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center"/>
    </xf>
    <xf numFmtId="43" fontId="27" fillId="0" borderId="1" xfId="1" applyFont="1" applyFill="1" applyBorder="1" applyAlignment="1">
      <alignment horizontal="center" vertical="center"/>
    </xf>
    <xf numFmtId="10" fontId="0" fillId="7" borderId="1" xfId="1" applyNumberFormat="1" applyFont="1" applyFill="1" applyBorder="1">
      <alignment vertical="center"/>
    </xf>
    <xf numFmtId="10" fontId="50" fillId="7" borderId="1" xfId="3" applyNumberFormat="1" applyFont="1" applyFill="1" applyBorder="1" applyAlignment="1">
      <alignment horizontal="center" vertical="center"/>
    </xf>
    <xf numFmtId="0" fontId="55" fillId="3" borderId="16" xfId="0" applyFont="1" applyFill="1" applyBorder="1" applyAlignment="1">
      <alignment horizontal="center" vertical="center"/>
    </xf>
    <xf numFmtId="0" fontId="56" fillId="3" borderId="16" xfId="0" applyFont="1" applyFill="1" applyBorder="1" applyAlignment="1">
      <alignment horizontal="center" vertical="center"/>
    </xf>
    <xf numFmtId="0" fontId="18" fillId="10" borderId="1" xfId="0" applyFont="1" applyFill="1" applyBorder="1">
      <alignment vertical="center"/>
    </xf>
    <xf numFmtId="178" fontId="15" fillId="10" borderId="1" xfId="1" applyNumberFormat="1" applyFont="1" applyFill="1" applyBorder="1" applyAlignment="1">
      <alignment horizontal="center" vertical="center"/>
    </xf>
    <xf numFmtId="178" fontId="16" fillId="10" borderId="1" xfId="1" applyNumberFormat="1" applyFont="1" applyFill="1" applyBorder="1" applyAlignment="1">
      <alignment horizontal="center" vertical="center"/>
    </xf>
    <xf numFmtId="0" fontId="23" fillId="10" borderId="1" xfId="0" applyFont="1" applyFill="1" applyBorder="1">
      <alignment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</cellXfs>
  <cellStyles count="12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" xfId="11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2" sqref="C1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25" customFormat="1" ht="35.25" customHeight="1">
      <c r="A2" s="126" t="s">
        <v>0</v>
      </c>
      <c r="B2" s="126" t="s">
        <v>1</v>
      </c>
      <c r="C2" s="126" t="s">
        <v>2</v>
      </c>
      <c r="D2" s="127"/>
    </row>
    <row r="3" spans="1:4" s="125" customFormat="1" ht="33.75" customHeight="1">
      <c r="A3" s="128">
        <v>1</v>
      </c>
      <c r="B3" s="128" t="s">
        <v>3</v>
      </c>
      <c r="C3" s="129" t="s">
        <v>4</v>
      </c>
      <c r="D3" s="127"/>
    </row>
    <row r="4" spans="1:4" s="125" customFormat="1" ht="33.75" customHeight="1">
      <c r="A4" s="128">
        <v>2</v>
      </c>
      <c r="B4" s="128" t="s">
        <v>5</v>
      </c>
      <c r="C4" s="211" t="s">
        <v>309</v>
      </c>
    </row>
    <row r="5" spans="1:4" s="125" customFormat="1" ht="33.75" customHeight="1">
      <c r="A5" s="128">
        <v>3</v>
      </c>
      <c r="B5" s="265" t="s">
        <v>6</v>
      </c>
      <c r="C5" s="212" t="s">
        <v>255</v>
      </c>
    </row>
    <row r="6" spans="1:4" s="125" customFormat="1" ht="33.75" customHeight="1">
      <c r="A6" s="128">
        <v>4</v>
      </c>
      <c r="B6" s="266"/>
      <c r="C6" s="129" t="s">
        <v>7</v>
      </c>
    </row>
    <row r="7" spans="1:4" s="125" customFormat="1" ht="33.75" customHeight="1">
      <c r="A7" s="128">
        <v>5</v>
      </c>
      <c r="B7" s="131" t="s">
        <v>8</v>
      </c>
      <c r="C7" s="129" t="s">
        <v>296</v>
      </c>
    </row>
    <row r="8" spans="1:4" s="125" customFormat="1" ht="33.75" customHeight="1">
      <c r="A8" s="128">
        <v>6</v>
      </c>
      <c r="B8" s="265" t="s">
        <v>9</v>
      </c>
      <c r="C8" s="129" t="s">
        <v>10</v>
      </c>
    </row>
    <row r="9" spans="1:4" s="125" customFormat="1" ht="33.75" customHeight="1">
      <c r="A9" s="128">
        <v>7</v>
      </c>
      <c r="B9" s="266"/>
      <c r="C9" s="129" t="s">
        <v>295</v>
      </c>
    </row>
    <row r="10" spans="1:4" s="125" customFormat="1" ht="33.75" customHeight="1">
      <c r="A10" s="128">
        <v>8</v>
      </c>
      <c r="B10" s="266"/>
      <c r="C10" s="130" t="s">
        <v>273</v>
      </c>
    </row>
    <row r="11" spans="1:4" s="125" customFormat="1" ht="33.75" customHeight="1">
      <c r="A11" s="128">
        <v>9</v>
      </c>
      <c r="B11" s="266"/>
      <c r="C11" s="211" t="s">
        <v>11</v>
      </c>
    </row>
    <row r="12" spans="1:4" s="125" customFormat="1" ht="33.75" customHeight="1">
      <c r="A12" s="128">
        <v>10</v>
      </c>
      <c r="B12" s="131" t="s">
        <v>12</v>
      </c>
      <c r="C12" s="129" t="s">
        <v>13</v>
      </c>
    </row>
    <row r="13" spans="1:4" ht="33.75" customHeight="1"/>
    <row r="14" spans="1:4" ht="33.75" customHeight="1"/>
    <row r="15" spans="1:4" ht="33.75" customHeight="1">
      <c r="C15" s="132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selection activeCell="F43" sqref="F43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1" t="s">
        <v>137</v>
      </c>
      <c r="B1" s="271"/>
      <c r="C1" s="275" t="s">
        <v>266</v>
      </c>
      <c r="D1" s="276"/>
      <c r="E1" s="276"/>
      <c r="F1" s="276"/>
      <c r="G1" s="276"/>
      <c r="H1" s="276"/>
      <c r="I1" s="277"/>
    </row>
    <row r="2" spans="1:38">
      <c r="A2" s="271" t="s">
        <v>138</v>
      </c>
      <c r="B2" s="271"/>
      <c r="C2" s="278" t="str">
        <f>'2025年'!C2:I2</f>
        <v>中国重汽集团</v>
      </c>
      <c r="D2" s="278"/>
      <c r="E2" s="278"/>
      <c r="F2" s="278"/>
      <c r="G2" s="278"/>
      <c r="H2" s="278"/>
      <c r="I2" s="278"/>
    </row>
    <row r="3" spans="1:38">
      <c r="A3" s="271" t="s">
        <v>139</v>
      </c>
      <c r="B3" s="271"/>
      <c r="C3" s="144" t="str">
        <f>'2025年'!C3</f>
        <v>AZ160051000335</v>
      </c>
      <c r="D3" s="175">
        <f>'2025年'!D3</f>
        <v>0</v>
      </c>
      <c r="E3" s="175">
        <f>'2025年'!E3</f>
        <v>0</v>
      </c>
      <c r="F3" s="175">
        <f>'2025年'!F3</f>
        <v>0</v>
      </c>
      <c r="G3" s="175">
        <f>'2025年'!G3</f>
        <v>0</v>
      </c>
      <c r="H3" s="175">
        <f>'2025年'!H3</f>
        <v>0</v>
      </c>
      <c r="I3" s="272" t="s">
        <v>15</v>
      </c>
    </row>
    <row r="4" spans="1:38">
      <c r="A4" s="271" t="s">
        <v>140</v>
      </c>
      <c r="B4" s="271"/>
      <c r="C4" s="144" t="str">
        <f>'2025年'!C4</f>
        <v>速降阀</v>
      </c>
      <c r="D4" s="144">
        <f>'2025年'!D4</f>
        <v>0</v>
      </c>
      <c r="E4" s="144">
        <f>'2025年'!E4</f>
        <v>0</v>
      </c>
      <c r="F4" s="144">
        <f>'2025年'!F4</f>
        <v>0</v>
      </c>
      <c r="G4" s="144">
        <f>'2025年'!G4</f>
        <v>0</v>
      </c>
      <c r="H4" s="144">
        <f>'2025年'!H4</f>
        <v>0</v>
      </c>
      <c r="I4" s="273"/>
    </row>
    <row r="5" spans="1:38">
      <c r="A5" s="271" t="s">
        <v>141</v>
      </c>
      <c r="B5" s="271"/>
      <c r="C5" s="49"/>
      <c r="D5" s="172"/>
      <c r="E5" s="172"/>
      <c r="F5" s="172"/>
      <c r="G5" s="172"/>
      <c r="H5" s="172"/>
      <c r="I5" s="274"/>
      <c r="AL5" s="46" t="s">
        <v>16</v>
      </c>
    </row>
    <row r="6" spans="1:38" ht="17.25">
      <c r="A6" s="50" t="s">
        <v>14</v>
      </c>
      <c r="B6" s="51" t="s">
        <v>142</v>
      </c>
      <c r="C6" s="21">
        <f>销量!C15</f>
        <v>0</v>
      </c>
      <c r="D6" s="21">
        <f>销量!D15</f>
        <v>0</v>
      </c>
      <c r="E6" s="21">
        <f>销量!E15</f>
        <v>0</v>
      </c>
      <c r="F6" s="21">
        <f>销量!F15</f>
        <v>0</v>
      </c>
      <c r="G6" s="21">
        <f>销量!G15</f>
        <v>0</v>
      </c>
      <c r="H6" s="21">
        <f>销量!H15</f>
        <v>0</v>
      </c>
      <c r="I6" s="52">
        <f t="shared" ref="I6:I15" si="0">SUM(C6:H6)</f>
        <v>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71">
        <v>1</v>
      </c>
      <c r="B7" s="51" t="s">
        <v>18</v>
      </c>
      <c r="C7" s="52">
        <f>C6*销量!C8</f>
        <v>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71">
        <v>2</v>
      </c>
      <c r="B8" s="171" t="s">
        <v>20</v>
      </c>
      <c r="C8" s="52">
        <f>C7*(1-销量!$M$10)</f>
        <v>0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0</v>
      </c>
      <c r="J8" s="67"/>
      <c r="T8" s="171" t="s">
        <v>22</v>
      </c>
      <c r="AJ8" s="50" t="s">
        <v>21</v>
      </c>
      <c r="AK8" s="171" t="s">
        <v>22</v>
      </c>
      <c r="AL8" s="46" t="s">
        <v>17</v>
      </c>
    </row>
    <row r="9" spans="1:38">
      <c r="A9" s="171">
        <v>3</v>
      </c>
      <c r="B9" s="51" t="s">
        <v>23</v>
      </c>
      <c r="C9" s="52">
        <f>+C7-C8</f>
        <v>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71">
        <v>4</v>
      </c>
      <c r="B10" s="50" t="s">
        <v>26</v>
      </c>
      <c r="C10" s="52">
        <f>C6*C33</f>
        <v>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71">
        <v>5</v>
      </c>
      <c r="B11" s="50" t="s">
        <v>29</v>
      </c>
      <c r="C11" s="52">
        <f>+C6*C36</f>
        <v>0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0</v>
      </c>
      <c r="T11" s="50" t="s">
        <v>29</v>
      </c>
      <c r="AJ11" s="50" t="s">
        <v>30</v>
      </c>
      <c r="AK11" s="50" t="s">
        <v>29</v>
      </c>
    </row>
    <row r="12" spans="1:38">
      <c r="A12" s="171">
        <v>6</v>
      </c>
      <c r="B12" s="50" t="s">
        <v>31</v>
      </c>
      <c r="C12" s="52">
        <f>+C6*C37</f>
        <v>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0</v>
      </c>
      <c r="T12" s="50" t="s">
        <v>31</v>
      </c>
      <c r="AJ12" s="50" t="s">
        <v>32</v>
      </c>
      <c r="AK12" s="50" t="s">
        <v>31</v>
      </c>
    </row>
    <row r="13" spans="1:38">
      <c r="A13" s="171">
        <v>7</v>
      </c>
      <c r="B13" s="50" t="s">
        <v>33</v>
      </c>
      <c r="C13" s="52">
        <f>+C6*C38</f>
        <v>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71">
        <v>8</v>
      </c>
      <c r="B14" s="53" t="s">
        <v>35</v>
      </c>
      <c r="C14" s="52">
        <f>SUM(C11:C13)</f>
        <v>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0</v>
      </c>
      <c r="T14" s="53" t="s">
        <v>35</v>
      </c>
      <c r="AJ14" s="50" t="s">
        <v>36</v>
      </c>
      <c r="AK14" s="53" t="s">
        <v>35</v>
      </c>
    </row>
    <row r="15" spans="1:38">
      <c r="A15" s="171">
        <v>9</v>
      </c>
      <c r="B15" s="53" t="s">
        <v>37</v>
      </c>
      <c r="C15" s="52">
        <f>+C9-C10-C14</f>
        <v>0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0</v>
      </c>
      <c r="T15" s="53" t="s">
        <v>37</v>
      </c>
      <c r="AJ15" s="50" t="s">
        <v>38</v>
      </c>
      <c r="AK15" s="53" t="s">
        <v>37</v>
      </c>
    </row>
    <row r="16" spans="1:38">
      <c r="A16" s="171">
        <v>10</v>
      </c>
      <c r="B16" s="50" t="s">
        <v>39</v>
      </c>
      <c r="C16" s="54" t="e">
        <f>+C15/C9</f>
        <v>#DIV/0!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 t="e">
        <f t="shared" ref="I16" si="9">+I15/I9</f>
        <v>#DIV/0!</v>
      </c>
      <c r="T16" s="50" t="s">
        <v>39</v>
      </c>
      <c r="AJ16" s="50" t="s">
        <v>40</v>
      </c>
      <c r="AK16" s="50" t="s">
        <v>39</v>
      </c>
    </row>
    <row r="17" spans="1:38">
      <c r="A17" s="171">
        <v>11</v>
      </c>
      <c r="B17" s="50" t="s">
        <v>41</v>
      </c>
      <c r="C17" s="52" t="e">
        <f>C6*C43+C18</f>
        <v>#DIV/0!</v>
      </c>
      <c r="D17" s="52" t="e">
        <f t="shared" ref="D17:H17" si="10">D6*D43+D18</f>
        <v>#DIV/0!</v>
      </c>
      <c r="E17" s="52" t="e">
        <f t="shared" si="10"/>
        <v>#DIV/0!</v>
      </c>
      <c r="F17" s="52" t="e">
        <f t="shared" si="10"/>
        <v>#DIV/0!</v>
      </c>
      <c r="G17" s="52" t="e">
        <f t="shared" si="10"/>
        <v>#DIV/0!</v>
      </c>
      <c r="H17" s="52" t="e">
        <f t="shared" si="10"/>
        <v>#DIV/0!</v>
      </c>
      <c r="I17" s="52" t="e">
        <f>SUM(C17:H17)</f>
        <v>#DIV/0!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71">
        <v>12</v>
      </c>
      <c r="B18" s="55" t="s">
        <v>143</v>
      </c>
      <c r="C18" s="229" t="e">
        <f>$I$18/$I$9*C9</f>
        <v>#DIV/0!</v>
      </c>
      <c r="D18" s="229" t="e">
        <f t="shared" ref="D18:H18" si="11">$I$18/$I$9*D9</f>
        <v>#DIV/0!</v>
      </c>
      <c r="E18" s="229" t="e">
        <f t="shared" si="11"/>
        <v>#DIV/0!</v>
      </c>
      <c r="F18" s="229" t="e">
        <f t="shared" si="11"/>
        <v>#DIV/0!</v>
      </c>
      <c r="G18" s="229" t="e">
        <f t="shared" si="11"/>
        <v>#DIV/0!</v>
      </c>
      <c r="H18" s="229" t="e">
        <f t="shared" si="11"/>
        <v>#DIV/0!</v>
      </c>
      <c r="I18" s="56">
        <f>项目投资!J26</f>
        <v>0</v>
      </c>
      <c r="J18" s="68" t="s">
        <v>144</v>
      </c>
      <c r="K18" s="68"/>
      <c r="L18" s="68"/>
    </row>
    <row r="19" spans="1:38">
      <c r="A19" s="171">
        <v>13</v>
      </c>
      <c r="B19" s="50" t="s">
        <v>43</v>
      </c>
      <c r="C19" s="52">
        <f>C6*C44</f>
        <v>0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71">
        <v>14</v>
      </c>
      <c r="B20" s="50" t="s">
        <v>45</v>
      </c>
      <c r="C20" s="52">
        <f>C6*C45</f>
        <v>0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0</v>
      </c>
      <c r="T20" s="50" t="s">
        <v>45</v>
      </c>
      <c r="AJ20" s="50" t="s">
        <v>46</v>
      </c>
      <c r="AK20" s="50" t="s">
        <v>45</v>
      </c>
    </row>
    <row r="21" spans="1:38">
      <c r="A21" s="171">
        <v>15</v>
      </c>
      <c r="B21" s="50" t="s">
        <v>47</v>
      </c>
      <c r="C21" s="57" t="e">
        <f t="shared" ref="C21:H21" si="14">$I$21/$I$6*C6</f>
        <v>#DIV/0!</v>
      </c>
      <c r="D21" s="57" t="e">
        <f t="shared" si="14"/>
        <v>#DIV/0!</v>
      </c>
      <c r="E21" s="57" t="e">
        <f t="shared" si="14"/>
        <v>#DIV/0!</v>
      </c>
      <c r="F21" s="57" t="e">
        <f t="shared" si="14"/>
        <v>#DIV/0!</v>
      </c>
      <c r="G21" s="57" t="e">
        <f t="shared" si="14"/>
        <v>#DIV/0!</v>
      </c>
      <c r="H21" s="57" t="e">
        <f t="shared" si="14"/>
        <v>#DIV/0!</v>
      </c>
      <c r="I21" s="52">
        <f>项目投资!D27</f>
        <v>14333.333333333334</v>
      </c>
      <c r="T21" s="50" t="s">
        <v>47</v>
      </c>
      <c r="AJ21" s="50"/>
      <c r="AK21" s="50"/>
    </row>
    <row r="22" spans="1:38">
      <c r="A22" s="171">
        <v>16</v>
      </c>
      <c r="B22" s="50" t="s">
        <v>48</v>
      </c>
      <c r="C22" s="52">
        <f>C6*C47</f>
        <v>0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0</v>
      </c>
      <c r="T22" s="50" t="s">
        <v>48</v>
      </c>
      <c r="AJ22" s="50" t="s">
        <v>49</v>
      </c>
      <c r="AK22" s="50" t="s">
        <v>48</v>
      </c>
    </row>
    <row r="23" spans="1:38">
      <c r="A23" s="171">
        <v>17</v>
      </c>
      <c r="B23" s="53" t="s">
        <v>50</v>
      </c>
      <c r="C23" s="57" t="e">
        <f>+C22+C21+C20+C19+C17</f>
        <v>#DIV/0!</v>
      </c>
      <c r="D23" s="57" t="e">
        <f t="shared" ref="D23:H23" si="16">+D22+D21+D20+D19+D17</f>
        <v>#DIV/0!</v>
      </c>
      <c r="E23" s="57" t="e">
        <f t="shared" si="16"/>
        <v>#DIV/0!</v>
      </c>
      <c r="F23" s="57" t="e">
        <f t="shared" si="16"/>
        <v>#DIV/0!</v>
      </c>
      <c r="G23" s="57" t="e">
        <f t="shared" si="16"/>
        <v>#DIV/0!</v>
      </c>
      <c r="H23" s="57" t="e">
        <f t="shared" si="16"/>
        <v>#DIV/0!</v>
      </c>
      <c r="I23" s="57" t="e">
        <f t="shared" ref="I23" si="17">+I22+I21+I20+I19+I17</f>
        <v>#DIV/0!</v>
      </c>
      <c r="T23" s="53" t="s">
        <v>50</v>
      </c>
      <c r="AJ23" s="50" t="s">
        <v>51</v>
      </c>
      <c r="AK23" s="53" t="s">
        <v>50</v>
      </c>
    </row>
    <row r="24" spans="1:38">
      <c r="A24" s="171">
        <v>18</v>
      </c>
      <c r="B24" s="58" t="s">
        <v>52</v>
      </c>
      <c r="C24" s="57" t="e">
        <f>+C15-C23</f>
        <v>#DIV/0!</v>
      </c>
      <c r="D24" s="57" t="e">
        <f t="shared" ref="D24:H24" si="18">+D15-D23</f>
        <v>#DIV/0!</v>
      </c>
      <c r="E24" s="57" t="e">
        <f t="shared" si="18"/>
        <v>#DIV/0!</v>
      </c>
      <c r="F24" s="57" t="e">
        <f t="shared" si="18"/>
        <v>#DIV/0!</v>
      </c>
      <c r="G24" s="57" t="e">
        <f t="shared" si="18"/>
        <v>#DIV/0!</v>
      </c>
      <c r="H24" s="57" t="e">
        <f t="shared" si="18"/>
        <v>#DIV/0!</v>
      </c>
      <c r="I24" s="57" t="e">
        <f t="shared" ref="I24" si="19">+I15-I23</f>
        <v>#DIV/0!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71">
        <v>19</v>
      </c>
      <c r="B25" s="50" t="s">
        <v>227</v>
      </c>
      <c r="C25" s="57" t="e">
        <f>IF(C24&lt;0,0,C24*0.15)</f>
        <v>#DIV/0!</v>
      </c>
      <c r="D25" s="57" t="e">
        <f t="shared" ref="D25:H25" si="20">IF(D24&lt;0,0,D24*0.15)</f>
        <v>#DIV/0!</v>
      </c>
      <c r="E25" s="57" t="e">
        <f t="shared" si="20"/>
        <v>#DIV/0!</v>
      </c>
      <c r="F25" s="57" t="e">
        <f t="shared" si="20"/>
        <v>#DIV/0!</v>
      </c>
      <c r="G25" s="57" t="e">
        <f t="shared" si="20"/>
        <v>#DIV/0!</v>
      </c>
      <c r="H25" s="57" t="e">
        <f t="shared" si="20"/>
        <v>#DIV/0!</v>
      </c>
      <c r="I25" s="57" t="e">
        <f>IF(I24&lt;0,0,I24*0.15)</f>
        <v>#DIV/0!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71">
        <v>20</v>
      </c>
      <c r="B26" s="50" t="s">
        <v>56</v>
      </c>
      <c r="C26" s="57" t="e">
        <f t="shared" ref="C26:H26" si="21">C24-C25</f>
        <v>#DIV/0!</v>
      </c>
      <c r="D26" s="57" t="e">
        <f t="shared" si="21"/>
        <v>#DIV/0!</v>
      </c>
      <c r="E26" s="57" t="e">
        <f t="shared" si="21"/>
        <v>#DIV/0!</v>
      </c>
      <c r="F26" s="57" t="e">
        <f t="shared" si="21"/>
        <v>#DIV/0!</v>
      </c>
      <c r="G26" s="57" t="e">
        <f t="shared" si="21"/>
        <v>#DIV/0!</v>
      </c>
      <c r="H26" s="57" t="e">
        <f t="shared" si="21"/>
        <v>#DIV/0!</v>
      </c>
      <c r="I26" s="52" t="e">
        <f>+SUM(C26:H26)</f>
        <v>#DIV/0!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71">
        <v>21</v>
      </c>
      <c r="B27" s="50" t="s">
        <v>60</v>
      </c>
      <c r="C27" s="59" t="e">
        <f t="shared" ref="C27:I27" si="22">C26/C7</f>
        <v>#DIV/0!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 t="e">
        <f t="shared" si="22"/>
        <v>#DIV/0!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71">
        <v>1</v>
      </c>
      <c r="B31" s="55" t="s">
        <v>65</v>
      </c>
      <c r="C31" s="61">
        <f>销量!C8</f>
        <v>34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71">
        <v>2</v>
      </c>
      <c r="B32" s="50" t="s">
        <v>146</v>
      </c>
      <c r="C32" s="52" t="e">
        <f>C9/C6</f>
        <v>#DIV/0!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71">
        <v>3</v>
      </c>
      <c r="B33" s="55" t="s">
        <v>66</v>
      </c>
      <c r="C33" s="52">
        <f>材料成本!K19</f>
        <v>0</v>
      </c>
      <c r="D33" s="52">
        <f>材料成本!K20</f>
        <v>0</v>
      </c>
      <c r="E33" s="52">
        <f>材料成本!K21</f>
        <v>0</v>
      </c>
      <c r="F33" s="52">
        <f>材料成本!K22</f>
        <v>0</v>
      </c>
      <c r="G33" s="52">
        <f>材料成本!K23</f>
        <v>0</v>
      </c>
      <c r="H33" s="52">
        <f>材料成本!K24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71">
        <v>4</v>
      </c>
      <c r="B34" s="50" t="s">
        <v>68</v>
      </c>
      <c r="C34" s="62" t="e">
        <f>C32-C33</f>
        <v>#DIV/0!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71">
        <v>1</v>
      </c>
      <c r="B36" s="50" t="s">
        <v>71</v>
      </c>
      <c r="C36" s="56">
        <f>'2025年'!C36</f>
        <v>2.6078000000000001</v>
      </c>
      <c r="D36" s="56">
        <f>'2025年'!D36</f>
        <v>0</v>
      </c>
      <c r="E36" s="56">
        <f>'2025年'!E36</f>
        <v>0</v>
      </c>
      <c r="F36" s="56">
        <f>'2025年'!F36</f>
        <v>0</v>
      </c>
      <c r="G36" s="56">
        <f>'2025年'!G36</f>
        <v>0</v>
      </c>
      <c r="H36" s="56">
        <f>'2025年'!H36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71">
        <v>2</v>
      </c>
      <c r="B37" s="50" t="s">
        <v>72</v>
      </c>
      <c r="C37" s="56">
        <f>'2025年'!C37</f>
        <v>0.17</v>
      </c>
      <c r="D37" s="56">
        <f>'2025年'!D37</f>
        <v>0</v>
      </c>
      <c r="E37" s="56">
        <f>'2025年'!E37</f>
        <v>0</v>
      </c>
      <c r="F37" s="56">
        <f>'2025年'!F37</f>
        <v>0</v>
      </c>
      <c r="G37" s="56">
        <f>'2025年'!G37</f>
        <v>0</v>
      </c>
      <c r="H37" s="56">
        <f>'2025年'!H37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71">
        <v>3</v>
      </c>
      <c r="B38" s="50" t="s">
        <v>73</v>
      </c>
      <c r="C38" s="56">
        <f>'2025年'!C38</f>
        <v>3.74</v>
      </c>
      <c r="D38" s="56">
        <f>'2025年'!D38</f>
        <v>0</v>
      </c>
      <c r="E38" s="56">
        <f>'2025年'!E38</f>
        <v>0</v>
      </c>
      <c r="F38" s="56">
        <f>'2025年'!F38</f>
        <v>0</v>
      </c>
      <c r="G38" s="56">
        <f>'2025年'!G38</f>
        <v>0</v>
      </c>
      <c r="H38" s="56">
        <f>'2025年'!H38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71">
        <v>1</v>
      </c>
      <c r="B40" s="50" t="s">
        <v>77</v>
      </c>
      <c r="C40" s="57" t="e">
        <f>C34-C36-C37-C38</f>
        <v>#DIV/0!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71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71">
        <v>1</v>
      </c>
      <c r="B43" s="58" t="s">
        <v>81</v>
      </c>
      <c r="C43" s="56">
        <f>'2025年'!C43</f>
        <v>1.6694</v>
      </c>
      <c r="D43" s="56">
        <f>'2025年'!D43</f>
        <v>0</v>
      </c>
      <c r="E43" s="56">
        <f>'2025年'!E43</f>
        <v>0</v>
      </c>
      <c r="F43" s="56">
        <f>'2025年'!F43</f>
        <v>0</v>
      </c>
      <c r="G43" s="56">
        <f>'2025年'!G43</f>
        <v>0</v>
      </c>
      <c r="H43" s="56">
        <f>'2025年'!H43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71">
        <v>2</v>
      </c>
      <c r="B44" s="58" t="s">
        <v>82</v>
      </c>
      <c r="C44" s="56">
        <f>'2025年'!C44</f>
        <v>1.0199999999999999E-2</v>
      </c>
      <c r="D44" s="56">
        <f>'2025年'!D44</f>
        <v>0</v>
      </c>
      <c r="E44" s="56">
        <f>'2025年'!E44</f>
        <v>0</v>
      </c>
      <c r="F44" s="56">
        <f>'2025年'!F44</f>
        <v>0</v>
      </c>
      <c r="G44" s="56">
        <f>'2025年'!G44</f>
        <v>0</v>
      </c>
      <c r="H44" s="56">
        <f>'2025年'!H44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71">
        <v>3</v>
      </c>
      <c r="B45" s="58" t="s">
        <v>83</v>
      </c>
      <c r="C45" s="56">
        <f>'2025年'!C45</f>
        <v>7.3746</v>
      </c>
      <c r="D45" s="56">
        <f>'2025年'!D45</f>
        <v>0</v>
      </c>
      <c r="E45" s="56">
        <f>'2025年'!E45</f>
        <v>0</v>
      </c>
      <c r="F45" s="56">
        <f>'2025年'!F45</f>
        <v>0</v>
      </c>
      <c r="G45" s="56">
        <f>'2025年'!G45</f>
        <v>0</v>
      </c>
      <c r="H45" s="56">
        <f>'2025年'!H45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71">
        <v>4</v>
      </c>
      <c r="B46" s="58" t="s">
        <v>84</v>
      </c>
      <c r="C46" s="63" t="e">
        <f>C21/C6</f>
        <v>#DIV/0!</v>
      </c>
      <c r="D46" s="63" t="e">
        <f t="shared" ref="D46:F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ref="G46:H46" si="28">G21/G6</f>
        <v>#DIV/0!</v>
      </c>
      <c r="H46" s="63" t="e">
        <f t="shared" si="28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71">
        <v>5</v>
      </c>
      <c r="B47" s="58" t="s">
        <v>86</v>
      </c>
      <c r="C47" s="63">
        <f>'2025年'!C47</f>
        <v>0.91800000000000004</v>
      </c>
      <c r="D47" s="63">
        <f>'2025年'!D47</f>
        <v>0</v>
      </c>
      <c r="E47" s="63">
        <f>'2025年'!E47</f>
        <v>0</v>
      </c>
      <c r="F47" s="63">
        <f>'2025年'!F47</f>
        <v>0</v>
      </c>
      <c r="G47" s="63">
        <f>'2025年'!G47</f>
        <v>0</v>
      </c>
      <c r="H47" s="63">
        <f>'2025年'!H47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 t="e">
        <f>C40-C43-C44-C45-C47-C46</f>
        <v>#DIV/0!</v>
      </c>
      <c r="D48" s="57" t="e">
        <f t="shared" ref="D48:F48" si="29">D40-D43-D44-D45-D47-D46</f>
        <v>#DIV/0!</v>
      </c>
      <c r="E48" s="57" t="e">
        <f t="shared" si="29"/>
        <v>#DIV/0!</v>
      </c>
      <c r="F48" s="57" t="e">
        <f t="shared" si="29"/>
        <v>#DIV/0!</v>
      </c>
      <c r="G48" s="57" t="e">
        <f t="shared" ref="G48" si="30">G40-G43-G44-G45-G47-G46</f>
        <v>#DIV/0!</v>
      </c>
      <c r="H48" s="57" t="e">
        <f t="shared" ref="H48" si="31">H40-H43-H44-H45-H47-H46</f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90" zoomScaleNormal="90" workbookViewId="0">
      <pane xSplit="6" ySplit="2" topLeftCell="G3" activePane="bottomRight" state="frozen"/>
      <selection pane="topRight"/>
      <selection pane="bottomLeft"/>
      <selection pane="bottomRight" activeCell="K22" sqref="K22"/>
    </sheetView>
  </sheetViews>
  <sheetFormatPr defaultColWidth="9" defaultRowHeight="13.5"/>
  <cols>
    <col min="1" max="1" width="17.25" customWidth="1"/>
    <col min="2" max="2" width="15.875" style="24" customWidth="1"/>
    <col min="3" max="3" width="9.125" customWidth="1"/>
    <col min="4" max="6" width="14.5" customWidth="1"/>
    <col min="7" max="9" width="15.125" customWidth="1"/>
    <col min="10" max="10" width="15.75" customWidth="1"/>
    <col min="11" max="11" width="14.125" customWidth="1"/>
    <col min="12" max="12" width="10.875" customWidth="1"/>
  </cols>
  <sheetData>
    <row r="1" spans="1:10" ht="20.25">
      <c r="A1" s="282" t="s">
        <v>147</v>
      </c>
      <c r="B1" s="282"/>
      <c r="C1" s="282"/>
      <c r="E1" s="283" t="s">
        <v>306</v>
      </c>
      <c r="F1" s="284"/>
      <c r="G1" s="284"/>
      <c r="H1" s="285"/>
      <c r="I1" s="159"/>
    </row>
    <row r="2" spans="1:10" ht="23.45" customHeight="1">
      <c r="A2" s="25" t="s">
        <v>1</v>
      </c>
      <c r="B2" s="26" t="s">
        <v>148</v>
      </c>
      <c r="C2" s="27" t="s">
        <v>149</v>
      </c>
      <c r="E2" s="1" t="s">
        <v>150</v>
      </c>
      <c r="F2" s="1" t="s">
        <v>1</v>
      </c>
      <c r="G2" s="28" t="s">
        <v>151</v>
      </c>
      <c r="H2" s="1" t="s">
        <v>149</v>
      </c>
      <c r="I2" s="159"/>
    </row>
    <row r="3" spans="1:10" ht="15.75" customHeight="1">
      <c r="A3" s="29" t="s">
        <v>152</v>
      </c>
      <c r="B3" s="30"/>
      <c r="C3" s="31"/>
      <c r="E3" s="290" t="s">
        <v>153</v>
      </c>
      <c r="F3" s="2" t="s">
        <v>154</v>
      </c>
      <c r="G3" s="32"/>
      <c r="H3" s="296"/>
      <c r="I3" s="159"/>
    </row>
    <row r="4" spans="1:10" ht="15.75" customHeight="1">
      <c r="A4" s="29" t="s">
        <v>155</v>
      </c>
      <c r="B4" s="30"/>
      <c r="C4" s="33"/>
      <c r="E4" s="291"/>
      <c r="F4" s="2" t="s">
        <v>156</v>
      </c>
      <c r="G4" s="32"/>
      <c r="H4" s="297"/>
      <c r="I4" s="159"/>
    </row>
    <row r="5" spans="1:10" ht="15.75" customHeight="1">
      <c r="A5" s="29" t="s">
        <v>157</v>
      </c>
      <c r="B5" s="34">
        <f>SUM(G3:G4)</f>
        <v>0</v>
      </c>
      <c r="C5" s="31"/>
      <c r="E5" s="292" t="s">
        <v>158</v>
      </c>
      <c r="F5" s="233" t="s">
        <v>269</v>
      </c>
      <c r="G5" s="152">
        <v>25</v>
      </c>
      <c r="H5" s="297"/>
      <c r="I5" s="159"/>
    </row>
    <row r="6" spans="1:10" ht="15.75" customHeight="1">
      <c r="A6" s="29" t="s">
        <v>159</v>
      </c>
      <c r="B6" s="30"/>
      <c r="C6" s="31"/>
      <c r="E6" s="293"/>
      <c r="F6" s="35" t="s">
        <v>160</v>
      </c>
      <c r="G6" s="152"/>
      <c r="H6" s="297"/>
      <c r="I6" s="159"/>
    </row>
    <row r="7" spans="1:10" ht="15.75" customHeight="1">
      <c r="A7" s="36" t="s">
        <v>161</v>
      </c>
      <c r="B7" s="34">
        <f>SUM(B3:B6)</f>
        <v>0</v>
      </c>
      <c r="C7" s="31"/>
      <c r="E7" s="293"/>
      <c r="F7" s="35" t="s">
        <v>162</v>
      </c>
      <c r="G7" s="152"/>
      <c r="H7" s="297"/>
      <c r="I7" s="159"/>
    </row>
    <row r="8" spans="1:10" ht="15.75" customHeight="1">
      <c r="A8" s="37" t="s">
        <v>163</v>
      </c>
      <c r="B8" s="34">
        <f>SUM(G5:G12)</f>
        <v>27</v>
      </c>
      <c r="C8" s="38"/>
      <c r="E8" s="293"/>
      <c r="F8" s="35" t="s">
        <v>164</v>
      </c>
      <c r="G8" s="152"/>
      <c r="H8" s="297"/>
      <c r="I8" s="159"/>
      <c r="J8">
        <v>10000</v>
      </c>
    </row>
    <row r="9" spans="1:10" ht="15.75" customHeight="1">
      <c r="A9" s="29" t="s">
        <v>165</v>
      </c>
      <c r="B9" s="34">
        <f>SUM(G13:G21)</f>
        <v>4.3</v>
      </c>
      <c r="C9" s="33"/>
      <c r="E9" s="293"/>
      <c r="F9" s="2" t="s">
        <v>166</v>
      </c>
      <c r="G9" s="152">
        <v>1</v>
      </c>
      <c r="H9" s="297"/>
      <c r="I9" s="159"/>
    </row>
    <row r="10" spans="1:10" ht="15.75" customHeight="1">
      <c r="A10" s="33" t="s">
        <v>15</v>
      </c>
      <c r="B10" s="34">
        <f>B7+B8+B9</f>
        <v>31.3</v>
      </c>
      <c r="C10" s="31"/>
      <c r="E10" s="293"/>
      <c r="F10" s="2" t="s">
        <v>167</v>
      </c>
      <c r="G10" s="153">
        <v>1</v>
      </c>
      <c r="H10" s="297"/>
      <c r="I10" s="159"/>
    </row>
    <row r="11" spans="1:10" ht="15.75" customHeight="1">
      <c r="B11" s="234"/>
      <c r="E11" s="293"/>
      <c r="F11" s="2" t="s">
        <v>168</v>
      </c>
      <c r="G11" s="153"/>
      <c r="H11" s="297"/>
      <c r="I11" s="159"/>
    </row>
    <row r="12" spans="1:10" ht="15.75" customHeight="1">
      <c r="E12" s="294"/>
      <c r="F12" s="2" t="s">
        <v>169</v>
      </c>
      <c r="G12" s="145"/>
      <c r="H12" s="298"/>
      <c r="I12" s="159"/>
    </row>
    <row r="13" spans="1:10" ht="15.75" customHeight="1">
      <c r="E13" s="290" t="s">
        <v>47</v>
      </c>
      <c r="F13" s="2" t="s">
        <v>170</v>
      </c>
      <c r="G13" s="152"/>
      <c r="H13" s="296"/>
      <c r="I13" s="159"/>
    </row>
    <row r="14" spans="1:10" ht="15.75" customHeight="1">
      <c r="E14" s="291"/>
      <c r="F14" s="2" t="s">
        <v>171</v>
      </c>
      <c r="G14" s="152">
        <v>1</v>
      </c>
      <c r="H14" s="297"/>
      <c r="I14" s="160"/>
    </row>
    <row r="15" spans="1:10" ht="15.75" customHeight="1">
      <c r="E15" s="291"/>
      <c r="F15" s="2" t="s">
        <v>172</v>
      </c>
      <c r="G15" s="152">
        <v>0.3</v>
      </c>
      <c r="H15" s="297"/>
      <c r="I15" s="160"/>
    </row>
    <row r="16" spans="1:10" ht="15.75" customHeight="1">
      <c r="E16" s="291"/>
      <c r="F16" s="2" t="s">
        <v>173</v>
      </c>
      <c r="G16" s="152"/>
      <c r="H16" s="297"/>
      <c r="I16" s="160"/>
    </row>
    <row r="17" spans="1:12" ht="15.75" customHeight="1">
      <c r="E17" s="291"/>
      <c r="F17" s="2" t="s">
        <v>174</v>
      </c>
      <c r="G17" s="152"/>
      <c r="H17" s="297"/>
      <c r="I17" s="161"/>
    </row>
    <row r="18" spans="1:12" ht="15.75" customHeight="1">
      <c r="E18" s="291"/>
      <c r="F18" s="2" t="s">
        <v>175</v>
      </c>
      <c r="G18" s="152">
        <v>1.5</v>
      </c>
      <c r="H18" s="297"/>
      <c r="I18" s="162"/>
    </row>
    <row r="19" spans="1:12" ht="15.75" customHeight="1">
      <c r="E19" s="291"/>
      <c r="F19" s="2" t="s">
        <v>176</v>
      </c>
      <c r="G19" s="152">
        <v>1</v>
      </c>
      <c r="H19" s="297"/>
      <c r="I19" s="162"/>
    </row>
    <row r="20" spans="1:12" ht="15.75" customHeight="1">
      <c r="E20" s="291"/>
      <c r="F20" s="2" t="s">
        <v>177</v>
      </c>
      <c r="G20" s="152"/>
      <c r="H20" s="297"/>
      <c r="I20" s="160"/>
    </row>
    <row r="21" spans="1:12" ht="15.75" customHeight="1">
      <c r="E21" s="295"/>
      <c r="F21" s="2" t="s">
        <v>125</v>
      </c>
      <c r="G21" s="152">
        <v>0.5</v>
      </c>
      <c r="H21" s="297"/>
      <c r="I21" s="160"/>
    </row>
    <row r="22" spans="1:12" ht="15.75" customHeight="1">
      <c r="E22" s="1" t="s">
        <v>15</v>
      </c>
      <c r="F22" s="2"/>
      <c r="G22" s="28">
        <f>SUM(G3:G21)</f>
        <v>31.3</v>
      </c>
      <c r="H22" s="298"/>
      <c r="I22" s="236" t="s">
        <v>259</v>
      </c>
      <c r="J22" s="336" t="s">
        <v>310</v>
      </c>
    </row>
    <row r="23" spans="1:12" ht="30.75" customHeight="1">
      <c r="E23" s="286" t="s">
        <v>178</v>
      </c>
      <c r="F23" s="286"/>
      <c r="G23" s="286"/>
      <c r="H23" s="286"/>
      <c r="I23" s="235">
        <v>45930</v>
      </c>
      <c r="J23" s="337">
        <f>G22*J8/销量!J16</f>
        <v>4.8006134969325149</v>
      </c>
    </row>
    <row r="25" spans="1:12" ht="17.25">
      <c r="A25" s="18" t="s">
        <v>1</v>
      </c>
      <c r="B25" s="18" t="s">
        <v>148</v>
      </c>
      <c r="C25" s="18" t="s">
        <v>179</v>
      </c>
      <c r="D25" s="158" t="s">
        <v>256</v>
      </c>
      <c r="E25" s="168" t="s">
        <v>224</v>
      </c>
      <c r="F25" s="168" t="s">
        <v>226</v>
      </c>
      <c r="G25" s="168" t="s">
        <v>232</v>
      </c>
      <c r="H25" s="168" t="s">
        <v>231</v>
      </c>
      <c r="I25" s="168" t="s">
        <v>257</v>
      </c>
      <c r="J25" s="168" t="s">
        <v>258</v>
      </c>
      <c r="K25" s="20" t="s">
        <v>15</v>
      </c>
      <c r="L25" s="42" t="s">
        <v>180</v>
      </c>
    </row>
    <row r="26" spans="1:12" ht="16.5">
      <c r="A26" s="39" t="s">
        <v>143</v>
      </c>
      <c r="B26" s="40">
        <f>(B5+B8)*J8</f>
        <v>270000</v>
      </c>
      <c r="C26" s="41">
        <v>0.05</v>
      </c>
      <c r="D26" s="12">
        <f>B26*(1-C26)/3</f>
        <v>85500</v>
      </c>
      <c r="E26" s="12">
        <f>D26</f>
        <v>85500</v>
      </c>
      <c r="F26" s="12">
        <f>E26</f>
        <v>85500</v>
      </c>
      <c r="G26" s="12"/>
      <c r="H26" s="12"/>
      <c r="I26" s="12"/>
      <c r="J26" s="12">
        <f>I26</f>
        <v>0</v>
      </c>
      <c r="K26" s="12">
        <f>SUM(D26:J26)</f>
        <v>256500</v>
      </c>
      <c r="L26" s="12">
        <f>B26*0.05</f>
        <v>13500</v>
      </c>
    </row>
    <row r="27" spans="1:12" ht="16.5">
      <c r="A27" s="39" t="s">
        <v>181</v>
      </c>
      <c r="B27" s="40">
        <f>B9*J8</f>
        <v>43000</v>
      </c>
      <c r="C27" s="12"/>
      <c r="D27" s="12">
        <f>B27/3</f>
        <v>14333.333333333334</v>
      </c>
      <c r="E27" s="12">
        <f t="shared" ref="E27:H27" si="0">D27</f>
        <v>14333.333333333334</v>
      </c>
      <c r="F27" s="12">
        <f t="shared" si="0"/>
        <v>14333.333333333334</v>
      </c>
      <c r="G27" s="12"/>
      <c r="H27" s="12">
        <f t="shared" si="0"/>
        <v>0</v>
      </c>
      <c r="I27" s="12">
        <f>H27</f>
        <v>0</v>
      </c>
      <c r="J27" s="12">
        <f>I27</f>
        <v>0</v>
      </c>
      <c r="K27" s="12">
        <f>SUM(D27:J27)</f>
        <v>43000</v>
      </c>
      <c r="L27" s="12"/>
    </row>
    <row r="28" spans="1:12" ht="16.5">
      <c r="A28" s="287" t="s">
        <v>105</v>
      </c>
      <c r="B28" s="288"/>
      <c r="C28" s="289"/>
      <c r="D28" s="12">
        <f>SUM(D26:D27)</f>
        <v>99833.333333333328</v>
      </c>
      <c r="E28" s="12">
        <f t="shared" ref="E28:J28" si="1">SUM(E26:E27)</f>
        <v>99833.333333333328</v>
      </c>
      <c r="F28" s="12">
        <f t="shared" si="1"/>
        <v>99833.333333333328</v>
      </c>
      <c r="G28" s="12">
        <f t="shared" si="1"/>
        <v>0</v>
      </c>
      <c r="H28" s="12">
        <f t="shared" si="1"/>
        <v>0</v>
      </c>
      <c r="I28" s="12">
        <f t="shared" si="1"/>
        <v>0</v>
      </c>
      <c r="J28" s="12">
        <f t="shared" si="1"/>
        <v>0</v>
      </c>
      <c r="K28" s="43"/>
      <c r="L28" s="43"/>
    </row>
    <row r="41" ht="37.5" customHeight="1"/>
  </sheetData>
  <mergeCells count="9">
    <mergeCell ref="A1:C1"/>
    <mergeCell ref="E1:H1"/>
    <mergeCell ref="E23:H23"/>
    <mergeCell ref="A28:C28"/>
    <mergeCell ref="E3:E4"/>
    <mergeCell ref="E5:E12"/>
    <mergeCell ref="E13:E21"/>
    <mergeCell ref="H3:H12"/>
    <mergeCell ref="H13:H22"/>
  </mergeCells>
  <phoneticPr fontId="38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80" zoomScaleNormal="80" workbookViewId="0">
      <selection activeCell="F26" sqref="F26"/>
    </sheetView>
  </sheetViews>
  <sheetFormatPr defaultColWidth="9" defaultRowHeight="16.5"/>
  <cols>
    <col min="1" max="1" width="14" style="5" customWidth="1"/>
    <col min="2" max="2" width="14.125" style="5" customWidth="1"/>
    <col min="3" max="9" width="18.25" style="5" customWidth="1"/>
    <col min="10" max="10" width="11.625" style="5" customWidth="1"/>
    <col min="11" max="11" width="1.75" style="5" customWidth="1"/>
    <col min="12" max="12" width="9.125" style="5" customWidth="1"/>
    <col min="13" max="16384" width="9" style="5"/>
  </cols>
  <sheetData>
    <row r="1" spans="1:13" ht="29.25" customHeight="1">
      <c r="A1" s="15" t="s">
        <v>182</v>
      </c>
      <c r="E1" s="16"/>
      <c r="F1" s="16"/>
      <c r="G1" s="16"/>
      <c r="H1" s="16"/>
      <c r="I1" s="16"/>
      <c r="J1" s="16"/>
    </row>
    <row r="2" spans="1:13" ht="24" customHeight="1">
      <c r="A2" s="17" t="s">
        <v>183</v>
      </c>
      <c r="E2" s="16"/>
      <c r="F2" s="16"/>
      <c r="G2" s="16"/>
      <c r="H2" s="16"/>
      <c r="I2" s="16"/>
      <c r="J2" s="16"/>
    </row>
    <row r="3" spans="1:13">
      <c r="C3" s="5" t="s">
        <v>184</v>
      </c>
      <c r="D3" s="8"/>
      <c r="E3" s="147">
        <v>0.02</v>
      </c>
    </row>
    <row r="5" spans="1:13" ht="45" customHeight="1">
      <c r="A5" s="300" t="s">
        <v>185</v>
      </c>
      <c r="B5" s="174" t="s">
        <v>139</v>
      </c>
      <c r="C5" s="259" t="s">
        <v>301</v>
      </c>
      <c r="D5" s="230"/>
      <c r="E5" s="230"/>
      <c r="F5" s="202"/>
      <c r="G5" s="202"/>
      <c r="H5" s="202"/>
      <c r="I5" s="14"/>
      <c r="J5" s="299" t="s">
        <v>15</v>
      </c>
    </row>
    <row r="6" spans="1:13" ht="31.5" customHeight="1">
      <c r="A6" s="300"/>
      <c r="B6" s="174" t="s">
        <v>140</v>
      </c>
      <c r="C6" s="260" t="s">
        <v>302</v>
      </c>
      <c r="D6" s="188"/>
      <c r="E6" s="188"/>
      <c r="F6" s="204"/>
      <c r="G6" s="203"/>
      <c r="H6" s="203"/>
      <c r="I6" s="177"/>
      <c r="J6" s="299"/>
      <c r="L6" s="5">
        <v>100</v>
      </c>
    </row>
    <row r="7" spans="1:13" ht="36.6" customHeight="1">
      <c r="A7" s="300"/>
      <c r="B7" s="19" t="s">
        <v>186</v>
      </c>
      <c r="C7" s="254" t="s">
        <v>303</v>
      </c>
      <c r="D7" s="188"/>
      <c r="E7" s="188"/>
      <c r="F7" s="205"/>
      <c r="G7" s="205"/>
      <c r="H7" s="205"/>
      <c r="I7" s="177"/>
      <c r="J7" s="299"/>
      <c r="L7" s="5">
        <f>L6*(1-$E$3)</f>
        <v>98</v>
      </c>
      <c r="M7" s="5">
        <f>L7/$L$6</f>
        <v>0.98</v>
      </c>
    </row>
    <row r="8" spans="1:13" ht="33">
      <c r="A8" s="300"/>
      <c r="B8" s="19" t="s">
        <v>187</v>
      </c>
      <c r="C8" s="188">
        <v>34</v>
      </c>
      <c r="D8" s="232"/>
      <c r="E8" s="232"/>
      <c r="F8" s="206"/>
      <c r="G8" s="206"/>
      <c r="H8" s="206"/>
      <c r="I8" s="178"/>
      <c r="J8" s="301"/>
      <c r="L8" s="5">
        <f>L7*(1-$E$3)</f>
        <v>96.039999999999992</v>
      </c>
      <c r="M8" s="5">
        <f t="shared" ref="M8" si="0">L8/$L$6</f>
        <v>0.96039999999999992</v>
      </c>
    </row>
    <row r="9" spans="1:13" ht="17.25">
      <c r="A9" s="300" t="s">
        <v>188</v>
      </c>
      <c r="B9" s="173" t="s">
        <v>256</v>
      </c>
      <c r="C9" s="207">
        <v>200</v>
      </c>
      <c r="D9" s="207"/>
      <c r="E9" s="207"/>
      <c r="F9" s="207"/>
      <c r="G9" s="207"/>
      <c r="H9" s="207"/>
      <c r="I9" s="182"/>
      <c r="J9" s="179">
        <f>SUM(C9:I9)</f>
        <v>200</v>
      </c>
      <c r="L9" s="5">
        <f t="shared" ref="L9:L11" si="1">L8*(1-$E$3)</f>
        <v>94.119199999999992</v>
      </c>
      <c r="M9" s="5">
        <f t="shared" ref="M9:M11" si="2">L9/$L$6</f>
        <v>0.94119199999999992</v>
      </c>
    </row>
    <row r="10" spans="1:13" ht="17.25">
      <c r="A10" s="300"/>
      <c r="B10" s="249" t="s">
        <v>224</v>
      </c>
      <c r="C10" s="207">
        <v>5000</v>
      </c>
      <c r="D10" s="207"/>
      <c r="E10" s="207"/>
      <c r="F10" s="207"/>
      <c r="G10" s="207"/>
      <c r="H10" s="207"/>
      <c r="I10" s="181"/>
      <c r="J10" s="179">
        <f t="shared" ref="J10:J15" si="3">SUM(C10:I10)</f>
        <v>5000</v>
      </c>
      <c r="L10" s="5">
        <f t="shared" si="1"/>
        <v>92.23681599999999</v>
      </c>
      <c r="M10" s="5">
        <f t="shared" si="2"/>
        <v>0.92236815999999988</v>
      </c>
    </row>
    <row r="11" spans="1:13" ht="17.25">
      <c r="A11" s="300"/>
      <c r="B11" s="249" t="s">
        <v>226</v>
      </c>
      <c r="C11" s="207">
        <v>60000</v>
      </c>
      <c r="D11" s="207"/>
      <c r="E11" s="207"/>
      <c r="F11" s="207"/>
      <c r="G11" s="207"/>
      <c r="H11" s="207"/>
      <c r="I11" s="181"/>
      <c r="J11" s="179">
        <f t="shared" si="3"/>
        <v>60000</v>
      </c>
      <c r="L11" s="5">
        <f t="shared" si="1"/>
        <v>90.392079679999995</v>
      </c>
      <c r="M11" s="5">
        <f t="shared" si="2"/>
        <v>0.90392079679999993</v>
      </c>
    </row>
    <row r="12" spans="1:13" ht="17.25">
      <c r="A12" s="300"/>
      <c r="B12" s="249" t="s">
        <v>232</v>
      </c>
      <c r="C12" s="207"/>
      <c r="D12" s="207"/>
      <c r="E12" s="207"/>
      <c r="F12" s="207"/>
      <c r="G12" s="207"/>
      <c r="H12" s="207"/>
      <c r="I12" s="181"/>
      <c r="J12" s="179">
        <f t="shared" si="3"/>
        <v>0</v>
      </c>
    </row>
    <row r="13" spans="1:13" ht="17.25">
      <c r="A13" s="300"/>
      <c r="B13" s="249" t="s">
        <v>231</v>
      </c>
      <c r="C13" s="207"/>
      <c r="D13" s="207"/>
      <c r="E13" s="207"/>
      <c r="F13" s="207"/>
      <c r="G13" s="207"/>
      <c r="H13" s="207"/>
      <c r="I13" s="181"/>
      <c r="J13" s="179">
        <f t="shared" si="3"/>
        <v>0</v>
      </c>
    </row>
    <row r="14" spans="1:13">
      <c r="A14" s="300"/>
      <c r="B14" s="249" t="s">
        <v>257</v>
      </c>
      <c r="C14" s="181"/>
      <c r="D14" s="181"/>
      <c r="E14" s="181"/>
      <c r="F14" s="181"/>
      <c r="G14" s="181"/>
      <c r="H14" s="181"/>
      <c r="I14" s="181"/>
      <c r="J14" s="179">
        <f t="shared" si="3"/>
        <v>0</v>
      </c>
    </row>
    <row r="15" spans="1:13">
      <c r="A15" s="300"/>
      <c r="B15" s="249" t="s">
        <v>258</v>
      </c>
      <c r="C15" s="181"/>
      <c r="D15" s="181"/>
      <c r="E15" s="181"/>
      <c r="F15" s="181"/>
      <c r="G15" s="181"/>
      <c r="H15" s="181"/>
      <c r="I15" s="181"/>
      <c r="J15" s="179">
        <f t="shared" si="3"/>
        <v>0</v>
      </c>
    </row>
    <row r="16" spans="1:13">
      <c r="A16" s="299" t="s">
        <v>15</v>
      </c>
      <c r="B16" s="299"/>
      <c r="C16" s="22">
        <f t="shared" ref="C16:J16" si="4">SUM(C9:C15)</f>
        <v>65200</v>
      </c>
      <c r="D16" s="22">
        <f t="shared" si="4"/>
        <v>0</v>
      </c>
      <c r="E16" s="22">
        <f t="shared" si="4"/>
        <v>0</v>
      </c>
      <c r="F16" s="22">
        <f t="shared" si="4"/>
        <v>0</v>
      </c>
      <c r="G16" s="22">
        <f t="shared" si="4"/>
        <v>0</v>
      </c>
      <c r="H16" s="22">
        <f t="shared" si="4"/>
        <v>0</v>
      </c>
      <c r="I16" s="22">
        <f t="shared" si="4"/>
        <v>0</v>
      </c>
      <c r="J16" s="180">
        <f t="shared" si="4"/>
        <v>65200</v>
      </c>
    </row>
    <row r="17" spans="1:3">
      <c r="A17" s="23"/>
      <c r="B17" s="23"/>
      <c r="C17" s="23"/>
    </row>
  </sheetData>
  <mergeCells count="4">
    <mergeCell ref="A16:B16"/>
    <mergeCell ref="A5:A8"/>
    <mergeCell ref="A9:A15"/>
    <mergeCell ref="J5:J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5"/>
  <sheetViews>
    <sheetView workbookViewId="0">
      <pane xSplit="3" ySplit="5" topLeftCell="D6" activePane="bottomRight" state="frozen"/>
      <selection pane="topRight"/>
      <selection pane="bottomLeft"/>
      <selection pane="bottomRight" activeCell="F24" sqref="F24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4" width="15.125" style="5" customWidth="1"/>
    <col min="5" max="6" width="12.125" style="5" customWidth="1"/>
    <col min="7" max="9" width="13.125" style="5" customWidth="1"/>
    <col min="10" max="10" width="10.625" style="5" customWidth="1"/>
    <col min="11" max="11" width="11.75" style="5" customWidth="1"/>
    <col min="12" max="16384" width="9" style="5"/>
  </cols>
  <sheetData>
    <row r="1" spans="1:11" s="4" customFormat="1" ht="28.5" customHeight="1">
      <c r="A1" s="302" t="s">
        <v>6</v>
      </c>
      <c r="B1" s="302"/>
      <c r="C1" s="6"/>
      <c r="K1" s="13"/>
    </row>
    <row r="2" spans="1:11">
      <c r="A2" s="303" t="s">
        <v>189</v>
      </c>
      <c r="B2" s="303"/>
      <c r="C2" s="304"/>
      <c r="D2" s="304"/>
      <c r="E2" s="308" t="s">
        <v>305</v>
      </c>
      <c r="F2" s="309"/>
      <c r="G2" s="309"/>
      <c r="H2" s="309"/>
      <c r="I2" s="309"/>
      <c r="J2" s="309"/>
      <c r="K2" s="309"/>
    </row>
    <row r="3" spans="1:11">
      <c r="A3" s="310" t="s">
        <v>14</v>
      </c>
      <c r="B3" s="310" t="s">
        <v>190</v>
      </c>
      <c r="C3" s="7" t="s">
        <v>191</v>
      </c>
      <c r="D3" s="305" t="s">
        <v>304</v>
      </c>
      <c r="E3" s="305"/>
      <c r="F3" s="7" t="s">
        <v>192</v>
      </c>
      <c r="G3" s="319"/>
      <c r="H3" s="320"/>
      <c r="I3" s="321"/>
      <c r="J3" s="200"/>
      <c r="K3" s="315" t="s">
        <v>149</v>
      </c>
    </row>
    <row r="4" spans="1:11" ht="27.75" customHeight="1">
      <c r="A4" s="310"/>
      <c r="B4" s="310"/>
      <c r="C4" s="7" t="s">
        <v>139</v>
      </c>
      <c r="D4" s="144" t="str">
        <f>销量!C5</f>
        <v>AZ160051000335</v>
      </c>
      <c r="E4" s="144">
        <f>销量!D5</f>
        <v>0</v>
      </c>
      <c r="F4" s="144">
        <f>销量!E5</f>
        <v>0</v>
      </c>
      <c r="G4" s="144">
        <f>销量!F5</f>
        <v>0</v>
      </c>
      <c r="H4" s="144">
        <f>销量!G5</f>
        <v>0</v>
      </c>
      <c r="I4" s="144">
        <f>销量!H5</f>
        <v>0</v>
      </c>
      <c r="J4" s="144"/>
      <c r="K4" s="316"/>
    </row>
    <row r="5" spans="1:11">
      <c r="A5" s="310"/>
      <c r="B5" s="310"/>
      <c r="C5" s="7" t="s">
        <v>140</v>
      </c>
      <c r="D5" s="144" t="str">
        <f>销量!C6</f>
        <v>速降阀</v>
      </c>
      <c r="E5" s="144">
        <f>销量!D6</f>
        <v>0</v>
      </c>
      <c r="F5" s="144">
        <f>销量!E6</f>
        <v>0</v>
      </c>
      <c r="G5" s="144">
        <f>销量!F6</f>
        <v>0</v>
      </c>
      <c r="H5" s="144">
        <f>销量!G6</f>
        <v>0</v>
      </c>
      <c r="I5" s="144">
        <f>销量!H6</f>
        <v>0</v>
      </c>
      <c r="J5" s="144">
        <f>销量!I6</f>
        <v>0</v>
      </c>
      <c r="K5" s="317"/>
    </row>
    <row r="6" spans="1:11" ht="16.5" customHeight="1">
      <c r="A6" s="10">
        <v>1</v>
      </c>
      <c r="B6" s="306" t="s">
        <v>225</v>
      </c>
      <c r="C6" s="307"/>
      <c r="D6" s="213">
        <v>5.58</v>
      </c>
      <c r="E6" s="213"/>
      <c r="F6" s="213"/>
      <c r="G6" s="213"/>
      <c r="H6" s="213"/>
      <c r="I6" s="213"/>
      <c r="J6" s="11"/>
      <c r="K6" s="155"/>
    </row>
    <row r="7" spans="1:11" ht="16.5" customHeight="1">
      <c r="A7" s="10">
        <v>2</v>
      </c>
      <c r="B7" s="306"/>
      <c r="C7" s="307"/>
      <c r="D7" s="9"/>
      <c r="E7" s="9"/>
      <c r="F7" s="9"/>
      <c r="G7" s="9"/>
      <c r="H7" s="9"/>
      <c r="I7" s="9"/>
      <c r="J7" s="9"/>
      <c r="K7" s="14"/>
    </row>
    <row r="8" spans="1:11" ht="16.5" customHeight="1">
      <c r="A8" s="10">
        <v>3</v>
      </c>
      <c r="B8" s="306"/>
      <c r="C8" s="307"/>
      <c r="D8" s="11"/>
      <c r="E8" s="9"/>
      <c r="F8" s="11"/>
      <c r="G8" s="9"/>
      <c r="H8" s="11"/>
      <c r="I8" s="11"/>
      <c r="J8" s="11"/>
      <c r="K8" s="14"/>
    </row>
    <row r="9" spans="1:11">
      <c r="A9" s="10">
        <v>4</v>
      </c>
      <c r="B9" s="306"/>
      <c r="C9" s="307"/>
      <c r="D9" s="11"/>
      <c r="E9" s="11"/>
      <c r="F9" s="11"/>
      <c r="G9" s="11"/>
      <c r="H9" s="9"/>
      <c r="I9" s="9"/>
      <c r="J9" s="9"/>
      <c r="K9" s="14"/>
    </row>
    <row r="10" spans="1:11">
      <c r="A10" s="10">
        <v>5</v>
      </c>
      <c r="B10" s="306"/>
      <c r="C10" s="307"/>
      <c r="D10" s="9"/>
      <c r="E10" s="9"/>
      <c r="F10" s="9"/>
      <c r="G10" s="9"/>
      <c r="H10" s="9"/>
      <c r="I10" s="9"/>
      <c r="J10" s="9"/>
      <c r="K10" s="14"/>
    </row>
    <row r="11" spans="1:11" ht="31.5" customHeight="1">
      <c r="A11" s="311" t="s">
        <v>193</v>
      </c>
      <c r="B11" s="312"/>
      <c r="C11" s="313"/>
      <c r="D11" s="12">
        <f t="shared" ref="D11:J11" si="0">SUM(D6:D10)</f>
        <v>5.58</v>
      </c>
      <c r="E11" s="12">
        <f t="shared" si="0"/>
        <v>0</v>
      </c>
      <c r="F11" s="12">
        <f t="shared" si="0"/>
        <v>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4"/>
    </row>
    <row r="12" spans="1:11">
      <c r="D12" s="148"/>
      <c r="E12" s="148"/>
    </row>
    <row r="16" spans="1:11" ht="27.75" customHeight="1">
      <c r="D16" s="314" t="s">
        <v>289</v>
      </c>
      <c r="E16" s="314"/>
      <c r="F16" s="314"/>
      <c r="G16" s="314"/>
      <c r="H16" s="314"/>
      <c r="I16" s="314"/>
      <c r="J16" s="314"/>
    </row>
    <row r="17" spans="4:11">
      <c r="D17" s="300" t="s">
        <v>222</v>
      </c>
      <c r="E17" s="318" t="s">
        <v>223</v>
      </c>
      <c r="F17" s="318"/>
      <c r="G17" s="318"/>
      <c r="H17" s="318"/>
      <c r="I17" s="318"/>
      <c r="J17" s="318"/>
      <c r="K17" s="14"/>
    </row>
    <row r="18" spans="4:11">
      <c r="D18" s="300"/>
      <c r="E18" s="169" t="s">
        <v>256</v>
      </c>
      <c r="F18" s="249" t="s">
        <v>224</v>
      </c>
      <c r="G18" s="249" t="s">
        <v>226</v>
      </c>
      <c r="H18" s="249" t="s">
        <v>232</v>
      </c>
      <c r="I18" s="249" t="s">
        <v>231</v>
      </c>
      <c r="J18" s="249" t="s">
        <v>257</v>
      </c>
      <c r="K18" s="249" t="s">
        <v>258</v>
      </c>
    </row>
    <row r="19" spans="4:11" ht="15.75" customHeight="1">
      <c r="D19" s="230" t="str">
        <f>D4</f>
        <v>AZ160051000335</v>
      </c>
      <c r="E19" s="223">
        <f>D11</f>
        <v>5.58</v>
      </c>
      <c r="F19" s="151">
        <f>E19*销量!$M$7</f>
        <v>5.4683999999999999</v>
      </c>
      <c r="G19" s="151">
        <f>F19*销量!$M$7</f>
        <v>5.359032</v>
      </c>
      <c r="H19" s="255"/>
      <c r="I19" s="255"/>
      <c r="J19" s="151"/>
      <c r="K19" s="193"/>
    </row>
    <row r="20" spans="4:11" ht="15.75" customHeight="1">
      <c r="D20" s="230">
        <f>E4</f>
        <v>0</v>
      </c>
      <c r="E20" s="156">
        <f>E11</f>
        <v>0</v>
      </c>
      <c r="F20" s="151">
        <f>E20*销量!$M$7</f>
        <v>0</v>
      </c>
      <c r="G20" s="151">
        <f>F20*销量!$M$7</f>
        <v>0</v>
      </c>
      <c r="H20" s="255"/>
      <c r="I20" s="255"/>
      <c r="J20" s="151"/>
      <c r="K20" s="193"/>
    </row>
    <row r="21" spans="4:11" ht="15.75" customHeight="1">
      <c r="D21" s="230">
        <f>F4</f>
        <v>0</v>
      </c>
      <c r="E21" s="156">
        <f>F11</f>
        <v>0</v>
      </c>
      <c r="F21" s="151">
        <f>E21*销量!$M$7</f>
        <v>0</v>
      </c>
      <c r="G21" s="151">
        <f>F21*销量!$M$7</f>
        <v>0</v>
      </c>
      <c r="H21" s="255"/>
      <c r="I21" s="255"/>
      <c r="J21" s="151"/>
      <c r="K21" s="193"/>
    </row>
    <row r="22" spans="4:11" ht="15.75" customHeight="1">
      <c r="D22" s="202">
        <f>G4</f>
        <v>0</v>
      </c>
      <c r="E22" s="156">
        <f>G11</f>
        <v>0</v>
      </c>
      <c r="F22" s="151">
        <f>E22*销量!$M$7</f>
        <v>0</v>
      </c>
      <c r="G22" s="151">
        <f>F22*销量!$M$7</f>
        <v>0</v>
      </c>
      <c r="H22" s="255"/>
      <c r="I22" s="255"/>
      <c r="J22" s="151"/>
      <c r="K22" s="193"/>
    </row>
    <row r="23" spans="4:11" ht="15.75" customHeight="1">
      <c r="D23" s="202">
        <f>H4</f>
        <v>0</v>
      </c>
      <c r="E23" s="156">
        <f>H11</f>
        <v>0</v>
      </c>
      <c r="F23" s="151">
        <f>E23*销量!$M$7</f>
        <v>0</v>
      </c>
      <c r="G23" s="151">
        <f>F23*销量!$M$7</f>
        <v>0</v>
      </c>
      <c r="H23" s="255"/>
      <c r="I23" s="255"/>
      <c r="J23" s="151"/>
      <c r="K23" s="193"/>
    </row>
    <row r="24" spans="4:11" ht="15.75" customHeight="1">
      <c r="D24" s="202">
        <f>I4</f>
        <v>0</v>
      </c>
      <c r="E24" s="156">
        <f>I11</f>
        <v>0</v>
      </c>
      <c r="F24" s="151">
        <f>E24*销量!$M$7</f>
        <v>0</v>
      </c>
      <c r="G24" s="151">
        <f>F24*销量!$M$7</f>
        <v>0</v>
      </c>
      <c r="H24" s="255"/>
      <c r="I24" s="255"/>
      <c r="J24" s="151"/>
      <c r="K24" s="193"/>
    </row>
    <row r="25" spans="4:11">
      <c r="D25" s="144">
        <f>J4</f>
        <v>0</v>
      </c>
      <c r="E25" s="156">
        <f>J11</f>
        <v>0</v>
      </c>
      <c r="F25" s="151">
        <f>E25*销量!$M$7</f>
        <v>0</v>
      </c>
      <c r="G25" s="151">
        <f>F25*销量!$M$7</f>
        <v>0</v>
      </c>
      <c r="H25" s="255"/>
      <c r="I25" s="255"/>
      <c r="J25" s="151"/>
      <c r="K25" s="193"/>
    </row>
  </sheetData>
  <mergeCells count="17">
    <mergeCell ref="A11:C11"/>
    <mergeCell ref="D16:J16"/>
    <mergeCell ref="K3:K5"/>
    <mergeCell ref="D17:D18"/>
    <mergeCell ref="E17:J17"/>
    <mergeCell ref="G3:I3"/>
    <mergeCell ref="A1:B1"/>
    <mergeCell ref="A2:D2"/>
    <mergeCell ref="D3:E3"/>
    <mergeCell ref="B9:C9"/>
    <mergeCell ref="B10:C10"/>
    <mergeCell ref="B6:C6"/>
    <mergeCell ref="B7:C7"/>
    <mergeCell ref="B8:C8"/>
    <mergeCell ref="E2:K2"/>
    <mergeCell ref="A3:A5"/>
    <mergeCell ref="B3:B5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15" sqref="D15"/>
    </sheetView>
  </sheetViews>
  <sheetFormatPr defaultColWidth="9" defaultRowHeight="13.5"/>
  <cols>
    <col min="1" max="1" width="9" style="195"/>
    <col min="2" max="2" width="29.625" style="195" customWidth="1"/>
    <col min="3" max="3" width="22.625" style="195" customWidth="1"/>
    <col min="4" max="4" width="22" style="195" customWidth="1"/>
    <col min="5" max="16384" width="9" style="195"/>
  </cols>
  <sheetData>
    <row r="1" spans="1:4" ht="27" customHeight="1">
      <c r="A1" s="194" t="s">
        <v>14</v>
      </c>
      <c r="B1" s="194" t="s">
        <v>194</v>
      </c>
      <c r="C1" s="194" t="s">
        <v>195</v>
      </c>
      <c r="D1" s="194" t="s">
        <v>196</v>
      </c>
    </row>
    <row r="2" spans="1:4" ht="24" customHeight="1">
      <c r="A2" s="194">
        <v>1</v>
      </c>
      <c r="B2" s="208" t="s">
        <v>197</v>
      </c>
      <c r="C2" s="196" t="s">
        <v>281</v>
      </c>
      <c r="D2" s="194"/>
    </row>
    <row r="3" spans="1:4" ht="24" customHeight="1">
      <c r="A3" s="194">
        <v>2</v>
      </c>
      <c r="B3" s="208" t="s">
        <v>198</v>
      </c>
      <c r="C3" s="197" t="s">
        <v>307</v>
      </c>
      <c r="D3" s="194" t="s">
        <v>249</v>
      </c>
    </row>
    <row r="4" spans="1:4" ht="24" customHeight="1">
      <c r="A4" s="194">
        <v>3</v>
      </c>
      <c r="B4" s="208" t="s">
        <v>199</v>
      </c>
      <c r="C4" s="196" t="s">
        <v>282</v>
      </c>
      <c r="D4" s="194" t="s">
        <v>250</v>
      </c>
    </row>
    <row r="5" spans="1:4" ht="24" customHeight="1">
      <c r="A5" s="194">
        <v>4</v>
      </c>
      <c r="B5" s="208" t="s">
        <v>200</v>
      </c>
      <c r="C5" s="196"/>
      <c r="D5" s="194"/>
    </row>
    <row r="6" spans="1:4" ht="24" customHeight="1">
      <c r="A6" s="194">
        <v>5</v>
      </c>
      <c r="B6" s="208" t="s">
        <v>201</v>
      </c>
      <c r="C6" s="196"/>
      <c r="D6" s="194"/>
    </row>
    <row r="7" spans="1:4" ht="24" customHeight="1">
      <c r="A7" s="194">
        <v>6</v>
      </c>
      <c r="B7" s="194" t="s">
        <v>202</v>
      </c>
      <c r="C7" s="197" t="s">
        <v>283</v>
      </c>
      <c r="D7" s="194"/>
    </row>
    <row r="8" spans="1:4" ht="24" customHeight="1">
      <c r="A8" s="194">
        <v>7</v>
      </c>
      <c r="B8" s="208" t="s">
        <v>203</v>
      </c>
      <c r="C8" s="209" t="s">
        <v>284</v>
      </c>
      <c r="D8" s="194"/>
    </row>
    <row r="9" spans="1:4" ht="24" customHeight="1">
      <c r="A9" s="194">
        <v>8</v>
      </c>
      <c r="B9" s="194" t="s">
        <v>204</v>
      </c>
      <c r="C9" s="209" t="s">
        <v>284</v>
      </c>
      <c r="D9" s="194"/>
    </row>
    <row r="10" spans="1:4" ht="24" customHeight="1">
      <c r="A10" s="194">
        <v>9</v>
      </c>
      <c r="B10" s="194" t="s">
        <v>205</v>
      </c>
      <c r="C10" s="209" t="s">
        <v>284</v>
      </c>
      <c r="D10" s="194"/>
    </row>
    <row r="11" spans="1:4" ht="24" customHeight="1">
      <c r="A11" s="194">
        <v>10</v>
      </c>
      <c r="B11" s="194" t="s">
        <v>206</v>
      </c>
      <c r="C11" s="209"/>
      <c r="D11" s="194"/>
    </row>
    <row r="12" spans="1:4" ht="24" customHeight="1">
      <c r="A12" s="194">
        <v>11</v>
      </c>
      <c r="B12" s="194" t="s">
        <v>207</v>
      </c>
      <c r="C12" s="209" t="s">
        <v>285</v>
      </c>
      <c r="D12" s="194"/>
    </row>
    <row r="13" spans="1:4" ht="24" customHeight="1">
      <c r="A13" s="194">
        <v>12</v>
      </c>
      <c r="B13" s="208" t="s">
        <v>251</v>
      </c>
      <c r="C13" s="209" t="s">
        <v>286</v>
      </c>
      <c r="D13" s="194"/>
    </row>
    <row r="14" spans="1:4" ht="24" customHeight="1">
      <c r="A14" s="194">
        <v>13</v>
      </c>
      <c r="B14" s="208" t="s">
        <v>252</v>
      </c>
      <c r="C14" s="209" t="s">
        <v>287</v>
      </c>
      <c r="D14" s="194"/>
    </row>
    <row r="15" spans="1:4" ht="24" customHeight="1">
      <c r="A15" s="194">
        <v>14</v>
      </c>
      <c r="B15" s="208" t="s">
        <v>253</v>
      </c>
      <c r="C15" s="209" t="s">
        <v>288</v>
      </c>
      <c r="D15" s="194"/>
    </row>
    <row r="16" spans="1:4" ht="24" customHeight="1">
      <c r="A16" s="194">
        <v>15</v>
      </c>
      <c r="B16" s="194" t="s">
        <v>125</v>
      </c>
      <c r="C16" s="194"/>
      <c r="D16" s="194"/>
    </row>
    <row r="17" spans="2:2" ht="16.5">
      <c r="B17" s="210" t="s">
        <v>254</v>
      </c>
    </row>
  </sheetData>
  <phoneticPr fontId="3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92"/>
  <sheetViews>
    <sheetView workbookViewId="0">
      <selection activeCell="E13" sqref="E13"/>
    </sheetView>
  </sheetViews>
  <sheetFormatPr defaultColWidth="9" defaultRowHeight="13.5"/>
  <cols>
    <col min="1" max="1" width="4" style="65" customWidth="1"/>
    <col min="2" max="3" width="9" style="65"/>
    <col min="4" max="4" width="8" style="65" customWidth="1"/>
    <col min="5" max="5" width="10.25" style="65" customWidth="1"/>
    <col min="6" max="6" width="9.375" style="65" customWidth="1"/>
    <col min="7" max="7" width="10.625" style="65" customWidth="1"/>
    <col min="8" max="8" width="9.125" style="65" customWidth="1"/>
    <col min="9" max="9" width="13.375" style="136" customWidth="1"/>
    <col min="10" max="10" width="7" style="136" customWidth="1"/>
    <col min="11" max="11" width="10.5" style="239" bestFit="1" customWidth="1"/>
    <col min="12" max="16384" width="9" style="65"/>
  </cols>
  <sheetData>
    <row r="1" spans="1:12" s="133" customFormat="1" ht="18.75" customHeight="1">
      <c r="G1" s="329" t="s">
        <v>208</v>
      </c>
      <c r="H1" s="329"/>
      <c r="I1" s="134"/>
      <c r="J1" s="134"/>
      <c r="K1" s="238"/>
    </row>
    <row r="2" spans="1:12" ht="21" customHeight="1">
      <c r="A2" s="322" t="s">
        <v>233</v>
      </c>
      <c r="B2" s="330" t="s">
        <v>209</v>
      </c>
      <c r="C2" s="330"/>
      <c r="D2" s="324" t="s">
        <v>292</v>
      </c>
      <c r="E2" s="331"/>
      <c r="F2" s="331"/>
      <c r="G2" s="331"/>
      <c r="H2" s="325"/>
      <c r="I2" s="135" t="s">
        <v>216</v>
      </c>
      <c r="J2" s="135"/>
    </row>
    <row r="3" spans="1:12" ht="29.25" customHeight="1">
      <c r="A3" s="323"/>
      <c r="B3" s="330"/>
      <c r="C3" s="330"/>
      <c r="D3" s="142" t="s">
        <v>217</v>
      </c>
      <c r="E3" s="142" t="s">
        <v>299</v>
      </c>
      <c r="F3" s="142" t="s">
        <v>221</v>
      </c>
      <c r="G3" s="142" t="s">
        <v>298</v>
      </c>
      <c r="H3" s="142" t="s">
        <v>219</v>
      </c>
      <c r="I3" s="242">
        <f>销量!C8</f>
        <v>34</v>
      </c>
      <c r="J3" s="201"/>
      <c r="K3" s="166"/>
    </row>
    <row r="4" spans="1:12" ht="24" customHeight="1">
      <c r="B4" s="326" t="s">
        <v>210</v>
      </c>
      <c r="C4" s="326"/>
      <c r="D4" s="3"/>
      <c r="E4" s="137">
        <f>$I$3*G4</f>
        <v>2.6078000000000001</v>
      </c>
      <c r="F4" s="141">
        <v>6.9400000000000003E-2</v>
      </c>
      <c r="G4" s="257">
        <v>7.6700000000000004E-2</v>
      </c>
      <c r="H4" s="138"/>
      <c r="I4" s="136">
        <v>7.6700000000000004E-2</v>
      </c>
    </row>
    <row r="5" spans="1:12" ht="24" customHeight="1">
      <c r="B5" s="326" t="s">
        <v>211</v>
      </c>
      <c r="C5" s="139" t="s">
        <v>212</v>
      </c>
      <c r="D5" s="3"/>
      <c r="E5" s="137">
        <f t="shared" ref="E5:E6" si="0">$I$3*G5</f>
        <v>1.6694</v>
      </c>
      <c r="F5" s="138">
        <v>5.9799999999999999E-2</v>
      </c>
      <c r="G5" s="257">
        <v>4.9099999999999998E-2</v>
      </c>
      <c r="H5" s="138"/>
      <c r="I5" s="166">
        <v>4.9099999999999998E-2</v>
      </c>
      <c r="L5" s="241"/>
    </row>
    <row r="6" spans="1:12" ht="24" customHeight="1">
      <c r="B6" s="326"/>
      <c r="C6" s="139" t="s">
        <v>213</v>
      </c>
      <c r="D6" s="3"/>
      <c r="E6" s="137">
        <f t="shared" si="0"/>
        <v>0.17</v>
      </c>
      <c r="F6" s="141">
        <v>6.6100000000000006E-2</v>
      </c>
      <c r="G6" s="257">
        <v>5.0000000000000001E-3</v>
      </c>
      <c r="H6" s="138"/>
      <c r="I6" s="136">
        <v>6.6100000000000006E-2</v>
      </c>
      <c r="J6" s="135" t="s">
        <v>300</v>
      </c>
      <c r="K6" s="243"/>
      <c r="L6" s="240"/>
    </row>
    <row r="7" spans="1:12" ht="24" customHeight="1">
      <c r="B7" s="324" t="s">
        <v>214</v>
      </c>
      <c r="C7" s="325"/>
      <c r="D7" s="140"/>
      <c r="E7" s="248">
        <f>$I$3*G7</f>
        <v>4.4471999999999996</v>
      </c>
      <c r="F7" s="247">
        <f>SUM(F4:F6)</f>
        <v>0.19530000000000003</v>
      </c>
      <c r="G7" s="258">
        <f>SUM(G4:G6)</f>
        <v>0.1308</v>
      </c>
      <c r="H7" s="141"/>
      <c r="I7" s="136">
        <f>SUM(I4:I6)</f>
        <v>0.19190000000000002</v>
      </c>
    </row>
    <row r="8" spans="1:12" ht="24" customHeight="1">
      <c r="B8" s="326" t="s">
        <v>45</v>
      </c>
      <c r="C8" s="326"/>
      <c r="D8" s="3"/>
      <c r="E8" s="137">
        <f>$I$3*G8</f>
        <v>7.3746</v>
      </c>
      <c r="F8" s="138">
        <v>2.64E-2</v>
      </c>
      <c r="G8" s="257">
        <v>0.21690000000000001</v>
      </c>
      <c r="H8" s="138"/>
      <c r="I8" s="136">
        <v>0.21690000000000001</v>
      </c>
      <c r="J8" s="135" t="s">
        <v>297</v>
      </c>
      <c r="L8" s="149"/>
    </row>
    <row r="9" spans="1:12" ht="24" customHeight="1">
      <c r="B9" s="327" t="s">
        <v>215</v>
      </c>
      <c r="C9" s="139" t="s">
        <v>212</v>
      </c>
      <c r="D9" s="3"/>
      <c r="E9" s="137">
        <f t="shared" ref="E9:E11" si="1">$I$3*G9</f>
        <v>1.0199999999999999E-2</v>
      </c>
      <c r="F9" s="138">
        <f>2.98%-2.11%</f>
        <v>8.7000000000000029E-3</v>
      </c>
      <c r="G9" s="257">
        <v>2.9999999999999997E-4</v>
      </c>
      <c r="H9" s="138"/>
      <c r="I9" s="136">
        <v>2.9999999999999997E-4</v>
      </c>
      <c r="L9" s="68"/>
    </row>
    <row r="10" spans="1:12" ht="24" customHeight="1">
      <c r="B10" s="328"/>
      <c r="C10" s="139" t="s">
        <v>213</v>
      </c>
      <c r="D10" s="3"/>
      <c r="E10" s="137">
        <f t="shared" si="1"/>
        <v>3.74</v>
      </c>
      <c r="F10" s="136">
        <v>7.3599999999999999E-2</v>
      </c>
      <c r="G10" s="257">
        <v>0.11</v>
      </c>
      <c r="H10" s="138"/>
      <c r="I10" s="166">
        <v>0.20519999999999999</v>
      </c>
      <c r="L10" s="237"/>
    </row>
    <row r="11" spans="1:12" ht="24" customHeight="1">
      <c r="B11" s="326" t="s">
        <v>48</v>
      </c>
      <c r="C11" s="326"/>
      <c r="D11" s="3"/>
      <c r="E11" s="137">
        <f t="shared" si="1"/>
        <v>0.91800000000000004</v>
      </c>
      <c r="F11" s="138">
        <v>3.5499999999999997E-2</v>
      </c>
      <c r="G11" s="257">
        <v>2.7E-2</v>
      </c>
      <c r="H11" s="138"/>
      <c r="I11" s="136">
        <v>2.7E-2</v>
      </c>
      <c r="L11" s="241"/>
    </row>
    <row r="15" spans="1:12">
      <c r="B15" s="133"/>
      <c r="C15" s="133"/>
      <c r="D15" s="133"/>
      <c r="E15" s="133"/>
      <c r="F15" s="133"/>
      <c r="G15" s="329" t="s">
        <v>208</v>
      </c>
      <c r="H15" s="329"/>
      <c r="I15" s="134"/>
      <c r="J15" s="134"/>
    </row>
    <row r="16" spans="1:12" ht="25.5" customHeight="1">
      <c r="A16" s="322" t="s">
        <v>234</v>
      </c>
      <c r="B16" s="330" t="s">
        <v>209</v>
      </c>
      <c r="C16" s="330"/>
      <c r="D16" s="324" t="str">
        <f t="shared" ref="D16" si="2">$D$2</f>
        <v>安路普工厂平均值</v>
      </c>
      <c r="E16" s="331"/>
      <c r="F16" s="331"/>
      <c r="G16" s="331"/>
      <c r="H16" s="325"/>
      <c r="I16" s="135" t="s">
        <v>216</v>
      </c>
      <c r="J16" s="135"/>
    </row>
    <row r="17" spans="1:10" ht="27">
      <c r="A17" s="323"/>
      <c r="B17" s="330"/>
      <c r="C17" s="330"/>
      <c r="D17" s="142" t="s">
        <v>217</v>
      </c>
      <c r="E17" s="142" t="s">
        <v>218</v>
      </c>
      <c r="F17" s="142" t="s">
        <v>221</v>
      </c>
      <c r="G17" s="142" t="s">
        <v>220</v>
      </c>
      <c r="H17" s="142" t="s">
        <v>219</v>
      </c>
      <c r="I17" s="242">
        <f>销量!D8</f>
        <v>0</v>
      </c>
      <c r="J17" s="146"/>
    </row>
    <row r="18" spans="1:10">
      <c r="B18" s="326" t="s">
        <v>210</v>
      </c>
      <c r="C18" s="326"/>
      <c r="D18" s="3"/>
      <c r="E18" s="137">
        <f>$I$17*G18</f>
        <v>0</v>
      </c>
      <c r="F18" s="163">
        <f t="shared" ref="F18:F25" si="3">F4</f>
        <v>6.9400000000000003E-2</v>
      </c>
      <c r="G18" s="167">
        <f t="shared" ref="G18:G25" si="4">G4</f>
        <v>7.6700000000000004E-2</v>
      </c>
      <c r="H18" s="138">
        <v>4.48E-2</v>
      </c>
    </row>
    <row r="19" spans="1:10">
      <c r="B19" s="326" t="s">
        <v>211</v>
      </c>
      <c r="C19" s="154" t="s">
        <v>212</v>
      </c>
      <c r="D19" s="3"/>
      <c r="E19" s="137">
        <f>$I$17*G19</f>
        <v>0</v>
      </c>
      <c r="F19" s="138">
        <f t="shared" si="3"/>
        <v>5.9799999999999999E-2</v>
      </c>
      <c r="G19" s="167">
        <f t="shared" si="4"/>
        <v>4.9099999999999998E-2</v>
      </c>
      <c r="H19" s="138">
        <v>4.0399999999999998E-2</v>
      </c>
    </row>
    <row r="20" spans="1:10">
      <c r="B20" s="326"/>
      <c r="C20" s="154" t="s">
        <v>213</v>
      </c>
      <c r="D20" s="3"/>
      <c r="E20" s="137">
        <f t="shared" ref="E20:E25" si="5">$I$17*G20</f>
        <v>0</v>
      </c>
      <c r="F20" s="163">
        <f t="shared" si="3"/>
        <v>6.6100000000000006E-2</v>
      </c>
      <c r="G20" s="167">
        <f t="shared" si="4"/>
        <v>5.0000000000000001E-3</v>
      </c>
      <c r="H20" s="138">
        <v>1.66E-2</v>
      </c>
    </row>
    <row r="21" spans="1:10">
      <c r="B21" s="324" t="s">
        <v>214</v>
      </c>
      <c r="C21" s="325"/>
      <c r="D21" s="140"/>
      <c r="E21" s="137">
        <f t="shared" si="5"/>
        <v>0</v>
      </c>
      <c r="F21" s="164">
        <f t="shared" si="3"/>
        <v>0.19530000000000003</v>
      </c>
      <c r="G21" s="167">
        <f t="shared" si="4"/>
        <v>0.1308</v>
      </c>
      <c r="H21" s="141">
        <f>SUM(H18:H20)</f>
        <v>0.1018</v>
      </c>
    </row>
    <row r="22" spans="1:10">
      <c r="B22" s="326" t="s">
        <v>45</v>
      </c>
      <c r="C22" s="326"/>
      <c r="D22" s="3"/>
      <c r="E22" s="137">
        <f t="shared" si="5"/>
        <v>0</v>
      </c>
      <c r="F22" s="165">
        <f t="shared" si="3"/>
        <v>2.64E-2</v>
      </c>
      <c r="G22" s="167">
        <f t="shared" si="4"/>
        <v>0.21690000000000001</v>
      </c>
      <c r="H22" s="138">
        <f>1.97%+0.75%</f>
        <v>2.7199999999999998E-2</v>
      </c>
    </row>
    <row r="23" spans="1:10">
      <c r="B23" s="327" t="s">
        <v>215</v>
      </c>
      <c r="C23" s="154" t="s">
        <v>212</v>
      </c>
      <c r="D23" s="3"/>
      <c r="E23" s="137">
        <f t="shared" si="5"/>
        <v>0</v>
      </c>
      <c r="F23" s="138">
        <f t="shared" si="3"/>
        <v>8.7000000000000029E-3</v>
      </c>
      <c r="G23" s="167">
        <f t="shared" si="4"/>
        <v>2.9999999999999997E-4</v>
      </c>
      <c r="H23" s="138">
        <v>5.3E-3</v>
      </c>
    </row>
    <row r="24" spans="1:10">
      <c r="B24" s="328"/>
      <c r="C24" s="154" t="s">
        <v>213</v>
      </c>
      <c r="D24" s="3"/>
      <c r="E24" s="137">
        <f t="shared" si="5"/>
        <v>0</v>
      </c>
      <c r="F24" s="136">
        <f t="shared" si="3"/>
        <v>7.3599999999999999E-2</v>
      </c>
      <c r="G24" s="167">
        <f t="shared" si="4"/>
        <v>0.11</v>
      </c>
      <c r="H24" s="138">
        <v>3.4099999999999998E-2</v>
      </c>
    </row>
    <row r="25" spans="1:10">
      <c r="B25" s="326" t="s">
        <v>48</v>
      </c>
      <c r="C25" s="326"/>
      <c r="D25" s="3"/>
      <c r="E25" s="137">
        <f t="shared" si="5"/>
        <v>0</v>
      </c>
      <c r="F25" s="138">
        <f t="shared" si="3"/>
        <v>3.5499999999999997E-2</v>
      </c>
      <c r="G25" s="167">
        <f t="shared" si="4"/>
        <v>2.7E-2</v>
      </c>
      <c r="H25" s="138">
        <v>1.0999999999999999E-2</v>
      </c>
    </row>
    <row r="29" spans="1:10">
      <c r="B29" s="133"/>
      <c r="C29" s="133"/>
      <c r="D29" s="133"/>
      <c r="E29" s="133"/>
      <c r="F29" s="133"/>
      <c r="G29" s="329" t="s">
        <v>208</v>
      </c>
      <c r="H29" s="329"/>
      <c r="I29" s="134"/>
      <c r="J29" s="134"/>
    </row>
    <row r="30" spans="1:10" ht="27.75" customHeight="1">
      <c r="A30" s="322" t="s">
        <v>235</v>
      </c>
      <c r="B30" s="330" t="s">
        <v>209</v>
      </c>
      <c r="C30" s="330"/>
      <c r="D30" s="324" t="str">
        <f t="shared" ref="D30" si="6">$D$2</f>
        <v>安路普工厂平均值</v>
      </c>
      <c r="E30" s="331"/>
      <c r="F30" s="331"/>
      <c r="G30" s="331"/>
      <c r="H30" s="325"/>
      <c r="I30" s="135" t="s">
        <v>216</v>
      </c>
      <c r="J30" s="135"/>
    </row>
    <row r="31" spans="1:10" ht="27">
      <c r="A31" s="323"/>
      <c r="B31" s="330"/>
      <c r="C31" s="330"/>
      <c r="D31" s="142" t="s">
        <v>217</v>
      </c>
      <c r="E31" s="142" t="s">
        <v>218</v>
      </c>
      <c r="F31" s="142" t="s">
        <v>221</v>
      </c>
      <c r="G31" s="142" t="s">
        <v>220</v>
      </c>
      <c r="H31" s="142" t="s">
        <v>219</v>
      </c>
      <c r="I31" s="242">
        <f>销量!E8</f>
        <v>0</v>
      </c>
      <c r="J31" s="146"/>
    </row>
    <row r="32" spans="1:10">
      <c r="B32" s="326" t="s">
        <v>210</v>
      </c>
      <c r="C32" s="326"/>
      <c r="D32" s="3"/>
      <c r="E32" s="137">
        <f>$I$31*G32</f>
        <v>0</v>
      </c>
      <c r="F32" s="163">
        <f t="shared" ref="F32:F39" si="7">F4</f>
        <v>6.9400000000000003E-2</v>
      </c>
      <c r="G32" s="167">
        <f t="shared" ref="G32:G39" si="8">G4</f>
        <v>7.6700000000000004E-2</v>
      </c>
      <c r="H32" s="138">
        <v>4.48E-2</v>
      </c>
    </row>
    <row r="33" spans="1:10">
      <c r="B33" s="326" t="s">
        <v>211</v>
      </c>
      <c r="C33" s="154" t="s">
        <v>212</v>
      </c>
      <c r="D33" s="3"/>
      <c r="E33" s="137">
        <f>$I$31*G33</f>
        <v>0</v>
      </c>
      <c r="F33" s="138">
        <f t="shared" si="7"/>
        <v>5.9799999999999999E-2</v>
      </c>
      <c r="G33" s="167">
        <f t="shared" si="8"/>
        <v>4.9099999999999998E-2</v>
      </c>
      <c r="H33" s="138">
        <v>4.0399999999999998E-2</v>
      </c>
    </row>
    <row r="34" spans="1:10">
      <c r="B34" s="326"/>
      <c r="C34" s="154" t="s">
        <v>213</v>
      </c>
      <c r="D34" s="3"/>
      <c r="E34" s="137">
        <f t="shared" ref="E34:E39" si="9">$I$31*G34</f>
        <v>0</v>
      </c>
      <c r="F34" s="163">
        <f t="shared" si="7"/>
        <v>6.6100000000000006E-2</v>
      </c>
      <c r="G34" s="167">
        <f t="shared" si="8"/>
        <v>5.0000000000000001E-3</v>
      </c>
      <c r="H34" s="138">
        <v>1.66E-2</v>
      </c>
    </row>
    <row r="35" spans="1:10">
      <c r="B35" s="324" t="s">
        <v>214</v>
      </c>
      <c r="C35" s="325"/>
      <c r="D35" s="140"/>
      <c r="E35" s="137">
        <f t="shared" si="9"/>
        <v>0</v>
      </c>
      <c r="F35" s="164">
        <f t="shared" si="7"/>
        <v>0.19530000000000003</v>
      </c>
      <c r="G35" s="167">
        <f t="shared" si="8"/>
        <v>0.1308</v>
      </c>
      <c r="H35" s="141">
        <f>SUM(H32:H34)</f>
        <v>0.1018</v>
      </c>
    </row>
    <row r="36" spans="1:10">
      <c r="B36" s="326" t="s">
        <v>45</v>
      </c>
      <c r="C36" s="326"/>
      <c r="D36" s="3"/>
      <c r="E36" s="137">
        <f t="shared" si="9"/>
        <v>0</v>
      </c>
      <c r="F36" s="165">
        <f t="shared" si="7"/>
        <v>2.64E-2</v>
      </c>
      <c r="G36" s="167">
        <f t="shared" si="8"/>
        <v>0.21690000000000001</v>
      </c>
      <c r="H36" s="138">
        <f>1.97%+0.75%</f>
        <v>2.7199999999999998E-2</v>
      </c>
    </row>
    <row r="37" spans="1:10">
      <c r="B37" s="327" t="s">
        <v>215</v>
      </c>
      <c r="C37" s="154" t="s">
        <v>212</v>
      </c>
      <c r="D37" s="3"/>
      <c r="E37" s="137">
        <f t="shared" si="9"/>
        <v>0</v>
      </c>
      <c r="F37" s="138">
        <f t="shared" si="7"/>
        <v>8.7000000000000029E-3</v>
      </c>
      <c r="G37" s="167">
        <f t="shared" si="8"/>
        <v>2.9999999999999997E-4</v>
      </c>
      <c r="H37" s="138">
        <v>5.3E-3</v>
      </c>
    </row>
    <row r="38" spans="1:10">
      <c r="B38" s="328"/>
      <c r="C38" s="154" t="s">
        <v>213</v>
      </c>
      <c r="D38" s="3"/>
      <c r="E38" s="137">
        <f t="shared" si="9"/>
        <v>0</v>
      </c>
      <c r="F38" s="136">
        <f t="shared" si="7"/>
        <v>7.3599999999999999E-2</v>
      </c>
      <c r="G38" s="167">
        <f t="shared" si="8"/>
        <v>0.11</v>
      </c>
      <c r="H38" s="138">
        <v>3.4099999999999998E-2</v>
      </c>
    </row>
    <row r="39" spans="1:10">
      <c r="B39" s="326" t="s">
        <v>48</v>
      </c>
      <c r="C39" s="326"/>
      <c r="D39" s="3"/>
      <c r="E39" s="137">
        <f t="shared" si="9"/>
        <v>0</v>
      </c>
      <c r="F39" s="138">
        <f t="shared" si="7"/>
        <v>3.5499999999999997E-2</v>
      </c>
      <c r="G39" s="167">
        <f t="shared" si="8"/>
        <v>2.7E-2</v>
      </c>
      <c r="H39" s="138">
        <v>1.0999999999999999E-2</v>
      </c>
    </row>
    <row r="42" spans="1:10">
      <c r="B42" s="133"/>
      <c r="C42" s="133"/>
      <c r="D42" s="133"/>
      <c r="E42" s="133"/>
      <c r="F42" s="133"/>
      <c r="G42" s="329" t="s">
        <v>208</v>
      </c>
      <c r="H42" s="329"/>
      <c r="I42" s="134"/>
      <c r="J42" s="134"/>
    </row>
    <row r="43" spans="1:10">
      <c r="A43" s="322" t="s">
        <v>236</v>
      </c>
      <c r="B43" s="330" t="s">
        <v>209</v>
      </c>
      <c r="C43" s="330"/>
      <c r="D43" s="324" t="str">
        <f t="shared" ref="D43" si="10">$D$2</f>
        <v>安路普工厂平均值</v>
      </c>
      <c r="E43" s="331"/>
      <c r="F43" s="331"/>
      <c r="G43" s="331"/>
      <c r="H43" s="325"/>
      <c r="I43" s="135" t="s">
        <v>216</v>
      </c>
      <c r="J43" s="135"/>
    </row>
    <row r="44" spans="1:10" ht="27">
      <c r="A44" s="323"/>
      <c r="B44" s="330"/>
      <c r="C44" s="330"/>
      <c r="D44" s="142" t="s">
        <v>217</v>
      </c>
      <c r="E44" s="142" t="s">
        <v>218</v>
      </c>
      <c r="F44" s="142" t="s">
        <v>221</v>
      </c>
      <c r="G44" s="142" t="s">
        <v>220</v>
      </c>
      <c r="H44" s="142" t="s">
        <v>219</v>
      </c>
      <c r="I44" s="146">
        <f>销量!F8</f>
        <v>0</v>
      </c>
      <c r="J44" s="146"/>
    </row>
    <row r="45" spans="1:10">
      <c r="B45" s="326" t="s">
        <v>210</v>
      </c>
      <c r="C45" s="326"/>
      <c r="D45" s="3"/>
      <c r="E45" s="137">
        <f>$I$44*G45</f>
        <v>0</v>
      </c>
      <c r="F45" s="163">
        <f t="shared" ref="F45:F52" si="11">F4</f>
        <v>6.9400000000000003E-2</v>
      </c>
      <c r="G45" s="167">
        <f t="shared" ref="G45:G52" si="12">G4</f>
        <v>7.6700000000000004E-2</v>
      </c>
      <c r="H45" s="138">
        <v>4.48E-2</v>
      </c>
    </row>
    <row r="46" spans="1:10">
      <c r="B46" s="326" t="s">
        <v>211</v>
      </c>
      <c r="C46" s="154" t="s">
        <v>212</v>
      </c>
      <c r="D46" s="3"/>
      <c r="E46" s="137">
        <f>$I$44*G46</f>
        <v>0</v>
      </c>
      <c r="F46" s="138">
        <f t="shared" si="11"/>
        <v>5.9799999999999999E-2</v>
      </c>
      <c r="G46" s="167">
        <f t="shared" si="12"/>
        <v>4.9099999999999998E-2</v>
      </c>
      <c r="H46" s="138">
        <v>4.0399999999999998E-2</v>
      </c>
    </row>
    <row r="47" spans="1:10">
      <c r="B47" s="326"/>
      <c r="C47" s="154" t="s">
        <v>213</v>
      </c>
      <c r="D47" s="3"/>
      <c r="E47" s="137">
        <f t="shared" ref="E47:E52" si="13">$I$44*G47</f>
        <v>0</v>
      </c>
      <c r="F47" s="163">
        <f t="shared" si="11"/>
        <v>6.6100000000000006E-2</v>
      </c>
      <c r="G47" s="167">
        <f t="shared" si="12"/>
        <v>5.0000000000000001E-3</v>
      </c>
      <c r="H47" s="138">
        <v>1.66E-2</v>
      </c>
    </row>
    <row r="48" spans="1:10">
      <c r="B48" s="324" t="s">
        <v>214</v>
      </c>
      <c r="C48" s="325"/>
      <c r="D48" s="140"/>
      <c r="E48" s="137">
        <f t="shared" si="13"/>
        <v>0</v>
      </c>
      <c r="F48" s="164">
        <f t="shared" si="11"/>
        <v>0.19530000000000003</v>
      </c>
      <c r="G48" s="167">
        <f t="shared" si="12"/>
        <v>0.1308</v>
      </c>
      <c r="H48" s="141">
        <f>SUM(H45:H47)</f>
        <v>0.1018</v>
      </c>
    </row>
    <row r="49" spans="1:10">
      <c r="B49" s="326" t="s">
        <v>45</v>
      </c>
      <c r="C49" s="326"/>
      <c r="D49" s="3"/>
      <c r="E49" s="137">
        <f t="shared" si="13"/>
        <v>0</v>
      </c>
      <c r="F49" s="165">
        <f t="shared" si="11"/>
        <v>2.64E-2</v>
      </c>
      <c r="G49" s="167">
        <f t="shared" si="12"/>
        <v>0.21690000000000001</v>
      </c>
      <c r="H49" s="138">
        <f>1.97%+0.75%</f>
        <v>2.7199999999999998E-2</v>
      </c>
    </row>
    <row r="50" spans="1:10">
      <c r="B50" s="327" t="s">
        <v>215</v>
      </c>
      <c r="C50" s="154" t="s">
        <v>212</v>
      </c>
      <c r="D50" s="3"/>
      <c r="E50" s="137">
        <f t="shared" si="13"/>
        <v>0</v>
      </c>
      <c r="F50" s="138">
        <f t="shared" si="11"/>
        <v>8.7000000000000029E-3</v>
      </c>
      <c r="G50" s="167">
        <f t="shared" si="12"/>
        <v>2.9999999999999997E-4</v>
      </c>
      <c r="H50" s="138">
        <v>5.3E-3</v>
      </c>
    </row>
    <row r="51" spans="1:10">
      <c r="B51" s="328"/>
      <c r="C51" s="154" t="s">
        <v>213</v>
      </c>
      <c r="D51" s="3"/>
      <c r="E51" s="137">
        <f t="shared" si="13"/>
        <v>0</v>
      </c>
      <c r="F51" s="136">
        <f t="shared" si="11"/>
        <v>7.3599999999999999E-2</v>
      </c>
      <c r="G51" s="167">
        <f t="shared" si="12"/>
        <v>0.11</v>
      </c>
      <c r="H51" s="138">
        <v>3.4099999999999998E-2</v>
      </c>
    </row>
    <row r="52" spans="1:10">
      <c r="B52" s="326" t="s">
        <v>48</v>
      </c>
      <c r="C52" s="326"/>
      <c r="D52" s="3"/>
      <c r="E52" s="137">
        <f t="shared" si="13"/>
        <v>0</v>
      </c>
      <c r="F52" s="138">
        <f t="shared" si="11"/>
        <v>3.5499999999999997E-2</v>
      </c>
      <c r="G52" s="167">
        <f t="shared" si="12"/>
        <v>2.7E-2</v>
      </c>
      <c r="H52" s="138">
        <v>1.0999999999999999E-2</v>
      </c>
    </row>
    <row r="55" spans="1:10">
      <c r="B55" s="133"/>
      <c r="C55" s="133"/>
      <c r="D55" s="133"/>
      <c r="E55" s="133"/>
      <c r="F55" s="133"/>
      <c r="G55" s="329" t="s">
        <v>208</v>
      </c>
      <c r="H55" s="329"/>
      <c r="I55" s="134"/>
      <c r="J55" s="134"/>
    </row>
    <row r="56" spans="1:10">
      <c r="A56" s="322" t="s">
        <v>237</v>
      </c>
      <c r="B56" s="330" t="s">
        <v>209</v>
      </c>
      <c r="C56" s="330"/>
      <c r="D56" s="324" t="str">
        <f t="shared" ref="D56" si="14">$D$2</f>
        <v>安路普工厂平均值</v>
      </c>
      <c r="E56" s="331"/>
      <c r="F56" s="331"/>
      <c r="G56" s="331"/>
      <c r="H56" s="325"/>
      <c r="I56" s="135" t="s">
        <v>216</v>
      </c>
      <c r="J56" s="135"/>
    </row>
    <row r="57" spans="1:10" ht="27">
      <c r="A57" s="323"/>
      <c r="B57" s="330"/>
      <c r="C57" s="330"/>
      <c r="D57" s="142" t="s">
        <v>217</v>
      </c>
      <c r="E57" s="142" t="s">
        <v>218</v>
      </c>
      <c r="F57" s="142" t="s">
        <v>221</v>
      </c>
      <c r="G57" s="142" t="s">
        <v>220</v>
      </c>
      <c r="H57" s="142" t="s">
        <v>219</v>
      </c>
      <c r="I57" s="146">
        <f>销量!G8</f>
        <v>0</v>
      </c>
      <c r="J57" s="146"/>
    </row>
    <row r="58" spans="1:10">
      <c r="B58" s="326" t="s">
        <v>210</v>
      </c>
      <c r="C58" s="326"/>
      <c r="D58" s="3"/>
      <c r="E58" s="137">
        <f>$I$57*G58</f>
        <v>0</v>
      </c>
      <c r="F58" s="163">
        <f t="shared" ref="F58:F65" si="15">F4</f>
        <v>6.9400000000000003E-2</v>
      </c>
      <c r="G58" s="167">
        <f t="shared" ref="G58:G65" si="16">G4</f>
        <v>7.6700000000000004E-2</v>
      </c>
      <c r="H58" s="138">
        <v>4.48E-2</v>
      </c>
    </row>
    <row r="59" spans="1:10">
      <c r="B59" s="326" t="s">
        <v>211</v>
      </c>
      <c r="C59" s="154" t="s">
        <v>212</v>
      </c>
      <c r="D59" s="3"/>
      <c r="E59" s="137">
        <f>$I$57*G59</f>
        <v>0</v>
      </c>
      <c r="F59" s="138">
        <f t="shared" si="15"/>
        <v>5.9799999999999999E-2</v>
      </c>
      <c r="G59" s="167">
        <f t="shared" si="16"/>
        <v>4.9099999999999998E-2</v>
      </c>
      <c r="H59" s="138">
        <v>4.0399999999999998E-2</v>
      </c>
    </row>
    <row r="60" spans="1:10">
      <c r="B60" s="326"/>
      <c r="C60" s="154" t="s">
        <v>213</v>
      </c>
      <c r="D60" s="3"/>
      <c r="E60" s="137">
        <f t="shared" ref="E60:E65" si="17">$I$57*G60</f>
        <v>0</v>
      </c>
      <c r="F60" s="163">
        <f t="shared" si="15"/>
        <v>6.6100000000000006E-2</v>
      </c>
      <c r="G60" s="167">
        <f t="shared" si="16"/>
        <v>5.0000000000000001E-3</v>
      </c>
      <c r="H60" s="138">
        <v>1.66E-2</v>
      </c>
    </row>
    <row r="61" spans="1:10">
      <c r="B61" s="324" t="s">
        <v>214</v>
      </c>
      <c r="C61" s="325"/>
      <c r="D61" s="140"/>
      <c r="E61" s="137">
        <f t="shared" si="17"/>
        <v>0</v>
      </c>
      <c r="F61" s="164">
        <f t="shared" si="15"/>
        <v>0.19530000000000003</v>
      </c>
      <c r="G61" s="167">
        <f t="shared" si="16"/>
        <v>0.1308</v>
      </c>
      <c r="H61" s="141">
        <f>SUM(H58:H60)</f>
        <v>0.1018</v>
      </c>
    </row>
    <row r="62" spans="1:10">
      <c r="B62" s="326" t="s">
        <v>45</v>
      </c>
      <c r="C62" s="326"/>
      <c r="D62" s="3"/>
      <c r="E62" s="137">
        <f t="shared" si="17"/>
        <v>0</v>
      </c>
      <c r="F62" s="165">
        <f t="shared" si="15"/>
        <v>2.64E-2</v>
      </c>
      <c r="G62" s="167">
        <f t="shared" si="16"/>
        <v>0.21690000000000001</v>
      </c>
      <c r="H62" s="138">
        <f>1.97%+0.75%</f>
        <v>2.7199999999999998E-2</v>
      </c>
    </row>
    <row r="63" spans="1:10">
      <c r="B63" s="327" t="s">
        <v>215</v>
      </c>
      <c r="C63" s="154" t="s">
        <v>212</v>
      </c>
      <c r="D63" s="3"/>
      <c r="E63" s="137">
        <f t="shared" si="17"/>
        <v>0</v>
      </c>
      <c r="F63" s="138">
        <f t="shared" si="15"/>
        <v>8.7000000000000029E-3</v>
      </c>
      <c r="G63" s="167">
        <f t="shared" si="16"/>
        <v>2.9999999999999997E-4</v>
      </c>
      <c r="H63" s="138">
        <v>5.3E-3</v>
      </c>
    </row>
    <row r="64" spans="1:10">
      <c r="B64" s="328"/>
      <c r="C64" s="154" t="s">
        <v>213</v>
      </c>
      <c r="D64" s="3"/>
      <c r="E64" s="137">
        <f t="shared" si="17"/>
        <v>0</v>
      </c>
      <c r="F64" s="136">
        <f t="shared" si="15"/>
        <v>7.3599999999999999E-2</v>
      </c>
      <c r="G64" s="167">
        <f t="shared" si="16"/>
        <v>0.11</v>
      </c>
      <c r="H64" s="138">
        <v>3.4099999999999998E-2</v>
      </c>
    </row>
    <row r="65" spans="1:10">
      <c r="B65" s="326" t="s">
        <v>48</v>
      </c>
      <c r="C65" s="326"/>
      <c r="D65" s="3"/>
      <c r="E65" s="137">
        <f t="shared" si="17"/>
        <v>0</v>
      </c>
      <c r="F65" s="138">
        <f t="shared" si="15"/>
        <v>3.5499999999999997E-2</v>
      </c>
      <c r="G65" s="167">
        <f t="shared" si="16"/>
        <v>2.7E-2</v>
      </c>
      <c r="H65" s="138">
        <v>1.0999999999999999E-2</v>
      </c>
    </row>
    <row r="68" spans="1:10">
      <c r="B68" s="133"/>
      <c r="C68" s="133"/>
      <c r="D68" s="133"/>
      <c r="E68" s="133"/>
      <c r="F68" s="133"/>
      <c r="G68" s="329" t="s">
        <v>208</v>
      </c>
      <c r="H68" s="329"/>
      <c r="I68" s="134"/>
      <c r="J68" s="134"/>
    </row>
    <row r="69" spans="1:10">
      <c r="A69" s="322" t="s">
        <v>238</v>
      </c>
      <c r="B69" s="330" t="s">
        <v>209</v>
      </c>
      <c r="C69" s="330"/>
      <c r="D69" s="324" t="str">
        <f t="shared" ref="D69" si="18">$D$2</f>
        <v>安路普工厂平均值</v>
      </c>
      <c r="E69" s="331"/>
      <c r="F69" s="331"/>
      <c r="G69" s="331"/>
      <c r="H69" s="325"/>
      <c r="I69" s="135" t="s">
        <v>216</v>
      </c>
      <c r="J69" s="135"/>
    </row>
    <row r="70" spans="1:10" ht="27">
      <c r="A70" s="323"/>
      <c r="B70" s="330"/>
      <c r="C70" s="330"/>
      <c r="D70" s="142" t="s">
        <v>217</v>
      </c>
      <c r="E70" s="142" t="s">
        <v>218</v>
      </c>
      <c r="F70" s="142" t="s">
        <v>221</v>
      </c>
      <c r="G70" s="142" t="s">
        <v>220</v>
      </c>
      <c r="H70" s="142" t="s">
        <v>219</v>
      </c>
      <c r="I70" s="146">
        <f>销量!H8</f>
        <v>0</v>
      </c>
      <c r="J70" s="146"/>
    </row>
    <row r="71" spans="1:10">
      <c r="B71" s="326" t="s">
        <v>210</v>
      </c>
      <c r="C71" s="326"/>
      <c r="D71" s="3"/>
      <c r="E71" s="137">
        <f>$I$70*G71</f>
        <v>0</v>
      </c>
      <c r="F71" s="163">
        <f t="shared" ref="F71:F78" si="19">F4</f>
        <v>6.9400000000000003E-2</v>
      </c>
      <c r="G71" s="167">
        <f t="shared" ref="G71:G78" si="20">G4</f>
        <v>7.6700000000000004E-2</v>
      </c>
      <c r="H71" s="138"/>
    </row>
    <row r="72" spans="1:10">
      <c r="B72" s="326" t="s">
        <v>211</v>
      </c>
      <c r="C72" s="154" t="s">
        <v>212</v>
      </c>
      <c r="D72" s="3"/>
      <c r="E72" s="137">
        <f>$I$70*G72</f>
        <v>0</v>
      </c>
      <c r="F72" s="138">
        <f t="shared" si="19"/>
        <v>5.9799999999999999E-2</v>
      </c>
      <c r="G72" s="167">
        <f t="shared" si="20"/>
        <v>4.9099999999999998E-2</v>
      </c>
      <c r="H72" s="138"/>
    </row>
    <row r="73" spans="1:10">
      <c r="B73" s="326"/>
      <c r="C73" s="154" t="s">
        <v>213</v>
      </c>
      <c r="D73" s="3"/>
      <c r="E73" s="137">
        <f t="shared" ref="E73:E78" si="21">$I$70*G73</f>
        <v>0</v>
      </c>
      <c r="F73" s="163">
        <f t="shared" si="19"/>
        <v>6.6100000000000006E-2</v>
      </c>
      <c r="G73" s="167">
        <f t="shared" si="20"/>
        <v>5.0000000000000001E-3</v>
      </c>
      <c r="H73" s="138"/>
    </row>
    <row r="74" spans="1:10">
      <c r="B74" s="324" t="s">
        <v>214</v>
      </c>
      <c r="C74" s="325"/>
      <c r="D74" s="140"/>
      <c r="E74" s="137">
        <f t="shared" si="21"/>
        <v>0</v>
      </c>
      <c r="F74" s="164">
        <f t="shared" si="19"/>
        <v>0.19530000000000003</v>
      </c>
      <c r="G74" s="167">
        <f t="shared" si="20"/>
        <v>0.1308</v>
      </c>
      <c r="H74" s="141"/>
    </row>
    <row r="75" spans="1:10">
      <c r="B75" s="326" t="s">
        <v>45</v>
      </c>
      <c r="C75" s="326"/>
      <c r="D75" s="3"/>
      <c r="E75" s="137">
        <f t="shared" si="21"/>
        <v>0</v>
      </c>
      <c r="F75" s="165">
        <f t="shared" si="19"/>
        <v>2.64E-2</v>
      </c>
      <c r="G75" s="167">
        <f t="shared" si="20"/>
        <v>0.21690000000000001</v>
      </c>
      <c r="H75" s="138"/>
    </row>
    <row r="76" spans="1:10">
      <c r="B76" s="327" t="s">
        <v>215</v>
      </c>
      <c r="C76" s="154" t="s">
        <v>212</v>
      </c>
      <c r="D76" s="3"/>
      <c r="E76" s="137">
        <f t="shared" si="21"/>
        <v>0</v>
      </c>
      <c r="F76" s="138">
        <f t="shared" si="19"/>
        <v>8.7000000000000029E-3</v>
      </c>
      <c r="G76" s="167">
        <f t="shared" si="20"/>
        <v>2.9999999999999997E-4</v>
      </c>
      <c r="H76" s="138"/>
    </row>
    <row r="77" spans="1:10">
      <c r="B77" s="328"/>
      <c r="C77" s="154" t="s">
        <v>213</v>
      </c>
      <c r="D77" s="3"/>
      <c r="E77" s="137">
        <f t="shared" si="21"/>
        <v>0</v>
      </c>
      <c r="F77" s="136">
        <f t="shared" si="19"/>
        <v>7.3599999999999999E-2</v>
      </c>
      <c r="G77" s="167">
        <f t="shared" si="20"/>
        <v>0.11</v>
      </c>
      <c r="H77" s="138"/>
    </row>
    <row r="78" spans="1:10">
      <c r="B78" s="326" t="s">
        <v>48</v>
      </c>
      <c r="C78" s="326"/>
      <c r="D78" s="3"/>
      <c r="E78" s="137">
        <f t="shared" si="21"/>
        <v>0</v>
      </c>
      <c r="F78" s="138">
        <f t="shared" si="19"/>
        <v>3.5499999999999997E-2</v>
      </c>
      <c r="G78" s="167">
        <f t="shared" si="20"/>
        <v>2.7E-2</v>
      </c>
      <c r="H78" s="138"/>
    </row>
    <row r="82" spans="1:10">
      <c r="B82" s="133"/>
      <c r="C82" s="133"/>
      <c r="D82" s="133"/>
      <c r="E82" s="133"/>
      <c r="F82" s="133"/>
      <c r="G82" s="329" t="s">
        <v>208</v>
      </c>
      <c r="H82" s="329"/>
      <c r="I82" s="134"/>
      <c r="J82" s="134"/>
    </row>
    <row r="83" spans="1:10">
      <c r="A83" s="322" t="s">
        <v>239</v>
      </c>
      <c r="B83" s="330" t="s">
        <v>209</v>
      </c>
      <c r="C83" s="330"/>
      <c r="D83" s="324" t="str">
        <f t="shared" ref="D83" si="22">$D$2</f>
        <v>安路普工厂平均值</v>
      </c>
      <c r="E83" s="331"/>
      <c r="F83" s="331"/>
      <c r="G83" s="331"/>
      <c r="H83" s="325"/>
      <c r="I83" s="135" t="s">
        <v>216</v>
      </c>
      <c r="J83" s="135"/>
    </row>
    <row r="84" spans="1:10" ht="27">
      <c r="A84" s="323"/>
      <c r="B84" s="330"/>
      <c r="C84" s="330"/>
      <c r="D84" s="142" t="s">
        <v>217</v>
      </c>
      <c r="E84" s="142" t="s">
        <v>218</v>
      </c>
      <c r="F84" s="142" t="s">
        <v>221</v>
      </c>
      <c r="G84" s="142" t="s">
        <v>220</v>
      </c>
      <c r="H84" s="142" t="s">
        <v>219</v>
      </c>
      <c r="I84" s="146">
        <f>销量!I8</f>
        <v>0</v>
      </c>
      <c r="J84" s="146"/>
    </row>
    <row r="85" spans="1:10">
      <c r="B85" s="326" t="s">
        <v>210</v>
      </c>
      <c r="C85" s="326"/>
      <c r="D85" s="3"/>
      <c r="E85" s="137">
        <f>$I$84*G85</f>
        <v>0</v>
      </c>
      <c r="F85" s="163">
        <f t="shared" ref="F85:F92" si="23">F4</f>
        <v>6.9400000000000003E-2</v>
      </c>
      <c r="G85" s="167">
        <v>5.1891753653367817E-2</v>
      </c>
      <c r="H85" s="138"/>
    </row>
    <row r="86" spans="1:10">
      <c r="B86" s="326" t="s">
        <v>211</v>
      </c>
      <c r="C86" s="170" t="s">
        <v>212</v>
      </c>
      <c r="D86" s="3"/>
      <c r="E86" s="137">
        <f>$I$84*G86</f>
        <v>0</v>
      </c>
      <c r="F86" s="138">
        <f t="shared" si="23"/>
        <v>5.9799999999999999E-2</v>
      </c>
      <c r="G86" s="167">
        <v>7.6600000000000001E-2</v>
      </c>
      <c r="H86" s="138"/>
    </row>
    <row r="87" spans="1:10">
      <c r="B87" s="326"/>
      <c r="C87" s="170" t="s">
        <v>213</v>
      </c>
      <c r="D87" s="3"/>
      <c r="E87" s="137">
        <f t="shared" ref="E87:E92" si="24">$I$84*G87</f>
        <v>0</v>
      </c>
      <c r="F87" s="163">
        <f t="shared" si="23"/>
        <v>6.6100000000000006E-2</v>
      </c>
      <c r="G87" s="167">
        <v>9.0513005545788342E-3</v>
      </c>
      <c r="H87" s="138"/>
    </row>
    <row r="88" spans="1:10">
      <c r="B88" s="324" t="s">
        <v>214</v>
      </c>
      <c r="C88" s="325"/>
      <c r="D88" s="140"/>
      <c r="E88" s="137">
        <f t="shared" si="24"/>
        <v>0</v>
      </c>
      <c r="F88" s="164">
        <f t="shared" si="23"/>
        <v>0.19530000000000003</v>
      </c>
      <c r="G88" s="167">
        <f>G85+G86+G87</f>
        <v>0.13754305420794666</v>
      </c>
      <c r="H88" s="141"/>
    </row>
    <row r="89" spans="1:10">
      <c r="B89" s="326" t="s">
        <v>45</v>
      </c>
      <c r="C89" s="326"/>
      <c r="D89" s="3"/>
      <c r="E89" s="137">
        <f t="shared" si="24"/>
        <v>0</v>
      </c>
      <c r="F89" s="165">
        <f t="shared" si="23"/>
        <v>2.64E-2</v>
      </c>
      <c r="G89" s="167">
        <v>3.4700000000000002E-2</v>
      </c>
      <c r="H89" s="138"/>
    </row>
    <row r="90" spans="1:10">
      <c r="B90" s="327" t="s">
        <v>215</v>
      </c>
      <c r="C90" s="170" t="s">
        <v>212</v>
      </c>
      <c r="D90" s="3"/>
      <c r="E90" s="137">
        <f t="shared" si="24"/>
        <v>0</v>
      </c>
      <c r="F90" s="138">
        <f t="shared" si="23"/>
        <v>8.7000000000000029E-3</v>
      </c>
      <c r="G90" s="167">
        <v>3.3999999999999998E-3</v>
      </c>
      <c r="H90" s="138"/>
    </row>
    <row r="91" spans="1:10">
      <c r="B91" s="328"/>
      <c r="C91" s="170" t="s">
        <v>213</v>
      </c>
      <c r="D91" s="3"/>
      <c r="E91" s="137">
        <f t="shared" si="24"/>
        <v>0</v>
      </c>
      <c r="F91" s="136">
        <f t="shared" si="23"/>
        <v>7.3599999999999999E-2</v>
      </c>
      <c r="G91" s="167">
        <v>1.0999999999999999E-2</v>
      </c>
      <c r="H91" s="138"/>
    </row>
    <row r="92" spans="1:10">
      <c r="B92" s="326" t="s">
        <v>48</v>
      </c>
      <c r="C92" s="326"/>
      <c r="D92" s="3"/>
      <c r="E92" s="137">
        <f t="shared" si="24"/>
        <v>0</v>
      </c>
      <c r="F92" s="138">
        <f t="shared" si="23"/>
        <v>3.5499999999999997E-2</v>
      </c>
      <c r="G92" s="167">
        <v>0.04</v>
      </c>
      <c r="H92" s="138"/>
    </row>
  </sheetData>
  <mergeCells count="70">
    <mergeCell ref="B88:C88"/>
    <mergeCell ref="B89:C89"/>
    <mergeCell ref="B90:B91"/>
    <mergeCell ref="B92:C92"/>
    <mergeCell ref="G82:H82"/>
    <mergeCell ref="B83:C84"/>
    <mergeCell ref="D83:H83"/>
    <mergeCell ref="B85:C85"/>
    <mergeCell ref="B86:B87"/>
    <mergeCell ref="G1:H1"/>
    <mergeCell ref="B4:C4"/>
    <mergeCell ref="B7:C7"/>
    <mergeCell ref="B8:C8"/>
    <mergeCell ref="B11:C11"/>
    <mergeCell ref="B5:B6"/>
    <mergeCell ref="B9:B10"/>
    <mergeCell ref="B2:C3"/>
    <mergeCell ref="D2:H2"/>
    <mergeCell ref="G15:H15"/>
    <mergeCell ref="B16:C17"/>
    <mergeCell ref="D16:H16"/>
    <mergeCell ref="B18:C18"/>
    <mergeCell ref="B19:B20"/>
    <mergeCell ref="B21:C21"/>
    <mergeCell ref="B22:C22"/>
    <mergeCell ref="B23:B24"/>
    <mergeCell ref="B25:C25"/>
    <mergeCell ref="G29:H29"/>
    <mergeCell ref="B30:C31"/>
    <mergeCell ref="D30:H30"/>
    <mergeCell ref="B32:C32"/>
    <mergeCell ref="B33:B34"/>
    <mergeCell ref="B35:C35"/>
    <mergeCell ref="B36:C36"/>
    <mergeCell ref="B37:B38"/>
    <mergeCell ref="B39:C39"/>
    <mergeCell ref="G42:H42"/>
    <mergeCell ref="B43:C44"/>
    <mergeCell ref="D43:H43"/>
    <mergeCell ref="B45:C45"/>
    <mergeCell ref="B46:B47"/>
    <mergeCell ref="B48:C48"/>
    <mergeCell ref="B49:C49"/>
    <mergeCell ref="B50:B51"/>
    <mergeCell ref="B52:C52"/>
    <mergeCell ref="G55:H55"/>
    <mergeCell ref="B56:C57"/>
    <mergeCell ref="D56:H56"/>
    <mergeCell ref="B58:C58"/>
    <mergeCell ref="B59:B60"/>
    <mergeCell ref="B61:C61"/>
    <mergeCell ref="B62:C62"/>
    <mergeCell ref="B63:B64"/>
    <mergeCell ref="B65:C65"/>
    <mergeCell ref="B74:C74"/>
    <mergeCell ref="B75:C75"/>
    <mergeCell ref="B76:B77"/>
    <mergeCell ref="B78:C78"/>
    <mergeCell ref="G68:H68"/>
    <mergeCell ref="B69:C70"/>
    <mergeCell ref="D69:H69"/>
    <mergeCell ref="B71:C71"/>
    <mergeCell ref="B72:B73"/>
    <mergeCell ref="A69:A70"/>
    <mergeCell ref="A83:A84"/>
    <mergeCell ref="A2:A3"/>
    <mergeCell ref="A16:A17"/>
    <mergeCell ref="A30:A31"/>
    <mergeCell ref="A43:A44"/>
    <mergeCell ref="A56:A57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F11" sqref="F11"/>
    </sheetView>
  </sheetViews>
  <sheetFormatPr defaultRowHeight="13.5"/>
  <cols>
    <col min="2" max="2" width="15.375" customWidth="1"/>
    <col min="3" max="3" width="13.625" customWidth="1"/>
    <col min="4" max="4" width="10.75" customWidth="1"/>
    <col min="5" max="5" width="9.25" customWidth="1"/>
    <col min="6" max="6" width="12.625" customWidth="1"/>
    <col min="7" max="7" width="10.5" customWidth="1"/>
    <col min="9" max="9" width="22.375" customWidth="1"/>
    <col min="10" max="10" width="8.5" customWidth="1"/>
  </cols>
  <sheetData>
    <row r="1" spans="1:10">
      <c r="A1" s="183"/>
    </row>
    <row r="2" spans="1:10" ht="50.25" customHeight="1">
      <c r="B2" s="332" t="s">
        <v>270</v>
      </c>
      <c r="C2" s="332"/>
      <c r="D2" s="332"/>
      <c r="E2" s="332"/>
      <c r="F2" s="332"/>
      <c r="G2" s="332"/>
      <c r="H2" s="332"/>
      <c r="I2" s="332"/>
    </row>
    <row r="3" spans="1:10" s="215" customFormat="1" ht="45.75" customHeight="1">
      <c r="B3" s="216" t="s">
        <v>241</v>
      </c>
      <c r="C3" s="216" t="s">
        <v>242</v>
      </c>
      <c r="D3" s="217" t="s">
        <v>243</v>
      </c>
      <c r="E3" s="216" t="s">
        <v>244</v>
      </c>
      <c r="F3" s="218" t="s">
        <v>271</v>
      </c>
      <c r="G3" s="219" t="s">
        <v>245</v>
      </c>
      <c r="H3" s="220" t="s">
        <v>246</v>
      </c>
      <c r="I3" s="219" t="s">
        <v>247</v>
      </c>
    </row>
    <row r="4" spans="1:10" ht="37.9" customHeight="1">
      <c r="B4" s="184" t="str">
        <f>销量!C6</f>
        <v>速降阀</v>
      </c>
      <c r="C4" s="184" t="str">
        <f>销量!C5</f>
        <v>AZ160051000335</v>
      </c>
      <c r="D4" s="231" t="str">
        <f>销量!C7</f>
        <v>需要匹配数据</v>
      </c>
      <c r="E4" s="28">
        <f>材料成本!D6</f>
        <v>5.58</v>
      </c>
      <c r="F4" s="244">
        <f>标准成本!I3</f>
        <v>34</v>
      </c>
      <c r="G4" s="28">
        <f t="shared" ref="G4:G9" si="0">F4-E4</f>
        <v>28.42</v>
      </c>
      <c r="H4" s="187">
        <f t="shared" ref="H4:H9" si="1">G4/F4</f>
        <v>0.83588235294117652</v>
      </c>
      <c r="I4" s="186" t="s">
        <v>272</v>
      </c>
      <c r="J4" s="245"/>
    </row>
    <row r="5" spans="1:10" ht="34.15" customHeight="1">
      <c r="B5" s="184">
        <f>销量!D6</f>
        <v>0</v>
      </c>
      <c r="C5" s="184">
        <f>销量!D5</f>
        <v>0</v>
      </c>
      <c r="D5" s="216">
        <f>销量!D7</f>
        <v>0</v>
      </c>
      <c r="E5" s="28">
        <f>材料成本!E6</f>
        <v>0</v>
      </c>
      <c r="F5" s="256"/>
      <c r="G5" s="28">
        <f t="shared" si="0"/>
        <v>0</v>
      </c>
      <c r="H5" s="187" t="e">
        <f t="shared" si="1"/>
        <v>#DIV/0!</v>
      </c>
      <c r="I5" s="186" t="s">
        <v>272</v>
      </c>
      <c r="J5" s="245"/>
    </row>
    <row r="6" spans="1:10" ht="31.5" customHeight="1">
      <c r="B6" s="184">
        <f>销量!E6</f>
        <v>0</v>
      </c>
      <c r="C6" s="184">
        <f>销量!E5</f>
        <v>0</v>
      </c>
      <c r="D6" s="192">
        <f>销量!E7</f>
        <v>0</v>
      </c>
      <c r="E6" s="28">
        <f>材料成本!F6</f>
        <v>0</v>
      </c>
      <c r="F6" s="256"/>
      <c r="G6" s="28">
        <f t="shared" si="0"/>
        <v>0</v>
      </c>
      <c r="H6" s="187" t="e">
        <f t="shared" si="1"/>
        <v>#DIV/0!</v>
      </c>
      <c r="I6" s="186" t="s">
        <v>272</v>
      </c>
      <c r="J6" s="245"/>
    </row>
    <row r="7" spans="1:10">
      <c r="B7" s="184">
        <f>销量!F6</f>
        <v>0</v>
      </c>
      <c r="C7" s="184">
        <f>销量!F5</f>
        <v>0</v>
      </c>
      <c r="D7" s="192">
        <f>销量!F7</f>
        <v>0</v>
      </c>
      <c r="E7" s="28">
        <f>材料成本!G6</f>
        <v>0</v>
      </c>
      <c r="F7" s="214">
        <f>销量!F8</f>
        <v>0</v>
      </c>
      <c r="G7" s="28">
        <f t="shared" si="0"/>
        <v>0</v>
      </c>
      <c r="H7" s="187" t="e">
        <f t="shared" si="1"/>
        <v>#DIV/0!</v>
      </c>
      <c r="I7" s="1"/>
    </row>
    <row r="8" spans="1:10" ht="16.5">
      <c r="B8" s="185">
        <f>销量!G6</f>
        <v>0</v>
      </c>
      <c r="C8" s="184">
        <f>销量!G5</f>
        <v>0</v>
      </c>
      <c r="D8" s="221">
        <f>销量!G7</f>
        <v>0</v>
      </c>
      <c r="E8" s="28">
        <f>材料成本!H6</f>
        <v>0</v>
      </c>
      <c r="F8" s="214">
        <f>销量!G8</f>
        <v>0</v>
      </c>
      <c r="G8" s="28">
        <f t="shared" si="0"/>
        <v>0</v>
      </c>
      <c r="H8" s="187" t="e">
        <f t="shared" si="1"/>
        <v>#DIV/0!</v>
      </c>
      <c r="I8" s="1"/>
    </row>
    <row r="9" spans="1:10" ht="16.5">
      <c r="B9" s="189">
        <f>销量!H6</f>
        <v>0</v>
      </c>
      <c r="C9" s="184">
        <f>销量!H5</f>
        <v>0</v>
      </c>
      <c r="D9" s="222">
        <f>销量!H7</f>
        <v>0</v>
      </c>
      <c r="E9" s="28">
        <f>材料成本!I6</f>
        <v>0</v>
      </c>
      <c r="F9" s="214">
        <f>销量!H8</f>
        <v>0</v>
      </c>
      <c r="G9" s="28">
        <f t="shared" si="0"/>
        <v>0</v>
      </c>
      <c r="H9" s="187" t="e">
        <f t="shared" si="1"/>
        <v>#DIV/0!</v>
      </c>
      <c r="I9" s="186"/>
    </row>
    <row r="10" spans="1:10" ht="16.5">
      <c r="B10" s="189">
        <f>销量!I6</f>
        <v>0</v>
      </c>
      <c r="C10" s="184">
        <f>销量!I5</f>
        <v>0</v>
      </c>
      <c r="D10" s="188"/>
      <c r="E10" s="28">
        <f>材料成本!J6</f>
        <v>0</v>
      </c>
      <c r="F10" s="214">
        <f>销量!I8</f>
        <v>0</v>
      </c>
      <c r="G10" s="28">
        <f>F10-E10</f>
        <v>0</v>
      </c>
      <c r="H10" s="187" t="e">
        <f>G10/F10</f>
        <v>#DIV/0!</v>
      </c>
      <c r="I10" s="190"/>
    </row>
    <row r="11" spans="1:10" ht="26.25" customHeight="1">
      <c r="B11" s="333" t="s">
        <v>248</v>
      </c>
      <c r="C11" s="334"/>
      <c r="D11" s="335"/>
      <c r="E11" s="28">
        <f>SUM(E4:E10)</f>
        <v>5.58</v>
      </c>
      <c r="F11" s="28">
        <f t="shared" ref="F11:G11" si="2">SUM(F4:F10)</f>
        <v>34</v>
      </c>
      <c r="G11" s="28">
        <f t="shared" si="2"/>
        <v>28.42</v>
      </c>
      <c r="H11" s="187">
        <f>G11/F11</f>
        <v>0.83588235294117652</v>
      </c>
      <c r="I11" s="191"/>
    </row>
  </sheetData>
  <mergeCells count="2">
    <mergeCell ref="B2:I2"/>
    <mergeCell ref="B11:D11"/>
  </mergeCells>
  <phoneticPr fontId="38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7"/>
  <sheetViews>
    <sheetView tabSelected="1" workbookViewId="0">
      <pane xSplit="3" ySplit="7" topLeftCell="D8" activePane="bottomRight" state="frozen"/>
      <selection pane="topRight"/>
      <selection pane="bottomLeft"/>
      <selection pane="bottomRight" activeCell="F18" sqref="F18"/>
    </sheetView>
  </sheetViews>
  <sheetFormatPr defaultColWidth="9" defaultRowHeight="16.5"/>
  <cols>
    <col min="1" max="1" width="5.125" style="107" customWidth="1"/>
    <col min="2" max="2" width="28.875" style="107" customWidth="1"/>
    <col min="3" max="9" width="12.25" style="108" customWidth="1"/>
    <col min="10" max="10" width="14.25" style="108" customWidth="1"/>
    <col min="11" max="36" width="9" style="107"/>
    <col min="37" max="37" width="4.375" style="107" customWidth="1"/>
    <col min="38" max="38" width="13.875" style="107" customWidth="1"/>
    <col min="39" max="16384" width="9" style="107"/>
  </cols>
  <sheetData>
    <row r="1" spans="1:39" ht="35.25" customHeight="1">
      <c r="A1" s="269" t="s">
        <v>308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39" ht="20.25" customHeight="1">
      <c r="B2" s="250"/>
      <c r="C2" s="250"/>
      <c r="D2" s="250"/>
      <c r="E2" s="250"/>
      <c r="F2" s="250"/>
      <c r="G2" s="250"/>
      <c r="H2" s="250"/>
      <c r="I2" s="251" t="s">
        <v>279</v>
      </c>
      <c r="J2" s="250"/>
    </row>
    <row r="3" spans="1:39" ht="24" customHeight="1">
      <c r="A3" s="267" t="s">
        <v>14</v>
      </c>
      <c r="B3" s="252" t="s">
        <v>278</v>
      </c>
      <c r="C3" s="109" t="s">
        <v>293</v>
      </c>
      <c r="D3" s="109" t="s">
        <v>294</v>
      </c>
      <c r="E3" s="109" t="s">
        <v>230</v>
      </c>
      <c r="F3" s="109" t="s">
        <v>260</v>
      </c>
      <c r="G3" s="109" t="s">
        <v>240</v>
      </c>
      <c r="H3" s="109" t="s">
        <v>261</v>
      </c>
      <c r="I3" s="109" t="s">
        <v>262</v>
      </c>
      <c r="J3" s="253" t="s">
        <v>275</v>
      </c>
      <c r="AM3" s="107" t="s">
        <v>16</v>
      </c>
    </row>
    <row r="4" spans="1:39" s="46" customFormat="1" ht="15.75" customHeight="1">
      <c r="A4" s="268"/>
      <c r="B4" s="51" t="s">
        <v>280</v>
      </c>
      <c r="C4" s="110">
        <f>'2025年'!I6</f>
        <v>200</v>
      </c>
      <c r="D4" s="110">
        <f>'2026年'!I6</f>
        <v>5000</v>
      </c>
      <c r="E4" s="110">
        <f>'2027年'!I6</f>
        <v>60000</v>
      </c>
      <c r="F4" s="110">
        <f>'2029年'!I6</f>
        <v>0</v>
      </c>
      <c r="G4" s="110">
        <f>'2030年 '!I6</f>
        <v>0</v>
      </c>
      <c r="H4" s="110">
        <f>'2031年'!I6</f>
        <v>0</v>
      </c>
      <c r="I4" s="110">
        <f>'2032年'!I6</f>
        <v>0</v>
      </c>
      <c r="J4" s="110">
        <f t="shared" ref="J4:J12" si="0">SUM(C4:I4)</f>
        <v>65200</v>
      </c>
      <c r="AK4" s="50" t="s">
        <v>14</v>
      </c>
      <c r="AL4" s="51" t="s">
        <v>3</v>
      </c>
      <c r="AM4" s="46" t="s">
        <v>17</v>
      </c>
    </row>
    <row r="5" spans="1:39" s="46" customFormat="1" ht="15.75" customHeight="1">
      <c r="A5" s="60">
        <v>1</v>
      </c>
      <c r="B5" s="51" t="s">
        <v>276</v>
      </c>
      <c r="C5" s="110">
        <f>'2025年'!I7</f>
        <v>6800</v>
      </c>
      <c r="D5" s="110">
        <f>'2026年'!I7</f>
        <v>170000</v>
      </c>
      <c r="E5" s="110">
        <f>'2027年'!I7</f>
        <v>2040000</v>
      </c>
      <c r="F5" s="110">
        <f>'2029年'!I7</f>
        <v>0</v>
      </c>
      <c r="G5" s="110">
        <f>'2030年 '!I7</f>
        <v>0</v>
      </c>
      <c r="H5" s="110">
        <f>'2031年'!I7</f>
        <v>0</v>
      </c>
      <c r="I5" s="110">
        <f>'2032年'!I7</f>
        <v>0</v>
      </c>
      <c r="J5" s="110">
        <f t="shared" si="0"/>
        <v>2216800</v>
      </c>
      <c r="AK5" s="50" t="s">
        <v>19</v>
      </c>
      <c r="AL5" s="51" t="s">
        <v>18</v>
      </c>
      <c r="AM5" s="46" t="s">
        <v>17</v>
      </c>
    </row>
    <row r="6" spans="1:39" s="46" customFormat="1" ht="15.75" customHeight="1">
      <c r="A6" s="60">
        <v>2</v>
      </c>
      <c r="B6" s="51" t="s">
        <v>277</v>
      </c>
      <c r="C6" s="110">
        <f>'2025年'!I8</f>
        <v>0</v>
      </c>
      <c r="D6" s="110">
        <f>'2026年'!I8</f>
        <v>3400.0000000000032</v>
      </c>
      <c r="E6" s="110">
        <f>'2027年'!I8</f>
        <v>80784.00000000016</v>
      </c>
      <c r="F6" s="110">
        <f>'2029年'!I8</f>
        <v>0</v>
      </c>
      <c r="G6" s="110">
        <f>'2030年 '!I8</f>
        <v>0</v>
      </c>
      <c r="H6" s="110">
        <f>'2031年'!I8</f>
        <v>0</v>
      </c>
      <c r="I6" s="110">
        <f>'2032年'!I8</f>
        <v>0</v>
      </c>
      <c r="J6" s="110">
        <f t="shared" si="0"/>
        <v>84184.00000000016</v>
      </c>
      <c r="AK6" s="50" t="s">
        <v>21</v>
      </c>
      <c r="AL6" s="48" t="s">
        <v>22</v>
      </c>
      <c r="AM6" s="46" t="s">
        <v>17</v>
      </c>
    </row>
    <row r="7" spans="1:39" s="46" customFormat="1" ht="15.75" customHeight="1">
      <c r="A7" s="60">
        <v>3</v>
      </c>
      <c r="B7" s="51" t="s">
        <v>23</v>
      </c>
      <c r="C7" s="111">
        <f>+C5-C6</f>
        <v>6800</v>
      </c>
      <c r="D7" s="111">
        <f>'2026年'!I9</f>
        <v>166600</v>
      </c>
      <c r="E7" s="111">
        <f>'2027年'!I9</f>
        <v>1959215.9999999998</v>
      </c>
      <c r="F7" s="111">
        <f>'2029年'!I9</f>
        <v>0</v>
      </c>
      <c r="G7" s="110">
        <f>'2030年 '!I9</f>
        <v>0</v>
      </c>
      <c r="H7" s="111">
        <f>'2031年'!I9</f>
        <v>0</v>
      </c>
      <c r="I7" s="110">
        <f>'2032年'!I9</f>
        <v>0</v>
      </c>
      <c r="J7" s="110">
        <f t="shared" si="0"/>
        <v>2132616</v>
      </c>
      <c r="AK7" s="50" t="s">
        <v>24</v>
      </c>
      <c r="AL7" s="51" t="s">
        <v>23</v>
      </c>
      <c r="AM7" s="46" t="s">
        <v>25</v>
      </c>
    </row>
    <row r="8" spans="1:39" s="46" customFormat="1" ht="15.75" customHeight="1">
      <c r="A8" s="60">
        <v>4</v>
      </c>
      <c r="B8" s="50" t="s">
        <v>26</v>
      </c>
      <c r="C8" s="110">
        <f>'2025年'!I10</f>
        <v>1116</v>
      </c>
      <c r="D8" s="110">
        <f>'2026年'!I10</f>
        <v>27342</v>
      </c>
      <c r="E8" s="110">
        <f>'2027年'!I10</f>
        <v>321541.92</v>
      </c>
      <c r="F8" s="110">
        <f>'2029年'!I10</f>
        <v>0</v>
      </c>
      <c r="G8" s="110">
        <f>'2030年 '!I10</f>
        <v>0</v>
      </c>
      <c r="H8" s="110">
        <f>'2031年'!I10</f>
        <v>0</v>
      </c>
      <c r="I8" s="110">
        <f>'2032年'!I10</f>
        <v>0</v>
      </c>
      <c r="J8" s="110">
        <f t="shared" si="0"/>
        <v>349999.92</v>
      </c>
      <c r="AK8" s="50" t="s">
        <v>27</v>
      </c>
      <c r="AL8" s="50" t="s">
        <v>26</v>
      </c>
      <c r="AM8" s="46" t="s">
        <v>28</v>
      </c>
    </row>
    <row r="9" spans="1:39" s="46" customFormat="1" ht="15.75" customHeight="1">
      <c r="A9" s="60">
        <v>5</v>
      </c>
      <c r="B9" s="50" t="s">
        <v>29</v>
      </c>
      <c r="C9" s="110">
        <f>'2025年'!I11</f>
        <v>521.56000000000006</v>
      </c>
      <c r="D9" s="110">
        <f>'2026年'!I11</f>
        <v>13039</v>
      </c>
      <c r="E9" s="110">
        <f>'2027年'!I11</f>
        <v>156468</v>
      </c>
      <c r="F9" s="110">
        <f>'2029年'!I11</f>
        <v>0</v>
      </c>
      <c r="G9" s="110">
        <f>'2030年 '!I11</f>
        <v>0</v>
      </c>
      <c r="H9" s="110">
        <f>'2031年'!I11</f>
        <v>0</v>
      </c>
      <c r="I9" s="110">
        <f>'2032年'!I11</f>
        <v>0</v>
      </c>
      <c r="J9" s="110">
        <f t="shared" si="0"/>
        <v>170028.56</v>
      </c>
      <c r="AK9" s="50" t="s">
        <v>30</v>
      </c>
      <c r="AL9" s="50" t="s">
        <v>29</v>
      </c>
    </row>
    <row r="10" spans="1:39" s="46" customFormat="1" ht="15.75" customHeight="1">
      <c r="A10" s="60">
        <v>6</v>
      </c>
      <c r="B10" s="50" t="s">
        <v>31</v>
      </c>
      <c r="C10" s="110">
        <f>'2025年'!I12</f>
        <v>34</v>
      </c>
      <c r="D10" s="110">
        <f>'2026年'!I12</f>
        <v>850.00000000000011</v>
      </c>
      <c r="E10" s="110">
        <f>'2027年'!I12</f>
        <v>10200</v>
      </c>
      <c r="F10" s="110">
        <f>'2029年'!I12</f>
        <v>0</v>
      </c>
      <c r="G10" s="110">
        <f>'2030年 '!I12</f>
        <v>0</v>
      </c>
      <c r="H10" s="110">
        <f>'2031年'!I12</f>
        <v>0</v>
      </c>
      <c r="I10" s="110">
        <f>'2032年'!I12</f>
        <v>0</v>
      </c>
      <c r="J10" s="110">
        <f t="shared" si="0"/>
        <v>11084</v>
      </c>
      <c r="AK10" s="50" t="s">
        <v>32</v>
      </c>
      <c r="AL10" s="50" t="s">
        <v>31</v>
      </c>
    </row>
    <row r="11" spans="1:39" s="46" customFormat="1" ht="15.75" customHeight="1">
      <c r="A11" s="60">
        <v>7</v>
      </c>
      <c r="B11" s="112" t="s">
        <v>33</v>
      </c>
      <c r="C11" s="110">
        <f>'2025年'!I13</f>
        <v>748</v>
      </c>
      <c r="D11" s="110">
        <f>'2026年'!I13</f>
        <v>18700</v>
      </c>
      <c r="E11" s="110">
        <f>'2027年'!I13</f>
        <v>224400</v>
      </c>
      <c r="F11" s="110">
        <f>'2029年'!I13</f>
        <v>0</v>
      </c>
      <c r="G11" s="110">
        <f>'2030年 '!I13</f>
        <v>0</v>
      </c>
      <c r="H11" s="110">
        <f>'2031年'!I13</f>
        <v>0</v>
      </c>
      <c r="I11" s="110">
        <f>'2032年'!I13</f>
        <v>0</v>
      </c>
      <c r="J11" s="110">
        <f t="shared" si="0"/>
        <v>243848</v>
      </c>
      <c r="AK11" s="50" t="s">
        <v>34</v>
      </c>
      <c r="AL11" s="50" t="s">
        <v>33</v>
      </c>
      <c r="AM11" s="46" t="s">
        <v>17</v>
      </c>
    </row>
    <row r="12" spans="1:39" s="46" customFormat="1" ht="15.75" customHeight="1">
      <c r="A12" s="60">
        <v>8</v>
      </c>
      <c r="B12" s="261" t="s">
        <v>35</v>
      </c>
      <c r="C12" s="262">
        <f>'2025年'!I14</f>
        <v>1303.56</v>
      </c>
      <c r="D12" s="262">
        <f>'2026年'!I14</f>
        <v>32589</v>
      </c>
      <c r="E12" s="262">
        <f>'2027年'!I14</f>
        <v>391068</v>
      </c>
      <c r="F12" s="262">
        <f>'2029年'!I14</f>
        <v>0</v>
      </c>
      <c r="G12" s="263">
        <f>'2030年 '!I14</f>
        <v>0</v>
      </c>
      <c r="H12" s="262">
        <f>'2031年'!I14</f>
        <v>0</v>
      </c>
      <c r="I12" s="263">
        <f>'2032年'!I14</f>
        <v>0</v>
      </c>
      <c r="J12" s="262">
        <f t="shared" si="0"/>
        <v>424960.56</v>
      </c>
      <c r="AK12" s="50" t="s">
        <v>36</v>
      </c>
      <c r="AL12" s="53" t="s">
        <v>35</v>
      </c>
    </row>
    <row r="13" spans="1:39" s="46" customFormat="1" ht="15.75" customHeight="1">
      <c r="A13" s="60">
        <v>9</v>
      </c>
      <c r="B13" s="113" t="s">
        <v>37</v>
      </c>
      <c r="C13" s="110">
        <f>'2025年'!I15</f>
        <v>4380.4400000000005</v>
      </c>
      <c r="D13" s="110">
        <f>'2026年'!I15</f>
        <v>106669</v>
      </c>
      <c r="E13" s="110">
        <f>'2027年'!I15</f>
        <v>1246606.0799999998</v>
      </c>
      <c r="F13" s="110">
        <f>'2029年'!I15</f>
        <v>0</v>
      </c>
      <c r="G13" s="110">
        <f>'2030年 '!I15</f>
        <v>0</v>
      </c>
      <c r="H13" s="110">
        <f>'2031年'!I15</f>
        <v>0</v>
      </c>
      <c r="I13" s="110">
        <f>'2032年'!I15</f>
        <v>0</v>
      </c>
      <c r="J13" s="110">
        <f>J7-J8-J12</f>
        <v>1357655.52</v>
      </c>
      <c r="L13" s="107"/>
      <c r="M13" s="107"/>
      <c r="N13" s="107"/>
      <c r="O13" s="107"/>
      <c r="P13" s="107"/>
      <c r="Q13" s="107"/>
      <c r="AK13" s="50" t="s">
        <v>38</v>
      </c>
      <c r="AL13" s="53" t="s">
        <v>37</v>
      </c>
    </row>
    <row r="14" spans="1:39" ht="15.75" customHeight="1">
      <c r="A14" s="60">
        <v>10</v>
      </c>
      <c r="B14" s="114" t="s">
        <v>39</v>
      </c>
      <c r="C14" s="115">
        <f>+C13/C7</f>
        <v>0.64418235294117654</v>
      </c>
      <c r="D14" s="115">
        <f t="shared" ref="D14:I14" si="1">+D13/D7</f>
        <v>0.64027010804321727</v>
      </c>
      <c r="E14" s="115">
        <f t="shared" si="1"/>
        <v>0.63627802141264667</v>
      </c>
      <c r="F14" s="115" t="e">
        <f t="shared" si="1"/>
        <v>#DIV/0!</v>
      </c>
      <c r="G14" s="115" t="e">
        <f t="shared" si="1"/>
        <v>#DIV/0!</v>
      </c>
      <c r="H14" s="115" t="e">
        <f t="shared" si="1"/>
        <v>#DIV/0!</v>
      </c>
      <c r="I14" s="115" t="e">
        <f t="shared" si="1"/>
        <v>#DIV/0!</v>
      </c>
      <c r="J14" s="115">
        <f>+J13/J7</f>
        <v>0.63661508682294421</v>
      </c>
      <c r="AK14" s="114" t="s">
        <v>40</v>
      </c>
      <c r="AL14" s="114" t="s">
        <v>39</v>
      </c>
    </row>
    <row r="15" spans="1:39" ht="15.75" customHeight="1">
      <c r="A15" s="60">
        <v>11</v>
      </c>
      <c r="B15" s="114" t="s">
        <v>41</v>
      </c>
      <c r="C15" s="110">
        <f>'2025年'!I17</f>
        <v>85833.88</v>
      </c>
      <c r="D15" s="110">
        <f>'2026年'!I17</f>
        <v>93847</v>
      </c>
      <c r="E15" s="110">
        <f>'2027年'!I17</f>
        <v>185664</v>
      </c>
      <c r="F15" s="110"/>
      <c r="G15" s="110"/>
      <c r="H15" s="110"/>
      <c r="I15" s="110"/>
      <c r="J15" s="110">
        <f>SUM(C15:I15)</f>
        <v>365344.88</v>
      </c>
      <c r="AK15" s="114" t="s">
        <v>42</v>
      </c>
      <c r="AL15" s="114" t="s">
        <v>41</v>
      </c>
    </row>
    <row r="16" spans="1:39" ht="15.75" hidden="1" customHeight="1">
      <c r="A16" s="143"/>
      <c r="B16" s="114"/>
      <c r="C16" s="110"/>
      <c r="D16" s="110"/>
      <c r="E16" s="110"/>
      <c r="F16" s="110"/>
      <c r="G16" s="110">
        <f>'2030年 '!I18</f>
        <v>0</v>
      </c>
      <c r="H16" s="110"/>
      <c r="I16" s="110">
        <f>'2032年'!I18</f>
        <v>0</v>
      </c>
      <c r="J16" s="110"/>
      <c r="AK16" s="114"/>
      <c r="AL16" s="114"/>
    </row>
    <row r="17" spans="1:39" ht="15.75" customHeight="1">
      <c r="A17" s="60">
        <v>12</v>
      </c>
      <c r="B17" s="114" t="s">
        <v>43</v>
      </c>
      <c r="C17" s="116">
        <f>'2025年'!I19</f>
        <v>2.0399999999999996</v>
      </c>
      <c r="D17" s="116">
        <f>'2026年'!I19</f>
        <v>50.999999999999993</v>
      </c>
      <c r="E17" s="116">
        <f>'2027年'!I19</f>
        <v>611.99999999999989</v>
      </c>
      <c r="F17" s="116">
        <f>'2029年'!I19</f>
        <v>0</v>
      </c>
      <c r="G17" s="110">
        <f>'2030年 '!I19</f>
        <v>0</v>
      </c>
      <c r="H17" s="116">
        <f>'2031年'!I19</f>
        <v>0</v>
      </c>
      <c r="I17" s="110">
        <f>'2032年'!I19</f>
        <v>0</v>
      </c>
      <c r="J17" s="110">
        <f>SUM(C17:I17)</f>
        <v>665.03999999999985</v>
      </c>
      <c r="R17" s="67"/>
      <c r="AK17" s="114" t="s">
        <v>44</v>
      </c>
      <c r="AL17" s="114" t="s">
        <v>43</v>
      </c>
      <c r="AM17" s="107" t="s">
        <v>17</v>
      </c>
    </row>
    <row r="18" spans="1:39" ht="15.75" customHeight="1">
      <c r="A18" s="60">
        <v>13</v>
      </c>
      <c r="B18" s="114" t="s">
        <v>45</v>
      </c>
      <c r="C18" s="116">
        <f>'2025年'!I20</f>
        <v>1474.92</v>
      </c>
      <c r="D18" s="116">
        <f>'2026年'!I20</f>
        <v>36873</v>
      </c>
      <c r="E18" s="116">
        <f>'2027年'!I20</f>
        <v>442476</v>
      </c>
      <c r="F18" s="116">
        <f>'2029年'!I20</f>
        <v>0</v>
      </c>
      <c r="G18" s="110">
        <f>'2030年 '!I20</f>
        <v>0</v>
      </c>
      <c r="H18" s="116">
        <f>'2031年'!I20</f>
        <v>0</v>
      </c>
      <c r="I18" s="110">
        <f>'2032年'!I20</f>
        <v>0</v>
      </c>
      <c r="J18" s="110">
        <f>SUM(C18:I18)</f>
        <v>480823.92</v>
      </c>
      <c r="AK18" s="114" t="s">
        <v>46</v>
      </c>
      <c r="AL18" s="114" t="s">
        <v>45</v>
      </c>
    </row>
    <row r="19" spans="1:39" s="45" customFormat="1" ht="15.75" customHeight="1">
      <c r="A19" s="60">
        <v>14</v>
      </c>
      <c r="B19" s="58" t="s">
        <v>47</v>
      </c>
      <c r="C19" s="110">
        <f>'2025年'!I21</f>
        <v>14333.333333333334</v>
      </c>
      <c r="D19" s="110">
        <f>'2026年'!I21</f>
        <v>14333.333333333334</v>
      </c>
      <c r="E19" s="110">
        <f>'2027年'!I21</f>
        <v>14333.333333333334</v>
      </c>
      <c r="F19" s="110">
        <f>'2029年'!I21</f>
        <v>14333.333333333334</v>
      </c>
      <c r="G19" s="110">
        <f>'2030年 '!I21</f>
        <v>14333.333333333334</v>
      </c>
      <c r="H19" s="110">
        <f>'2031年'!I21</f>
        <v>14333.333333333334</v>
      </c>
      <c r="I19" s="110">
        <f>'2032年'!I21</f>
        <v>14333.333333333334</v>
      </c>
      <c r="J19" s="110">
        <f>SUM(C19:I19)</f>
        <v>100333.33333333333</v>
      </c>
      <c r="AK19" s="58"/>
      <c r="AL19" s="58"/>
    </row>
    <row r="20" spans="1:39" s="46" customFormat="1" ht="15.75" customHeight="1">
      <c r="A20" s="60">
        <v>15</v>
      </c>
      <c r="B20" s="50" t="s">
        <v>48</v>
      </c>
      <c r="C20" s="116">
        <f>'2025年'!I22</f>
        <v>183.6</v>
      </c>
      <c r="D20" s="116">
        <f>'2026年'!I22</f>
        <v>4590</v>
      </c>
      <c r="E20" s="116">
        <f>'2027年'!I22</f>
        <v>55080</v>
      </c>
      <c r="F20" s="116">
        <f>'2029年'!I22</f>
        <v>0</v>
      </c>
      <c r="G20" s="110">
        <f>'2030年 '!I22</f>
        <v>0</v>
      </c>
      <c r="H20" s="116">
        <f>'2031年'!I22</f>
        <v>0</v>
      </c>
      <c r="I20" s="110">
        <f>'2032年'!I22</f>
        <v>0</v>
      </c>
      <c r="J20" s="110">
        <f>SUM(C20:I20)</f>
        <v>59853.599999999999</v>
      </c>
      <c r="AK20" s="50" t="s">
        <v>49</v>
      </c>
      <c r="AL20" s="50" t="s">
        <v>48</v>
      </c>
    </row>
    <row r="21" spans="1:39" s="106" customFormat="1" ht="15.75" customHeight="1">
      <c r="A21" s="60">
        <v>16</v>
      </c>
      <c r="B21" s="264" t="s">
        <v>50</v>
      </c>
      <c r="C21" s="262">
        <f t="shared" ref="C21" si="2">+C20+C19+C18+C17+C15</f>
        <v>101827.77333333335</v>
      </c>
      <c r="D21" s="262">
        <f>'2026年'!I23</f>
        <v>149694.33333333334</v>
      </c>
      <c r="E21" s="262">
        <f>'2027年'!I23</f>
        <v>698165.33333333326</v>
      </c>
      <c r="F21" s="262"/>
      <c r="G21" s="263"/>
      <c r="H21" s="262"/>
      <c r="I21" s="263"/>
      <c r="J21" s="262">
        <f>SUM(C21:I21)</f>
        <v>949687.44</v>
      </c>
      <c r="AK21" s="123" t="s">
        <v>51</v>
      </c>
      <c r="AL21" s="124" t="s">
        <v>50</v>
      </c>
    </row>
    <row r="22" spans="1:39" ht="15.75" customHeight="1">
      <c r="A22" s="60">
        <v>17</v>
      </c>
      <c r="B22" s="114" t="s">
        <v>52</v>
      </c>
      <c r="C22" s="117">
        <f>+C13-C21</f>
        <v>-97447.333333333343</v>
      </c>
      <c r="D22" s="117">
        <f>'2026年'!I24</f>
        <v>-43025.333333333343</v>
      </c>
      <c r="E22" s="117">
        <f>'2027年'!I24</f>
        <v>548440.74666666659</v>
      </c>
      <c r="F22" s="117" t="e">
        <f>'2029年'!I24</f>
        <v>#DIV/0!</v>
      </c>
      <c r="G22" s="110" t="e">
        <f>'2030年 '!I24</f>
        <v>#DIV/0!</v>
      </c>
      <c r="H22" s="117" t="e">
        <f>'2031年'!I24</f>
        <v>#DIV/0!</v>
      </c>
      <c r="I22" s="110" t="e">
        <f>'2032年'!I24</f>
        <v>#DIV/0!</v>
      </c>
      <c r="J22" s="117">
        <f>+J13-J21</f>
        <v>407968.08000000007</v>
      </c>
      <c r="AK22" s="114" t="s">
        <v>53</v>
      </c>
      <c r="AL22" s="114" t="s">
        <v>52</v>
      </c>
    </row>
    <row r="23" spans="1:39" ht="15.75" customHeight="1">
      <c r="A23" s="60">
        <v>18</v>
      </c>
      <c r="B23" s="114" t="s">
        <v>274</v>
      </c>
      <c r="C23" s="117">
        <f>IF(C22&lt;0,0,C22*0.15)</f>
        <v>0</v>
      </c>
      <c r="D23" s="117">
        <f t="shared" ref="D23:I23" si="3">IF(D22&lt;0,0,D22*0.15)</f>
        <v>0</v>
      </c>
      <c r="E23" s="117">
        <f t="shared" si="3"/>
        <v>82266.111999999979</v>
      </c>
      <c r="F23" s="117" t="e">
        <f t="shared" si="3"/>
        <v>#DIV/0!</v>
      </c>
      <c r="G23" s="117" t="e">
        <f t="shared" si="3"/>
        <v>#DIV/0!</v>
      </c>
      <c r="H23" s="117" t="e">
        <f t="shared" si="3"/>
        <v>#DIV/0!</v>
      </c>
      <c r="I23" s="117" t="e">
        <f t="shared" si="3"/>
        <v>#DIV/0!</v>
      </c>
      <c r="J23" s="117">
        <f>IF(J22&lt;0,0,J22*0.15)</f>
        <v>61195.212000000007</v>
      </c>
      <c r="AK23" s="114" t="s">
        <v>55</v>
      </c>
      <c r="AL23" s="114" t="s">
        <v>54</v>
      </c>
    </row>
    <row r="24" spans="1:39" s="46" customFormat="1" ht="15.75" customHeight="1">
      <c r="A24" s="198">
        <v>19</v>
      </c>
      <c r="B24" s="50" t="s">
        <v>56</v>
      </c>
      <c r="C24" s="110">
        <f>C22-C23</f>
        <v>-97447.333333333343</v>
      </c>
      <c r="D24" s="110">
        <f>'2026年'!I26</f>
        <v>-43025.333333333343</v>
      </c>
      <c r="E24" s="110">
        <f>'2027年'!I26</f>
        <v>466174.63466666662</v>
      </c>
      <c r="F24" s="110" t="e">
        <f>'2029年'!I26</f>
        <v>#DIV/0!</v>
      </c>
      <c r="G24" s="110" t="e">
        <f>'2030年 '!I26</f>
        <v>#DIV/0!</v>
      </c>
      <c r="H24" s="110" t="e">
        <f>'2031年'!I26</f>
        <v>#DIV/0!</v>
      </c>
      <c r="I24" s="110" t="e">
        <f>'2032年'!I26</f>
        <v>#DIV/0!</v>
      </c>
      <c r="J24" s="110">
        <f>J22-J23</f>
        <v>346772.86800000007</v>
      </c>
      <c r="AK24" s="50" t="s">
        <v>57</v>
      </c>
      <c r="AL24" s="50" t="s">
        <v>56</v>
      </c>
    </row>
    <row r="25" spans="1:39" s="46" customFormat="1" ht="15.75" customHeight="1">
      <c r="A25" s="198">
        <v>20</v>
      </c>
      <c r="B25" s="50" t="s">
        <v>58</v>
      </c>
      <c r="C25" s="118">
        <f>(C24/C5)*100%</f>
        <v>-14.330490196078433</v>
      </c>
      <c r="D25" s="118">
        <f t="shared" ref="D25:I25" si="4">(D24/D5)*100%</f>
        <v>-0.25309019607843142</v>
      </c>
      <c r="E25" s="118">
        <f t="shared" si="4"/>
        <v>0.22851697777777777</v>
      </c>
      <c r="F25" s="118" t="e">
        <f t="shared" si="4"/>
        <v>#DIV/0!</v>
      </c>
      <c r="G25" s="118" t="e">
        <f t="shared" si="4"/>
        <v>#DIV/0!</v>
      </c>
      <c r="H25" s="118" t="e">
        <f t="shared" si="4"/>
        <v>#DIV/0!</v>
      </c>
      <c r="I25" s="118" t="e">
        <f t="shared" si="4"/>
        <v>#DIV/0!</v>
      </c>
      <c r="J25" s="118">
        <f>(J24/J5)*100%</f>
        <v>0.15642947852760739</v>
      </c>
      <c r="AK25" s="224" t="s">
        <v>59</v>
      </c>
      <c r="AL25" s="224" t="s">
        <v>60</v>
      </c>
    </row>
    <row r="26" spans="1:39" s="225" customFormat="1" ht="15.75" customHeight="1">
      <c r="C26" s="246"/>
      <c r="D26" s="246"/>
      <c r="E26" s="246"/>
      <c r="F26" s="246"/>
      <c r="G26" s="246"/>
      <c r="H26" s="226"/>
      <c r="I26" s="226"/>
      <c r="J26" s="226"/>
    </row>
    <row r="27" spans="1:39" s="225" customFormat="1" ht="15.75" customHeight="1">
      <c r="A27" s="225" t="s">
        <v>61</v>
      </c>
      <c r="C27" s="227"/>
      <c r="D27" s="227"/>
      <c r="E27" s="227"/>
      <c r="F27" s="227"/>
      <c r="G27" s="227"/>
      <c r="H27" s="227"/>
      <c r="I27" s="227"/>
      <c r="J27" s="227"/>
      <c r="AK27" s="225" t="s">
        <v>61</v>
      </c>
    </row>
    <row r="28" spans="1:39" s="46" customFormat="1" ht="24.75" customHeight="1">
      <c r="A28" s="51" t="s">
        <v>14</v>
      </c>
      <c r="B28" s="51" t="s">
        <v>278</v>
      </c>
      <c r="C28" s="109" t="str">
        <f>C3</f>
        <v>2025年</v>
      </c>
      <c r="D28" s="109" t="str">
        <f t="shared" ref="D28:I28" si="5">D3</f>
        <v>2026年</v>
      </c>
      <c r="E28" s="109" t="str">
        <f t="shared" si="5"/>
        <v>2027年</v>
      </c>
      <c r="F28" s="109" t="str">
        <f t="shared" si="5"/>
        <v>2028年</v>
      </c>
      <c r="G28" s="109" t="str">
        <f t="shared" si="5"/>
        <v>2029年</v>
      </c>
      <c r="H28" s="109" t="str">
        <f t="shared" si="5"/>
        <v>2030年</v>
      </c>
      <c r="I28" s="109" t="str">
        <f t="shared" si="5"/>
        <v>2031年</v>
      </c>
      <c r="J28" s="253" t="s">
        <v>275</v>
      </c>
      <c r="AM28" s="46" t="s">
        <v>16</v>
      </c>
    </row>
    <row r="29" spans="1:39" s="46" customFormat="1" ht="15.75" customHeight="1">
      <c r="A29" s="50" t="s">
        <v>62</v>
      </c>
      <c r="B29" s="53" t="s">
        <v>63</v>
      </c>
      <c r="C29" s="57"/>
      <c r="D29" s="57"/>
      <c r="E29" s="57"/>
      <c r="F29" s="57"/>
      <c r="G29" s="57"/>
      <c r="H29" s="57"/>
      <c r="I29" s="57"/>
      <c r="J29" s="57"/>
      <c r="AK29" s="50" t="s">
        <v>64</v>
      </c>
      <c r="AL29" s="53" t="s">
        <v>63</v>
      </c>
    </row>
    <row r="30" spans="1:39" s="46" customFormat="1" ht="15.75" customHeight="1">
      <c r="A30" s="50" t="s">
        <v>19</v>
      </c>
      <c r="B30" s="50" t="s">
        <v>65</v>
      </c>
      <c r="C30" s="52">
        <f>+C7/C4</f>
        <v>34</v>
      </c>
      <c r="D30" s="52">
        <f t="shared" ref="D30:H30" si="6">+D7/D4</f>
        <v>33.32</v>
      </c>
      <c r="E30" s="52">
        <f t="shared" si="6"/>
        <v>32.653599999999997</v>
      </c>
      <c r="F30" s="52" t="e">
        <f t="shared" si="6"/>
        <v>#DIV/0!</v>
      </c>
      <c r="G30" s="52" t="e">
        <f t="shared" si="6"/>
        <v>#DIV/0!</v>
      </c>
      <c r="H30" s="52" t="e">
        <f t="shared" si="6"/>
        <v>#DIV/0!</v>
      </c>
      <c r="I30" s="52" t="e">
        <f t="shared" ref="I30" si="7">+I7/I4</f>
        <v>#DIV/0!</v>
      </c>
      <c r="J30" s="52">
        <f>+J7/J4</f>
        <v>32.708834355828223</v>
      </c>
      <c r="AK30" s="50" t="s">
        <v>19</v>
      </c>
      <c r="AL30" s="50" t="s">
        <v>65</v>
      </c>
    </row>
    <row r="31" spans="1:39" s="46" customFormat="1" ht="15.75" customHeight="1">
      <c r="A31" s="50" t="s">
        <v>21</v>
      </c>
      <c r="B31" s="50" t="s">
        <v>66</v>
      </c>
      <c r="C31" s="52">
        <f>+C8/C4</f>
        <v>5.58</v>
      </c>
      <c r="D31" s="52">
        <f t="shared" ref="D31:J31" si="8">+D8/D4</f>
        <v>5.4683999999999999</v>
      </c>
      <c r="E31" s="52">
        <f t="shared" si="8"/>
        <v>5.359032</v>
      </c>
      <c r="F31" s="52" t="e">
        <f t="shared" si="8"/>
        <v>#DIV/0!</v>
      </c>
      <c r="G31" s="52" t="e">
        <f t="shared" si="8"/>
        <v>#DIV/0!</v>
      </c>
      <c r="H31" s="52" t="e">
        <f t="shared" si="8"/>
        <v>#DIV/0!</v>
      </c>
      <c r="I31" s="52" t="e">
        <f t="shared" ref="I31" si="9">+I8/I4</f>
        <v>#DIV/0!</v>
      </c>
      <c r="J31" s="52">
        <f t="shared" si="8"/>
        <v>5.3680969325153374</v>
      </c>
      <c r="AK31" s="50" t="s">
        <v>21</v>
      </c>
      <c r="AL31" s="50" t="s">
        <v>66</v>
      </c>
    </row>
    <row r="32" spans="1:39" s="46" customFormat="1" ht="15.75" customHeight="1">
      <c r="A32" s="50" t="s">
        <v>67</v>
      </c>
      <c r="B32" s="50" t="s">
        <v>68</v>
      </c>
      <c r="C32" s="57">
        <f t="shared" ref="C32:J32" si="10">C30-C31</f>
        <v>28.42</v>
      </c>
      <c r="D32" s="57">
        <f t="shared" si="10"/>
        <v>27.851600000000001</v>
      </c>
      <c r="E32" s="57">
        <f t="shared" si="10"/>
        <v>27.294567999999998</v>
      </c>
      <c r="F32" s="57" t="e">
        <f t="shared" si="10"/>
        <v>#DIV/0!</v>
      </c>
      <c r="G32" s="57" t="e">
        <f t="shared" si="10"/>
        <v>#DIV/0!</v>
      </c>
      <c r="H32" s="57" t="e">
        <f t="shared" si="10"/>
        <v>#DIV/0!</v>
      </c>
      <c r="I32" s="57" t="e">
        <f t="shared" ref="I32" si="11">I30-I31</f>
        <v>#DIV/0!</v>
      </c>
      <c r="J32" s="57">
        <f t="shared" si="10"/>
        <v>27.340737423312888</v>
      </c>
      <c r="AK32" s="50" t="s">
        <v>67</v>
      </c>
      <c r="AL32" s="50" t="s">
        <v>68</v>
      </c>
    </row>
    <row r="33" spans="1:38" s="46" customFormat="1" ht="15.75" customHeight="1">
      <c r="A33" s="50">
        <v>3.1</v>
      </c>
      <c r="B33" s="50" t="s">
        <v>69</v>
      </c>
      <c r="C33" s="228">
        <f t="shared" ref="C33:H33" si="12">C32/C30</f>
        <v>0.83588235294117652</v>
      </c>
      <c r="D33" s="228">
        <f t="shared" si="12"/>
        <v>0.83588235294117652</v>
      </c>
      <c r="E33" s="228">
        <f t="shared" si="12"/>
        <v>0.83588235294117652</v>
      </c>
      <c r="F33" s="228" t="e">
        <f t="shared" si="12"/>
        <v>#DIV/0!</v>
      </c>
      <c r="G33" s="228" t="e">
        <f t="shared" si="12"/>
        <v>#DIV/0!</v>
      </c>
      <c r="H33" s="228" t="e">
        <f t="shared" si="12"/>
        <v>#DIV/0!</v>
      </c>
      <c r="I33" s="228" t="e">
        <f t="shared" ref="I33" si="13">I32/I30</f>
        <v>#DIV/0!</v>
      </c>
      <c r="J33" s="228">
        <f t="shared" ref="J33" si="14">J32/J30</f>
        <v>0.83588235294117652</v>
      </c>
      <c r="AK33" s="50"/>
      <c r="AL33" s="50"/>
    </row>
    <row r="34" spans="1:38" s="46" customFormat="1" ht="15.75" customHeight="1">
      <c r="A34" s="50" t="s">
        <v>64</v>
      </c>
      <c r="B34" s="53" t="s">
        <v>8</v>
      </c>
      <c r="C34" s="57"/>
      <c r="D34" s="57"/>
      <c r="E34" s="57"/>
      <c r="F34" s="57"/>
      <c r="G34" s="57"/>
      <c r="H34" s="57"/>
      <c r="I34" s="57"/>
      <c r="J34" s="57"/>
      <c r="AK34" s="50" t="s">
        <v>70</v>
      </c>
      <c r="AL34" s="53" t="s">
        <v>8</v>
      </c>
    </row>
    <row r="35" spans="1:38" s="46" customFormat="1" ht="15.75" customHeight="1">
      <c r="A35" s="50" t="s">
        <v>19</v>
      </c>
      <c r="B35" s="58" t="s">
        <v>71</v>
      </c>
      <c r="C35" s="52">
        <f>+C9/C4</f>
        <v>2.6078000000000001</v>
      </c>
      <c r="D35" s="52">
        <f t="shared" ref="D35:F35" si="15">+D9/D4</f>
        <v>2.6078000000000001</v>
      </c>
      <c r="E35" s="52">
        <f t="shared" si="15"/>
        <v>2.6078000000000001</v>
      </c>
      <c r="F35" s="52" t="e">
        <f t="shared" si="15"/>
        <v>#DIV/0!</v>
      </c>
      <c r="G35" s="52" t="e">
        <f t="shared" ref="G35:H35" si="16">+G9/G4</f>
        <v>#DIV/0!</v>
      </c>
      <c r="H35" s="52" t="e">
        <f t="shared" si="16"/>
        <v>#DIV/0!</v>
      </c>
      <c r="I35" s="52" t="e">
        <f t="shared" ref="I35" si="17">+I9/I4</f>
        <v>#DIV/0!</v>
      </c>
      <c r="J35" s="52">
        <f>+J9/J4</f>
        <v>2.6078000000000001</v>
      </c>
      <c r="AK35" s="50" t="s">
        <v>67</v>
      </c>
      <c r="AL35" s="50" t="s">
        <v>71</v>
      </c>
    </row>
    <row r="36" spans="1:38" s="46" customFormat="1" ht="15.75" customHeight="1">
      <c r="A36" s="50" t="s">
        <v>21</v>
      </c>
      <c r="B36" s="58" t="s">
        <v>72</v>
      </c>
      <c r="C36" s="52">
        <f>+C10/C4</f>
        <v>0.17</v>
      </c>
      <c r="D36" s="52">
        <f t="shared" ref="D36:F36" si="18">+D10/D4</f>
        <v>0.17</v>
      </c>
      <c r="E36" s="52">
        <f t="shared" si="18"/>
        <v>0.17</v>
      </c>
      <c r="F36" s="52" t="e">
        <f t="shared" si="18"/>
        <v>#DIV/0!</v>
      </c>
      <c r="G36" s="52" t="e">
        <f t="shared" ref="G36:H36" si="19">+G10/G4</f>
        <v>#DIV/0!</v>
      </c>
      <c r="H36" s="52" t="e">
        <f t="shared" si="19"/>
        <v>#DIV/0!</v>
      </c>
      <c r="I36" s="52" t="e">
        <f t="shared" ref="I36" si="20">+I10/I4</f>
        <v>#DIV/0!</v>
      </c>
      <c r="J36" s="52">
        <f>+J10/J4</f>
        <v>0.17</v>
      </c>
      <c r="AK36" s="50" t="s">
        <v>24</v>
      </c>
      <c r="AL36" s="50" t="s">
        <v>72</v>
      </c>
    </row>
    <row r="37" spans="1:38" s="46" customFormat="1" ht="15.75" customHeight="1">
      <c r="A37" s="50" t="s">
        <v>67</v>
      </c>
      <c r="B37" s="58" t="s">
        <v>73</v>
      </c>
      <c r="C37" s="52">
        <f>+C11/C4</f>
        <v>3.74</v>
      </c>
      <c r="D37" s="52">
        <f t="shared" ref="D37:F37" si="21">+D11/D4</f>
        <v>3.74</v>
      </c>
      <c r="E37" s="52">
        <f t="shared" si="21"/>
        <v>3.74</v>
      </c>
      <c r="F37" s="52" t="e">
        <f t="shared" si="21"/>
        <v>#DIV/0!</v>
      </c>
      <c r="G37" s="52" t="e">
        <f t="shared" ref="G37:H37" si="22">+G11/G4</f>
        <v>#DIV/0!</v>
      </c>
      <c r="H37" s="52" t="e">
        <f t="shared" si="22"/>
        <v>#DIV/0!</v>
      </c>
      <c r="I37" s="52" t="e">
        <f t="shared" ref="I37" si="23">+I11/I4</f>
        <v>#DIV/0!</v>
      </c>
      <c r="J37" s="52">
        <f>+J11/J4</f>
        <v>3.74</v>
      </c>
      <c r="AK37" s="50" t="s">
        <v>30</v>
      </c>
      <c r="AL37" s="50" t="s">
        <v>73</v>
      </c>
    </row>
    <row r="38" spans="1:38" s="46" customFormat="1" ht="15.75" customHeight="1">
      <c r="A38" s="50" t="s">
        <v>74</v>
      </c>
      <c r="B38" s="113" t="s">
        <v>75</v>
      </c>
      <c r="C38" s="52"/>
      <c r="D38" s="52"/>
      <c r="E38" s="52"/>
      <c r="F38" s="52"/>
      <c r="G38" s="52"/>
      <c r="H38" s="52"/>
      <c r="I38" s="52"/>
      <c r="J38" s="52"/>
      <c r="AK38" s="50" t="s">
        <v>74</v>
      </c>
      <c r="AL38" s="53" t="s">
        <v>75</v>
      </c>
    </row>
    <row r="39" spans="1:38" s="46" customFormat="1" ht="15.75" customHeight="1">
      <c r="A39" s="50" t="s">
        <v>19</v>
      </c>
      <c r="B39" s="58" t="s">
        <v>76</v>
      </c>
      <c r="C39" s="52">
        <f>+C13/C4</f>
        <v>21.902200000000004</v>
      </c>
      <c r="D39" s="52">
        <f t="shared" ref="D39:H39" si="24">+D13/D4</f>
        <v>21.3338</v>
      </c>
      <c r="E39" s="52">
        <f t="shared" si="24"/>
        <v>20.776767999999997</v>
      </c>
      <c r="F39" s="52" t="e">
        <f t="shared" si="24"/>
        <v>#DIV/0!</v>
      </c>
      <c r="G39" s="52" t="e">
        <f t="shared" ref="G39" si="25">+G13/G4</f>
        <v>#DIV/0!</v>
      </c>
      <c r="H39" s="52" t="e">
        <f t="shared" si="24"/>
        <v>#DIV/0!</v>
      </c>
      <c r="I39" s="52" t="e">
        <f t="shared" ref="I39" si="26">+I13/I4</f>
        <v>#DIV/0!</v>
      </c>
      <c r="J39" s="52">
        <f>+J13/J4</f>
        <v>20.822937423312883</v>
      </c>
      <c r="AK39" s="50" t="s">
        <v>19</v>
      </c>
      <c r="AL39" s="50" t="s">
        <v>77</v>
      </c>
    </row>
    <row r="40" spans="1:38" s="46" customFormat="1" ht="15.75" customHeight="1">
      <c r="A40" s="50" t="s">
        <v>21</v>
      </c>
      <c r="B40" s="58" t="s">
        <v>78</v>
      </c>
      <c r="C40" s="110">
        <f t="shared" ref="C40:H40" si="27">+C21/C39</f>
        <v>4649.2029719997681</v>
      </c>
      <c r="D40" s="110">
        <f t="shared" si="27"/>
        <v>7016.7683831916183</v>
      </c>
      <c r="E40" s="110">
        <f t="shared" si="27"/>
        <v>33603.173185229454</v>
      </c>
      <c r="F40" s="110" t="e">
        <f t="shared" si="27"/>
        <v>#DIV/0!</v>
      </c>
      <c r="G40" s="110" t="e">
        <f t="shared" ref="G40" si="28">+G21/G39</f>
        <v>#DIV/0!</v>
      </c>
      <c r="H40" s="110" t="e">
        <f t="shared" si="27"/>
        <v>#DIV/0!</v>
      </c>
      <c r="I40" s="110" t="e">
        <f t="shared" ref="I40" si="29">+I21/I39</f>
        <v>#DIV/0!</v>
      </c>
      <c r="J40" s="110">
        <f t="shared" ref="J40" si="30">+J21/J39</f>
        <v>45607.755557904704</v>
      </c>
      <c r="AK40" s="50" t="s">
        <v>21</v>
      </c>
      <c r="AL40" s="50" t="s">
        <v>78</v>
      </c>
    </row>
    <row r="41" spans="1:38" s="46" customFormat="1" ht="15.75" customHeight="1">
      <c r="A41" s="50" t="s">
        <v>79</v>
      </c>
      <c r="B41" s="53" t="s">
        <v>80</v>
      </c>
      <c r="C41" s="57"/>
      <c r="D41" s="57"/>
      <c r="E41" s="57"/>
      <c r="F41" s="57"/>
      <c r="G41" s="57"/>
      <c r="H41" s="57"/>
      <c r="I41" s="57"/>
      <c r="J41" s="57"/>
      <c r="AK41" s="50" t="s">
        <v>79</v>
      </c>
      <c r="AL41" s="53" t="s">
        <v>80</v>
      </c>
    </row>
    <row r="42" spans="1:38" s="46" customFormat="1" ht="15.75" customHeight="1">
      <c r="A42" s="50" t="s">
        <v>19</v>
      </c>
      <c r="B42" s="50" t="s">
        <v>81</v>
      </c>
      <c r="C42" s="57">
        <f>+C15/C4</f>
        <v>429.1694</v>
      </c>
      <c r="D42" s="57">
        <f t="shared" ref="D42:H42" si="31">+D15/D4</f>
        <v>18.769400000000001</v>
      </c>
      <c r="E42" s="57">
        <f t="shared" si="31"/>
        <v>3.0943999999999998</v>
      </c>
      <c r="F42" s="57" t="e">
        <f t="shared" si="31"/>
        <v>#DIV/0!</v>
      </c>
      <c r="G42" s="57" t="e">
        <f t="shared" ref="G42" si="32">+G15/G4</f>
        <v>#DIV/0!</v>
      </c>
      <c r="H42" s="57" t="e">
        <f t="shared" si="31"/>
        <v>#DIV/0!</v>
      </c>
      <c r="I42" s="57" t="e">
        <f t="shared" ref="I42" si="33">+I15/I4</f>
        <v>#DIV/0!</v>
      </c>
      <c r="J42" s="57">
        <f>+J15/J4</f>
        <v>5.6034490797546015</v>
      </c>
      <c r="AK42" s="50" t="s">
        <v>19</v>
      </c>
      <c r="AL42" s="50" t="s">
        <v>81</v>
      </c>
    </row>
    <row r="43" spans="1:38" s="46" customFormat="1" ht="15.75" customHeight="1">
      <c r="A43" s="50" t="s">
        <v>21</v>
      </c>
      <c r="B43" s="50" t="s">
        <v>82</v>
      </c>
      <c r="C43" s="57">
        <f>+C17/C4</f>
        <v>1.0199999999999997E-2</v>
      </c>
      <c r="D43" s="57">
        <f t="shared" ref="D43:H43" si="34">+D17/D4</f>
        <v>1.0199999999999999E-2</v>
      </c>
      <c r="E43" s="57">
        <f t="shared" si="34"/>
        <v>1.0199999999999997E-2</v>
      </c>
      <c r="F43" s="57" t="e">
        <f t="shared" si="34"/>
        <v>#DIV/0!</v>
      </c>
      <c r="G43" s="57" t="e">
        <f t="shared" ref="G43" si="35">+G17/G4</f>
        <v>#DIV/0!</v>
      </c>
      <c r="H43" s="57" t="e">
        <f t="shared" si="34"/>
        <v>#DIV/0!</v>
      </c>
      <c r="I43" s="57" t="e">
        <f t="shared" ref="I43" si="36">+I17/I4</f>
        <v>#DIV/0!</v>
      </c>
      <c r="J43" s="57">
        <f>+J17/J4</f>
        <v>1.0199999999999997E-2</v>
      </c>
      <c r="AK43" s="50" t="s">
        <v>21</v>
      </c>
      <c r="AL43" s="50" t="s">
        <v>82</v>
      </c>
    </row>
    <row r="44" spans="1:38" s="46" customFormat="1" ht="15.75" customHeight="1">
      <c r="A44" s="50" t="s">
        <v>67</v>
      </c>
      <c r="B44" s="50" t="s">
        <v>83</v>
      </c>
      <c r="C44" s="57">
        <f>+C18/C4</f>
        <v>7.3746</v>
      </c>
      <c r="D44" s="57">
        <f t="shared" ref="D44:H44" si="37">+D18/D4</f>
        <v>7.3746</v>
      </c>
      <c r="E44" s="57">
        <f t="shared" si="37"/>
        <v>7.3746</v>
      </c>
      <c r="F44" s="57" t="e">
        <f t="shared" si="37"/>
        <v>#DIV/0!</v>
      </c>
      <c r="G44" s="57" t="e">
        <f t="shared" ref="G44" si="38">+G18/G4</f>
        <v>#DIV/0!</v>
      </c>
      <c r="H44" s="57" t="e">
        <f t="shared" si="37"/>
        <v>#DIV/0!</v>
      </c>
      <c r="I44" s="57" t="e">
        <f t="shared" ref="I44" si="39">+I18/I4</f>
        <v>#DIV/0!</v>
      </c>
      <c r="J44" s="57">
        <f>+J18/J4</f>
        <v>7.3746</v>
      </c>
      <c r="AK44" s="50" t="s">
        <v>67</v>
      </c>
      <c r="AL44" s="50" t="s">
        <v>83</v>
      </c>
    </row>
    <row r="45" spans="1:38" s="46" customFormat="1" ht="15.75" customHeight="1">
      <c r="A45" s="50" t="s">
        <v>24</v>
      </c>
      <c r="B45" s="50" t="s">
        <v>84</v>
      </c>
      <c r="C45" s="57"/>
      <c r="D45" s="57"/>
      <c r="E45" s="57"/>
      <c r="F45" s="57"/>
      <c r="G45" s="57"/>
      <c r="H45" s="57"/>
      <c r="I45" s="57"/>
      <c r="J45" s="57"/>
      <c r="AK45" s="50" t="s">
        <v>24</v>
      </c>
      <c r="AL45" s="50" t="s">
        <v>85</v>
      </c>
    </row>
    <row r="46" spans="1:38" s="46" customFormat="1" ht="15.75" customHeight="1">
      <c r="A46" s="50" t="s">
        <v>27</v>
      </c>
      <c r="B46" s="50" t="s">
        <v>86</v>
      </c>
      <c r="C46" s="57"/>
      <c r="D46" s="57"/>
      <c r="E46" s="57"/>
      <c r="F46" s="57"/>
      <c r="G46" s="57"/>
      <c r="H46" s="57"/>
      <c r="I46" s="57"/>
      <c r="J46" s="57"/>
      <c r="AK46" s="50" t="s">
        <v>27</v>
      </c>
      <c r="AL46" s="50" t="s">
        <v>86</v>
      </c>
    </row>
    <row r="47" spans="1:38" s="46" customFormat="1" ht="15.75" customHeight="1">
      <c r="A47" s="50" t="s">
        <v>87</v>
      </c>
      <c r="B47" s="53" t="s">
        <v>88</v>
      </c>
      <c r="C47" s="57"/>
      <c r="D47" s="57"/>
      <c r="E47" s="57"/>
      <c r="F47" s="57"/>
      <c r="G47" s="57"/>
      <c r="H47" s="57"/>
      <c r="I47" s="57"/>
      <c r="J47" s="57"/>
      <c r="AK47" s="50" t="s">
        <v>87</v>
      </c>
      <c r="AL47" s="53" t="s">
        <v>88</v>
      </c>
    </row>
    <row r="48" spans="1:38" s="46" customFormat="1" ht="15.75" customHeight="1">
      <c r="A48" s="50" t="s">
        <v>19</v>
      </c>
      <c r="B48" s="50" t="s">
        <v>89</v>
      </c>
      <c r="C48" s="118">
        <f>+(C11+C17)/C7</f>
        <v>0.1103</v>
      </c>
      <c r="D48" s="118">
        <f t="shared" ref="D48:H48" si="40">+(D11+D17)/D7</f>
        <v>0.11255102040816327</v>
      </c>
      <c r="E48" s="118">
        <f t="shared" si="40"/>
        <v>0.11484798000832988</v>
      </c>
      <c r="F48" s="118" t="e">
        <f t="shared" si="40"/>
        <v>#DIV/0!</v>
      </c>
      <c r="G48" s="118" t="e">
        <f t="shared" ref="G48" si="41">+(G11+G17)/G7</f>
        <v>#DIV/0!</v>
      </c>
      <c r="H48" s="118" t="e">
        <f t="shared" si="40"/>
        <v>#DIV/0!</v>
      </c>
      <c r="I48" s="118" t="e">
        <f t="shared" ref="I48" si="42">+(I11+I17)/I7</f>
        <v>#DIV/0!</v>
      </c>
      <c r="J48" s="118">
        <f>+(J11+J17)/J7</f>
        <v>0.11465403992092342</v>
      </c>
      <c r="AK48" s="50" t="s">
        <v>19</v>
      </c>
      <c r="AL48" s="50" t="s">
        <v>89</v>
      </c>
    </row>
    <row r="49" spans="1:38" s="46" customFormat="1" ht="15.75" customHeight="1">
      <c r="A49" s="50" t="s">
        <v>21</v>
      </c>
      <c r="B49" s="50" t="s">
        <v>90</v>
      </c>
      <c r="C49" s="118">
        <f>+(C9+C10+C15)/C7</f>
        <v>12.704329411764705</v>
      </c>
      <c r="D49" s="118">
        <f t="shared" ref="D49:H49" si="43">+(D9+D10+D15)/D7</f>
        <v>0.64667466986794719</v>
      </c>
      <c r="E49" s="118">
        <f t="shared" si="43"/>
        <v>0.1798331577528971</v>
      </c>
      <c r="F49" s="118" t="e">
        <f t="shared" si="43"/>
        <v>#DIV/0!</v>
      </c>
      <c r="G49" s="118" t="e">
        <f t="shared" ref="G49" si="44">+(G9+G10+G15)/G7</f>
        <v>#DIV/0!</v>
      </c>
      <c r="H49" s="118" t="e">
        <f t="shared" si="43"/>
        <v>#DIV/0!</v>
      </c>
      <c r="I49" s="118" t="e">
        <f t="shared" ref="I49" si="45">+(I9+I10+I15)/I7</f>
        <v>#DIV/0!</v>
      </c>
      <c r="J49" s="118">
        <f>+(J9+J10+J15)/J7</f>
        <v>0.25623808505610007</v>
      </c>
      <c r="AK49" s="50" t="s">
        <v>21</v>
      </c>
      <c r="AL49" s="50" t="s">
        <v>90</v>
      </c>
    </row>
    <row r="50" spans="1:38" s="46" customFormat="1" ht="15.75" customHeight="1">
      <c r="A50" s="50" t="s">
        <v>67</v>
      </c>
      <c r="B50" s="50" t="s">
        <v>91</v>
      </c>
      <c r="C50" s="118">
        <f>+C18/C7</f>
        <v>0.21690000000000001</v>
      </c>
      <c r="D50" s="118">
        <f t="shared" ref="D50:H50" si="46">+D18/D7</f>
        <v>0.22132653061224489</v>
      </c>
      <c r="E50" s="118">
        <f t="shared" si="46"/>
        <v>0.22584339858392338</v>
      </c>
      <c r="F50" s="118" t="e">
        <f t="shared" si="46"/>
        <v>#DIV/0!</v>
      </c>
      <c r="G50" s="118" t="e">
        <f t="shared" ref="G50" si="47">+G18/G7</f>
        <v>#DIV/0!</v>
      </c>
      <c r="H50" s="118" t="e">
        <f t="shared" si="46"/>
        <v>#DIV/0!</v>
      </c>
      <c r="I50" s="118" t="e">
        <f t="shared" ref="I50" si="48">+I18/I7</f>
        <v>#DIV/0!</v>
      </c>
      <c r="J50" s="118">
        <f>+J18/J7</f>
        <v>0.22546202410560551</v>
      </c>
      <c r="AK50" s="50" t="s">
        <v>67</v>
      </c>
      <c r="AL50" s="50" t="s">
        <v>91</v>
      </c>
    </row>
    <row r="51" spans="1:38" s="46" customFormat="1" ht="15.75" customHeight="1">
      <c r="A51" s="50" t="s">
        <v>24</v>
      </c>
      <c r="B51" s="50" t="s">
        <v>92</v>
      </c>
      <c r="C51" s="118">
        <f>+C19/C7</f>
        <v>2.107843137254902</v>
      </c>
      <c r="D51" s="118">
        <f t="shared" ref="D51:H51" si="49">+D19/D7</f>
        <v>8.6034413765506204E-2</v>
      </c>
      <c r="E51" s="118">
        <f t="shared" si="49"/>
        <v>7.3158515106722969E-3</v>
      </c>
      <c r="F51" s="118" t="e">
        <f t="shared" si="49"/>
        <v>#DIV/0!</v>
      </c>
      <c r="G51" s="118" t="e">
        <f t="shared" ref="G51" si="50">+G19/G7</f>
        <v>#DIV/0!</v>
      </c>
      <c r="H51" s="118" t="e">
        <f t="shared" si="49"/>
        <v>#DIV/0!</v>
      </c>
      <c r="I51" s="118" t="e">
        <f t="shared" ref="I51" si="51">+I19/I7</f>
        <v>#DIV/0!</v>
      </c>
      <c r="J51" s="118">
        <f>+J19/J7</f>
        <v>4.7047069577145315E-2</v>
      </c>
      <c r="AK51" s="50" t="s">
        <v>24</v>
      </c>
      <c r="AL51" s="50" t="s">
        <v>92</v>
      </c>
    </row>
    <row r="52" spans="1:38" s="46" customFormat="1" ht="15.75" customHeight="1">
      <c r="A52" s="50" t="s">
        <v>27</v>
      </c>
      <c r="B52" s="50" t="s">
        <v>93</v>
      </c>
      <c r="C52" s="118">
        <f>+C20/C7</f>
        <v>2.7E-2</v>
      </c>
      <c r="D52" s="118">
        <f t="shared" ref="D52:H52" si="52">+D20/D7</f>
        <v>2.7551020408163266E-2</v>
      </c>
      <c r="E52" s="118">
        <f t="shared" si="52"/>
        <v>2.8113286130778844E-2</v>
      </c>
      <c r="F52" s="118" t="e">
        <f t="shared" si="52"/>
        <v>#DIV/0!</v>
      </c>
      <c r="G52" s="118" t="e">
        <f t="shared" ref="G52" si="53">+G20/G7</f>
        <v>#DIV/0!</v>
      </c>
      <c r="H52" s="118" t="e">
        <f t="shared" si="52"/>
        <v>#DIV/0!</v>
      </c>
      <c r="I52" s="118" t="e">
        <f t="shared" ref="I52" si="54">+I20/I7</f>
        <v>#DIV/0!</v>
      </c>
      <c r="J52" s="118">
        <f>+J20/J7</f>
        <v>2.8065812129328484E-2</v>
      </c>
      <c r="AK52" s="50" t="s">
        <v>27</v>
      </c>
      <c r="AL52" s="50" t="s">
        <v>93</v>
      </c>
    </row>
    <row r="53" spans="1:38" s="46" customFormat="1" ht="15.75" customHeight="1">
      <c r="A53" s="50" t="s">
        <v>30</v>
      </c>
      <c r="B53" s="50" t="s">
        <v>94</v>
      </c>
      <c r="C53" s="118">
        <f>+C24/C7</f>
        <v>-14.330490196078433</v>
      </c>
      <c r="D53" s="118">
        <f t="shared" ref="D53:H53" si="55">+D24/D7</f>
        <v>-0.25825530212084841</v>
      </c>
      <c r="E53" s="118">
        <f t="shared" si="55"/>
        <v>0.23793937711138877</v>
      </c>
      <c r="F53" s="118" t="e">
        <f t="shared" si="55"/>
        <v>#DIV/0!</v>
      </c>
      <c r="G53" s="118" t="e">
        <f t="shared" ref="G53" si="56">+G24/G7</f>
        <v>#DIV/0!</v>
      </c>
      <c r="H53" s="118" t="e">
        <f t="shared" si="55"/>
        <v>#DIV/0!</v>
      </c>
      <c r="I53" s="118" t="e">
        <f t="shared" ref="I53" si="57">+I24/I7</f>
        <v>#DIV/0!</v>
      </c>
      <c r="J53" s="118">
        <f>+J24/J7</f>
        <v>0.16260445762387607</v>
      </c>
      <c r="AK53" s="50" t="s">
        <v>30</v>
      </c>
      <c r="AL53" s="50" t="s">
        <v>95</v>
      </c>
    </row>
    <row r="54" spans="1:38" s="46" customFormat="1" ht="15.75" customHeight="1">
      <c r="A54" s="50" t="s">
        <v>96</v>
      </c>
      <c r="B54" s="53" t="s">
        <v>97</v>
      </c>
      <c r="C54" s="57">
        <f>+C22/C4</f>
        <v>-487.23666666666674</v>
      </c>
      <c r="D54" s="57">
        <f t="shared" ref="D54:H54" si="58">+D22/D4</f>
        <v>-8.6050666666666693</v>
      </c>
      <c r="E54" s="57">
        <f t="shared" si="58"/>
        <v>9.1406791111111101</v>
      </c>
      <c r="F54" s="57" t="e">
        <f t="shared" si="58"/>
        <v>#DIV/0!</v>
      </c>
      <c r="G54" s="57" t="e">
        <f t="shared" ref="G54" si="59">+G22/G4</f>
        <v>#DIV/0!</v>
      </c>
      <c r="H54" s="57" t="e">
        <f t="shared" si="58"/>
        <v>#DIV/0!</v>
      </c>
      <c r="I54" s="57" t="e">
        <f t="shared" ref="I54" si="60">+I22/I4</f>
        <v>#DIV/0!</v>
      </c>
      <c r="J54" s="57">
        <f>+J22/J4</f>
        <v>6.2571791411042952</v>
      </c>
      <c r="AK54" s="50" t="s">
        <v>96</v>
      </c>
      <c r="AL54" s="53" t="s">
        <v>97</v>
      </c>
    </row>
    <row r="55" spans="1:38" s="46" customFormat="1" ht="15.75" customHeight="1">
      <c r="A55" s="50" t="s">
        <v>98</v>
      </c>
      <c r="B55" s="119" t="s">
        <v>99</v>
      </c>
      <c r="C55" s="57"/>
      <c r="D55" s="57"/>
      <c r="E55" s="57"/>
      <c r="F55" s="57"/>
      <c r="G55" s="57"/>
      <c r="H55" s="57"/>
      <c r="I55" s="57"/>
      <c r="J55" s="57"/>
      <c r="AK55" s="50"/>
      <c r="AL55" s="53"/>
    </row>
    <row r="56" spans="1:38" s="46" customFormat="1" ht="15.75" customHeight="1">
      <c r="A56" s="50" t="s">
        <v>19</v>
      </c>
      <c r="B56" s="50" t="s">
        <v>100</v>
      </c>
      <c r="C56" s="57">
        <f>C57+C58</f>
        <v>313000</v>
      </c>
      <c r="D56" s="57"/>
      <c r="E56" s="57"/>
      <c r="F56" s="57"/>
      <c r="G56" s="57"/>
      <c r="H56" s="57"/>
      <c r="I56" s="57"/>
      <c r="J56" s="57"/>
    </row>
    <row r="57" spans="1:38" s="46" customFormat="1" ht="15.75" customHeight="1">
      <c r="A57" s="50">
        <v>1.1000000000000001</v>
      </c>
      <c r="B57" s="120" t="s">
        <v>101</v>
      </c>
      <c r="C57" s="57">
        <f>项目投资!B27</f>
        <v>43000</v>
      </c>
      <c r="D57" s="57"/>
      <c r="E57" s="57"/>
      <c r="F57" s="57"/>
      <c r="G57" s="57"/>
      <c r="H57" s="57"/>
      <c r="I57" s="57"/>
      <c r="J57" s="57"/>
    </row>
    <row r="58" spans="1:38" s="46" customFormat="1" ht="15.75" customHeight="1">
      <c r="A58" s="50">
        <v>1.2</v>
      </c>
      <c r="B58" s="50" t="s">
        <v>102</v>
      </c>
      <c r="C58" s="57">
        <f>项目投资!B26</f>
        <v>270000</v>
      </c>
      <c r="D58" s="57"/>
      <c r="E58" s="57"/>
      <c r="F58" s="57"/>
      <c r="G58" s="57"/>
      <c r="H58" s="57"/>
      <c r="I58" s="57"/>
      <c r="J58" s="57"/>
    </row>
    <row r="59" spans="1:38" ht="15.75" customHeight="1">
      <c r="A59" s="114" t="s">
        <v>21</v>
      </c>
      <c r="B59" s="114" t="s">
        <v>103</v>
      </c>
      <c r="C59" s="121">
        <f t="shared" ref="C59:I59" si="61">C60+C61</f>
        <v>-11947.333333333343</v>
      </c>
      <c r="D59" s="121">
        <f t="shared" si="61"/>
        <v>42474.666666666657</v>
      </c>
      <c r="E59" s="121">
        <f t="shared" si="61"/>
        <v>551674.63466666662</v>
      </c>
      <c r="F59" s="121" t="e">
        <f t="shared" si="61"/>
        <v>#DIV/0!</v>
      </c>
      <c r="G59" s="121" t="e">
        <f t="shared" si="61"/>
        <v>#DIV/0!</v>
      </c>
      <c r="H59" s="121" t="e">
        <f t="shared" si="61"/>
        <v>#DIV/0!</v>
      </c>
      <c r="I59" s="121" t="e">
        <f t="shared" si="61"/>
        <v>#DIV/0!</v>
      </c>
      <c r="J59" s="121">
        <f t="shared" ref="J59" si="62">J60+J61</f>
        <v>603272.86800000002</v>
      </c>
    </row>
    <row r="60" spans="1:38" ht="15.75" customHeight="1">
      <c r="A60" s="114" t="s">
        <v>67</v>
      </c>
      <c r="B60" s="114" t="s">
        <v>104</v>
      </c>
      <c r="C60" s="121">
        <f t="shared" ref="C60:I60" si="63">C24</f>
        <v>-97447.333333333343</v>
      </c>
      <c r="D60" s="121">
        <f t="shared" si="63"/>
        <v>-43025.333333333343</v>
      </c>
      <c r="E60" s="121">
        <f t="shared" si="63"/>
        <v>466174.63466666662</v>
      </c>
      <c r="F60" s="121" t="e">
        <f t="shared" si="63"/>
        <v>#DIV/0!</v>
      </c>
      <c r="G60" s="121" t="e">
        <f t="shared" si="63"/>
        <v>#DIV/0!</v>
      </c>
      <c r="H60" s="121" t="e">
        <f t="shared" si="63"/>
        <v>#DIV/0!</v>
      </c>
      <c r="I60" s="121" t="e">
        <f t="shared" si="63"/>
        <v>#DIV/0!</v>
      </c>
      <c r="J60" s="121">
        <f t="shared" ref="J60" si="64">J24</f>
        <v>346772.86800000007</v>
      </c>
    </row>
    <row r="61" spans="1:38" ht="15.75" customHeight="1">
      <c r="A61" s="114" t="s">
        <v>24</v>
      </c>
      <c r="B61" s="114" t="s">
        <v>105</v>
      </c>
      <c r="C61" s="121">
        <f>'2025年'!I18</f>
        <v>85500</v>
      </c>
      <c r="D61" s="121">
        <f>'2026年'!I18</f>
        <v>85500</v>
      </c>
      <c r="E61" s="121">
        <f>'2027年'!I18</f>
        <v>85500</v>
      </c>
      <c r="F61" s="121">
        <f>'2029年'!I18</f>
        <v>0</v>
      </c>
      <c r="G61" s="121">
        <f>'2030年 '!I18</f>
        <v>0</v>
      </c>
      <c r="H61" s="121"/>
      <c r="I61" s="121"/>
      <c r="J61" s="121">
        <f>项目投资!K26</f>
        <v>256500</v>
      </c>
    </row>
    <row r="62" spans="1:38" ht="15.75" customHeight="1">
      <c r="A62" s="114" t="s">
        <v>27</v>
      </c>
      <c r="B62" s="114" t="s">
        <v>106</v>
      </c>
      <c r="C62" s="122"/>
      <c r="D62" s="122"/>
      <c r="E62" s="122"/>
      <c r="F62" s="122"/>
      <c r="G62" s="122"/>
      <c r="H62" s="122"/>
      <c r="I62" s="122"/>
      <c r="J62" s="121"/>
    </row>
    <row r="64" spans="1:38" ht="16.5" customHeight="1">
      <c r="C64" s="176"/>
      <c r="D64" s="176"/>
      <c r="E64" s="176"/>
      <c r="F64" s="176"/>
      <c r="G64" s="176"/>
      <c r="H64" s="176"/>
      <c r="I64" s="176"/>
      <c r="J64" s="176"/>
    </row>
    <row r="65" spans="3:10">
      <c r="C65" s="176"/>
      <c r="D65" s="176"/>
      <c r="E65" s="176"/>
      <c r="F65" s="176"/>
      <c r="G65" s="176"/>
      <c r="H65" s="176"/>
      <c r="I65" s="176"/>
      <c r="J65" s="176"/>
    </row>
    <row r="66" spans="3:10">
      <c r="C66" s="176"/>
      <c r="D66" s="176"/>
      <c r="E66" s="176"/>
      <c r="F66" s="176"/>
      <c r="G66" s="176"/>
      <c r="H66" s="176"/>
      <c r="I66" s="176"/>
      <c r="J66" s="176"/>
    </row>
    <row r="67" spans="3:10">
      <c r="C67" s="176"/>
      <c r="D67" s="176"/>
      <c r="E67" s="176"/>
      <c r="F67" s="176"/>
      <c r="G67" s="176"/>
      <c r="H67" s="176"/>
      <c r="I67" s="176"/>
      <c r="J67" s="176"/>
    </row>
  </sheetData>
  <mergeCells count="2">
    <mergeCell ref="A3:A4"/>
    <mergeCell ref="A1:J1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1" customWidth="1"/>
    <col min="2" max="2" width="28.5" style="71" customWidth="1"/>
    <col min="3" max="4" width="9.125" style="71"/>
    <col min="5" max="5" width="13.875" style="71" customWidth="1"/>
    <col min="6" max="12" width="16.125" style="71" customWidth="1"/>
    <col min="13" max="13" width="10.625" style="71" customWidth="1"/>
    <col min="14" max="254" width="9.125" style="71"/>
    <col min="255" max="255" width="8" style="71" customWidth="1"/>
    <col min="256" max="256" width="28.5" style="71" customWidth="1"/>
    <col min="257" max="268" width="9.125" style="71"/>
    <col min="269" max="269" width="10.625" style="71" customWidth="1"/>
    <col min="270" max="510" width="9.125" style="71"/>
    <col min="511" max="511" width="8" style="71" customWidth="1"/>
    <col min="512" max="512" width="28.5" style="71" customWidth="1"/>
    <col min="513" max="524" width="9.125" style="71"/>
    <col min="525" max="525" width="10.625" style="71" customWidth="1"/>
    <col min="526" max="766" width="9.125" style="71"/>
    <col min="767" max="767" width="8" style="71" customWidth="1"/>
    <col min="768" max="768" width="28.5" style="71" customWidth="1"/>
    <col min="769" max="780" width="9.125" style="71"/>
    <col min="781" max="781" width="10.625" style="71" customWidth="1"/>
    <col min="782" max="1022" width="9.125" style="71"/>
    <col min="1023" max="1023" width="8" style="71" customWidth="1"/>
    <col min="1024" max="1024" width="28.5" style="71" customWidth="1"/>
    <col min="1025" max="1036" width="9.125" style="71"/>
    <col min="1037" max="1037" width="10.625" style="71" customWidth="1"/>
    <col min="1038" max="1278" width="9.125" style="71"/>
    <col min="1279" max="1279" width="8" style="71" customWidth="1"/>
    <col min="1280" max="1280" width="28.5" style="71" customWidth="1"/>
    <col min="1281" max="1292" width="9.125" style="71"/>
    <col min="1293" max="1293" width="10.625" style="71" customWidth="1"/>
    <col min="1294" max="1534" width="9.125" style="71"/>
    <col min="1535" max="1535" width="8" style="71" customWidth="1"/>
    <col min="1536" max="1536" width="28.5" style="71" customWidth="1"/>
    <col min="1537" max="1548" width="9.125" style="71"/>
    <col min="1549" max="1549" width="10.625" style="71" customWidth="1"/>
    <col min="1550" max="1790" width="9.125" style="71"/>
    <col min="1791" max="1791" width="8" style="71" customWidth="1"/>
    <col min="1792" max="1792" width="28.5" style="71" customWidth="1"/>
    <col min="1793" max="1804" width="9.125" style="71"/>
    <col min="1805" max="1805" width="10.625" style="71" customWidth="1"/>
    <col min="1806" max="2046" width="9.125" style="71"/>
    <col min="2047" max="2047" width="8" style="71" customWidth="1"/>
    <col min="2048" max="2048" width="28.5" style="71" customWidth="1"/>
    <col min="2049" max="2060" width="9.125" style="71"/>
    <col min="2061" max="2061" width="10.625" style="71" customWidth="1"/>
    <col min="2062" max="2302" width="9.125" style="71"/>
    <col min="2303" max="2303" width="8" style="71" customWidth="1"/>
    <col min="2304" max="2304" width="28.5" style="71" customWidth="1"/>
    <col min="2305" max="2316" width="9.125" style="71"/>
    <col min="2317" max="2317" width="10.625" style="71" customWidth="1"/>
    <col min="2318" max="2558" width="9.125" style="71"/>
    <col min="2559" max="2559" width="8" style="71" customWidth="1"/>
    <col min="2560" max="2560" width="28.5" style="71" customWidth="1"/>
    <col min="2561" max="2572" width="9.125" style="71"/>
    <col min="2573" max="2573" width="10.625" style="71" customWidth="1"/>
    <col min="2574" max="2814" width="9.125" style="71"/>
    <col min="2815" max="2815" width="8" style="71" customWidth="1"/>
    <col min="2816" max="2816" width="28.5" style="71" customWidth="1"/>
    <col min="2817" max="2828" width="9.125" style="71"/>
    <col min="2829" max="2829" width="10.625" style="71" customWidth="1"/>
    <col min="2830" max="3070" width="9.125" style="71"/>
    <col min="3071" max="3071" width="8" style="71" customWidth="1"/>
    <col min="3072" max="3072" width="28.5" style="71" customWidth="1"/>
    <col min="3073" max="3084" width="9.125" style="71"/>
    <col min="3085" max="3085" width="10.625" style="71" customWidth="1"/>
    <col min="3086" max="3326" width="9.125" style="71"/>
    <col min="3327" max="3327" width="8" style="71" customWidth="1"/>
    <col min="3328" max="3328" width="28.5" style="71" customWidth="1"/>
    <col min="3329" max="3340" width="9.125" style="71"/>
    <col min="3341" max="3341" width="10.625" style="71" customWidth="1"/>
    <col min="3342" max="3582" width="9.125" style="71"/>
    <col min="3583" max="3583" width="8" style="71" customWidth="1"/>
    <col min="3584" max="3584" width="28.5" style="71" customWidth="1"/>
    <col min="3585" max="3596" width="9.125" style="71"/>
    <col min="3597" max="3597" width="10.625" style="71" customWidth="1"/>
    <col min="3598" max="3838" width="9.125" style="71"/>
    <col min="3839" max="3839" width="8" style="71" customWidth="1"/>
    <col min="3840" max="3840" width="28.5" style="71" customWidth="1"/>
    <col min="3841" max="3852" width="9.125" style="71"/>
    <col min="3853" max="3853" width="10.625" style="71" customWidth="1"/>
    <col min="3854" max="4094" width="9.125" style="71"/>
    <col min="4095" max="4095" width="8" style="71" customWidth="1"/>
    <col min="4096" max="4096" width="28.5" style="71" customWidth="1"/>
    <col min="4097" max="4108" width="9.125" style="71"/>
    <col min="4109" max="4109" width="10.625" style="71" customWidth="1"/>
    <col min="4110" max="4350" width="9.125" style="71"/>
    <col min="4351" max="4351" width="8" style="71" customWidth="1"/>
    <col min="4352" max="4352" width="28.5" style="71" customWidth="1"/>
    <col min="4353" max="4364" width="9.125" style="71"/>
    <col min="4365" max="4365" width="10.625" style="71" customWidth="1"/>
    <col min="4366" max="4606" width="9.125" style="71"/>
    <col min="4607" max="4607" width="8" style="71" customWidth="1"/>
    <col min="4608" max="4608" width="28.5" style="71" customWidth="1"/>
    <col min="4609" max="4620" width="9.125" style="71"/>
    <col min="4621" max="4621" width="10.625" style="71" customWidth="1"/>
    <col min="4622" max="4862" width="9.125" style="71"/>
    <col min="4863" max="4863" width="8" style="71" customWidth="1"/>
    <col min="4864" max="4864" width="28.5" style="71" customWidth="1"/>
    <col min="4865" max="4876" width="9.125" style="71"/>
    <col min="4877" max="4877" width="10.625" style="71" customWidth="1"/>
    <col min="4878" max="5118" width="9.125" style="71"/>
    <col min="5119" max="5119" width="8" style="71" customWidth="1"/>
    <col min="5120" max="5120" width="28.5" style="71" customWidth="1"/>
    <col min="5121" max="5132" width="9.125" style="71"/>
    <col min="5133" max="5133" width="10.625" style="71" customWidth="1"/>
    <col min="5134" max="5374" width="9.125" style="71"/>
    <col min="5375" max="5375" width="8" style="71" customWidth="1"/>
    <col min="5376" max="5376" width="28.5" style="71" customWidth="1"/>
    <col min="5377" max="5388" width="9.125" style="71"/>
    <col min="5389" max="5389" width="10.625" style="71" customWidth="1"/>
    <col min="5390" max="5630" width="9.125" style="71"/>
    <col min="5631" max="5631" width="8" style="71" customWidth="1"/>
    <col min="5632" max="5632" width="28.5" style="71" customWidth="1"/>
    <col min="5633" max="5644" width="9.125" style="71"/>
    <col min="5645" max="5645" width="10.625" style="71" customWidth="1"/>
    <col min="5646" max="5886" width="9.125" style="71"/>
    <col min="5887" max="5887" width="8" style="71" customWidth="1"/>
    <col min="5888" max="5888" width="28.5" style="71" customWidth="1"/>
    <col min="5889" max="5900" width="9.125" style="71"/>
    <col min="5901" max="5901" width="10.625" style="71" customWidth="1"/>
    <col min="5902" max="6142" width="9.125" style="71"/>
    <col min="6143" max="6143" width="8" style="71" customWidth="1"/>
    <col min="6144" max="6144" width="28.5" style="71" customWidth="1"/>
    <col min="6145" max="6156" width="9.125" style="71"/>
    <col min="6157" max="6157" width="10.625" style="71" customWidth="1"/>
    <col min="6158" max="6398" width="9.125" style="71"/>
    <col min="6399" max="6399" width="8" style="71" customWidth="1"/>
    <col min="6400" max="6400" width="28.5" style="71" customWidth="1"/>
    <col min="6401" max="6412" width="9.125" style="71"/>
    <col min="6413" max="6413" width="10.625" style="71" customWidth="1"/>
    <col min="6414" max="6654" width="9.125" style="71"/>
    <col min="6655" max="6655" width="8" style="71" customWidth="1"/>
    <col min="6656" max="6656" width="28.5" style="71" customWidth="1"/>
    <col min="6657" max="6668" width="9.125" style="71"/>
    <col min="6669" max="6669" width="10.625" style="71" customWidth="1"/>
    <col min="6670" max="6910" width="9.125" style="71"/>
    <col min="6911" max="6911" width="8" style="71" customWidth="1"/>
    <col min="6912" max="6912" width="28.5" style="71" customWidth="1"/>
    <col min="6913" max="6924" width="9.125" style="71"/>
    <col min="6925" max="6925" width="10.625" style="71" customWidth="1"/>
    <col min="6926" max="7166" width="9.125" style="71"/>
    <col min="7167" max="7167" width="8" style="71" customWidth="1"/>
    <col min="7168" max="7168" width="28.5" style="71" customWidth="1"/>
    <col min="7169" max="7180" width="9.125" style="71"/>
    <col min="7181" max="7181" width="10.625" style="71" customWidth="1"/>
    <col min="7182" max="7422" width="9.125" style="71"/>
    <col min="7423" max="7423" width="8" style="71" customWidth="1"/>
    <col min="7424" max="7424" width="28.5" style="71" customWidth="1"/>
    <col min="7425" max="7436" width="9.125" style="71"/>
    <col min="7437" max="7437" width="10.625" style="71" customWidth="1"/>
    <col min="7438" max="7678" width="9.125" style="71"/>
    <col min="7679" max="7679" width="8" style="71" customWidth="1"/>
    <col min="7680" max="7680" width="28.5" style="71" customWidth="1"/>
    <col min="7681" max="7692" width="9.125" style="71"/>
    <col min="7693" max="7693" width="10.625" style="71" customWidth="1"/>
    <col min="7694" max="7934" width="9.125" style="71"/>
    <col min="7935" max="7935" width="8" style="71" customWidth="1"/>
    <col min="7936" max="7936" width="28.5" style="71" customWidth="1"/>
    <col min="7937" max="7948" width="9.125" style="71"/>
    <col min="7949" max="7949" width="10.625" style="71" customWidth="1"/>
    <col min="7950" max="8190" width="9.125" style="71"/>
    <col min="8191" max="8191" width="8" style="71" customWidth="1"/>
    <col min="8192" max="8192" width="28.5" style="71" customWidth="1"/>
    <col min="8193" max="8204" width="9.125" style="71"/>
    <col min="8205" max="8205" width="10.625" style="71" customWidth="1"/>
    <col min="8206" max="8446" width="9.125" style="71"/>
    <col min="8447" max="8447" width="8" style="71" customWidth="1"/>
    <col min="8448" max="8448" width="28.5" style="71" customWidth="1"/>
    <col min="8449" max="8460" width="9.125" style="71"/>
    <col min="8461" max="8461" width="10.625" style="71" customWidth="1"/>
    <col min="8462" max="8702" width="9.125" style="71"/>
    <col min="8703" max="8703" width="8" style="71" customWidth="1"/>
    <col min="8704" max="8704" width="28.5" style="71" customWidth="1"/>
    <col min="8705" max="8716" width="9.125" style="71"/>
    <col min="8717" max="8717" width="10.625" style="71" customWidth="1"/>
    <col min="8718" max="8958" width="9.125" style="71"/>
    <col min="8959" max="8959" width="8" style="71" customWidth="1"/>
    <col min="8960" max="8960" width="28.5" style="71" customWidth="1"/>
    <col min="8961" max="8972" width="9.125" style="71"/>
    <col min="8973" max="8973" width="10.625" style="71" customWidth="1"/>
    <col min="8974" max="9214" width="9.125" style="71"/>
    <col min="9215" max="9215" width="8" style="71" customWidth="1"/>
    <col min="9216" max="9216" width="28.5" style="71" customWidth="1"/>
    <col min="9217" max="9228" width="9.125" style="71"/>
    <col min="9229" max="9229" width="10.625" style="71" customWidth="1"/>
    <col min="9230" max="9470" width="9.125" style="71"/>
    <col min="9471" max="9471" width="8" style="71" customWidth="1"/>
    <col min="9472" max="9472" width="28.5" style="71" customWidth="1"/>
    <col min="9473" max="9484" width="9.125" style="71"/>
    <col min="9485" max="9485" width="10.625" style="71" customWidth="1"/>
    <col min="9486" max="9726" width="9.125" style="71"/>
    <col min="9727" max="9727" width="8" style="71" customWidth="1"/>
    <col min="9728" max="9728" width="28.5" style="71" customWidth="1"/>
    <col min="9729" max="9740" width="9.125" style="71"/>
    <col min="9741" max="9741" width="10.625" style="71" customWidth="1"/>
    <col min="9742" max="9982" width="9.125" style="71"/>
    <col min="9983" max="9983" width="8" style="71" customWidth="1"/>
    <col min="9984" max="9984" width="28.5" style="71" customWidth="1"/>
    <col min="9985" max="9996" width="9.125" style="71"/>
    <col min="9997" max="9997" width="10.625" style="71" customWidth="1"/>
    <col min="9998" max="10238" width="9.125" style="71"/>
    <col min="10239" max="10239" width="8" style="71" customWidth="1"/>
    <col min="10240" max="10240" width="28.5" style="71" customWidth="1"/>
    <col min="10241" max="10252" width="9.125" style="71"/>
    <col min="10253" max="10253" width="10.625" style="71" customWidth="1"/>
    <col min="10254" max="10494" width="9.125" style="71"/>
    <col min="10495" max="10495" width="8" style="71" customWidth="1"/>
    <col min="10496" max="10496" width="28.5" style="71" customWidth="1"/>
    <col min="10497" max="10508" width="9.125" style="71"/>
    <col min="10509" max="10509" width="10.625" style="71" customWidth="1"/>
    <col min="10510" max="10750" width="9.125" style="71"/>
    <col min="10751" max="10751" width="8" style="71" customWidth="1"/>
    <col min="10752" max="10752" width="28.5" style="71" customWidth="1"/>
    <col min="10753" max="10764" width="9.125" style="71"/>
    <col min="10765" max="10765" width="10.625" style="71" customWidth="1"/>
    <col min="10766" max="11006" width="9.125" style="71"/>
    <col min="11007" max="11007" width="8" style="71" customWidth="1"/>
    <col min="11008" max="11008" width="28.5" style="71" customWidth="1"/>
    <col min="11009" max="11020" width="9.125" style="71"/>
    <col min="11021" max="11021" width="10.625" style="71" customWidth="1"/>
    <col min="11022" max="11262" width="9.125" style="71"/>
    <col min="11263" max="11263" width="8" style="71" customWidth="1"/>
    <col min="11264" max="11264" width="28.5" style="71" customWidth="1"/>
    <col min="11265" max="11276" width="9.125" style="71"/>
    <col min="11277" max="11277" width="10.625" style="71" customWidth="1"/>
    <col min="11278" max="11518" width="9.125" style="71"/>
    <col min="11519" max="11519" width="8" style="71" customWidth="1"/>
    <col min="11520" max="11520" width="28.5" style="71" customWidth="1"/>
    <col min="11521" max="11532" width="9.125" style="71"/>
    <col min="11533" max="11533" width="10.625" style="71" customWidth="1"/>
    <col min="11534" max="11774" width="9.125" style="71"/>
    <col min="11775" max="11775" width="8" style="71" customWidth="1"/>
    <col min="11776" max="11776" width="28.5" style="71" customWidth="1"/>
    <col min="11777" max="11788" width="9.125" style="71"/>
    <col min="11789" max="11789" width="10.625" style="71" customWidth="1"/>
    <col min="11790" max="12030" width="9.125" style="71"/>
    <col min="12031" max="12031" width="8" style="71" customWidth="1"/>
    <col min="12032" max="12032" width="28.5" style="71" customWidth="1"/>
    <col min="12033" max="12044" width="9.125" style="71"/>
    <col min="12045" max="12045" width="10.625" style="71" customWidth="1"/>
    <col min="12046" max="12286" width="9.125" style="71"/>
    <col min="12287" max="12287" width="8" style="71" customWidth="1"/>
    <col min="12288" max="12288" width="28.5" style="71" customWidth="1"/>
    <col min="12289" max="12300" width="9.125" style="71"/>
    <col min="12301" max="12301" width="10.625" style="71" customWidth="1"/>
    <col min="12302" max="12542" width="9.125" style="71"/>
    <col min="12543" max="12543" width="8" style="71" customWidth="1"/>
    <col min="12544" max="12544" width="28.5" style="71" customWidth="1"/>
    <col min="12545" max="12556" width="9.125" style="71"/>
    <col min="12557" max="12557" width="10.625" style="71" customWidth="1"/>
    <col min="12558" max="12798" width="9.125" style="71"/>
    <col min="12799" max="12799" width="8" style="71" customWidth="1"/>
    <col min="12800" max="12800" width="28.5" style="71" customWidth="1"/>
    <col min="12801" max="12812" width="9.125" style="71"/>
    <col min="12813" max="12813" width="10.625" style="71" customWidth="1"/>
    <col min="12814" max="13054" width="9.125" style="71"/>
    <col min="13055" max="13055" width="8" style="71" customWidth="1"/>
    <col min="13056" max="13056" width="28.5" style="71" customWidth="1"/>
    <col min="13057" max="13068" width="9.125" style="71"/>
    <col min="13069" max="13069" width="10.625" style="71" customWidth="1"/>
    <col min="13070" max="13310" width="9.125" style="71"/>
    <col min="13311" max="13311" width="8" style="71" customWidth="1"/>
    <col min="13312" max="13312" width="28.5" style="71" customWidth="1"/>
    <col min="13313" max="13324" width="9.125" style="71"/>
    <col min="13325" max="13325" width="10.625" style="71" customWidth="1"/>
    <col min="13326" max="13566" width="9.125" style="71"/>
    <col min="13567" max="13567" width="8" style="71" customWidth="1"/>
    <col min="13568" max="13568" width="28.5" style="71" customWidth="1"/>
    <col min="13569" max="13580" width="9.125" style="71"/>
    <col min="13581" max="13581" width="10.625" style="71" customWidth="1"/>
    <col min="13582" max="13822" width="9.125" style="71"/>
    <col min="13823" max="13823" width="8" style="71" customWidth="1"/>
    <col min="13824" max="13824" width="28.5" style="71" customWidth="1"/>
    <col min="13825" max="13836" width="9.125" style="71"/>
    <col min="13837" max="13837" width="10.625" style="71" customWidth="1"/>
    <col min="13838" max="14078" width="9.125" style="71"/>
    <col min="14079" max="14079" width="8" style="71" customWidth="1"/>
    <col min="14080" max="14080" width="28.5" style="71" customWidth="1"/>
    <col min="14081" max="14092" width="9.125" style="71"/>
    <col min="14093" max="14093" width="10.625" style="71" customWidth="1"/>
    <col min="14094" max="14334" width="9.125" style="71"/>
    <col min="14335" max="14335" width="8" style="71" customWidth="1"/>
    <col min="14336" max="14336" width="28.5" style="71" customWidth="1"/>
    <col min="14337" max="14348" width="9.125" style="71"/>
    <col min="14349" max="14349" width="10.625" style="71" customWidth="1"/>
    <col min="14350" max="14590" width="9.125" style="71"/>
    <col min="14591" max="14591" width="8" style="71" customWidth="1"/>
    <col min="14592" max="14592" width="28.5" style="71" customWidth="1"/>
    <col min="14593" max="14604" width="9.125" style="71"/>
    <col min="14605" max="14605" width="10.625" style="71" customWidth="1"/>
    <col min="14606" max="14846" width="9.125" style="71"/>
    <col min="14847" max="14847" width="8" style="71" customWidth="1"/>
    <col min="14848" max="14848" width="28.5" style="71" customWidth="1"/>
    <col min="14849" max="14860" width="9.125" style="71"/>
    <col min="14861" max="14861" width="10.625" style="71" customWidth="1"/>
    <col min="14862" max="15102" width="9.125" style="71"/>
    <col min="15103" max="15103" width="8" style="71" customWidth="1"/>
    <col min="15104" max="15104" width="28.5" style="71" customWidth="1"/>
    <col min="15105" max="15116" width="9.125" style="71"/>
    <col min="15117" max="15117" width="10.625" style="71" customWidth="1"/>
    <col min="15118" max="15358" width="9.125" style="71"/>
    <col min="15359" max="15359" width="8" style="71" customWidth="1"/>
    <col min="15360" max="15360" width="28.5" style="71" customWidth="1"/>
    <col min="15361" max="15372" width="9.125" style="71"/>
    <col min="15373" max="15373" width="10.625" style="71" customWidth="1"/>
    <col min="15374" max="15614" width="9.125" style="71"/>
    <col min="15615" max="15615" width="8" style="71" customWidth="1"/>
    <col min="15616" max="15616" width="28.5" style="71" customWidth="1"/>
    <col min="15617" max="15628" width="9.125" style="71"/>
    <col min="15629" max="15629" width="10.625" style="71" customWidth="1"/>
    <col min="15630" max="15870" width="9.125" style="71"/>
    <col min="15871" max="15871" width="8" style="71" customWidth="1"/>
    <col min="15872" max="15872" width="28.5" style="71" customWidth="1"/>
    <col min="15873" max="15884" width="9.125" style="71"/>
    <col min="15885" max="15885" width="10.625" style="71" customWidth="1"/>
    <col min="15886" max="16126" width="9.125" style="71"/>
    <col min="16127" max="16127" width="8" style="71" customWidth="1"/>
    <col min="16128" max="16128" width="28.5" style="71" customWidth="1"/>
    <col min="16129" max="16140" width="9.125" style="71"/>
    <col min="16141" max="16141" width="10.625" style="71" customWidth="1"/>
    <col min="16142" max="16384" width="9.125" style="71"/>
  </cols>
  <sheetData>
    <row r="1" spans="1:13" ht="18.75">
      <c r="A1" s="72" t="s">
        <v>107</v>
      </c>
      <c r="B1" s="73"/>
      <c r="C1" s="74"/>
      <c r="D1" s="74"/>
      <c r="E1" s="73"/>
      <c r="F1" s="74"/>
      <c r="G1" s="74"/>
      <c r="H1" s="73"/>
      <c r="I1" s="74"/>
      <c r="J1" s="74"/>
      <c r="K1" s="74"/>
      <c r="L1" s="74"/>
      <c r="M1" s="74"/>
    </row>
    <row r="2" spans="1:13" ht="12">
      <c r="A2" s="71" t="s">
        <v>108</v>
      </c>
      <c r="B2" s="75"/>
    </row>
    <row r="3" spans="1:13" ht="16.899999999999999" customHeight="1">
      <c r="A3" s="76" t="s">
        <v>14</v>
      </c>
      <c r="B3" s="76" t="s">
        <v>109</v>
      </c>
      <c r="C3" s="270" t="s">
        <v>110</v>
      </c>
      <c r="D3" s="270"/>
      <c r="E3" s="270"/>
      <c r="F3" s="78"/>
      <c r="G3" s="79"/>
      <c r="H3" s="80"/>
      <c r="I3" s="80"/>
      <c r="J3" s="80" t="s">
        <v>111</v>
      </c>
      <c r="K3" s="80"/>
      <c r="L3" s="80"/>
      <c r="M3" s="101"/>
    </row>
    <row r="4" spans="1:13" ht="16.149999999999999" customHeight="1">
      <c r="A4" s="81"/>
      <c r="B4" s="81" t="s">
        <v>112</v>
      </c>
      <c r="C4" s="77">
        <v>2017</v>
      </c>
      <c r="D4" s="77">
        <f t="shared" ref="D4:L4" si="0">C4+1</f>
        <v>2018</v>
      </c>
      <c r="E4" s="77">
        <f t="shared" si="0"/>
        <v>2019</v>
      </c>
      <c r="F4" s="77">
        <f t="shared" si="0"/>
        <v>2020</v>
      </c>
      <c r="G4" s="77">
        <f t="shared" si="0"/>
        <v>2021</v>
      </c>
      <c r="H4" s="82">
        <f t="shared" si="0"/>
        <v>2022</v>
      </c>
      <c r="I4" s="82">
        <f t="shared" si="0"/>
        <v>2023</v>
      </c>
      <c r="J4" s="82">
        <f t="shared" si="0"/>
        <v>2024</v>
      </c>
      <c r="K4" s="82">
        <f t="shared" si="0"/>
        <v>2025</v>
      </c>
      <c r="L4" s="82">
        <f t="shared" si="0"/>
        <v>2026</v>
      </c>
      <c r="M4" s="102" t="s">
        <v>113</v>
      </c>
    </row>
    <row r="5" spans="1:13" ht="15.6" customHeight="1">
      <c r="A5" s="83">
        <v>1</v>
      </c>
      <c r="B5" s="84" t="s">
        <v>114</v>
      </c>
      <c r="C5" s="85">
        <f>SUM(C6:C9)</f>
        <v>0</v>
      </c>
      <c r="D5" s="85">
        <f t="shared" ref="D5:L5" si="1">SUM(D6:D9)</f>
        <v>0</v>
      </c>
      <c r="E5" s="85" t="e">
        <f t="shared" si="1"/>
        <v>#REF!</v>
      </c>
      <c r="F5" s="85">
        <f t="shared" si="1"/>
        <v>6800</v>
      </c>
      <c r="G5" s="85">
        <f t="shared" si="1"/>
        <v>170000</v>
      </c>
      <c r="H5" s="85">
        <f t="shared" si="1"/>
        <v>2040000</v>
      </c>
      <c r="I5" s="85" t="e">
        <f t="shared" si="1"/>
        <v>#REF!</v>
      </c>
      <c r="J5" s="85" t="e">
        <f t="shared" si="1"/>
        <v>#REF!</v>
      </c>
      <c r="K5" s="85" t="e">
        <f t="shared" si="1"/>
        <v>#REF!</v>
      </c>
      <c r="L5" s="85">
        <f t="shared" si="1"/>
        <v>2216800</v>
      </c>
      <c r="M5" s="89" t="e">
        <f t="shared" ref="M5:M17" si="2">SUM(C5:L5)</f>
        <v>#REF!</v>
      </c>
    </row>
    <row r="6" spans="1:13" ht="15.6" customHeight="1">
      <c r="A6" s="83">
        <v>1.1000000000000001</v>
      </c>
      <c r="B6" s="86" t="s">
        <v>115</v>
      </c>
      <c r="C6" s="87"/>
      <c r="D6" s="87"/>
      <c r="E6" s="87" t="e">
        <f>损益表!#REF!</f>
        <v>#REF!</v>
      </c>
      <c r="F6" s="87">
        <f>损益表!C5</f>
        <v>6800</v>
      </c>
      <c r="G6" s="87">
        <f>损益表!D5</f>
        <v>170000</v>
      </c>
      <c r="H6" s="87">
        <f>损益表!E5</f>
        <v>2040000</v>
      </c>
      <c r="I6" s="87" t="e">
        <f>损益表!#REF!</f>
        <v>#REF!</v>
      </c>
      <c r="J6" s="87" t="e">
        <f>损益表!#REF!</f>
        <v>#REF!</v>
      </c>
      <c r="K6" s="87" t="e">
        <f>损益表!#REF!</f>
        <v>#REF!</v>
      </c>
      <c r="L6" s="87">
        <f>损益表!J5</f>
        <v>2216800</v>
      </c>
      <c r="M6" s="89" t="e">
        <f t="shared" si="2"/>
        <v>#REF!</v>
      </c>
    </row>
    <row r="7" spans="1:13" ht="15.6" customHeight="1">
      <c r="A7" s="83">
        <v>1.2</v>
      </c>
      <c r="B7" s="86" t="s">
        <v>116</v>
      </c>
      <c r="C7" s="87"/>
      <c r="D7" s="87"/>
      <c r="E7" s="87">
        <f>[1]折、摊!G18</f>
        <v>0</v>
      </c>
      <c r="F7" s="87">
        <f>[1]折、摊!H18</f>
        <v>0</v>
      </c>
      <c r="G7" s="87">
        <f>[1]折、摊!I18</f>
        <v>0</v>
      </c>
      <c r="H7" s="87">
        <f>[1]折、摊!J18</f>
        <v>0</v>
      </c>
      <c r="I7" s="87">
        <f>[1]折、摊!K18</f>
        <v>0</v>
      </c>
      <c r="J7" s="87">
        <f>[1]折、摊!L18</f>
        <v>0</v>
      </c>
      <c r="K7" s="87">
        <f>[1]折、摊!M18</f>
        <v>0</v>
      </c>
      <c r="L7" s="87">
        <f>[1]折、摊!N18</f>
        <v>0</v>
      </c>
      <c r="M7" s="89">
        <f t="shared" si="2"/>
        <v>0</v>
      </c>
    </row>
    <row r="8" spans="1:13" ht="15.6" customHeight="1">
      <c r="A8" s="83">
        <v>1.3</v>
      </c>
      <c r="B8" s="86" t="s">
        <v>117</v>
      </c>
      <c r="C8" s="87" t="s">
        <v>118</v>
      </c>
      <c r="D8" s="87" t="s">
        <v>118</v>
      </c>
      <c r="E8" s="87" t="s">
        <v>118</v>
      </c>
      <c r="F8" s="87" t="s">
        <v>118</v>
      </c>
      <c r="G8" s="87" t="s">
        <v>118</v>
      </c>
      <c r="H8" s="87" t="s">
        <v>118</v>
      </c>
      <c r="I8" s="87" t="s">
        <v>118</v>
      </c>
      <c r="J8" s="87" t="s">
        <v>118</v>
      </c>
      <c r="K8" s="87" t="s">
        <v>118</v>
      </c>
      <c r="L8" s="87"/>
      <c r="M8" s="89">
        <f t="shared" si="2"/>
        <v>0</v>
      </c>
    </row>
    <row r="9" spans="1:13" s="70" customFormat="1" ht="15.6" customHeight="1">
      <c r="A9" s="88">
        <v>1.4</v>
      </c>
      <c r="B9" s="89" t="s">
        <v>119</v>
      </c>
      <c r="C9" s="87" t="s">
        <v>118</v>
      </c>
      <c r="D9" s="87" t="s">
        <v>118</v>
      </c>
      <c r="E9" s="87" t="s">
        <v>118</v>
      </c>
      <c r="F9" s="87" t="s">
        <v>118</v>
      </c>
      <c r="G9" s="87" t="s">
        <v>118</v>
      </c>
      <c r="H9" s="87" t="s">
        <v>118</v>
      </c>
      <c r="I9" s="87" t="s">
        <v>118</v>
      </c>
      <c r="J9" s="87" t="s">
        <v>118</v>
      </c>
      <c r="K9" s="87" t="s">
        <v>118</v>
      </c>
      <c r="L9" s="87" t="s">
        <v>118</v>
      </c>
      <c r="M9" s="89">
        <f t="shared" si="2"/>
        <v>0</v>
      </c>
    </row>
    <row r="10" spans="1:13" ht="15.6" customHeight="1">
      <c r="A10" s="88">
        <v>2</v>
      </c>
      <c r="B10" s="84" t="s">
        <v>120</v>
      </c>
      <c r="C10" s="85">
        <f t="shared" ref="C10:L10" si="3">SUM(C11:C16)</f>
        <v>0</v>
      </c>
      <c r="D10" s="85">
        <f t="shared" si="3"/>
        <v>0</v>
      </c>
      <c r="E10" s="85">
        <f t="shared" si="3"/>
        <v>0</v>
      </c>
      <c r="F10" s="85">
        <f t="shared" si="3"/>
        <v>0</v>
      </c>
      <c r="G10" s="85">
        <f t="shared" si="3"/>
        <v>0</v>
      </c>
      <c r="H10" s="85">
        <f t="shared" si="3"/>
        <v>0</v>
      </c>
      <c r="I10" s="85">
        <f t="shared" si="3"/>
        <v>0</v>
      </c>
      <c r="J10" s="85">
        <f t="shared" si="3"/>
        <v>0</v>
      </c>
      <c r="K10" s="85">
        <f t="shared" si="3"/>
        <v>0</v>
      </c>
      <c r="L10" s="85">
        <f t="shared" si="3"/>
        <v>0</v>
      </c>
      <c r="M10" s="89">
        <f t="shared" si="2"/>
        <v>0</v>
      </c>
    </row>
    <row r="11" spans="1:13" ht="15" customHeight="1">
      <c r="A11" s="83">
        <v>2.1</v>
      </c>
      <c r="B11" s="83" t="s">
        <v>121</v>
      </c>
      <c r="C11" s="87">
        <f>([1]计划!C6-[1]计划!C7)</f>
        <v>0</v>
      </c>
      <c r="D11" s="87">
        <f>([1]计划!D6-[1]计划!D7)</f>
        <v>0</v>
      </c>
      <c r="E11" s="87">
        <f>([1]计划!E6-[1]计划!E7)</f>
        <v>0</v>
      </c>
      <c r="F11" s="87">
        <f>([1]计划!F6-[1]计划!F7)</f>
        <v>0</v>
      </c>
      <c r="G11" s="87">
        <f>([1]计划!G6-[1]计划!G7)</f>
        <v>0</v>
      </c>
      <c r="H11" s="87">
        <f>([1]计划!H6-[1]计划!H7)</f>
        <v>0</v>
      </c>
      <c r="I11" s="87">
        <f>([1]计划!I6-[1]计划!I7)</f>
        <v>0</v>
      </c>
      <c r="J11" s="87">
        <f>([1]计划!J6-[1]计划!J7)</f>
        <v>0</v>
      </c>
      <c r="K11" s="87">
        <f>([1]计划!K6-[1]计划!K7)</f>
        <v>0</v>
      </c>
      <c r="L11" s="87">
        <f>([1]计划!L6-[1]计划!L7)</f>
        <v>0</v>
      </c>
      <c r="M11" s="89">
        <f t="shared" si="2"/>
        <v>0</v>
      </c>
    </row>
    <row r="12" spans="1:13" s="70" customFormat="1" ht="15" customHeight="1">
      <c r="A12" s="83">
        <v>2.2000000000000002</v>
      </c>
      <c r="B12" s="89" t="s">
        <v>122</v>
      </c>
      <c r="C12" s="87">
        <f>[1]计划!C8</f>
        <v>0</v>
      </c>
      <c r="D12" s="87">
        <f>[1]计划!D8</f>
        <v>0</v>
      </c>
      <c r="E12" s="87">
        <f>[1]计划!E8</f>
        <v>0</v>
      </c>
      <c r="F12" s="87">
        <f>[1]计划!F8</f>
        <v>0</v>
      </c>
      <c r="G12" s="87">
        <f>[1]计划!G8</f>
        <v>0</v>
      </c>
      <c r="H12" s="87">
        <f>[1]计划!H8</f>
        <v>0</v>
      </c>
      <c r="I12" s="87">
        <f>[1]计划!I8</f>
        <v>0</v>
      </c>
      <c r="J12" s="87">
        <f>[1]计划!J8</f>
        <v>0</v>
      </c>
      <c r="K12" s="87">
        <f>[1]计划!K8</f>
        <v>0</v>
      </c>
      <c r="L12" s="87">
        <f>[1]计划!L8</f>
        <v>0</v>
      </c>
      <c r="M12" s="89">
        <f t="shared" si="2"/>
        <v>0</v>
      </c>
    </row>
    <row r="13" spans="1:13" ht="15" customHeight="1">
      <c r="A13" s="83">
        <v>2.2999999999999998</v>
      </c>
      <c r="B13" s="86" t="s">
        <v>123</v>
      </c>
      <c r="C13" s="87">
        <f>[1]总成本!C22</f>
        <v>0</v>
      </c>
      <c r="D13" s="87">
        <f>[1]总成本!D22</f>
        <v>0</v>
      </c>
      <c r="E13" s="87">
        <f>[1]总成本!E22</f>
        <v>0</v>
      </c>
      <c r="F13" s="87">
        <f>[1]总成本!F22</f>
        <v>0</v>
      </c>
      <c r="G13" s="87">
        <f>[1]总成本!G22</f>
        <v>0</v>
      </c>
      <c r="H13" s="87">
        <f>[1]总成本!H22</f>
        <v>0</v>
      </c>
      <c r="I13" s="87">
        <f>[1]总成本!I22</f>
        <v>0</v>
      </c>
      <c r="J13" s="87">
        <f>[1]总成本!J22</f>
        <v>0</v>
      </c>
      <c r="K13" s="87">
        <f>[1]总成本!K22</f>
        <v>0</v>
      </c>
      <c r="L13" s="87">
        <f>[1]总成本!L22</f>
        <v>0</v>
      </c>
      <c r="M13" s="89">
        <f t="shared" si="2"/>
        <v>0</v>
      </c>
    </row>
    <row r="14" spans="1:13" ht="15" customHeight="1">
      <c r="A14" s="83">
        <v>2.4</v>
      </c>
      <c r="B14" s="86" t="s">
        <v>124</v>
      </c>
      <c r="C14" s="87">
        <f>[1]价格!D15</f>
        <v>0</v>
      </c>
      <c r="D14" s="87">
        <f>[1]价格!E15</f>
        <v>0</v>
      </c>
      <c r="E14" s="87">
        <f>[1]价格!F15</f>
        <v>0</v>
      </c>
      <c r="F14" s="87">
        <f>[1]价格!G15</f>
        <v>0</v>
      </c>
      <c r="G14" s="87">
        <f>[1]价格!H15</f>
        <v>0</v>
      </c>
      <c r="H14" s="87">
        <f>[1]价格!I15</f>
        <v>0</v>
      </c>
      <c r="I14" s="87">
        <f>[1]价格!J15</f>
        <v>0</v>
      </c>
      <c r="J14" s="87">
        <f>[1]价格!K15</f>
        <v>0</v>
      </c>
      <c r="K14" s="87">
        <f>[1]价格!L15</f>
        <v>0</v>
      </c>
      <c r="L14" s="87">
        <f>[1]价格!M15</f>
        <v>0</v>
      </c>
      <c r="M14" s="89">
        <f t="shared" si="2"/>
        <v>0</v>
      </c>
    </row>
    <row r="15" spans="1:13" ht="15" customHeight="1">
      <c r="A15" s="83">
        <v>2.5</v>
      </c>
      <c r="B15" s="86" t="s">
        <v>54</v>
      </c>
      <c r="C15" s="87">
        <f>[1]利润!C13</f>
        <v>0</v>
      </c>
      <c r="D15" s="87">
        <f>[1]利润!D13</f>
        <v>0</v>
      </c>
      <c r="E15" s="87">
        <f>[1]利润!E13</f>
        <v>0</v>
      </c>
      <c r="F15" s="87">
        <f>[1]利润!F13</f>
        <v>0</v>
      </c>
      <c r="G15" s="87">
        <f>[1]利润!G13</f>
        <v>0</v>
      </c>
      <c r="H15" s="87">
        <f>[1]利润!H13</f>
        <v>0</v>
      </c>
      <c r="I15" s="87">
        <f>[1]利润!I13</f>
        <v>0</v>
      </c>
      <c r="J15" s="87">
        <f>[1]利润!J13</f>
        <v>0</v>
      </c>
      <c r="K15" s="87">
        <f>[1]利润!K13</f>
        <v>0</v>
      </c>
      <c r="L15" s="87">
        <f>[1]利润!L13</f>
        <v>0</v>
      </c>
      <c r="M15" s="89">
        <f t="shared" si="2"/>
        <v>0</v>
      </c>
    </row>
    <row r="16" spans="1:13" ht="15" customHeight="1">
      <c r="A16" s="83">
        <v>2.6</v>
      </c>
      <c r="B16" s="86" t="s">
        <v>125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9">
        <f t="shared" si="2"/>
        <v>0</v>
      </c>
    </row>
    <row r="17" spans="1:18" ht="12">
      <c r="A17" s="83">
        <v>3</v>
      </c>
      <c r="B17" s="84" t="s">
        <v>126</v>
      </c>
      <c r="C17" s="85">
        <f t="shared" ref="C17:L17" si="4">C5-C10</f>
        <v>0</v>
      </c>
      <c r="D17" s="85">
        <f t="shared" si="4"/>
        <v>0</v>
      </c>
      <c r="E17" s="85" t="e">
        <f t="shared" si="4"/>
        <v>#REF!</v>
      </c>
      <c r="F17" s="85">
        <f t="shared" si="4"/>
        <v>6800</v>
      </c>
      <c r="G17" s="85">
        <f t="shared" si="4"/>
        <v>170000</v>
      </c>
      <c r="H17" s="85">
        <f t="shared" si="4"/>
        <v>2040000</v>
      </c>
      <c r="I17" s="85" t="e">
        <f t="shared" si="4"/>
        <v>#REF!</v>
      </c>
      <c r="J17" s="85" t="e">
        <f t="shared" si="4"/>
        <v>#REF!</v>
      </c>
      <c r="K17" s="85" t="e">
        <f t="shared" si="4"/>
        <v>#REF!</v>
      </c>
      <c r="L17" s="85">
        <f t="shared" si="4"/>
        <v>2216800</v>
      </c>
      <c r="M17" s="89" t="e">
        <f t="shared" si="2"/>
        <v>#REF!</v>
      </c>
    </row>
    <row r="18" spans="1:18" ht="12">
      <c r="A18" s="90">
        <v>4</v>
      </c>
      <c r="B18" s="86" t="s">
        <v>127</v>
      </c>
      <c r="C18" s="87">
        <f>C17</f>
        <v>0</v>
      </c>
      <c r="D18" s="87">
        <f t="shared" ref="D18:L18" si="5">C18+D17</f>
        <v>0</v>
      </c>
      <c r="E18" s="87" t="e">
        <f t="shared" si="5"/>
        <v>#REF!</v>
      </c>
      <c r="F18" s="87" t="e">
        <f t="shared" si="5"/>
        <v>#REF!</v>
      </c>
      <c r="G18" s="87" t="e">
        <f t="shared" si="5"/>
        <v>#REF!</v>
      </c>
      <c r="H18" s="87" t="e">
        <f t="shared" si="5"/>
        <v>#REF!</v>
      </c>
      <c r="I18" s="87" t="e">
        <f t="shared" si="5"/>
        <v>#REF!</v>
      </c>
      <c r="J18" s="87" t="e">
        <f t="shared" si="5"/>
        <v>#REF!</v>
      </c>
      <c r="K18" s="87" t="e">
        <f t="shared" si="5"/>
        <v>#REF!</v>
      </c>
      <c r="L18" s="87" t="e">
        <f t="shared" si="5"/>
        <v>#REF!</v>
      </c>
      <c r="M18" s="86" t="s">
        <v>118</v>
      </c>
    </row>
    <row r="19" spans="1:18" s="70" customFormat="1" ht="12">
      <c r="A19" s="90">
        <v>5</v>
      </c>
      <c r="B19" s="86" t="s">
        <v>128</v>
      </c>
      <c r="C19" s="87">
        <f t="shared" ref="C19:L19" si="6">C17+C15</f>
        <v>0</v>
      </c>
      <c r="D19" s="87">
        <f t="shared" si="6"/>
        <v>0</v>
      </c>
      <c r="E19" s="87" t="e">
        <f t="shared" si="6"/>
        <v>#REF!</v>
      </c>
      <c r="F19" s="87">
        <f t="shared" si="6"/>
        <v>6800</v>
      </c>
      <c r="G19" s="87">
        <f t="shared" si="6"/>
        <v>170000</v>
      </c>
      <c r="H19" s="87">
        <f t="shared" si="6"/>
        <v>2040000</v>
      </c>
      <c r="I19" s="87" t="e">
        <f t="shared" si="6"/>
        <v>#REF!</v>
      </c>
      <c r="J19" s="87" t="e">
        <f t="shared" si="6"/>
        <v>#REF!</v>
      </c>
      <c r="K19" s="87" t="e">
        <f t="shared" si="6"/>
        <v>#REF!</v>
      </c>
      <c r="L19" s="87">
        <f t="shared" si="6"/>
        <v>2216800</v>
      </c>
      <c r="M19" s="89" t="e">
        <f>SUM(C19:L19)</f>
        <v>#REF!</v>
      </c>
    </row>
    <row r="20" spans="1:18" s="70" customFormat="1" ht="12">
      <c r="A20" s="83">
        <v>6</v>
      </c>
      <c r="B20" s="86" t="s">
        <v>129</v>
      </c>
      <c r="C20" s="87">
        <f>C19</f>
        <v>0</v>
      </c>
      <c r="D20" s="87">
        <f t="shared" ref="D20:L20" si="7">C20+D19</f>
        <v>0</v>
      </c>
      <c r="E20" s="87" t="e">
        <f t="shared" si="7"/>
        <v>#REF!</v>
      </c>
      <c r="F20" s="87" t="e">
        <f t="shared" si="7"/>
        <v>#REF!</v>
      </c>
      <c r="G20" s="87" t="e">
        <f t="shared" si="7"/>
        <v>#REF!</v>
      </c>
      <c r="H20" s="87" t="e">
        <f t="shared" si="7"/>
        <v>#REF!</v>
      </c>
      <c r="I20" s="87" t="e">
        <f t="shared" si="7"/>
        <v>#REF!</v>
      </c>
      <c r="J20" s="87" t="e">
        <f t="shared" si="7"/>
        <v>#REF!</v>
      </c>
      <c r="K20" s="87" t="e">
        <f t="shared" si="7"/>
        <v>#REF!</v>
      </c>
      <c r="L20" s="87" t="e">
        <f t="shared" si="7"/>
        <v>#REF!</v>
      </c>
      <c r="M20" s="86" t="s">
        <v>118</v>
      </c>
    </row>
    <row r="21" spans="1:18" ht="12">
      <c r="A21" s="91"/>
      <c r="B21" s="92" t="s">
        <v>130</v>
      </c>
      <c r="C21" s="92"/>
      <c r="D21" s="92"/>
      <c r="E21" s="92" t="s">
        <v>131</v>
      </c>
      <c r="F21" s="92"/>
      <c r="G21" s="92"/>
      <c r="H21" s="92"/>
      <c r="I21" s="92" t="s">
        <v>132</v>
      </c>
      <c r="J21" s="92"/>
      <c r="K21" s="92"/>
      <c r="L21" s="92"/>
      <c r="M21" s="103"/>
    </row>
    <row r="22" spans="1:18" ht="12">
      <c r="A22" s="93"/>
      <c r="B22" s="94" t="s">
        <v>133</v>
      </c>
      <c r="C22" s="94"/>
      <c r="D22" s="95" t="s">
        <v>134</v>
      </c>
      <c r="E22" s="96" t="e">
        <f>IRR(C17:L17,0.15)</f>
        <v>#VALUE!</v>
      </c>
      <c r="F22" s="94"/>
      <c r="G22" s="94"/>
      <c r="H22" s="94"/>
      <c r="I22" s="96" t="e">
        <f>IRR(C19:L19,0.15)</f>
        <v>#VALUE!</v>
      </c>
      <c r="J22" s="94"/>
      <c r="K22" s="94"/>
      <c r="L22" s="94"/>
      <c r="M22" s="104"/>
    </row>
    <row r="23" spans="1:18" ht="12">
      <c r="A23" s="93"/>
      <c r="B23" s="94" t="s">
        <v>135</v>
      </c>
      <c r="C23" s="94"/>
      <c r="D23" s="94"/>
      <c r="E23" s="97" t="e">
        <f>NPV(0.12,C17:L17)</f>
        <v>#REF!</v>
      </c>
      <c r="F23" s="94"/>
      <c r="G23" s="94"/>
      <c r="H23" s="94"/>
      <c r="I23" s="97" t="e">
        <f>NPV(0.12,C19:L19)</f>
        <v>#REF!</v>
      </c>
      <c r="J23" s="94"/>
      <c r="K23" s="94"/>
      <c r="L23" s="94"/>
      <c r="M23" s="104"/>
      <c r="R23" s="71">
        <f>30.9-29.82</f>
        <v>1.0799999999999983</v>
      </c>
    </row>
    <row r="24" spans="1:18" ht="12">
      <c r="A24" s="98"/>
      <c r="B24" s="99" t="s">
        <v>136</v>
      </c>
      <c r="C24" s="99"/>
      <c r="D24" s="99"/>
      <c r="E24" s="100" t="e">
        <f>6-H18/I17</f>
        <v>#REF!</v>
      </c>
      <c r="F24" s="99"/>
      <c r="G24" s="99"/>
      <c r="H24" s="99"/>
      <c r="I24" s="100" t="e">
        <f>6-H20/I19</f>
        <v>#REF!</v>
      </c>
      <c r="J24" s="99"/>
      <c r="K24" s="99"/>
      <c r="L24" s="99"/>
      <c r="M24" s="105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E20" sqref="E20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5.375" style="47" customWidth="1"/>
    <col min="10" max="10" width="12.375" style="46" customWidth="1"/>
    <col min="11" max="11" width="12.87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1" t="s">
        <v>137</v>
      </c>
      <c r="B1" s="271"/>
      <c r="C1" s="275" t="s">
        <v>290</v>
      </c>
      <c r="D1" s="276"/>
      <c r="E1" s="276"/>
      <c r="F1" s="276"/>
      <c r="G1" s="276"/>
      <c r="H1" s="276"/>
      <c r="I1" s="277"/>
    </row>
    <row r="2" spans="1:38">
      <c r="A2" s="271" t="s">
        <v>138</v>
      </c>
      <c r="B2" s="271"/>
      <c r="C2" s="278" t="s">
        <v>291</v>
      </c>
      <c r="D2" s="278"/>
      <c r="E2" s="278"/>
      <c r="F2" s="278"/>
      <c r="G2" s="278"/>
      <c r="H2" s="278"/>
      <c r="I2" s="278"/>
    </row>
    <row r="3" spans="1:38">
      <c r="A3" s="271" t="s">
        <v>139</v>
      </c>
      <c r="B3" s="271"/>
      <c r="C3" s="144" t="str">
        <f>销量!C5</f>
        <v>AZ160051000335</v>
      </c>
      <c r="D3" s="175">
        <f>销量!D5</f>
        <v>0</v>
      </c>
      <c r="E3" s="175">
        <f>销量!E5</f>
        <v>0</v>
      </c>
      <c r="F3" s="175">
        <f>销量!F5</f>
        <v>0</v>
      </c>
      <c r="G3" s="175">
        <f>销量!G5</f>
        <v>0</v>
      </c>
      <c r="H3" s="175">
        <f>销量!H5</f>
        <v>0</v>
      </c>
      <c r="I3" s="272" t="s">
        <v>15</v>
      </c>
    </row>
    <row r="4" spans="1:38">
      <c r="A4" s="271" t="s">
        <v>140</v>
      </c>
      <c r="B4" s="271"/>
      <c r="C4" s="144" t="str">
        <f>销量!C6</f>
        <v>速降阀</v>
      </c>
      <c r="D4" s="144">
        <f>销量!D6</f>
        <v>0</v>
      </c>
      <c r="E4" s="144">
        <f>销量!E6</f>
        <v>0</v>
      </c>
      <c r="F4" s="144">
        <f>销量!F6</f>
        <v>0</v>
      </c>
      <c r="G4" s="144">
        <f>销量!G6</f>
        <v>0</v>
      </c>
      <c r="H4" s="144">
        <f>销量!H6</f>
        <v>0</v>
      </c>
      <c r="I4" s="273"/>
    </row>
    <row r="5" spans="1:38">
      <c r="A5" s="271" t="s">
        <v>141</v>
      </c>
      <c r="B5" s="271"/>
      <c r="C5" s="49"/>
      <c r="D5" s="172"/>
      <c r="E5" s="199"/>
      <c r="F5" s="199"/>
      <c r="G5" s="199"/>
      <c r="H5" s="172"/>
      <c r="I5" s="274"/>
      <c r="AL5" s="46" t="s">
        <v>16</v>
      </c>
    </row>
    <row r="6" spans="1:38" ht="17.25">
      <c r="A6" s="50" t="s">
        <v>14</v>
      </c>
      <c r="B6" s="51" t="s">
        <v>142</v>
      </c>
      <c r="C6" s="21">
        <f>销量!C9</f>
        <v>200</v>
      </c>
      <c r="D6" s="21">
        <f>销量!D9</f>
        <v>0</v>
      </c>
      <c r="E6" s="21">
        <f>销量!E9</f>
        <v>0</v>
      </c>
      <c r="F6" s="21">
        <f>销量!F9</f>
        <v>0</v>
      </c>
      <c r="G6" s="21">
        <f>销量!G9</f>
        <v>0</v>
      </c>
      <c r="H6" s="21">
        <f>销量!H9</f>
        <v>0</v>
      </c>
      <c r="I6" s="52">
        <f t="shared" ref="I6:I17" si="0">SUM(C6:H6)</f>
        <v>200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48">
        <v>1</v>
      </c>
      <c r="B7" s="51" t="s">
        <v>18</v>
      </c>
      <c r="C7" s="52">
        <f>C6*销量!C8</f>
        <v>6800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6800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48">
        <v>2</v>
      </c>
      <c r="B8" s="48" t="s">
        <v>20</v>
      </c>
      <c r="C8" s="52"/>
      <c r="D8" s="52"/>
      <c r="E8" s="52"/>
      <c r="F8" s="52"/>
      <c r="G8" s="52"/>
      <c r="H8" s="52"/>
      <c r="I8" s="52">
        <f t="shared" si="0"/>
        <v>0</v>
      </c>
      <c r="J8" s="67"/>
      <c r="T8" s="48" t="s">
        <v>22</v>
      </c>
      <c r="AJ8" s="50" t="s">
        <v>21</v>
      </c>
      <c r="AK8" s="48" t="s">
        <v>22</v>
      </c>
      <c r="AL8" s="46" t="s">
        <v>17</v>
      </c>
    </row>
    <row r="9" spans="1:38">
      <c r="A9" s="48">
        <v>3</v>
      </c>
      <c r="B9" s="51" t="s">
        <v>23</v>
      </c>
      <c r="C9" s="52">
        <f>+C7-C8</f>
        <v>6800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6800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48">
        <v>4</v>
      </c>
      <c r="B10" s="50" t="s">
        <v>26</v>
      </c>
      <c r="C10" s="52">
        <f>C6*C33</f>
        <v>1116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1116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48">
        <v>5</v>
      </c>
      <c r="B11" s="50" t="s">
        <v>29</v>
      </c>
      <c r="C11" s="52">
        <f>+C6*C36</f>
        <v>521.56000000000006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521.56000000000006</v>
      </c>
      <c r="T11" s="50" t="s">
        <v>29</v>
      </c>
      <c r="AJ11" s="50" t="s">
        <v>30</v>
      </c>
      <c r="AK11" s="50" t="s">
        <v>29</v>
      </c>
    </row>
    <row r="12" spans="1:38">
      <c r="A12" s="48">
        <v>6</v>
      </c>
      <c r="B12" s="50" t="s">
        <v>31</v>
      </c>
      <c r="C12" s="52">
        <f>+C6*C37</f>
        <v>34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34</v>
      </c>
      <c r="T12" s="50" t="s">
        <v>31</v>
      </c>
      <c r="AJ12" s="50" t="s">
        <v>32</v>
      </c>
      <c r="AK12" s="50" t="s">
        <v>31</v>
      </c>
    </row>
    <row r="13" spans="1:38">
      <c r="A13" s="48">
        <v>7</v>
      </c>
      <c r="B13" s="50" t="s">
        <v>33</v>
      </c>
      <c r="C13" s="52">
        <f>+C6*C38</f>
        <v>748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748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48">
        <v>8</v>
      </c>
      <c r="B14" s="53" t="s">
        <v>35</v>
      </c>
      <c r="C14" s="52">
        <f>SUM(C11:C13)</f>
        <v>1303.56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1303.56</v>
      </c>
      <c r="K14" s="67"/>
      <c r="T14" s="53" t="s">
        <v>35</v>
      </c>
      <c r="AJ14" s="50" t="s">
        <v>36</v>
      </c>
      <c r="AK14" s="53" t="s">
        <v>35</v>
      </c>
    </row>
    <row r="15" spans="1:38">
      <c r="A15" s="48">
        <v>9</v>
      </c>
      <c r="B15" s="53" t="s">
        <v>37</v>
      </c>
      <c r="C15" s="52">
        <f>+C9-C10-C14</f>
        <v>4380.4400000000005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4380.4400000000005</v>
      </c>
      <c r="T15" s="53" t="s">
        <v>37</v>
      </c>
      <c r="AJ15" s="50" t="s">
        <v>38</v>
      </c>
      <c r="AK15" s="53" t="s">
        <v>37</v>
      </c>
    </row>
    <row r="16" spans="1:38">
      <c r="A16" s="48">
        <v>10</v>
      </c>
      <c r="B16" s="50" t="s">
        <v>39</v>
      </c>
      <c r="C16" s="54">
        <f>+C15/C9</f>
        <v>0.64418235294117654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0.64418235294117654</v>
      </c>
      <c r="T16" s="50" t="s">
        <v>39</v>
      </c>
      <c r="AJ16" s="50" t="s">
        <v>40</v>
      </c>
      <c r="AK16" s="50" t="s">
        <v>39</v>
      </c>
    </row>
    <row r="17" spans="1:38">
      <c r="A17" s="48">
        <v>11</v>
      </c>
      <c r="B17" s="50" t="s">
        <v>41</v>
      </c>
      <c r="C17" s="52">
        <f>C6*C43+C18</f>
        <v>85833.88</v>
      </c>
      <c r="D17" s="52">
        <f t="shared" ref="D17:H17" si="10">D6*D43+D18</f>
        <v>0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 t="shared" si="0"/>
        <v>85833.88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48">
        <v>12</v>
      </c>
      <c r="B18" s="55" t="s">
        <v>143</v>
      </c>
      <c r="C18" s="56">
        <f>$I$18/$I$9*C9</f>
        <v>85500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项目投资!D26</f>
        <v>85500</v>
      </c>
      <c r="J18" s="150" t="s">
        <v>144</v>
      </c>
      <c r="K18" s="68"/>
      <c r="L18" s="68"/>
    </row>
    <row r="19" spans="1:38">
      <c r="A19" s="48">
        <v>13</v>
      </c>
      <c r="B19" s="50" t="s">
        <v>43</v>
      </c>
      <c r="C19" s="52">
        <f>C6*C44</f>
        <v>2.0399999999999996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2.0399999999999996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48">
        <v>14</v>
      </c>
      <c r="B20" s="50" t="s">
        <v>45</v>
      </c>
      <c r="C20" s="52">
        <f>C6*C45</f>
        <v>1474.92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1474.92</v>
      </c>
      <c r="T20" s="50" t="s">
        <v>45</v>
      </c>
      <c r="AJ20" s="50" t="s">
        <v>46</v>
      </c>
      <c r="AK20" s="50" t="s">
        <v>45</v>
      </c>
    </row>
    <row r="21" spans="1:38">
      <c r="A21" s="48">
        <v>15</v>
      </c>
      <c r="B21" s="50" t="s">
        <v>47</v>
      </c>
      <c r="C21" s="57">
        <f>$I$21/$I$6*C6</f>
        <v>14333.333333333334</v>
      </c>
      <c r="D21" s="57">
        <f t="shared" ref="D21:H21" si="14">$I$21/$I$6*D6</f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项目投资!D27</f>
        <v>14333.333333333334</v>
      </c>
      <c r="T21" s="50" t="s">
        <v>47</v>
      </c>
      <c r="AJ21" s="50"/>
      <c r="AK21" s="50"/>
    </row>
    <row r="22" spans="1:38">
      <c r="A22" s="48">
        <v>16</v>
      </c>
      <c r="B22" s="50" t="s">
        <v>48</v>
      </c>
      <c r="C22" s="52">
        <f>C6*C47</f>
        <v>183.6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183.6</v>
      </c>
      <c r="T22" s="50" t="s">
        <v>48</v>
      </c>
      <c r="AJ22" s="50" t="s">
        <v>49</v>
      </c>
      <c r="AK22" s="50" t="s">
        <v>48</v>
      </c>
    </row>
    <row r="23" spans="1:38">
      <c r="A23" s="48">
        <v>17</v>
      </c>
      <c r="B23" s="53" t="s">
        <v>50</v>
      </c>
      <c r="C23" s="57">
        <f>+C22+C21+C20+C19+C17</f>
        <v>101827.77333333335</v>
      </c>
      <c r="D23" s="57">
        <f t="shared" ref="D23:H23" si="16">+D22+D21+D20+D19+D17</f>
        <v>0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>+I22+I21+I20+I19+I17</f>
        <v>101827.77333333335</v>
      </c>
      <c r="T23" s="53" t="s">
        <v>50</v>
      </c>
      <c r="AJ23" s="50" t="s">
        <v>51</v>
      </c>
      <c r="AK23" s="53" t="s">
        <v>50</v>
      </c>
    </row>
    <row r="24" spans="1:38">
      <c r="A24" s="48">
        <v>18</v>
      </c>
      <c r="B24" s="58" t="s">
        <v>52</v>
      </c>
      <c r="C24" s="57">
        <f>+C15-C23</f>
        <v>-97447.333333333343</v>
      </c>
      <c r="D24" s="57">
        <f t="shared" ref="D24:H24" si="17">+D15-D23</f>
        <v>0</v>
      </c>
      <c r="E24" s="57">
        <f t="shared" si="17"/>
        <v>0</v>
      </c>
      <c r="F24" s="57">
        <f t="shared" si="17"/>
        <v>0</v>
      </c>
      <c r="G24" s="57">
        <f t="shared" si="17"/>
        <v>0</v>
      </c>
      <c r="H24" s="57">
        <f t="shared" si="17"/>
        <v>0</v>
      </c>
      <c r="I24" s="57">
        <f t="shared" ref="I24" si="18">+I15-I23</f>
        <v>-97447.333333333343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48">
        <v>19</v>
      </c>
      <c r="B25" s="50" t="s">
        <v>227</v>
      </c>
      <c r="C25" s="57">
        <f>IF(C24&lt;0,0,C24*0.15)</f>
        <v>0</v>
      </c>
      <c r="D25" s="57">
        <f t="shared" ref="D25:H25" si="19">IF(D24&lt;0,0,D24*0.15)</f>
        <v>0</v>
      </c>
      <c r="E25" s="57">
        <f t="shared" si="19"/>
        <v>0</v>
      </c>
      <c r="F25" s="57">
        <f t="shared" si="19"/>
        <v>0</v>
      </c>
      <c r="G25" s="57">
        <f t="shared" si="19"/>
        <v>0</v>
      </c>
      <c r="H25" s="57">
        <f t="shared" si="19"/>
        <v>0</v>
      </c>
      <c r="I25" s="57">
        <f>IF(I24&lt;0,0,I24*0.15)</f>
        <v>0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48">
        <v>20</v>
      </c>
      <c r="B26" s="50" t="s">
        <v>56</v>
      </c>
      <c r="C26" s="57">
        <f t="shared" ref="C26" si="20">C24-C25</f>
        <v>-97447.333333333343</v>
      </c>
      <c r="D26" s="57">
        <f t="shared" ref="D26:H26" si="21">D24-D25</f>
        <v>0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SUM(C26:H26)</f>
        <v>-97447.333333333343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48">
        <v>21</v>
      </c>
      <c r="B27" s="50" t="s">
        <v>60</v>
      </c>
      <c r="C27" s="59">
        <f t="shared" ref="C27:I27" si="22">C26/C7</f>
        <v>-14.330490196078433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-14.330490196078433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60">
        <v>1</v>
      </c>
      <c r="B31" s="55" t="s">
        <v>65</v>
      </c>
      <c r="C31" s="61">
        <f>销量!C8</f>
        <v>34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60">
        <v>2</v>
      </c>
      <c r="B32" s="50" t="s">
        <v>146</v>
      </c>
      <c r="C32" s="52">
        <f>C31*1</f>
        <v>34</v>
      </c>
      <c r="D32" s="52">
        <f t="shared" ref="D32:H32" si="24">D31*1</f>
        <v>0</v>
      </c>
      <c r="E32" s="52">
        <f t="shared" si="24"/>
        <v>0</v>
      </c>
      <c r="F32" s="52">
        <f t="shared" si="24"/>
        <v>0</v>
      </c>
      <c r="G32" s="52">
        <f t="shared" si="24"/>
        <v>0</v>
      </c>
      <c r="H32" s="52">
        <f t="shared" si="24"/>
        <v>0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60">
        <v>3</v>
      </c>
      <c r="B33" s="55" t="s">
        <v>66</v>
      </c>
      <c r="C33" s="52">
        <f>材料成本!E19</f>
        <v>5.58</v>
      </c>
      <c r="D33" s="52">
        <f>材料成本!E20</f>
        <v>0</v>
      </c>
      <c r="E33" s="52">
        <f>材料成本!E21</f>
        <v>0</v>
      </c>
      <c r="F33" s="52">
        <f>材料成本!E22</f>
        <v>0</v>
      </c>
      <c r="G33" s="52">
        <f>材料成本!E23</f>
        <v>0</v>
      </c>
      <c r="H33" s="52">
        <f>材料成本!E24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60">
        <v>4</v>
      </c>
      <c r="B34" s="50" t="s">
        <v>68</v>
      </c>
      <c r="C34" s="62">
        <f>C32-C33</f>
        <v>28.42</v>
      </c>
      <c r="D34" s="62">
        <f t="shared" ref="D34:H34" si="25">D32-D33</f>
        <v>0</v>
      </c>
      <c r="E34" s="62">
        <f t="shared" si="25"/>
        <v>0</v>
      </c>
      <c r="F34" s="62">
        <f t="shared" si="25"/>
        <v>0</v>
      </c>
      <c r="G34" s="62">
        <f t="shared" si="25"/>
        <v>0</v>
      </c>
      <c r="H34" s="62">
        <f t="shared" si="25"/>
        <v>0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60">
        <v>1</v>
      </c>
      <c r="B36" s="50" t="s">
        <v>71</v>
      </c>
      <c r="C36" s="56">
        <f>标准成本!E4</f>
        <v>2.6078000000000001</v>
      </c>
      <c r="D36" s="56">
        <f>标准成本!E18</f>
        <v>0</v>
      </c>
      <c r="E36" s="56">
        <f>标准成本!E32</f>
        <v>0</v>
      </c>
      <c r="F36" s="56">
        <f>标准成本!E45</f>
        <v>0</v>
      </c>
      <c r="G36" s="56">
        <f>标准成本!E58</f>
        <v>0</v>
      </c>
      <c r="H36" s="56">
        <f>标准成本!E71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60">
        <v>2</v>
      </c>
      <c r="B37" s="50" t="s">
        <v>72</v>
      </c>
      <c r="C37" s="56">
        <f>标准成本!E6</f>
        <v>0.17</v>
      </c>
      <c r="D37" s="56">
        <f>标准成本!E20</f>
        <v>0</v>
      </c>
      <c r="E37" s="56">
        <f>标准成本!E34</f>
        <v>0</v>
      </c>
      <c r="F37" s="56">
        <f>标准成本!E47</f>
        <v>0</v>
      </c>
      <c r="G37" s="56">
        <f>标准成本!E60</f>
        <v>0</v>
      </c>
      <c r="H37" s="56">
        <f>标准成本!E73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60">
        <v>3</v>
      </c>
      <c r="B38" s="50" t="s">
        <v>73</v>
      </c>
      <c r="C38" s="56">
        <f>标准成本!E10</f>
        <v>3.74</v>
      </c>
      <c r="D38" s="56">
        <f>标准成本!E24</f>
        <v>0</v>
      </c>
      <c r="E38" s="56">
        <f>标准成本!E38</f>
        <v>0</v>
      </c>
      <c r="F38" s="56">
        <f>标准成本!E51</f>
        <v>0</v>
      </c>
      <c r="G38" s="56">
        <f>标准成本!E64</f>
        <v>0</v>
      </c>
      <c r="H38" s="56">
        <f>标准成本!E77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60">
        <v>1</v>
      </c>
      <c r="B40" s="50" t="s">
        <v>77</v>
      </c>
      <c r="C40" s="57">
        <f>C34-C36-C37-C38</f>
        <v>21.902200000000001</v>
      </c>
      <c r="D40" s="57">
        <f t="shared" ref="D40:H40" si="26">D34-D36-D37-D38</f>
        <v>0</v>
      </c>
      <c r="E40" s="57">
        <f t="shared" si="26"/>
        <v>0</v>
      </c>
      <c r="F40" s="57">
        <f t="shared" si="26"/>
        <v>0</v>
      </c>
      <c r="G40" s="57">
        <f t="shared" si="26"/>
        <v>0</v>
      </c>
      <c r="H40" s="57">
        <f t="shared" si="26"/>
        <v>0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60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60">
        <v>1</v>
      </c>
      <c r="B43" s="58" t="s">
        <v>81</v>
      </c>
      <c r="C43" s="56">
        <f>标准成本!E5</f>
        <v>1.6694</v>
      </c>
      <c r="D43" s="56">
        <f>标准成本!E19</f>
        <v>0</v>
      </c>
      <c r="E43" s="56">
        <f>标准成本!E33</f>
        <v>0</v>
      </c>
      <c r="F43" s="56">
        <f>标准成本!E46</f>
        <v>0</v>
      </c>
      <c r="G43" s="56">
        <f>标准成本!E59</f>
        <v>0</v>
      </c>
      <c r="H43" s="56">
        <f>标准成本!E72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60">
        <v>2</v>
      </c>
      <c r="B44" s="58" t="s">
        <v>82</v>
      </c>
      <c r="C44" s="56">
        <f>标准成本!E9</f>
        <v>1.0199999999999999E-2</v>
      </c>
      <c r="D44" s="56">
        <f>标准成本!E23</f>
        <v>0</v>
      </c>
      <c r="E44" s="56">
        <f>标准成本!E37</f>
        <v>0</v>
      </c>
      <c r="F44" s="56">
        <f>标准成本!E50</f>
        <v>0</v>
      </c>
      <c r="G44" s="56">
        <f>标准成本!E63</f>
        <v>0</v>
      </c>
      <c r="H44" s="56">
        <f>标准成本!E76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60">
        <v>3</v>
      </c>
      <c r="B45" s="58" t="s">
        <v>83</v>
      </c>
      <c r="C45" s="56">
        <f>标准成本!E8</f>
        <v>7.3746</v>
      </c>
      <c r="D45" s="56">
        <f>标准成本!E22</f>
        <v>0</v>
      </c>
      <c r="E45" s="56">
        <f>标准成本!E36</f>
        <v>0</v>
      </c>
      <c r="F45" s="56">
        <f>标准成本!E49</f>
        <v>0</v>
      </c>
      <c r="G45" s="56">
        <f>标准成本!E62</f>
        <v>0</v>
      </c>
      <c r="H45" s="56">
        <f>标准成本!E75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60">
        <v>4</v>
      </c>
      <c r="B46" s="58" t="s">
        <v>84</v>
      </c>
      <c r="C46" s="63">
        <f>C21/C6</f>
        <v>71.666666666666671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60">
        <v>5</v>
      </c>
      <c r="B47" s="58" t="s">
        <v>86</v>
      </c>
      <c r="C47" s="63">
        <f>标准成本!E11</f>
        <v>0.91800000000000004</v>
      </c>
      <c r="D47" s="63">
        <f>标准成本!E25</f>
        <v>0</v>
      </c>
      <c r="E47" s="63">
        <f>标准成本!E39</f>
        <v>0</v>
      </c>
      <c r="F47" s="63">
        <f>标准成本!E52</f>
        <v>0</v>
      </c>
      <c r="G47" s="63">
        <f>标准成本!E65</f>
        <v>0</v>
      </c>
      <c r="H47" s="63">
        <f>标准成本!E78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-59.736666666666672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1" t="s">
        <v>137</v>
      </c>
      <c r="B1" s="271"/>
      <c r="C1" s="275" t="s">
        <v>268</v>
      </c>
      <c r="D1" s="276"/>
      <c r="E1" s="276"/>
      <c r="F1" s="276"/>
      <c r="G1" s="276"/>
      <c r="H1" s="276"/>
      <c r="I1" s="277"/>
    </row>
    <row r="2" spans="1:38">
      <c r="A2" s="271" t="s">
        <v>138</v>
      </c>
      <c r="B2" s="271"/>
      <c r="C2" s="278" t="str">
        <f>'2025年'!C2:I2</f>
        <v>中国重汽集团</v>
      </c>
      <c r="D2" s="278"/>
      <c r="E2" s="278"/>
      <c r="F2" s="278"/>
      <c r="G2" s="278"/>
      <c r="H2" s="278"/>
      <c r="I2" s="278"/>
    </row>
    <row r="3" spans="1:38">
      <c r="A3" s="271" t="s">
        <v>139</v>
      </c>
      <c r="B3" s="271"/>
      <c r="C3" s="144" t="str">
        <f>'2025年'!C3</f>
        <v>AZ160051000335</v>
      </c>
      <c r="D3" s="175">
        <f>'2025年'!D3</f>
        <v>0</v>
      </c>
      <c r="E3" s="175">
        <f>'2025年'!E3</f>
        <v>0</v>
      </c>
      <c r="F3" s="175">
        <f>'2025年'!F3</f>
        <v>0</v>
      </c>
      <c r="G3" s="175">
        <f>'2025年'!G3</f>
        <v>0</v>
      </c>
      <c r="H3" s="175">
        <f>'2025年'!H3</f>
        <v>0</v>
      </c>
      <c r="I3" s="272" t="s">
        <v>15</v>
      </c>
    </row>
    <row r="4" spans="1:38">
      <c r="A4" s="271" t="s">
        <v>140</v>
      </c>
      <c r="B4" s="271"/>
      <c r="C4" s="144" t="str">
        <f>'2025年'!C4</f>
        <v>速降阀</v>
      </c>
      <c r="D4" s="144">
        <f>'2025年'!D4</f>
        <v>0</v>
      </c>
      <c r="E4" s="144">
        <f>'2025年'!E4</f>
        <v>0</v>
      </c>
      <c r="F4" s="144">
        <f>'2025年'!F4</f>
        <v>0</v>
      </c>
      <c r="G4" s="144">
        <f>'2025年'!G4</f>
        <v>0</v>
      </c>
      <c r="H4" s="144">
        <f>'2025年'!H4</f>
        <v>0</v>
      </c>
      <c r="I4" s="273"/>
    </row>
    <row r="5" spans="1:38">
      <c r="A5" s="271" t="s">
        <v>141</v>
      </c>
      <c r="B5" s="271"/>
      <c r="C5" s="49"/>
      <c r="D5" s="172"/>
      <c r="E5" s="172"/>
      <c r="F5" s="172"/>
      <c r="G5" s="172"/>
      <c r="H5" s="172"/>
      <c r="I5" s="274"/>
      <c r="AL5" s="46" t="s">
        <v>16</v>
      </c>
    </row>
    <row r="6" spans="1:38" ht="17.25">
      <c r="A6" s="50" t="s">
        <v>14</v>
      </c>
      <c r="B6" s="51" t="s">
        <v>142</v>
      </c>
      <c r="C6" s="21">
        <f>销量!C10</f>
        <v>5000</v>
      </c>
      <c r="D6" s="21">
        <f>销量!D10</f>
        <v>0</v>
      </c>
      <c r="E6" s="21">
        <f>销量!E10</f>
        <v>0</v>
      </c>
      <c r="F6" s="21">
        <f>销量!F10</f>
        <v>0</v>
      </c>
      <c r="G6" s="21">
        <f>销量!G10</f>
        <v>0</v>
      </c>
      <c r="H6" s="21">
        <f>销量!H10</f>
        <v>0</v>
      </c>
      <c r="I6" s="52">
        <f t="shared" ref="I6:I15" si="0">SUM(C6:H6)</f>
        <v>5000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3">
        <v>1</v>
      </c>
      <c r="B7" s="51" t="s">
        <v>18</v>
      </c>
      <c r="C7" s="52">
        <f>C6*销量!C8</f>
        <v>170000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170000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3">
        <v>2</v>
      </c>
      <c r="B8" s="143" t="s">
        <v>20</v>
      </c>
      <c r="C8" s="52">
        <f>C7*(1-销量!$M$7)</f>
        <v>3400.0000000000032</v>
      </c>
      <c r="D8" s="52">
        <f>D7*(1-销量!$M$7)</f>
        <v>0</v>
      </c>
      <c r="E8" s="52">
        <f>E7*(1-销量!$M$7)</f>
        <v>0</v>
      </c>
      <c r="F8" s="52">
        <f>F7*(1-销量!$M$7)</f>
        <v>0</v>
      </c>
      <c r="G8" s="52">
        <f>G7*(1-销量!$M$7)</f>
        <v>0</v>
      </c>
      <c r="H8" s="52">
        <f>H7*(1-销量!$M$7)</f>
        <v>0</v>
      </c>
      <c r="I8" s="52">
        <f t="shared" si="0"/>
        <v>3400.0000000000032</v>
      </c>
      <c r="J8" s="67"/>
      <c r="T8" s="143" t="s">
        <v>22</v>
      </c>
      <c r="AJ8" s="50" t="s">
        <v>21</v>
      </c>
      <c r="AK8" s="143" t="s">
        <v>22</v>
      </c>
      <c r="AL8" s="46" t="s">
        <v>17</v>
      </c>
    </row>
    <row r="9" spans="1:38">
      <c r="A9" s="143">
        <v>3</v>
      </c>
      <c r="B9" s="51" t="s">
        <v>23</v>
      </c>
      <c r="C9" s="52">
        <f>+C7-C8</f>
        <v>166600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166600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3">
        <v>4</v>
      </c>
      <c r="B10" s="50" t="s">
        <v>26</v>
      </c>
      <c r="C10" s="52">
        <f>C6*C33</f>
        <v>27342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27342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3">
        <v>5</v>
      </c>
      <c r="B11" s="50" t="s">
        <v>29</v>
      </c>
      <c r="C11" s="52">
        <f>+C6*C36</f>
        <v>13039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13039</v>
      </c>
      <c r="T11" s="50" t="s">
        <v>29</v>
      </c>
      <c r="AJ11" s="50" t="s">
        <v>30</v>
      </c>
      <c r="AK11" s="50" t="s">
        <v>29</v>
      </c>
    </row>
    <row r="12" spans="1:38">
      <c r="A12" s="143">
        <v>6</v>
      </c>
      <c r="B12" s="50" t="s">
        <v>31</v>
      </c>
      <c r="C12" s="52">
        <f>+C6*C37</f>
        <v>850.00000000000011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850.00000000000011</v>
      </c>
      <c r="T12" s="50" t="s">
        <v>31</v>
      </c>
      <c r="AJ12" s="50" t="s">
        <v>32</v>
      </c>
      <c r="AK12" s="50" t="s">
        <v>31</v>
      </c>
    </row>
    <row r="13" spans="1:38">
      <c r="A13" s="143">
        <v>7</v>
      </c>
      <c r="B13" s="50" t="s">
        <v>33</v>
      </c>
      <c r="C13" s="52">
        <f>+C6*C38</f>
        <v>18700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18700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3">
        <v>8</v>
      </c>
      <c r="B14" s="53" t="s">
        <v>35</v>
      </c>
      <c r="C14" s="52">
        <f>SUM(C11:C13)</f>
        <v>32589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32589</v>
      </c>
      <c r="T14" s="53" t="s">
        <v>35</v>
      </c>
      <c r="AJ14" s="50" t="s">
        <v>36</v>
      </c>
      <c r="AK14" s="53" t="s">
        <v>35</v>
      </c>
    </row>
    <row r="15" spans="1:38">
      <c r="A15" s="143">
        <v>9</v>
      </c>
      <c r="B15" s="53" t="s">
        <v>37</v>
      </c>
      <c r="C15" s="52">
        <f>+C9-C10-C14</f>
        <v>106669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106669</v>
      </c>
      <c r="T15" s="53" t="s">
        <v>37</v>
      </c>
      <c r="AJ15" s="50" t="s">
        <v>38</v>
      </c>
      <c r="AK15" s="53" t="s">
        <v>37</v>
      </c>
    </row>
    <row r="16" spans="1:38">
      <c r="A16" s="143">
        <v>10</v>
      </c>
      <c r="B16" s="50" t="s">
        <v>39</v>
      </c>
      <c r="C16" s="54">
        <f>+C15/C9</f>
        <v>0.64027010804321727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0.64027010804321727</v>
      </c>
      <c r="T16" s="50" t="s">
        <v>39</v>
      </c>
      <c r="AJ16" s="50" t="s">
        <v>40</v>
      </c>
      <c r="AK16" s="50" t="s">
        <v>39</v>
      </c>
    </row>
    <row r="17" spans="1:38">
      <c r="A17" s="143">
        <v>11</v>
      </c>
      <c r="B17" s="50" t="s">
        <v>41</v>
      </c>
      <c r="C17" s="52">
        <f>C6*C43+C18</f>
        <v>93847</v>
      </c>
      <c r="D17" s="52">
        <f t="shared" ref="D17:H17" si="10">D6*D43+D18</f>
        <v>0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>SUM(C17:H17)</f>
        <v>93847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3">
        <v>12</v>
      </c>
      <c r="B18" s="55" t="s">
        <v>143</v>
      </c>
      <c r="C18" s="56">
        <f>$I$18/$I$9*C9</f>
        <v>85500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项目投资!E26</f>
        <v>85500</v>
      </c>
      <c r="J18" s="68" t="s">
        <v>144</v>
      </c>
      <c r="K18" s="68"/>
      <c r="L18" s="68"/>
    </row>
    <row r="19" spans="1:38">
      <c r="A19" s="143">
        <v>13</v>
      </c>
      <c r="B19" s="50" t="s">
        <v>43</v>
      </c>
      <c r="C19" s="52">
        <f>C6*C44</f>
        <v>50.999999999999993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50.999999999999993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3">
        <v>14</v>
      </c>
      <c r="B20" s="50" t="s">
        <v>45</v>
      </c>
      <c r="C20" s="52">
        <f>C6*C45</f>
        <v>36873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36873</v>
      </c>
      <c r="T20" s="50" t="s">
        <v>45</v>
      </c>
      <c r="AJ20" s="50" t="s">
        <v>46</v>
      </c>
      <c r="AK20" s="50" t="s">
        <v>45</v>
      </c>
    </row>
    <row r="21" spans="1:38">
      <c r="A21" s="143">
        <v>15</v>
      </c>
      <c r="B21" s="50" t="s">
        <v>47</v>
      </c>
      <c r="C21" s="57">
        <f t="shared" ref="C21:H21" si="14">$I$21/$I$6*C6</f>
        <v>14333.333333333334</v>
      </c>
      <c r="D21" s="57">
        <f t="shared" si="14"/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项目投资!D27</f>
        <v>14333.333333333334</v>
      </c>
      <c r="T21" s="50" t="s">
        <v>47</v>
      </c>
      <c r="AJ21" s="50"/>
      <c r="AK21" s="50"/>
    </row>
    <row r="22" spans="1:38">
      <c r="A22" s="143">
        <v>16</v>
      </c>
      <c r="B22" s="50" t="s">
        <v>48</v>
      </c>
      <c r="C22" s="52">
        <f>C6*C47</f>
        <v>4590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4590</v>
      </c>
      <c r="T22" s="50" t="s">
        <v>48</v>
      </c>
      <c r="AJ22" s="50" t="s">
        <v>49</v>
      </c>
      <c r="AK22" s="50" t="s">
        <v>48</v>
      </c>
    </row>
    <row r="23" spans="1:38">
      <c r="A23" s="143">
        <v>17</v>
      </c>
      <c r="B23" s="53" t="s">
        <v>50</v>
      </c>
      <c r="C23" s="57">
        <f>+C22+C21+C20+C19+C17</f>
        <v>149694.33333333334</v>
      </c>
      <c r="D23" s="57">
        <f t="shared" ref="D23:H23" si="16">+D22+D21+D20+D19+D17</f>
        <v>0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149694.33333333334</v>
      </c>
      <c r="T23" s="53" t="s">
        <v>50</v>
      </c>
      <c r="AJ23" s="50" t="s">
        <v>51</v>
      </c>
      <c r="AK23" s="53" t="s">
        <v>50</v>
      </c>
    </row>
    <row r="24" spans="1:38">
      <c r="A24" s="143">
        <v>18</v>
      </c>
      <c r="B24" s="58" t="s">
        <v>52</v>
      </c>
      <c r="C24" s="57">
        <f>+C15-C23</f>
        <v>-43025.333333333343</v>
      </c>
      <c r="D24" s="57">
        <f t="shared" ref="D24:H24" si="18">+D15-D23</f>
        <v>0</v>
      </c>
      <c r="E24" s="57">
        <f t="shared" si="18"/>
        <v>0</v>
      </c>
      <c r="F24" s="57">
        <f t="shared" si="18"/>
        <v>0</v>
      </c>
      <c r="G24" s="57">
        <f t="shared" si="18"/>
        <v>0</v>
      </c>
      <c r="H24" s="57">
        <f t="shared" si="18"/>
        <v>0</v>
      </c>
      <c r="I24" s="57">
        <f t="shared" ref="I24" si="19">+I15-I23</f>
        <v>-43025.333333333343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3">
        <v>19</v>
      </c>
      <c r="B25" s="50" t="s">
        <v>229</v>
      </c>
      <c r="C25" s="57">
        <f>IF(C24&lt;0,0,C24*0.15)</f>
        <v>0</v>
      </c>
      <c r="D25" s="57">
        <f t="shared" ref="D25:H25" si="20">IF(D24&lt;0,0,D24*0.15)</f>
        <v>0</v>
      </c>
      <c r="E25" s="57">
        <f t="shared" si="20"/>
        <v>0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0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3">
        <v>20</v>
      </c>
      <c r="B26" s="50" t="s">
        <v>56</v>
      </c>
      <c r="C26" s="57">
        <f t="shared" ref="C26:H26" si="21">C24-C25</f>
        <v>-43025.333333333343</v>
      </c>
      <c r="D26" s="57">
        <f t="shared" si="21"/>
        <v>0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I24-I25</f>
        <v>-43025.333333333343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3">
        <v>21</v>
      </c>
      <c r="B27" s="50" t="s">
        <v>60</v>
      </c>
      <c r="C27" s="59">
        <f t="shared" ref="C27:I27" si="22">C26/C7</f>
        <v>-0.25309019607843142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-0.25309019607843142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3">
        <v>1</v>
      </c>
      <c r="B31" s="55" t="s">
        <v>65</v>
      </c>
      <c r="C31" s="61">
        <f>销量!C8</f>
        <v>34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3">
        <v>2</v>
      </c>
      <c r="B32" s="50" t="s">
        <v>146</v>
      </c>
      <c r="C32" s="52">
        <f>C9/C6</f>
        <v>33.32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3">
        <v>3</v>
      </c>
      <c r="B33" s="55" t="s">
        <v>66</v>
      </c>
      <c r="C33" s="52">
        <f>材料成本!F19</f>
        <v>5.4683999999999999</v>
      </c>
      <c r="D33" s="52">
        <f>材料成本!F20</f>
        <v>0</v>
      </c>
      <c r="E33" s="52">
        <f>材料成本!F21</f>
        <v>0</v>
      </c>
      <c r="F33" s="52">
        <f>材料成本!F22</f>
        <v>0</v>
      </c>
      <c r="G33" s="52">
        <f>材料成本!F23</f>
        <v>0</v>
      </c>
      <c r="H33" s="52">
        <f>材料成本!F24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3">
        <v>4</v>
      </c>
      <c r="B34" s="50" t="s">
        <v>68</v>
      </c>
      <c r="C34" s="62">
        <f>C32-C33</f>
        <v>27.851600000000001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3">
        <v>1</v>
      </c>
      <c r="B36" s="50" t="s">
        <v>71</v>
      </c>
      <c r="C36" s="56">
        <f>'2025年'!C36</f>
        <v>2.6078000000000001</v>
      </c>
      <c r="D36" s="56">
        <f>'2025年'!D36</f>
        <v>0</v>
      </c>
      <c r="E36" s="56">
        <f>'2025年'!E36</f>
        <v>0</v>
      </c>
      <c r="F36" s="56">
        <f>'2025年'!F36</f>
        <v>0</v>
      </c>
      <c r="G36" s="56">
        <f>'2025年'!G36</f>
        <v>0</v>
      </c>
      <c r="H36" s="56">
        <f>'2025年'!H36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3">
        <v>2</v>
      </c>
      <c r="B37" s="50" t="s">
        <v>72</v>
      </c>
      <c r="C37" s="56">
        <f>'2025年'!C37</f>
        <v>0.17</v>
      </c>
      <c r="D37" s="56">
        <f>'2025年'!D37</f>
        <v>0</v>
      </c>
      <c r="E37" s="56">
        <f>'2025年'!E37</f>
        <v>0</v>
      </c>
      <c r="F37" s="56">
        <f>'2025年'!F37</f>
        <v>0</v>
      </c>
      <c r="G37" s="56">
        <f>'2025年'!G37</f>
        <v>0</v>
      </c>
      <c r="H37" s="56">
        <f>'2025年'!H37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3">
        <v>3</v>
      </c>
      <c r="B38" s="50" t="s">
        <v>73</v>
      </c>
      <c r="C38" s="56">
        <f>'2025年'!C38</f>
        <v>3.74</v>
      </c>
      <c r="D38" s="56">
        <f>'2025年'!D38</f>
        <v>0</v>
      </c>
      <c r="E38" s="56">
        <f>'2025年'!E38</f>
        <v>0</v>
      </c>
      <c r="F38" s="56">
        <f>'2025年'!F38</f>
        <v>0</v>
      </c>
      <c r="G38" s="56">
        <f>'2025年'!G38</f>
        <v>0</v>
      </c>
      <c r="H38" s="56">
        <f>'2025年'!H38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3">
        <v>1</v>
      </c>
      <c r="B40" s="50" t="s">
        <v>77</v>
      </c>
      <c r="C40" s="57">
        <f>C34-C36-C37-C38</f>
        <v>21.333799999999997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3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3">
        <v>1</v>
      </c>
      <c r="B43" s="58" t="s">
        <v>81</v>
      </c>
      <c r="C43" s="56">
        <f>'2025年'!C43</f>
        <v>1.6694</v>
      </c>
      <c r="D43" s="56">
        <f>'2025年'!D43</f>
        <v>0</v>
      </c>
      <c r="E43" s="56">
        <f>'2025年'!E43</f>
        <v>0</v>
      </c>
      <c r="F43" s="56">
        <f>'2025年'!F43</f>
        <v>0</v>
      </c>
      <c r="G43" s="56">
        <f>'2025年'!G43</f>
        <v>0</v>
      </c>
      <c r="H43" s="56">
        <f>'2025年'!H43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3">
        <v>2</v>
      </c>
      <c r="B44" s="58" t="s">
        <v>82</v>
      </c>
      <c r="C44" s="56">
        <f>'2025年'!C44</f>
        <v>1.0199999999999999E-2</v>
      </c>
      <c r="D44" s="56">
        <f>'2025年'!D44</f>
        <v>0</v>
      </c>
      <c r="E44" s="56">
        <f>'2025年'!E44</f>
        <v>0</v>
      </c>
      <c r="F44" s="56">
        <f>'2025年'!F44</f>
        <v>0</v>
      </c>
      <c r="G44" s="56">
        <f>'2025年'!G44</f>
        <v>0</v>
      </c>
      <c r="H44" s="56">
        <f>'2025年'!H44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3">
        <v>3</v>
      </c>
      <c r="B45" s="58" t="s">
        <v>83</v>
      </c>
      <c r="C45" s="56">
        <f>'2025年'!C45</f>
        <v>7.3746</v>
      </c>
      <c r="D45" s="56">
        <f>'2025年'!D45</f>
        <v>0</v>
      </c>
      <c r="E45" s="56">
        <f>'2025年'!E45</f>
        <v>0</v>
      </c>
      <c r="F45" s="56">
        <f>'2025年'!F45</f>
        <v>0</v>
      </c>
      <c r="G45" s="56">
        <f>'2025年'!G45</f>
        <v>0</v>
      </c>
      <c r="H45" s="56">
        <f>'2025年'!H45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3">
        <v>4</v>
      </c>
      <c r="B46" s="58" t="s">
        <v>84</v>
      </c>
      <c r="C46" s="63">
        <f>C21/C6</f>
        <v>2.8666666666666667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3">
        <v>5</v>
      </c>
      <c r="B47" s="58" t="s">
        <v>86</v>
      </c>
      <c r="C47" s="63">
        <f>'2025年'!C47</f>
        <v>0.91800000000000004</v>
      </c>
      <c r="D47" s="63">
        <f>'2025年'!D47</f>
        <v>0</v>
      </c>
      <c r="E47" s="63">
        <f>'2025年'!E47</f>
        <v>0</v>
      </c>
      <c r="F47" s="63">
        <f>'2025年'!F47</f>
        <v>0</v>
      </c>
      <c r="G47" s="63">
        <f>'2025年'!G47</f>
        <v>0</v>
      </c>
      <c r="H47" s="63">
        <f>'2025年'!H47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8.4949333333333286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1" t="s">
        <v>137</v>
      </c>
      <c r="B1" s="271"/>
      <c r="C1" s="275" t="s">
        <v>265</v>
      </c>
      <c r="D1" s="276"/>
      <c r="E1" s="276"/>
      <c r="F1" s="276"/>
      <c r="G1" s="276"/>
      <c r="H1" s="276"/>
      <c r="I1" s="277"/>
    </row>
    <row r="2" spans="1:38">
      <c r="A2" s="271" t="s">
        <v>138</v>
      </c>
      <c r="B2" s="271"/>
      <c r="C2" s="278" t="str">
        <f>'2025年'!C2:I2</f>
        <v>中国重汽集团</v>
      </c>
      <c r="D2" s="278"/>
      <c r="E2" s="278"/>
      <c r="F2" s="278"/>
      <c r="G2" s="278"/>
      <c r="H2" s="278"/>
      <c r="I2" s="278"/>
    </row>
    <row r="3" spans="1:38">
      <c r="A3" s="271" t="s">
        <v>139</v>
      </c>
      <c r="B3" s="271"/>
      <c r="C3" s="144" t="str">
        <f>'2025年'!C3</f>
        <v>AZ160051000335</v>
      </c>
      <c r="D3" s="175">
        <f>'2025年'!D3</f>
        <v>0</v>
      </c>
      <c r="E3" s="175">
        <f>'2025年'!E3</f>
        <v>0</v>
      </c>
      <c r="F3" s="175">
        <f>'2025年'!F3</f>
        <v>0</v>
      </c>
      <c r="G3" s="175">
        <f>'2025年'!G3</f>
        <v>0</v>
      </c>
      <c r="H3" s="175">
        <f>'2025年'!H3</f>
        <v>0</v>
      </c>
      <c r="I3" s="272" t="s">
        <v>15</v>
      </c>
    </row>
    <row r="4" spans="1:38">
      <c r="A4" s="271" t="s">
        <v>140</v>
      </c>
      <c r="B4" s="271"/>
      <c r="C4" s="144" t="str">
        <f>'2025年'!C4</f>
        <v>速降阀</v>
      </c>
      <c r="D4" s="144">
        <f>'2025年'!D4</f>
        <v>0</v>
      </c>
      <c r="E4" s="144">
        <f>'2025年'!E4</f>
        <v>0</v>
      </c>
      <c r="F4" s="144">
        <f>'2025年'!F4</f>
        <v>0</v>
      </c>
      <c r="G4" s="144">
        <f>'2025年'!G4</f>
        <v>0</v>
      </c>
      <c r="H4" s="144">
        <f>'2025年'!H4</f>
        <v>0</v>
      </c>
      <c r="I4" s="273"/>
    </row>
    <row r="5" spans="1:38">
      <c r="A5" s="271" t="s">
        <v>141</v>
      </c>
      <c r="B5" s="271"/>
      <c r="C5" s="49"/>
      <c r="D5" s="172"/>
      <c r="E5" s="172"/>
      <c r="F5" s="172"/>
      <c r="G5" s="172"/>
      <c r="H5" s="172"/>
      <c r="I5" s="274"/>
      <c r="AL5" s="46" t="s">
        <v>16</v>
      </c>
    </row>
    <row r="6" spans="1:38" ht="17.25">
      <c r="A6" s="50" t="s">
        <v>14</v>
      </c>
      <c r="B6" s="51" t="s">
        <v>142</v>
      </c>
      <c r="C6" s="21">
        <f>销量!C11</f>
        <v>60000</v>
      </c>
      <c r="D6" s="21">
        <f>销量!D11</f>
        <v>0</v>
      </c>
      <c r="E6" s="21">
        <f>销量!E11</f>
        <v>0</v>
      </c>
      <c r="F6" s="21">
        <f>销量!F11</f>
        <v>0</v>
      </c>
      <c r="G6" s="21">
        <f>销量!G11</f>
        <v>0</v>
      </c>
      <c r="H6" s="21">
        <f>销量!H11</f>
        <v>0</v>
      </c>
      <c r="I6" s="52">
        <f t="shared" ref="I6:I15" si="0">SUM(C6:H6)</f>
        <v>60000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3">
        <v>1</v>
      </c>
      <c r="B7" s="51" t="s">
        <v>18</v>
      </c>
      <c r="C7" s="52">
        <f>C6*销量!C8</f>
        <v>2040000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2040000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3">
        <v>2</v>
      </c>
      <c r="B8" s="143" t="s">
        <v>20</v>
      </c>
      <c r="C8" s="52">
        <f>C7*(1-销量!$M$8)</f>
        <v>80784.00000000016</v>
      </c>
      <c r="D8" s="52">
        <f>D7*(1-销量!$M$8)</f>
        <v>0</v>
      </c>
      <c r="E8" s="52">
        <f>E7*(1-销量!$M$8)</f>
        <v>0</v>
      </c>
      <c r="F8" s="52">
        <f>F7*(1-销量!$M$8)</f>
        <v>0</v>
      </c>
      <c r="G8" s="52">
        <f>G7*(1-销量!$M$8)</f>
        <v>0</v>
      </c>
      <c r="H8" s="52">
        <f>H7*(1-销量!$M$8)</f>
        <v>0</v>
      </c>
      <c r="I8" s="52">
        <f t="shared" si="0"/>
        <v>80784.00000000016</v>
      </c>
      <c r="J8" s="67"/>
      <c r="T8" s="143" t="s">
        <v>22</v>
      </c>
      <c r="AJ8" s="50" t="s">
        <v>21</v>
      </c>
      <c r="AK8" s="143" t="s">
        <v>22</v>
      </c>
      <c r="AL8" s="46" t="s">
        <v>17</v>
      </c>
    </row>
    <row r="9" spans="1:38">
      <c r="A9" s="143">
        <v>3</v>
      </c>
      <c r="B9" s="51" t="s">
        <v>23</v>
      </c>
      <c r="C9" s="52">
        <f>+C7-C8</f>
        <v>1959215.9999999998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1959215.9999999998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3">
        <v>4</v>
      </c>
      <c r="B10" s="50" t="s">
        <v>26</v>
      </c>
      <c r="C10" s="52">
        <f>C6*C33</f>
        <v>321541.92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321541.92</v>
      </c>
      <c r="J10" s="67"/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3">
        <v>5</v>
      </c>
      <c r="B11" s="50" t="s">
        <v>29</v>
      </c>
      <c r="C11" s="52">
        <f>+C6*C36</f>
        <v>156468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156468</v>
      </c>
      <c r="T11" s="50" t="s">
        <v>29</v>
      </c>
      <c r="AJ11" s="50" t="s">
        <v>30</v>
      </c>
      <c r="AK11" s="50" t="s">
        <v>29</v>
      </c>
    </row>
    <row r="12" spans="1:38">
      <c r="A12" s="143">
        <v>6</v>
      </c>
      <c r="B12" s="50" t="s">
        <v>31</v>
      </c>
      <c r="C12" s="52">
        <f>+C6*C37</f>
        <v>10200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10200</v>
      </c>
      <c r="T12" s="50" t="s">
        <v>31</v>
      </c>
      <c r="AJ12" s="50" t="s">
        <v>32</v>
      </c>
      <c r="AK12" s="50" t="s">
        <v>31</v>
      </c>
    </row>
    <row r="13" spans="1:38">
      <c r="A13" s="143">
        <v>7</v>
      </c>
      <c r="B13" s="50" t="s">
        <v>33</v>
      </c>
      <c r="C13" s="52">
        <f>+C6*C38</f>
        <v>224400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224400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3">
        <v>8</v>
      </c>
      <c r="B14" s="53" t="s">
        <v>35</v>
      </c>
      <c r="C14" s="52">
        <f>SUM(C11:C13)</f>
        <v>391068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391068</v>
      </c>
      <c r="T14" s="53" t="s">
        <v>35</v>
      </c>
      <c r="AJ14" s="50" t="s">
        <v>36</v>
      </c>
      <c r="AK14" s="53" t="s">
        <v>35</v>
      </c>
    </row>
    <row r="15" spans="1:38">
      <c r="A15" s="143">
        <v>9</v>
      </c>
      <c r="B15" s="53" t="s">
        <v>37</v>
      </c>
      <c r="C15" s="52">
        <f>+C9-C10-C14</f>
        <v>1246606.0799999998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1246606.0799999998</v>
      </c>
      <c r="T15" s="53" t="s">
        <v>37</v>
      </c>
      <c r="AJ15" s="50" t="s">
        <v>38</v>
      </c>
      <c r="AK15" s="53" t="s">
        <v>37</v>
      </c>
    </row>
    <row r="16" spans="1:38">
      <c r="A16" s="143">
        <v>10</v>
      </c>
      <c r="B16" s="50" t="s">
        <v>39</v>
      </c>
      <c r="C16" s="54">
        <f>+C15/C9</f>
        <v>0.63627802141264667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0.63627802141264667</v>
      </c>
      <c r="T16" s="50" t="s">
        <v>39</v>
      </c>
      <c r="AJ16" s="50" t="s">
        <v>40</v>
      </c>
      <c r="AK16" s="50" t="s">
        <v>39</v>
      </c>
    </row>
    <row r="17" spans="1:38">
      <c r="A17" s="143">
        <v>11</v>
      </c>
      <c r="B17" s="50" t="s">
        <v>41</v>
      </c>
      <c r="C17" s="52">
        <f>C6*C43+C18</f>
        <v>185664</v>
      </c>
      <c r="D17" s="52">
        <f t="shared" ref="D17:H17" si="10">D6*D43+D18</f>
        <v>0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>SUM(C17:H17)</f>
        <v>185664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3">
        <v>12</v>
      </c>
      <c r="B18" s="55" t="s">
        <v>143</v>
      </c>
      <c r="C18" s="56">
        <f>$I$18/$I$9*C9</f>
        <v>85500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项目投资!F26</f>
        <v>85500</v>
      </c>
      <c r="J18" s="68" t="s">
        <v>144</v>
      </c>
      <c r="K18" s="68"/>
      <c r="L18" s="68"/>
    </row>
    <row r="19" spans="1:38">
      <c r="A19" s="143">
        <v>13</v>
      </c>
      <c r="B19" s="50" t="s">
        <v>43</v>
      </c>
      <c r="C19" s="52">
        <f>C6*C44</f>
        <v>611.99999999999989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611.99999999999989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3">
        <v>14</v>
      </c>
      <c r="B20" s="50" t="s">
        <v>45</v>
      </c>
      <c r="C20" s="52">
        <f>C6*C45</f>
        <v>442476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442476</v>
      </c>
      <c r="T20" s="50" t="s">
        <v>45</v>
      </c>
      <c r="AJ20" s="50" t="s">
        <v>46</v>
      </c>
      <c r="AK20" s="50" t="s">
        <v>45</v>
      </c>
    </row>
    <row r="21" spans="1:38">
      <c r="A21" s="143">
        <v>15</v>
      </c>
      <c r="B21" s="50" t="s">
        <v>47</v>
      </c>
      <c r="C21" s="57">
        <f t="shared" ref="C21:H21" si="14">$I$21/$I$6*C6</f>
        <v>14333.333333333334</v>
      </c>
      <c r="D21" s="57">
        <f t="shared" si="14"/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项目投资!D27</f>
        <v>14333.333333333334</v>
      </c>
      <c r="T21" s="50" t="s">
        <v>47</v>
      </c>
      <c r="AJ21" s="50"/>
      <c r="AK21" s="50"/>
    </row>
    <row r="22" spans="1:38">
      <c r="A22" s="143">
        <v>16</v>
      </c>
      <c r="B22" s="50" t="s">
        <v>48</v>
      </c>
      <c r="C22" s="52">
        <f>C6*C47</f>
        <v>55080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55080</v>
      </c>
      <c r="T22" s="50" t="s">
        <v>48</v>
      </c>
      <c r="AJ22" s="50" t="s">
        <v>49</v>
      </c>
      <c r="AK22" s="50" t="s">
        <v>48</v>
      </c>
    </row>
    <row r="23" spans="1:38">
      <c r="A23" s="143">
        <v>17</v>
      </c>
      <c r="B23" s="53" t="s">
        <v>50</v>
      </c>
      <c r="C23" s="57">
        <f>+C22+C21+C20+C19+C17</f>
        <v>698165.33333333326</v>
      </c>
      <c r="D23" s="57">
        <f t="shared" ref="D23:H23" si="16">+D22+D21+D20+D19+D17</f>
        <v>0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698165.33333333326</v>
      </c>
      <c r="T23" s="53" t="s">
        <v>50</v>
      </c>
      <c r="AJ23" s="50" t="s">
        <v>51</v>
      </c>
      <c r="AK23" s="53" t="s">
        <v>50</v>
      </c>
    </row>
    <row r="24" spans="1:38">
      <c r="A24" s="143">
        <v>18</v>
      </c>
      <c r="B24" s="58" t="s">
        <v>52</v>
      </c>
      <c r="C24" s="57">
        <f>+C15-C23</f>
        <v>548440.74666666659</v>
      </c>
      <c r="D24" s="57">
        <f t="shared" ref="D24:H24" si="18">+D15-D23</f>
        <v>0</v>
      </c>
      <c r="E24" s="57">
        <f t="shared" si="18"/>
        <v>0</v>
      </c>
      <c r="F24" s="57">
        <f t="shared" si="18"/>
        <v>0</v>
      </c>
      <c r="G24" s="57">
        <f t="shared" si="18"/>
        <v>0</v>
      </c>
      <c r="H24" s="57">
        <f t="shared" si="18"/>
        <v>0</v>
      </c>
      <c r="I24" s="57">
        <f t="shared" ref="I24" si="19">+I15-I23</f>
        <v>548440.74666666659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3">
        <v>19</v>
      </c>
      <c r="B25" s="50" t="s">
        <v>227</v>
      </c>
      <c r="C25" s="57">
        <f>IF(C24&lt;0,0,C24*0.15)</f>
        <v>82266.111999999979</v>
      </c>
      <c r="D25" s="57">
        <f t="shared" ref="D25:H25" si="20">IF(D24&lt;0,0,D24*0.15)</f>
        <v>0</v>
      </c>
      <c r="E25" s="57">
        <f t="shared" si="20"/>
        <v>0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82266.111999999979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3">
        <v>20</v>
      </c>
      <c r="B26" s="50" t="s">
        <v>56</v>
      </c>
      <c r="C26" s="57">
        <f t="shared" ref="C26:H26" si="21">C24-C25</f>
        <v>466174.63466666662</v>
      </c>
      <c r="D26" s="57">
        <f t="shared" si="21"/>
        <v>0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I24-I25</f>
        <v>466174.63466666662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3">
        <v>21</v>
      </c>
      <c r="B27" s="50" t="s">
        <v>60</v>
      </c>
      <c r="C27" s="59">
        <f t="shared" ref="C27:I27" si="22">C26/C7</f>
        <v>0.22851697777777777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0.22851697777777777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3">
        <v>1</v>
      </c>
      <c r="B31" s="55" t="s">
        <v>65</v>
      </c>
      <c r="C31" s="61">
        <f>销量!C8</f>
        <v>34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3">
        <v>2</v>
      </c>
      <c r="B32" s="50" t="s">
        <v>146</v>
      </c>
      <c r="C32" s="52">
        <f>C9/C6</f>
        <v>32.653599999999997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3">
        <v>3</v>
      </c>
      <c r="B33" s="55" t="s">
        <v>66</v>
      </c>
      <c r="C33" s="52">
        <f>材料成本!G19</f>
        <v>5.359032</v>
      </c>
      <c r="D33" s="52">
        <f>材料成本!G20</f>
        <v>0</v>
      </c>
      <c r="E33" s="52">
        <f>材料成本!G21</f>
        <v>0</v>
      </c>
      <c r="F33" s="52">
        <f>材料成本!G22</f>
        <v>0</v>
      </c>
      <c r="G33" s="52">
        <f>材料成本!G23</f>
        <v>0</v>
      </c>
      <c r="H33" s="52">
        <f>材料成本!G24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3">
        <v>4</v>
      </c>
      <c r="B34" s="50" t="s">
        <v>68</v>
      </c>
      <c r="C34" s="62">
        <f>C32-C33</f>
        <v>27.294567999999998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3">
        <v>1</v>
      </c>
      <c r="B36" s="50" t="s">
        <v>71</v>
      </c>
      <c r="C36" s="56">
        <f>'2025年'!C36</f>
        <v>2.6078000000000001</v>
      </c>
      <c r="D36" s="56">
        <f>'2025年'!D36</f>
        <v>0</v>
      </c>
      <c r="E36" s="56">
        <f>'2025年'!E36</f>
        <v>0</v>
      </c>
      <c r="F36" s="56">
        <f>'2025年'!F36</f>
        <v>0</v>
      </c>
      <c r="G36" s="56">
        <f>'2025年'!G36</f>
        <v>0</v>
      </c>
      <c r="H36" s="56">
        <f>'2025年'!H36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3">
        <v>2</v>
      </c>
      <c r="B37" s="50" t="s">
        <v>72</v>
      </c>
      <c r="C37" s="56">
        <f>'2025年'!C37</f>
        <v>0.17</v>
      </c>
      <c r="D37" s="56">
        <f>'2025年'!D37</f>
        <v>0</v>
      </c>
      <c r="E37" s="56">
        <f>'2025年'!E37</f>
        <v>0</v>
      </c>
      <c r="F37" s="56">
        <f>'2025年'!F37</f>
        <v>0</v>
      </c>
      <c r="G37" s="56">
        <f>'2025年'!G37</f>
        <v>0</v>
      </c>
      <c r="H37" s="56">
        <f>'2025年'!H37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3">
        <v>3</v>
      </c>
      <c r="B38" s="50" t="s">
        <v>73</v>
      </c>
      <c r="C38" s="56">
        <f>'2025年'!C38</f>
        <v>3.74</v>
      </c>
      <c r="D38" s="56">
        <f>'2025年'!D38</f>
        <v>0</v>
      </c>
      <c r="E38" s="56">
        <f>'2025年'!E38</f>
        <v>0</v>
      </c>
      <c r="F38" s="56">
        <f>'2025年'!F38</f>
        <v>0</v>
      </c>
      <c r="G38" s="56">
        <f>'2025年'!G38</f>
        <v>0</v>
      </c>
      <c r="H38" s="56">
        <f>'2025年'!H38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3">
        <v>1</v>
      </c>
      <c r="B40" s="50" t="s">
        <v>77</v>
      </c>
      <c r="C40" s="57">
        <f>C34-C36-C37-C38</f>
        <v>20.776767999999997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3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3">
        <v>1</v>
      </c>
      <c r="B43" s="58" t="s">
        <v>81</v>
      </c>
      <c r="C43" s="56">
        <f>'2025年'!C43</f>
        <v>1.6694</v>
      </c>
      <c r="D43" s="56">
        <f>'2025年'!D43</f>
        <v>0</v>
      </c>
      <c r="E43" s="56">
        <f>'2025年'!E43</f>
        <v>0</v>
      </c>
      <c r="F43" s="56">
        <f>'2025年'!F43</f>
        <v>0</v>
      </c>
      <c r="G43" s="56">
        <f>'2025年'!G43</f>
        <v>0</v>
      </c>
      <c r="H43" s="56">
        <f>'2025年'!H43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3">
        <v>2</v>
      </c>
      <c r="B44" s="58" t="s">
        <v>82</v>
      </c>
      <c r="C44" s="56">
        <f>'2025年'!C44</f>
        <v>1.0199999999999999E-2</v>
      </c>
      <c r="D44" s="56">
        <f>'2025年'!D44</f>
        <v>0</v>
      </c>
      <c r="E44" s="56">
        <f>'2025年'!E44</f>
        <v>0</v>
      </c>
      <c r="F44" s="56">
        <f>'2025年'!F44</f>
        <v>0</v>
      </c>
      <c r="G44" s="56">
        <f>'2025年'!G44</f>
        <v>0</v>
      </c>
      <c r="H44" s="56">
        <f>'2025年'!H44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3">
        <v>3</v>
      </c>
      <c r="B45" s="58" t="s">
        <v>83</v>
      </c>
      <c r="C45" s="56">
        <f>'2025年'!C45</f>
        <v>7.3746</v>
      </c>
      <c r="D45" s="56">
        <f>'2025年'!D45</f>
        <v>0</v>
      </c>
      <c r="E45" s="56">
        <f>'2025年'!E45</f>
        <v>0</v>
      </c>
      <c r="F45" s="56">
        <f>'2025年'!F45</f>
        <v>0</v>
      </c>
      <c r="G45" s="56">
        <f>'2025年'!G45</f>
        <v>0</v>
      </c>
      <c r="H45" s="56">
        <f>'2025年'!H45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3">
        <v>4</v>
      </c>
      <c r="B46" s="58" t="s">
        <v>84</v>
      </c>
      <c r="C46" s="63">
        <f>C21/C6</f>
        <v>0.2388888888888889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3">
        <v>5</v>
      </c>
      <c r="B47" s="58" t="s">
        <v>86</v>
      </c>
      <c r="C47" s="63">
        <f>'2025年'!C47</f>
        <v>0.91800000000000004</v>
      </c>
      <c r="D47" s="63">
        <f>'2025年'!D47</f>
        <v>0</v>
      </c>
      <c r="E47" s="63">
        <f>'2025年'!E47</f>
        <v>0</v>
      </c>
      <c r="F47" s="63">
        <f>'2025年'!F47</f>
        <v>0</v>
      </c>
      <c r="G47" s="63">
        <f>'2025年'!G47</f>
        <v>0</v>
      </c>
      <c r="H47" s="63">
        <f>'2025年'!H47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10.565679111111107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1" t="s">
        <v>137</v>
      </c>
      <c r="B1" s="271"/>
      <c r="C1" s="275" t="s">
        <v>264</v>
      </c>
      <c r="D1" s="276"/>
      <c r="E1" s="276"/>
      <c r="F1" s="276"/>
      <c r="G1" s="276"/>
      <c r="H1" s="276"/>
      <c r="I1" s="277"/>
    </row>
    <row r="2" spans="1:38">
      <c r="A2" s="271" t="s">
        <v>138</v>
      </c>
      <c r="B2" s="271"/>
      <c r="C2" s="279" t="str">
        <f>'2025年'!C2:I2</f>
        <v>中国重汽集团</v>
      </c>
      <c r="D2" s="280"/>
      <c r="E2" s="280"/>
      <c r="F2" s="280"/>
      <c r="G2" s="280"/>
      <c r="H2" s="280"/>
      <c r="I2" s="281"/>
    </row>
    <row r="3" spans="1:38">
      <c r="A3" s="271" t="s">
        <v>139</v>
      </c>
      <c r="B3" s="271"/>
      <c r="C3" s="144" t="str">
        <f>'2025年'!C3</f>
        <v>AZ160051000335</v>
      </c>
      <c r="D3" s="175">
        <f>'2025年'!D3</f>
        <v>0</v>
      </c>
      <c r="E3" s="175">
        <f>'2025年'!E3</f>
        <v>0</v>
      </c>
      <c r="F3" s="175">
        <f>'2025年'!F3</f>
        <v>0</v>
      </c>
      <c r="G3" s="175">
        <f>'2025年'!G3</f>
        <v>0</v>
      </c>
      <c r="H3" s="175">
        <f>'2025年'!H3</f>
        <v>0</v>
      </c>
      <c r="I3" s="272" t="s">
        <v>15</v>
      </c>
    </row>
    <row r="4" spans="1:38">
      <c r="A4" s="271" t="s">
        <v>140</v>
      </c>
      <c r="B4" s="271"/>
      <c r="C4" s="144" t="str">
        <f>'2025年'!C4</f>
        <v>速降阀</v>
      </c>
      <c r="D4" s="144">
        <f>'2025年'!D4</f>
        <v>0</v>
      </c>
      <c r="E4" s="144">
        <f>'2025年'!E4</f>
        <v>0</v>
      </c>
      <c r="F4" s="144">
        <f>'2025年'!F4</f>
        <v>0</v>
      </c>
      <c r="G4" s="144">
        <f>'2025年'!G4</f>
        <v>0</v>
      </c>
      <c r="H4" s="144">
        <f>'2025年'!H4</f>
        <v>0</v>
      </c>
      <c r="I4" s="273"/>
    </row>
    <row r="5" spans="1:38">
      <c r="A5" s="271" t="s">
        <v>141</v>
      </c>
      <c r="B5" s="271"/>
      <c r="C5" s="49"/>
      <c r="D5" s="172"/>
      <c r="E5" s="172"/>
      <c r="F5" s="172"/>
      <c r="G5" s="172"/>
      <c r="H5" s="172"/>
      <c r="I5" s="274"/>
      <c r="AL5" s="46" t="s">
        <v>16</v>
      </c>
    </row>
    <row r="6" spans="1:38" ht="17.25">
      <c r="A6" s="50" t="s">
        <v>14</v>
      </c>
      <c r="B6" s="51" t="s">
        <v>142</v>
      </c>
      <c r="C6" s="21">
        <f>销量!C12</f>
        <v>0</v>
      </c>
      <c r="D6" s="21">
        <f>销量!D12</f>
        <v>0</v>
      </c>
      <c r="E6" s="21">
        <f>销量!E12</f>
        <v>0</v>
      </c>
      <c r="F6" s="21">
        <f>销量!F12</f>
        <v>0</v>
      </c>
      <c r="G6" s="21">
        <f>销量!G12</f>
        <v>0</v>
      </c>
      <c r="H6" s="21">
        <f>销量!H12</f>
        <v>0</v>
      </c>
      <c r="I6" s="52">
        <f t="shared" ref="I6:I15" si="0">SUM(C6:H6)</f>
        <v>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3">
        <v>1</v>
      </c>
      <c r="B7" s="51" t="s">
        <v>18</v>
      </c>
      <c r="C7" s="52">
        <f>C6*销量!C8</f>
        <v>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3">
        <v>2</v>
      </c>
      <c r="B8" s="143" t="s">
        <v>20</v>
      </c>
      <c r="C8" s="52">
        <f>C7*(1-销量!$M$9)</f>
        <v>0</v>
      </c>
      <c r="D8" s="52">
        <f>D7*(1-销量!$M$9)</f>
        <v>0</v>
      </c>
      <c r="E8" s="52">
        <f>E7*(1-销量!$M$9)</f>
        <v>0</v>
      </c>
      <c r="F8" s="52">
        <f>F7*(1-销量!$M$9)</f>
        <v>0</v>
      </c>
      <c r="G8" s="52">
        <f>G7*(1-销量!$M$9)</f>
        <v>0</v>
      </c>
      <c r="H8" s="52">
        <f>H7*(1-销量!$M$9)</f>
        <v>0</v>
      </c>
      <c r="I8" s="52">
        <f t="shared" si="0"/>
        <v>0</v>
      </c>
      <c r="J8" s="67"/>
      <c r="T8" s="143" t="s">
        <v>22</v>
      </c>
      <c r="AJ8" s="50" t="s">
        <v>21</v>
      </c>
      <c r="AK8" s="143" t="s">
        <v>22</v>
      </c>
      <c r="AL8" s="46" t="s">
        <v>17</v>
      </c>
    </row>
    <row r="9" spans="1:38">
      <c r="A9" s="143">
        <v>3</v>
      </c>
      <c r="B9" s="51" t="s">
        <v>23</v>
      </c>
      <c r="C9" s="52">
        <f>+C7-C8</f>
        <v>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3">
        <v>4</v>
      </c>
      <c r="B10" s="50" t="s">
        <v>26</v>
      </c>
      <c r="C10" s="52">
        <f>C6*C33</f>
        <v>0</v>
      </c>
      <c r="D10" s="52">
        <f t="shared" ref="D10:E10" si="2">D6*D33</f>
        <v>0</v>
      </c>
      <c r="E10" s="52">
        <f t="shared" si="2"/>
        <v>0</v>
      </c>
      <c r="F10" s="52">
        <f t="shared" ref="F10:H10" si="3">F6*F33</f>
        <v>0</v>
      </c>
      <c r="G10" s="52">
        <f t="shared" si="3"/>
        <v>0</v>
      </c>
      <c r="H10" s="52">
        <f t="shared" si="3"/>
        <v>0</v>
      </c>
      <c r="I10" s="52">
        <f t="shared" si="0"/>
        <v>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3">
        <v>5</v>
      </c>
      <c r="B11" s="50" t="s">
        <v>29</v>
      </c>
      <c r="C11" s="52">
        <f>+C6*C36</f>
        <v>0</v>
      </c>
      <c r="D11" s="52">
        <f t="shared" ref="D11:H11" si="4">+D6*D36</f>
        <v>0</v>
      </c>
      <c r="E11" s="52">
        <f t="shared" si="4"/>
        <v>0</v>
      </c>
      <c r="F11" s="52">
        <f t="shared" si="4"/>
        <v>0</v>
      </c>
      <c r="G11" s="52">
        <f t="shared" si="4"/>
        <v>0</v>
      </c>
      <c r="H11" s="52">
        <f t="shared" si="4"/>
        <v>0</v>
      </c>
      <c r="I11" s="52">
        <f t="shared" si="0"/>
        <v>0</v>
      </c>
      <c r="T11" s="50" t="s">
        <v>29</v>
      </c>
      <c r="AJ11" s="50" t="s">
        <v>30</v>
      </c>
      <c r="AK11" s="50" t="s">
        <v>29</v>
      </c>
    </row>
    <row r="12" spans="1:38">
      <c r="A12" s="143">
        <v>6</v>
      </c>
      <c r="B12" s="50" t="s">
        <v>31</v>
      </c>
      <c r="C12" s="52">
        <f>+C6*C37</f>
        <v>0</v>
      </c>
      <c r="D12" s="52">
        <f t="shared" ref="D12:H12" si="5">+D6*D37</f>
        <v>0</v>
      </c>
      <c r="E12" s="52">
        <f t="shared" si="5"/>
        <v>0</v>
      </c>
      <c r="F12" s="52">
        <f t="shared" si="5"/>
        <v>0</v>
      </c>
      <c r="G12" s="52">
        <f t="shared" si="5"/>
        <v>0</v>
      </c>
      <c r="H12" s="52">
        <f t="shared" si="5"/>
        <v>0</v>
      </c>
      <c r="I12" s="52">
        <f t="shared" si="0"/>
        <v>0</v>
      </c>
      <c r="T12" s="50" t="s">
        <v>31</v>
      </c>
      <c r="AJ12" s="50" t="s">
        <v>32</v>
      </c>
      <c r="AK12" s="50" t="s">
        <v>31</v>
      </c>
    </row>
    <row r="13" spans="1:38">
      <c r="A13" s="143">
        <v>7</v>
      </c>
      <c r="B13" s="50" t="s">
        <v>33</v>
      </c>
      <c r="C13" s="52">
        <f>+C6*C38</f>
        <v>0</v>
      </c>
      <c r="D13" s="52">
        <f t="shared" ref="D13:H13" si="6">+D6*D38</f>
        <v>0</v>
      </c>
      <c r="E13" s="52">
        <f t="shared" si="6"/>
        <v>0</v>
      </c>
      <c r="F13" s="52">
        <f t="shared" si="6"/>
        <v>0</v>
      </c>
      <c r="G13" s="52">
        <f t="shared" si="6"/>
        <v>0</v>
      </c>
      <c r="H13" s="52">
        <f t="shared" si="6"/>
        <v>0</v>
      </c>
      <c r="I13" s="52">
        <f t="shared" si="0"/>
        <v>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3">
        <v>8</v>
      </c>
      <c r="B14" s="53" t="s">
        <v>35</v>
      </c>
      <c r="C14" s="52">
        <f>SUM(C11:C13)</f>
        <v>0</v>
      </c>
      <c r="D14" s="52">
        <f t="shared" ref="D14:H14" si="7">SUM(D11:D13)</f>
        <v>0</v>
      </c>
      <c r="E14" s="52">
        <f t="shared" si="7"/>
        <v>0</v>
      </c>
      <c r="F14" s="52">
        <f t="shared" si="7"/>
        <v>0</v>
      </c>
      <c r="G14" s="52">
        <f t="shared" si="7"/>
        <v>0</v>
      </c>
      <c r="H14" s="52">
        <f t="shared" si="7"/>
        <v>0</v>
      </c>
      <c r="I14" s="52">
        <f t="shared" si="0"/>
        <v>0</v>
      </c>
      <c r="T14" s="53" t="s">
        <v>35</v>
      </c>
      <c r="AJ14" s="50" t="s">
        <v>36</v>
      </c>
      <c r="AK14" s="53" t="s">
        <v>35</v>
      </c>
    </row>
    <row r="15" spans="1:38">
      <c r="A15" s="143">
        <v>9</v>
      </c>
      <c r="B15" s="53" t="s">
        <v>37</v>
      </c>
      <c r="C15" s="52">
        <f>+C9-C10-C14</f>
        <v>0</v>
      </c>
      <c r="D15" s="52">
        <f t="shared" ref="D15:H15" si="8">+D9-D10-D14</f>
        <v>0</v>
      </c>
      <c r="E15" s="52">
        <f t="shared" si="8"/>
        <v>0</v>
      </c>
      <c r="F15" s="52">
        <f t="shared" si="8"/>
        <v>0</v>
      </c>
      <c r="G15" s="52">
        <f t="shared" si="8"/>
        <v>0</v>
      </c>
      <c r="H15" s="52">
        <f t="shared" si="8"/>
        <v>0</v>
      </c>
      <c r="I15" s="52">
        <f t="shared" si="0"/>
        <v>0</v>
      </c>
      <c r="T15" s="53" t="s">
        <v>37</v>
      </c>
      <c r="AJ15" s="50" t="s">
        <v>38</v>
      </c>
      <c r="AK15" s="53" t="s">
        <v>37</v>
      </c>
    </row>
    <row r="16" spans="1:38">
      <c r="A16" s="143">
        <v>10</v>
      </c>
      <c r="B16" s="50" t="s">
        <v>39</v>
      </c>
      <c r="C16" s="54" t="e">
        <f>+C15/C9</f>
        <v>#DIV/0!</v>
      </c>
      <c r="D16" s="54" t="e">
        <f t="shared" ref="D16:H16" si="9">+D15/D9</f>
        <v>#DIV/0!</v>
      </c>
      <c r="E16" s="54" t="e">
        <f t="shared" si="9"/>
        <v>#DIV/0!</v>
      </c>
      <c r="F16" s="54" t="e">
        <f t="shared" si="9"/>
        <v>#DIV/0!</v>
      </c>
      <c r="G16" s="54" t="e">
        <f t="shared" si="9"/>
        <v>#DIV/0!</v>
      </c>
      <c r="H16" s="54" t="e">
        <f t="shared" si="9"/>
        <v>#DIV/0!</v>
      </c>
      <c r="I16" s="54" t="e">
        <f t="shared" ref="I16" si="10">+I15/I9</f>
        <v>#DIV/0!</v>
      </c>
      <c r="T16" s="50" t="s">
        <v>39</v>
      </c>
      <c r="AJ16" s="50" t="s">
        <v>40</v>
      </c>
      <c r="AK16" s="50" t="s">
        <v>39</v>
      </c>
    </row>
    <row r="17" spans="1:38">
      <c r="A17" s="143">
        <v>11</v>
      </c>
      <c r="B17" s="50" t="s">
        <v>41</v>
      </c>
      <c r="C17" s="52" t="e">
        <f>C6*C43+C18</f>
        <v>#DIV/0!</v>
      </c>
      <c r="D17" s="52" t="e">
        <f t="shared" ref="D17:H17" si="11">D6*D43+D18</f>
        <v>#DIV/0!</v>
      </c>
      <c r="E17" s="52" t="e">
        <f t="shared" si="11"/>
        <v>#DIV/0!</v>
      </c>
      <c r="F17" s="52" t="e">
        <f t="shared" si="11"/>
        <v>#DIV/0!</v>
      </c>
      <c r="G17" s="52" t="e">
        <f t="shared" si="11"/>
        <v>#DIV/0!</v>
      </c>
      <c r="H17" s="52" t="e">
        <f t="shared" si="11"/>
        <v>#DIV/0!</v>
      </c>
      <c r="I17" s="52" t="e">
        <f>SUM(C17:H17)</f>
        <v>#DIV/0!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3">
        <v>12</v>
      </c>
      <c r="B18" s="55" t="s">
        <v>143</v>
      </c>
      <c r="C18" s="56" t="e">
        <f>$I$18/$I$9*C9</f>
        <v>#DIV/0!</v>
      </c>
      <c r="D18" s="56" t="e">
        <f t="shared" ref="D18:H18" si="12">$I$18/$I$9*D9</f>
        <v>#DIV/0!</v>
      </c>
      <c r="E18" s="56" t="e">
        <f t="shared" si="12"/>
        <v>#DIV/0!</v>
      </c>
      <c r="F18" s="56" t="e">
        <f t="shared" si="12"/>
        <v>#DIV/0!</v>
      </c>
      <c r="G18" s="56" t="e">
        <f t="shared" si="12"/>
        <v>#DIV/0!</v>
      </c>
      <c r="H18" s="56" t="e">
        <f t="shared" si="12"/>
        <v>#DIV/0!</v>
      </c>
      <c r="I18" s="56">
        <f>项目投资!G26</f>
        <v>0</v>
      </c>
      <c r="J18" s="68" t="s">
        <v>144</v>
      </c>
      <c r="K18" s="68"/>
      <c r="L18" s="68"/>
    </row>
    <row r="19" spans="1:38">
      <c r="A19" s="143">
        <v>13</v>
      </c>
      <c r="B19" s="50" t="s">
        <v>43</v>
      </c>
      <c r="C19" s="52">
        <f>C6*C44</f>
        <v>0</v>
      </c>
      <c r="D19" s="52">
        <f t="shared" ref="D19:H19" si="13">D6*D44</f>
        <v>0</v>
      </c>
      <c r="E19" s="52">
        <f t="shared" si="13"/>
        <v>0</v>
      </c>
      <c r="F19" s="52">
        <f t="shared" si="13"/>
        <v>0</v>
      </c>
      <c r="G19" s="52">
        <f t="shared" si="13"/>
        <v>0</v>
      </c>
      <c r="H19" s="52">
        <f t="shared" si="13"/>
        <v>0</v>
      </c>
      <c r="I19" s="52">
        <f>SUM(C19:H19)</f>
        <v>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3">
        <v>14</v>
      </c>
      <c r="B20" s="50" t="s">
        <v>45</v>
      </c>
      <c r="C20" s="52">
        <f>C6*C45</f>
        <v>0</v>
      </c>
      <c r="D20" s="52">
        <f t="shared" ref="D20:H20" si="14">D6*D45</f>
        <v>0</v>
      </c>
      <c r="E20" s="52">
        <f t="shared" si="14"/>
        <v>0</v>
      </c>
      <c r="F20" s="52">
        <f t="shared" si="14"/>
        <v>0</v>
      </c>
      <c r="G20" s="52">
        <f t="shared" si="14"/>
        <v>0</v>
      </c>
      <c r="H20" s="52">
        <f t="shared" si="14"/>
        <v>0</v>
      </c>
      <c r="I20" s="52">
        <f>SUM(C20:H20)</f>
        <v>0</v>
      </c>
      <c r="T20" s="50" t="s">
        <v>45</v>
      </c>
      <c r="AJ20" s="50" t="s">
        <v>46</v>
      </c>
      <c r="AK20" s="50" t="s">
        <v>45</v>
      </c>
    </row>
    <row r="21" spans="1:38">
      <c r="A21" s="143">
        <v>15</v>
      </c>
      <c r="B21" s="50" t="s">
        <v>47</v>
      </c>
      <c r="C21" s="57" t="e">
        <f t="shared" ref="C21:H21" si="15">$I$21/$I$6*C6</f>
        <v>#DIV/0!</v>
      </c>
      <c r="D21" s="57" t="e">
        <f t="shared" si="15"/>
        <v>#DIV/0!</v>
      </c>
      <c r="E21" s="57" t="e">
        <f t="shared" si="15"/>
        <v>#DIV/0!</v>
      </c>
      <c r="F21" s="57" t="e">
        <f t="shared" si="15"/>
        <v>#DIV/0!</v>
      </c>
      <c r="G21" s="57" t="e">
        <f t="shared" si="15"/>
        <v>#DIV/0!</v>
      </c>
      <c r="H21" s="57" t="e">
        <f t="shared" si="15"/>
        <v>#DIV/0!</v>
      </c>
      <c r="I21" s="52">
        <f>项目投资!D27</f>
        <v>14333.333333333334</v>
      </c>
      <c r="T21" s="50" t="s">
        <v>47</v>
      </c>
      <c r="AJ21" s="50"/>
      <c r="AK21" s="50"/>
    </row>
    <row r="22" spans="1:38">
      <c r="A22" s="143">
        <v>16</v>
      </c>
      <c r="B22" s="50" t="s">
        <v>48</v>
      </c>
      <c r="C22" s="52">
        <f>C6*C47</f>
        <v>0</v>
      </c>
      <c r="D22" s="52">
        <f t="shared" ref="D22:H22" si="16">D6*D47</f>
        <v>0</v>
      </c>
      <c r="E22" s="52">
        <f t="shared" si="16"/>
        <v>0</v>
      </c>
      <c r="F22" s="52">
        <f t="shared" si="16"/>
        <v>0</v>
      </c>
      <c r="G22" s="52">
        <f t="shared" si="16"/>
        <v>0</v>
      </c>
      <c r="H22" s="52">
        <f t="shared" si="16"/>
        <v>0</v>
      </c>
      <c r="I22" s="52">
        <f>SUM(C22:H22)</f>
        <v>0</v>
      </c>
      <c r="T22" s="50" t="s">
        <v>48</v>
      </c>
      <c r="AJ22" s="50" t="s">
        <v>49</v>
      </c>
      <c r="AK22" s="50" t="s">
        <v>48</v>
      </c>
    </row>
    <row r="23" spans="1:38">
      <c r="A23" s="143">
        <v>17</v>
      </c>
      <c r="B23" s="53" t="s">
        <v>50</v>
      </c>
      <c r="C23" s="57" t="e">
        <f>+C22+C21+C20+C19+C17</f>
        <v>#DIV/0!</v>
      </c>
      <c r="D23" s="57" t="e">
        <f t="shared" ref="D23:H23" si="17">+D22+D21+D20+D19+D17</f>
        <v>#DIV/0!</v>
      </c>
      <c r="E23" s="57" t="e">
        <f t="shared" si="17"/>
        <v>#DIV/0!</v>
      </c>
      <c r="F23" s="57" t="e">
        <f t="shared" si="17"/>
        <v>#DIV/0!</v>
      </c>
      <c r="G23" s="57" t="e">
        <f t="shared" si="17"/>
        <v>#DIV/0!</v>
      </c>
      <c r="H23" s="57" t="e">
        <f t="shared" si="17"/>
        <v>#DIV/0!</v>
      </c>
      <c r="I23" s="57" t="e">
        <f t="shared" ref="I23" si="18">+I22+I21+I20+I19+I17</f>
        <v>#DIV/0!</v>
      </c>
      <c r="T23" s="53" t="s">
        <v>50</v>
      </c>
      <c r="AJ23" s="50" t="s">
        <v>51</v>
      </c>
      <c r="AK23" s="53" t="s">
        <v>50</v>
      </c>
    </row>
    <row r="24" spans="1:38">
      <c r="A24" s="143">
        <v>18</v>
      </c>
      <c r="B24" s="58" t="s">
        <v>52</v>
      </c>
      <c r="C24" s="57" t="e">
        <f>+C15-C23</f>
        <v>#DIV/0!</v>
      </c>
      <c r="D24" s="57" t="e">
        <f t="shared" ref="D24:H24" si="19">+D15-D23</f>
        <v>#DIV/0!</v>
      </c>
      <c r="E24" s="57" t="e">
        <f t="shared" si="19"/>
        <v>#DIV/0!</v>
      </c>
      <c r="F24" s="57" t="e">
        <f t="shared" si="19"/>
        <v>#DIV/0!</v>
      </c>
      <c r="G24" s="57" t="e">
        <f t="shared" si="19"/>
        <v>#DIV/0!</v>
      </c>
      <c r="H24" s="57" t="e">
        <f t="shared" si="19"/>
        <v>#DIV/0!</v>
      </c>
      <c r="I24" s="57" t="e">
        <f t="shared" ref="I24" si="20">+I15-I23</f>
        <v>#DIV/0!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3">
        <v>19</v>
      </c>
      <c r="B25" s="50" t="s">
        <v>227</v>
      </c>
      <c r="C25" s="57" t="e">
        <f>IF(C24&lt;0,0,C24*0.15)</f>
        <v>#DIV/0!</v>
      </c>
      <c r="D25" s="57" t="e">
        <f t="shared" ref="D25:H25" si="21">IF(D24&lt;0,0,D24*0.15)</f>
        <v>#DIV/0!</v>
      </c>
      <c r="E25" s="57" t="e">
        <f t="shared" si="21"/>
        <v>#DIV/0!</v>
      </c>
      <c r="F25" s="57" t="e">
        <f t="shared" si="21"/>
        <v>#DIV/0!</v>
      </c>
      <c r="G25" s="57" t="e">
        <f t="shared" si="21"/>
        <v>#DIV/0!</v>
      </c>
      <c r="H25" s="57" t="e">
        <f t="shared" si="21"/>
        <v>#DIV/0!</v>
      </c>
      <c r="I25" s="57" t="e">
        <f>IF(I24&lt;0,0,I24*0.15)</f>
        <v>#DIV/0!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3">
        <v>20</v>
      </c>
      <c r="B26" s="50" t="s">
        <v>56</v>
      </c>
      <c r="C26" s="57" t="e">
        <f t="shared" ref="C26:H26" si="22">C24-C25</f>
        <v>#DIV/0!</v>
      </c>
      <c r="D26" s="57" t="e">
        <f t="shared" si="22"/>
        <v>#DIV/0!</v>
      </c>
      <c r="E26" s="57" t="e">
        <f t="shared" si="22"/>
        <v>#DIV/0!</v>
      </c>
      <c r="F26" s="57" t="e">
        <f t="shared" si="22"/>
        <v>#DIV/0!</v>
      </c>
      <c r="G26" s="57" t="e">
        <f t="shared" si="22"/>
        <v>#DIV/0!</v>
      </c>
      <c r="H26" s="57" t="e">
        <f t="shared" si="22"/>
        <v>#DIV/0!</v>
      </c>
      <c r="I26" s="52" t="e">
        <f>I24-I25</f>
        <v>#DIV/0!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3">
        <v>21</v>
      </c>
      <c r="B27" s="50" t="s">
        <v>60</v>
      </c>
      <c r="C27" s="59" t="e">
        <f t="shared" ref="C27:I27" si="23">C26/C7</f>
        <v>#DIV/0!</v>
      </c>
      <c r="D27" s="59" t="e">
        <f t="shared" ref="D27:H27" si="24">D26/D7</f>
        <v>#DIV/0!</v>
      </c>
      <c r="E27" s="59" t="e">
        <f t="shared" si="24"/>
        <v>#DIV/0!</v>
      </c>
      <c r="F27" s="59" t="e">
        <f t="shared" si="24"/>
        <v>#DIV/0!</v>
      </c>
      <c r="G27" s="59" t="e">
        <f t="shared" si="24"/>
        <v>#DIV/0!</v>
      </c>
      <c r="H27" s="59" t="e">
        <f t="shared" si="24"/>
        <v>#DIV/0!</v>
      </c>
      <c r="I27" s="59" t="e">
        <f t="shared" si="23"/>
        <v>#DIV/0!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3">
        <v>1</v>
      </c>
      <c r="B31" s="55" t="s">
        <v>65</v>
      </c>
      <c r="C31" s="61">
        <f>销量!C8</f>
        <v>34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3">
        <v>2</v>
      </c>
      <c r="B32" s="50" t="s">
        <v>146</v>
      </c>
      <c r="C32" s="52" t="e">
        <f>C9/C6</f>
        <v>#DIV/0!</v>
      </c>
      <c r="D32" s="52" t="e">
        <f t="shared" ref="D32:H32" si="25">D9/D6</f>
        <v>#DIV/0!</v>
      </c>
      <c r="E32" s="52" t="e">
        <f t="shared" si="25"/>
        <v>#DIV/0!</v>
      </c>
      <c r="F32" s="52" t="e">
        <f t="shared" si="25"/>
        <v>#DIV/0!</v>
      </c>
      <c r="G32" s="52" t="e">
        <f t="shared" si="25"/>
        <v>#DIV/0!</v>
      </c>
      <c r="H32" s="52" t="e">
        <f t="shared" si="25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3">
        <v>3</v>
      </c>
      <c r="B33" s="55" t="s">
        <v>66</v>
      </c>
      <c r="C33" s="52">
        <f>材料成本!H19</f>
        <v>0</v>
      </c>
      <c r="D33" s="52">
        <f>材料成本!H20</f>
        <v>0</v>
      </c>
      <c r="E33" s="52">
        <f>材料成本!H21</f>
        <v>0</v>
      </c>
      <c r="F33" s="52">
        <f>材料成本!H22</f>
        <v>0</v>
      </c>
      <c r="G33" s="52">
        <f>材料成本!H23</f>
        <v>0</v>
      </c>
      <c r="H33" s="52">
        <f>材料成本!H24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3">
        <v>4</v>
      </c>
      <c r="B34" s="50" t="s">
        <v>68</v>
      </c>
      <c r="C34" s="62" t="e">
        <f>C32-C33</f>
        <v>#DIV/0!</v>
      </c>
      <c r="D34" s="62" t="e">
        <f t="shared" ref="D34:H34" si="26">D32-D33</f>
        <v>#DIV/0!</v>
      </c>
      <c r="E34" s="62" t="e">
        <f t="shared" si="26"/>
        <v>#DIV/0!</v>
      </c>
      <c r="F34" s="62" t="e">
        <f t="shared" si="26"/>
        <v>#DIV/0!</v>
      </c>
      <c r="G34" s="62" t="e">
        <f t="shared" si="26"/>
        <v>#DIV/0!</v>
      </c>
      <c r="H34" s="62" t="e">
        <f t="shared" si="26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3">
        <v>1</v>
      </c>
      <c r="B36" s="50" t="s">
        <v>71</v>
      </c>
      <c r="C36" s="56">
        <f>'2025年'!C36</f>
        <v>2.6078000000000001</v>
      </c>
      <c r="D36" s="56">
        <f>'2025年'!D36</f>
        <v>0</v>
      </c>
      <c r="E36" s="56">
        <f>'2025年'!E36</f>
        <v>0</v>
      </c>
      <c r="F36" s="56">
        <f>'2025年'!F36</f>
        <v>0</v>
      </c>
      <c r="G36" s="56">
        <f>'2025年'!G36</f>
        <v>0</v>
      </c>
      <c r="H36" s="56">
        <f>'2025年'!H36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3">
        <v>2</v>
      </c>
      <c r="B37" s="50" t="s">
        <v>72</v>
      </c>
      <c r="C37" s="56">
        <f>'2025年'!C37</f>
        <v>0.17</v>
      </c>
      <c r="D37" s="56">
        <f>'2025年'!D37</f>
        <v>0</v>
      </c>
      <c r="E37" s="56">
        <f>'2025年'!E37</f>
        <v>0</v>
      </c>
      <c r="F37" s="56">
        <f>'2025年'!F37</f>
        <v>0</v>
      </c>
      <c r="G37" s="56">
        <f>'2025年'!G37</f>
        <v>0</v>
      </c>
      <c r="H37" s="56">
        <f>'2025年'!H37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3">
        <v>3</v>
      </c>
      <c r="B38" s="50" t="s">
        <v>73</v>
      </c>
      <c r="C38" s="56">
        <f>'2025年'!C38</f>
        <v>3.74</v>
      </c>
      <c r="D38" s="56">
        <f>'2025年'!D38</f>
        <v>0</v>
      </c>
      <c r="E38" s="56">
        <f>'2025年'!E38</f>
        <v>0</v>
      </c>
      <c r="F38" s="56">
        <f>'2025年'!F38</f>
        <v>0</v>
      </c>
      <c r="G38" s="56">
        <f>'2025年'!G38</f>
        <v>0</v>
      </c>
      <c r="H38" s="56">
        <f>'2025年'!H38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3">
        <v>1</v>
      </c>
      <c r="B40" s="50" t="s">
        <v>77</v>
      </c>
      <c r="C40" s="57" t="e">
        <f>C34-C36-C37-C38</f>
        <v>#DIV/0!</v>
      </c>
      <c r="D40" s="57" t="e">
        <f t="shared" ref="D40:H40" si="27">D34-D36-D37-D38</f>
        <v>#DIV/0!</v>
      </c>
      <c r="E40" s="57" t="e">
        <f t="shared" si="27"/>
        <v>#DIV/0!</v>
      </c>
      <c r="F40" s="57" t="e">
        <f t="shared" si="27"/>
        <v>#DIV/0!</v>
      </c>
      <c r="G40" s="57" t="e">
        <f t="shared" si="27"/>
        <v>#DIV/0!</v>
      </c>
      <c r="H40" s="57" t="e">
        <f t="shared" si="27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3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3">
        <v>1</v>
      </c>
      <c r="B43" s="58" t="s">
        <v>81</v>
      </c>
      <c r="C43" s="56">
        <f>'2025年'!C43</f>
        <v>1.6694</v>
      </c>
      <c r="D43" s="56">
        <f>'2025年'!D43</f>
        <v>0</v>
      </c>
      <c r="E43" s="56">
        <f>'2025年'!E43</f>
        <v>0</v>
      </c>
      <c r="F43" s="56">
        <f>'2025年'!F43</f>
        <v>0</v>
      </c>
      <c r="G43" s="56">
        <f>'2025年'!G43</f>
        <v>0</v>
      </c>
      <c r="H43" s="56">
        <f>'2025年'!H43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3">
        <v>2</v>
      </c>
      <c r="B44" s="58" t="s">
        <v>82</v>
      </c>
      <c r="C44" s="56">
        <f>'2025年'!C44</f>
        <v>1.0199999999999999E-2</v>
      </c>
      <c r="D44" s="56">
        <f>'2025年'!D44</f>
        <v>0</v>
      </c>
      <c r="E44" s="56">
        <f>'2025年'!E44</f>
        <v>0</v>
      </c>
      <c r="F44" s="56">
        <f>'2025年'!F44</f>
        <v>0</v>
      </c>
      <c r="G44" s="56">
        <f>'2025年'!G44</f>
        <v>0</v>
      </c>
      <c r="H44" s="56">
        <f>'2025年'!H44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3">
        <v>3</v>
      </c>
      <c r="B45" s="58" t="s">
        <v>83</v>
      </c>
      <c r="C45" s="56">
        <f>'2025年'!C45</f>
        <v>7.3746</v>
      </c>
      <c r="D45" s="56">
        <f>'2025年'!D45</f>
        <v>0</v>
      </c>
      <c r="E45" s="56">
        <f>'2025年'!E45</f>
        <v>0</v>
      </c>
      <c r="F45" s="56">
        <f>'2025年'!F45</f>
        <v>0</v>
      </c>
      <c r="G45" s="56">
        <f>'2025年'!G45</f>
        <v>0</v>
      </c>
      <c r="H45" s="56">
        <f>'2025年'!H45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3">
        <v>4</v>
      </c>
      <c r="B46" s="58" t="s">
        <v>84</v>
      </c>
      <c r="C46" s="63" t="e">
        <f>C21/C6</f>
        <v>#DIV/0!</v>
      </c>
      <c r="D46" s="63" t="e">
        <f t="shared" ref="D46:H46" si="28">D21/D6</f>
        <v>#DIV/0!</v>
      </c>
      <c r="E46" s="63" t="e">
        <f t="shared" si="28"/>
        <v>#DIV/0!</v>
      </c>
      <c r="F46" s="63" t="e">
        <f t="shared" si="28"/>
        <v>#DIV/0!</v>
      </c>
      <c r="G46" s="63" t="e">
        <f t="shared" si="28"/>
        <v>#DIV/0!</v>
      </c>
      <c r="H46" s="63" t="e">
        <f t="shared" si="28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3">
        <v>5</v>
      </c>
      <c r="B47" s="58" t="s">
        <v>86</v>
      </c>
      <c r="C47" s="63">
        <f>'2025年'!C47</f>
        <v>0.91800000000000004</v>
      </c>
      <c r="D47" s="63">
        <f>'2025年'!D47</f>
        <v>0</v>
      </c>
      <c r="E47" s="63">
        <f>'2025年'!E47</f>
        <v>0</v>
      </c>
      <c r="F47" s="63">
        <f>'2025年'!F47</f>
        <v>0</v>
      </c>
      <c r="G47" s="63">
        <f>'2025年'!G47</f>
        <v>0</v>
      </c>
      <c r="H47" s="63">
        <f>'2025年'!H47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 t="e">
        <f>C40-C43-C44-C45-C47-C46</f>
        <v>#DIV/0!</v>
      </c>
      <c r="D48" s="57" t="e">
        <f t="shared" ref="D48:H48" si="29">D40-D43-D44-D45-D47-D46</f>
        <v>#DIV/0!</v>
      </c>
      <c r="E48" s="57" t="e">
        <f t="shared" si="29"/>
        <v>#DIV/0!</v>
      </c>
      <c r="F48" s="57" t="e">
        <f t="shared" si="29"/>
        <v>#DIV/0!</v>
      </c>
      <c r="G48" s="57" t="e">
        <f t="shared" si="29"/>
        <v>#DIV/0!</v>
      </c>
      <c r="H48" s="57" t="e">
        <f t="shared" si="29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4.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1" t="s">
        <v>137</v>
      </c>
      <c r="B1" s="271"/>
      <c r="C1" s="275" t="s">
        <v>267</v>
      </c>
      <c r="D1" s="276"/>
      <c r="E1" s="276"/>
      <c r="F1" s="276"/>
      <c r="G1" s="276"/>
      <c r="H1" s="276"/>
      <c r="I1" s="277"/>
    </row>
    <row r="2" spans="1:38">
      <c r="A2" s="271" t="s">
        <v>138</v>
      </c>
      <c r="B2" s="271"/>
      <c r="C2" s="278" t="str">
        <f>'2025年'!C2:I2</f>
        <v>中国重汽集团</v>
      </c>
      <c r="D2" s="278"/>
      <c r="E2" s="278"/>
      <c r="F2" s="278"/>
      <c r="G2" s="278"/>
      <c r="H2" s="278"/>
      <c r="I2" s="278"/>
    </row>
    <row r="3" spans="1:38">
      <c r="A3" s="271" t="s">
        <v>139</v>
      </c>
      <c r="B3" s="271"/>
      <c r="C3" s="144" t="str">
        <f>'2025年'!C3</f>
        <v>AZ160051000335</v>
      </c>
      <c r="D3" s="175">
        <f>'2025年'!D3</f>
        <v>0</v>
      </c>
      <c r="E3" s="175">
        <f>'2025年'!E3</f>
        <v>0</v>
      </c>
      <c r="F3" s="175">
        <f>'2025年'!F3</f>
        <v>0</v>
      </c>
      <c r="G3" s="175">
        <f>'2025年'!G3</f>
        <v>0</v>
      </c>
      <c r="H3" s="175">
        <f>'2025年'!H3</f>
        <v>0</v>
      </c>
      <c r="I3" s="272" t="s">
        <v>15</v>
      </c>
    </row>
    <row r="4" spans="1:38">
      <c r="A4" s="271" t="s">
        <v>140</v>
      </c>
      <c r="B4" s="271"/>
      <c r="C4" s="144" t="str">
        <f>'2025年'!C4</f>
        <v>速降阀</v>
      </c>
      <c r="D4" s="144">
        <f>'2025年'!D4</f>
        <v>0</v>
      </c>
      <c r="E4" s="144">
        <f>'2025年'!E4</f>
        <v>0</v>
      </c>
      <c r="F4" s="144">
        <f>'2025年'!F4</f>
        <v>0</v>
      </c>
      <c r="G4" s="144">
        <f>'2025年'!G4</f>
        <v>0</v>
      </c>
      <c r="H4" s="144">
        <f>'2025年'!H4</f>
        <v>0</v>
      </c>
      <c r="I4" s="273"/>
    </row>
    <row r="5" spans="1:38">
      <c r="A5" s="271" t="s">
        <v>141</v>
      </c>
      <c r="B5" s="271"/>
      <c r="C5" s="49"/>
      <c r="D5" s="172"/>
      <c r="E5" s="172"/>
      <c r="F5" s="172"/>
      <c r="G5" s="172"/>
      <c r="H5" s="172"/>
      <c r="I5" s="274"/>
      <c r="AL5" s="46" t="s">
        <v>16</v>
      </c>
    </row>
    <row r="6" spans="1:38" ht="17.25">
      <c r="A6" s="50" t="s">
        <v>14</v>
      </c>
      <c r="B6" s="51" t="s">
        <v>142</v>
      </c>
      <c r="C6" s="21">
        <f>销量!C13</f>
        <v>0</v>
      </c>
      <c r="D6" s="21">
        <f>销量!D13</f>
        <v>0</v>
      </c>
      <c r="E6" s="21">
        <f>销量!E13</f>
        <v>0</v>
      </c>
      <c r="F6" s="21">
        <f>销量!F13</f>
        <v>0</v>
      </c>
      <c r="G6" s="21">
        <f>销量!G13</f>
        <v>0</v>
      </c>
      <c r="H6" s="21">
        <f>销量!H13</f>
        <v>0</v>
      </c>
      <c r="I6" s="52">
        <f t="shared" ref="I6:I15" si="0">SUM(C6:H6)</f>
        <v>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57">
        <v>1</v>
      </c>
      <c r="B7" s="51" t="s">
        <v>18</v>
      </c>
      <c r="C7" s="52">
        <f>C6*销量!C8</f>
        <v>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57">
        <v>2</v>
      </c>
      <c r="B8" s="157" t="s">
        <v>20</v>
      </c>
      <c r="C8" s="52">
        <f>C7*(1-销量!$M$10)</f>
        <v>0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0</v>
      </c>
      <c r="J8" s="67"/>
      <c r="T8" s="157" t="s">
        <v>22</v>
      </c>
      <c r="AJ8" s="50" t="s">
        <v>21</v>
      </c>
      <c r="AK8" s="157" t="s">
        <v>22</v>
      </c>
      <c r="AL8" s="46" t="s">
        <v>17</v>
      </c>
    </row>
    <row r="9" spans="1:38">
      <c r="A9" s="157">
        <v>3</v>
      </c>
      <c r="B9" s="51" t="s">
        <v>23</v>
      </c>
      <c r="C9" s="52">
        <f>+C7-C8</f>
        <v>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57">
        <v>4</v>
      </c>
      <c r="B10" s="50" t="s">
        <v>26</v>
      </c>
      <c r="C10" s="52">
        <f>C6*C33</f>
        <v>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57">
        <v>5</v>
      </c>
      <c r="B11" s="50" t="s">
        <v>29</v>
      </c>
      <c r="C11" s="52">
        <f>+C6*C36</f>
        <v>0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0</v>
      </c>
      <c r="T11" s="50" t="s">
        <v>29</v>
      </c>
      <c r="AJ11" s="50" t="s">
        <v>30</v>
      </c>
      <c r="AK11" s="50" t="s">
        <v>29</v>
      </c>
    </row>
    <row r="12" spans="1:38">
      <c r="A12" s="157">
        <v>6</v>
      </c>
      <c r="B12" s="50" t="s">
        <v>31</v>
      </c>
      <c r="C12" s="52">
        <f>+C6*C37</f>
        <v>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0</v>
      </c>
      <c r="T12" s="50" t="s">
        <v>31</v>
      </c>
      <c r="AJ12" s="50" t="s">
        <v>32</v>
      </c>
      <c r="AK12" s="50" t="s">
        <v>31</v>
      </c>
    </row>
    <row r="13" spans="1:38">
      <c r="A13" s="157">
        <v>7</v>
      </c>
      <c r="B13" s="50" t="s">
        <v>33</v>
      </c>
      <c r="C13" s="52">
        <f>+C6*C38</f>
        <v>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0</v>
      </c>
      <c r="K13" s="67"/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57">
        <v>8</v>
      </c>
      <c r="B14" s="53" t="s">
        <v>35</v>
      </c>
      <c r="C14" s="52">
        <f>SUM(C11:C13)</f>
        <v>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0</v>
      </c>
      <c r="T14" s="53" t="s">
        <v>35</v>
      </c>
      <c r="AJ14" s="50" t="s">
        <v>36</v>
      </c>
      <c r="AK14" s="53" t="s">
        <v>35</v>
      </c>
    </row>
    <row r="15" spans="1:38">
      <c r="A15" s="157">
        <v>9</v>
      </c>
      <c r="B15" s="53" t="s">
        <v>37</v>
      </c>
      <c r="C15" s="52">
        <f>+C9-C10-C14</f>
        <v>0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0</v>
      </c>
      <c r="T15" s="53" t="s">
        <v>37</v>
      </c>
      <c r="AJ15" s="50" t="s">
        <v>38</v>
      </c>
      <c r="AK15" s="53" t="s">
        <v>37</v>
      </c>
    </row>
    <row r="16" spans="1:38">
      <c r="A16" s="157">
        <v>10</v>
      </c>
      <c r="B16" s="50" t="s">
        <v>39</v>
      </c>
      <c r="C16" s="54" t="e">
        <f>+C15/C9</f>
        <v>#DIV/0!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 t="e">
        <f t="shared" ref="I16" si="9">+I15/I9</f>
        <v>#DIV/0!</v>
      </c>
      <c r="T16" s="50" t="s">
        <v>39</v>
      </c>
      <c r="AJ16" s="50" t="s">
        <v>40</v>
      </c>
      <c r="AK16" s="50" t="s">
        <v>39</v>
      </c>
    </row>
    <row r="17" spans="1:38">
      <c r="A17" s="157">
        <v>11</v>
      </c>
      <c r="B17" s="50" t="s">
        <v>41</v>
      </c>
      <c r="C17" s="52" t="e">
        <f>C6*C43+C18</f>
        <v>#DIV/0!</v>
      </c>
      <c r="D17" s="52" t="e">
        <f t="shared" ref="D17:H17" si="10">D6*D43+D18</f>
        <v>#DIV/0!</v>
      </c>
      <c r="E17" s="52" t="e">
        <f t="shared" si="10"/>
        <v>#DIV/0!</v>
      </c>
      <c r="F17" s="52" t="e">
        <f t="shared" si="10"/>
        <v>#DIV/0!</v>
      </c>
      <c r="G17" s="52" t="e">
        <f t="shared" si="10"/>
        <v>#DIV/0!</v>
      </c>
      <c r="H17" s="52" t="e">
        <f t="shared" si="10"/>
        <v>#DIV/0!</v>
      </c>
      <c r="I17" s="52" t="e">
        <f>SUM(C17:H17)</f>
        <v>#DIV/0!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57">
        <v>12</v>
      </c>
      <c r="B18" s="55" t="s">
        <v>143</v>
      </c>
      <c r="C18" s="56" t="e">
        <f>$I$18/$I$9*C9</f>
        <v>#DIV/0!</v>
      </c>
      <c r="D18" s="56" t="e">
        <f t="shared" ref="D18:H18" si="11">$I$18/$I$9*D9</f>
        <v>#DIV/0!</v>
      </c>
      <c r="E18" s="56" t="e">
        <f t="shared" si="11"/>
        <v>#DIV/0!</v>
      </c>
      <c r="F18" s="56" t="e">
        <f t="shared" si="11"/>
        <v>#DIV/0!</v>
      </c>
      <c r="G18" s="56" t="e">
        <f t="shared" si="11"/>
        <v>#DIV/0!</v>
      </c>
      <c r="H18" s="56" t="e">
        <f t="shared" si="11"/>
        <v>#DIV/0!</v>
      </c>
      <c r="I18" s="56">
        <f>项目投资!H26</f>
        <v>0</v>
      </c>
      <c r="J18" s="68" t="s">
        <v>144</v>
      </c>
      <c r="K18" s="68"/>
      <c r="L18" s="68"/>
    </row>
    <row r="19" spans="1:38">
      <c r="A19" s="157">
        <v>13</v>
      </c>
      <c r="B19" s="50" t="s">
        <v>43</v>
      </c>
      <c r="C19" s="52">
        <f>C6*C44</f>
        <v>0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57">
        <v>14</v>
      </c>
      <c r="B20" s="50" t="s">
        <v>45</v>
      </c>
      <c r="C20" s="52">
        <f>C6*C45</f>
        <v>0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0</v>
      </c>
      <c r="T20" s="50" t="s">
        <v>45</v>
      </c>
      <c r="AJ20" s="50" t="s">
        <v>46</v>
      </c>
      <c r="AK20" s="50" t="s">
        <v>45</v>
      </c>
    </row>
    <row r="21" spans="1:38">
      <c r="A21" s="157">
        <v>15</v>
      </c>
      <c r="B21" s="50" t="s">
        <v>47</v>
      </c>
      <c r="C21" s="57" t="e">
        <f t="shared" ref="C21:H21" si="14">$I$21/$I$6*C6</f>
        <v>#DIV/0!</v>
      </c>
      <c r="D21" s="57" t="e">
        <f t="shared" si="14"/>
        <v>#DIV/0!</v>
      </c>
      <c r="E21" s="57" t="e">
        <f t="shared" si="14"/>
        <v>#DIV/0!</v>
      </c>
      <c r="F21" s="57" t="e">
        <f t="shared" si="14"/>
        <v>#DIV/0!</v>
      </c>
      <c r="G21" s="57" t="e">
        <f t="shared" si="14"/>
        <v>#DIV/0!</v>
      </c>
      <c r="H21" s="57" t="e">
        <f t="shared" si="14"/>
        <v>#DIV/0!</v>
      </c>
      <c r="I21" s="52">
        <f>项目投资!D27</f>
        <v>14333.333333333334</v>
      </c>
      <c r="T21" s="50" t="s">
        <v>47</v>
      </c>
      <c r="AJ21" s="50"/>
      <c r="AK21" s="50"/>
    </row>
    <row r="22" spans="1:38">
      <c r="A22" s="157">
        <v>16</v>
      </c>
      <c r="B22" s="50" t="s">
        <v>48</v>
      </c>
      <c r="C22" s="52">
        <f>C6*C47</f>
        <v>0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0</v>
      </c>
      <c r="T22" s="50" t="s">
        <v>48</v>
      </c>
      <c r="AJ22" s="50" t="s">
        <v>49</v>
      </c>
      <c r="AK22" s="50" t="s">
        <v>48</v>
      </c>
    </row>
    <row r="23" spans="1:38">
      <c r="A23" s="157">
        <v>17</v>
      </c>
      <c r="B23" s="53" t="s">
        <v>50</v>
      </c>
      <c r="C23" s="57" t="e">
        <f>+C22+C21+C20+C19+C17</f>
        <v>#DIV/0!</v>
      </c>
      <c r="D23" s="57" t="e">
        <f t="shared" ref="D23:H23" si="16">+D22+D21+D20+D19+D17</f>
        <v>#DIV/0!</v>
      </c>
      <c r="E23" s="57" t="e">
        <f t="shared" si="16"/>
        <v>#DIV/0!</v>
      </c>
      <c r="F23" s="57" t="e">
        <f t="shared" si="16"/>
        <v>#DIV/0!</v>
      </c>
      <c r="G23" s="57" t="e">
        <f t="shared" si="16"/>
        <v>#DIV/0!</v>
      </c>
      <c r="H23" s="57" t="e">
        <f t="shared" si="16"/>
        <v>#DIV/0!</v>
      </c>
      <c r="I23" s="57" t="e">
        <f t="shared" ref="I23" si="17">+I22+I21+I20+I19+I17</f>
        <v>#DIV/0!</v>
      </c>
      <c r="T23" s="53" t="s">
        <v>50</v>
      </c>
      <c r="AJ23" s="50" t="s">
        <v>51</v>
      </c>
      <c r="AK23" s="53" t="s">
        <v>50</v>
      </c>
    </row>
    <row r="24" spans="1:38">
      <c r="A24" s="157">
        <v>18</v>
      </c>
      <c r="B24" s="58" t="s">
        <v>52</v>
      </c>
      <c r="C24" s="57" t="e">
        <f>+C15-C23</f>
        <v>#DIV/0!</v>
      </c>
      <c r="D24" s="57" t="e">
        <f t="shared" ref="D24:H24" si="18">+D15-D23</f>
        <v>#DIV/0!</v>
      </c>
      <c r="E24" s="57" t="e">
        <f t="shared" si="18"/>
        <v>#DIV/0!</v>
      </c>
      <c r="F24" s="57" t="e">
        <f t="shared" si="18"/>
        <v>#DIV/0!</v>
      </c>
      <c r="G24" s="57" t="e">
        <f t="shared" si="18"/>
        <v>#DIV/0!</v>
      </c>
      <c r="H24" s="57" t="e">
        <f t="shared" si="18"/>
        <v>#DIV/0!</v>
      </c>
      <c r="I24" s="57" t="e">
        <f t="shared" ref="I24" si="19">+I15-I23</f>
        <v>#DIV/0!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57">
        <v>19</v>
      </c>
      <c r="B25" s="50" t="s">
        <v>228</v>
      </c>
      <c r="C25" s="57" t="e">
        <f>IF(C24&lt;0,0,C24*0.15)</f>
        <v>#DIV/0!</v>
      </c>
      <c r="D25" s="57" t="e">
        <f t="shared" ref="D25:H25" si="20">IF(D24&lt;0,0,D24*0.15)</f>
        <v>#DIV/0!</v>
      </c>
      <c r="E25" s="57" t="e">
        <f t="shared" si="20"/>
        <v>#DIV/0!</v>
      </c>
      <c r="F25" s="57" t="e">
        <f t="shared" si="20"/>
        <v>#DIV/0!</v>
      </c>
      <c r="G25" s="57" t="e">
        <f t="shared" si="20"/>
        <v>#DIV/0!</v>
      </c>
      <c r="H25" s="57" t="e">
        <f t="shared" si="20"/>
        <v>#DIV/0!</v>
      </c>
      <c r="I25" s="57" t="e">
        <f>IF(I24&lt;0,0,I24*0.15)</f>
        <v>#DIV/0!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57">
        <v>20</v>
      </c>
      <c r="B26" s="50" t="s">
        <v>56</v>
      </c>
      <c r="C26" s="57" t="e">
        <f t="shared" ref="C26:H26" si="21">C24-C25</f>
        <v>#DIV/0!</v>
      </c>
      <c r="D26" s="57" t="e">
        <f t="shared" si="21"/>
        <v>#DIV/0!</v>
      </c>
      <c r="E26" s="57" t="e">
        <f t="shared" si="21"/>
        <v>#DIV/0!</v>
      </c>
      <c r="F26" s="57" t="e">
        <f t="shared" si="21"/>
        <v>#DIV/0!</v>
      </c>
      <c r="G26" s="57" t="e">
        <f t="shared" si="21"/>
        <v>#DIV/0!</v>
      </c>
      <c r="H26" s="57" t="e">
        <f t="shared" si="21"/>
        <v>#DIV/0!</v>
      </c>
      <c r="I26" s="52" t="e">
        <f>I24-I25</f>
        <v>#DIV/0!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57">
        <v>21</v>
      </c>
      <c r="B27" s="50" t="s">
        <v>60</v>
      </c>
      <c r="C27" s="59" t="e">
        <f t="shared" ref="C27:I27" si="22">C26/C7</f>
        <v>#DIV/0!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 t="e">
        <f t="shared" si="22"/>
        <v>#DIV/0!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57">
        <v>1</v>
      </c>
      <c r="B31" s="55" t="s">
        <v>65</v>
      </c>
      <c r="C31" s="61">
        <f>销量!C8</f>
        <v>34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57">
        <v>2</v>
      </c>
      <c r="B32" s="50" t="s">
        <v>146</v>
      </c>
      <c r="C32" s="52" t="e">
        <f>C9/C6</f>
        <v>#DIV/0!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57">
        <v>3</v>
      </c>
      <c r="B33" s="55" t="s">
        <v>66</v>
      </c>
      <c r="C33" s="52">
        <f>材料成本!I19</f>
        <v>0</v>
      </c>
      <c r="D33" s="52">
        <f>材料成本!I20</f>
        <v>0</v>
      </c>
      <c r="E33" s="52">
        <f>材料成本!I21</f>
        <v>0</v>
      </c>
      <c r="F33" s="52">
        <f>材料成本!I22</f>
        <v>0</v>
      </c>
      <c r="G33" s="52">
        <f>材料成本!I23</f>
        <v>0</v>
      </c>
      <c r="H33" s="52">
        <f>材料成本!I24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57">
        <v>4</v>
      </c>
      <c r="B34" s="50" t="s">
        <v>68</v>
      </c>
      <c r="C34" s="62" t="e">
        <f>C32-C33</f>
        <v>#DIV/0!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57">
        <v>1</v>
      </c>
      <c r="B36" s="50" t="s">
        <v>71</v>
      </c>
      <c r="C36" s="56">
        <f>'2025年'!C36</f>
        <v>2.6078000000000001</v>
      </c>
      <c r="D36" s="56">
        <f>'2025年'!D36</f>
        <v>0</v>
      </c>
      <c r="E36" s="56">
        <f>'2025年'!E36</f>
        <v>0</v>
      </c>
      <c r="F36" s="56">
        <f>'2025年'!F36</f>
        <v>0</v>
      </c>
      <c r="G36" s="56">
        <f>'2025年'!G36</f>
        <v>0</v>
      </c>
      <c r="H36" s="56">
        <f>'2025年'!H36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57">
        <v>2</v>
      </c>
      <c r="B37" s="50" t="s">
        <v>72</v>
      </c>
      <c r="C37" s="56">
        <f>'2025年'!C37</f>
        <v>0.17</v>
      </c>
      <c r="D37" s="56">
        <f>'2025年'!D37</f>
        <v>0</v>
      </c>
      <c r="E37" s="56">
        <f>'2025年'!E37</f>
        <v>0</v>
      </c>
      <c r="F37" s="56">
        <f>'2025年'!F37</f>
        <v>0</v>
      </c>
      <c r="G37" s="56">
        <f>'2025年'!G37</f>
        <v>0</v>
      </c>
      <c r="H37" s="56">
        <f>'2025年'!H37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57">
        <v>3</v>
      </c>
      <c r="B38" s="50" t="s">
        <v>73</v>
      </c>
      <c r="C38" s="56">
        <f>'2025年'!C38</f>
        <v>3.74</v>
      </c>
      <c r="D38" s="56">
        <f>'2025年'!D38</f>
        <v>0</v>
      </c>
      <c r="E38" s="56">
        <f>'2025年'!E38</f>
        <v>0</v>
      </c>
      <c r="F38" s="56">
        <f>'2025年'!F38</f>
        <v>0</v>
      </c>
      <c r="G38" s="56">
        <f>'2025年'!G38</f>
        <v>0</v>
      </c>
      <c r="H38" s="56">
        <f>'2025年'!H38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57">
        <v>1</v>
      </c>
      <c r="B40" s="50" t="s">
        <v>77</v>
      </c>
      <c r="C40" s="57" t="e">
        <f>C34-C36-C37-C38</f>
        <v>#DIV/0!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57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57">
        <v>1</v>
      </c>
      <c r="B43" s="58" t="s">
        <v>81</v>
      </c>
      <c r="C43" s="56">
        <f>'2025年'!C43</f>
        <v>1.6694</v>
      </c>
      <c r="D43" s="56">
        <f>'2025年'!D43</f>
        <v>0</v>
      </c>
      <c r="E43" s="56">
        <f>'2025年'!E43</f>
        <v>0</v>
      </c>
      <c r="F43" s="56">
        <f>'2025年'!F43</f>
        <v>0</v>
      </c>
      <c r="G43" s="56">
        <f>'2025年'!G43</f>
        <v>0</v>
      </c>
      <c r="H43" s="56">
        <f>'2025年'!H43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57">
        <v>2</v>
      </c>
      <c r="B44" s="58" t="s">
        <v>82</v>
      </c>
      <c r="C44" s="56">
        <f>'2025年'!C44</f>
        <v>1.0199999999999999E-2</v>
      </c>
      <c r="D44" s="56">
        <f>'2025年'!D44</f>
        <v>0</v>
      </c>
      <c r="E44" s="56">
        <f>'2025年'!E44</f>
        <v>0</v>
      </c>
      <c r="F44" s="56">
        <f>'2025年'!F44</f>
        <v>0</v>
      </c>
      <c r="G44" s="56">
        <f>'2025年'!G44</f>
        <v>0</v>
      </c>
      <c r="H44" s="56">
        <f>'2025年'!H44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57">
        <v>3</v>
      </c>
      <c r="B45" s="58" t="s">
        <v>83</v>
      </c>
      <c r="C45" s="56">
        <f>'2025年'!C45</f>
        <v>7.3746</v>
      </c>
      <c r="D45" s="56">
        <f>'2025年'!D45</f>
        <v>0</v>
      </c>
      <c r="E45" s="56">
        <f>'2025年'!E45</f>
        <v>0</v>
      </c>
      <c r="F45" s="56">
        <f>'2025年'!F45</f>
        <v>0</v>
      </c>
      <c r="G45" s="56">
        <f>'2025年'!G45</f>
        <v>0</v>
      </c>
      <c r="H45" s="56">
        <f>'2025年'!H45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57">
        <v>4</v>
      </c>
      <c r="B46" s="58" t="s">
        <v>84</v>
      </c>
      <c r="C46" s="63" t="e">
        <f>C21/C6</f>
        <v>#DIV/0!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57">
        <v>5</v>
      </c>
      <c r="B47" s="58" t="s">
        <v>86</v>
      </c>
      <c r="C47" s="63">
        <f>'2025年'!C47</f>
        <v>0.91800000000000004</v>
      </c>
      <c r="D47" s="63">
        <f>'2025年'!D47</f>
        <v>0</v>
      </c>
      <c r="E47" s="63">
        <f>'2025年'!E47</f>
        <v>0</v>
      </c>
      <c r="F47" s="63">
        <f>'2025年'!F47</f>
        <v>0</v>
      </c>
      <c r="G47" s="63">
        <f>'2025年'!G47</f>
        <v>0</v>
      </c>
      <c r="H47" s="63">
        <f>'2025年'!H47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 t="e">
        <f>C40-C43-C44-C45-C47-C46</f>
        <v>#DIV/0!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G44" sqref="G44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1" t="s">
        <v>137</v>
      </c>
      <c r="B1" s="271"/>
      <c r="C1" s="275" t="s">
        <v>263</v>
      </c>
      <c r="D1" s="276"/>
      <c r="E1" s="276"/>
      <c r="F1" s="276"/>
      <c r="G1" s="276"/>
      <c r="H1" s="276"/>
      <c r="I1" s="277"/>
    </row>
    <row r="2" spans="1:38">
      <c r="A2" s="271" t="s">
        <v>138</v>
      </c>
      <c r="B2" s="271"/>
      <c r="C2" s="278" t="str">
        <f>'2025年'!C2:I2</f>
        <v>中国重汽集团</v>
      </c>
      <c r="D2" s="278"/>
      <c r="E2" s="278"/>
      <c r="F2" s="278"/>
      <c r="G2" s="278"/>
      <c r="H2" s="278"/>
      <c r="I2" s="278"/>
    </row>
    <row r="3" spans="1:38">
      <c r="A3" s="271" t="s">
        <v>139</v>
      </c>
      <c r="B3" s="271"/>
      <c r="C3" s="144" t="str">
        <f>'2025年'!C3</f>
        <v>AZ160051000335</v>
      </c>
      <c r="D3" s="175">
        <f>'2025年'!D3</f>
        <v>0</v>
      </c>
      <c r="E3" s="175">
        <f>'2025年'!E3</f>
        <v>0</v>
      </c>
      <c r="F3" s="175">
        <f>'2025年'!F3</f>
        <v>0</v>
      </c>
      <c r="G3" s="175">
        <f>'2025年'!G3</f>
        <v>0</v>
      </c>
      <c r="H3" s="175">
        <f>'2025年'!H3</f>
        <v>0</v>
      </c>
      <c r="I3" s="272" t="s">
        <v>15</v>
      </c>
    </row>
    <row r="4" spans="1:38">
      <c r="A4" s="271" t="s">
        <v>140</v>
      </c>
      <c r="B4" s="271"/>
      <c r="C4" s="144" t="str">
        <f>'2025年'!C4</f>
        <v>速降阀</v>
      </c>
      <c r="D4" s="144">
        <f>'2025年'!D4</f>
        <v>0</v>
      </c>
      <c r="E4" s="144">
        <f>'2025年'!E4</f>
        <v>0</v>
      </c>
      <c r="F4" s="144">
        <f>'2025年'!F4</f>
        <v>0</v>
      </c>
      <c r="G4" s="144">
        <f>'2025年'!G4</f>
        <v>0</v>
      </c>
      <c r="H4" s="144">
        <f>'2025年'!H4</f>
        <v>0</v>
      </c>
      <c r="I4" s="273"/>
    </row>
    <row r="5" spans="1:38">
      <c r="A5" s="271" t="s">
        <v>141</v>
      </c>
      <c r="B5" s="271"/>
      <c r="C5" s="49"/>
      <c r="D5" s="172"/>
      <c r="E5" s="172"/>
      <c r="F5" s="172"/>
      <c r="G5" s="172"/>
      <c r="H5" s="172"/>
      <c r="I5" s="274"/>
      <c r="AL5" s="46" t="s">
        <v>16</v>
      </c>
    </row>
    <row r="6" spans="1:38" ht="17.25">
      <c r="A6" s="50" t="s">
        <v>14</v>
      </c>
      <c r="B6" s="51" t="s">
        <v>142</v>
      </c>
      <c r="C6" s="21">
        <f>销量!C14</f>
        <v>0</v>
      </c>
      <c r="D6" s="21">
        <f>销量!D14</f>
        <v>0</v>
      </c>
      <c r="E6" s="21">
        <f>销量!E14</f>
        <v>0</v>
      </c>
      <c r="F6" s="21">
        <f>销量!F14</f>
        <v>0</v>
      </c>
      <c r="G6" s="21">
        <f>销量!G14</f>
        <v>0</v>
      </c>
      <c r="H6" s="21">
        <f>销量!H14</f>
        <v>0</v>
      </c>
      <c r="I6" s="52">
        <f t="shared" ref="I6:I15" si="0">SUM(C6:H6)</f>
        <v>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3">
        <v>1</v>
      </c>
      <c r="B7" s="51" t="s">
        <v>18</v>
      </c>
      <c r="C7" s="52">
        <f>C6*销量!C8</f>
        <v>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3">
        <v>2</v>
      </c>
      <c r="B8" s="143" t="s">
        <v>20</v>
      </c>
      <c r="C8" s="52">
        <f>C7*(1-销量!$M$10)</f>
        <v>0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0</v>
      </c>
      <c r="J8" s="67"/>
      <c r="T8" s="143" t="s">
        <v>22</v>
      </c>
      <c r="AJ8" s="50" t="s">
        <v>21</v>
      </c>
      <c r="AK8" s="143" t="s">
        <v>22</v>
      </c>
      <c r="AL8" s="46" t="s">
        <v>17</v>
      </c>
    </row>
    <row r="9" spans="1:38">
      <c r="A9" s="143">
        <v>3</v>
      </c>
      <c r="B9" s="51" t="s">
        <v>23</v>
      </c>
      <c r="C9" s="52">
        <f>+C7-C8</f>
        <v>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3">
        <v>4</v>
      </c>
      <c r="B10" s="50" t="s">
        <v>26</v>
      </c>
      <c r="C10" s="52">
        <f>C6*C33</f>
        <v>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3">
        <v>5</v>
      </c>
      <c r="B11" s="50" t="s">
        <v>29</v>
      </c>
      <c r="C11" s="52">
        <f>+C6*C36</f>
        <v>0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0</v>
      </c>
      <c r="T11" s="50" t="s">
        <v>29</v>
      </c>
      <c r="AJ11" s="50" t="s">
        <v>30</v>
      </c>
      <c r="AK11" s="50" t="s">
        <v>29</v>
      </c>
    </row>
    <row r="12" spans="1:38">
      <c r="A12" s="143">
        <v>6</v>
      </c>
      <c r="B12" s="50" t="s">
        <v>31</v>
      </c>
      <c r="C12" s="52">
        <f>+C6*C37</f>
        <v>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0</v>
      </c>
      <c r="T12" s="50" t="s">
        <v>31</v>
      </c>
      <c r="AJ12" s="50" t="s">
        <v>32</v>
      </c>
      <c r="AK12" s="50" t="s">
        <v>31</v>
      </c>
    </row>
    <row r="13" spans="1:38">
      <c r="A13" s="143">
        <v>7</v>
      </c>
      <c r="B13" s="50" t="s">
        <v>33</v>
      </c>
      <c r="C13" s="52">
        <f>+C6*C38</f>
        <v>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3">
        <v>8</v>
      </c>
      <c r="B14" s="53" t="s">
        <v>35</v>
      </c>
      <c r="C14" s="52">
        <f>SUM(C11:C13)</f>
        <v>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0</v>
      </c>
      <c r="T14" s="53" t="s">
        <v>35</v>
      </c>
      <c r="AJ14" s="50" t="s">
        <v>36</v>
      </c>
      <c r="AK14" s="53" t="s">
        <v>35</v>
      </c>
    </row>
    <row r="15" spans="1:38">
      <c r="A15" s="143">
        <v>9</v>
      </c>
      <c r="B15" s="53" t="s">
        <v>37</v>
      </c>
      <c r="C15" s="52">
        <f>+C9-C10-C14</f>
        <v>0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0</v>
      </c>
      <c r="T15" s="53" t="s">
        <v>37</v>
      </c>
      <c r="AJ15" s="50" t="s">
        <v>38</v>
      </c>
      <c r="AK15" s="53" t="s">
        <v>37</v>
      </c>
    </row>
    <row r="16" spans="1:38">
      <c r="A16" s="143">
        <v>10</v>
      </c>
      <c r="B16" s="50" t="s">
        <v>39</v>
      </c>
      <c r="C16" s="54" t="e">
        <f>+C15/C9</f>
        <v>#DIV/0!</v>
      </c>
      <c r="D16" s="54" t="e">
        <f t="shared" ref="D16:I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 t="e">
        <f t="shared" si="8"/>
        <v>#DIV/0!</v>
      </c>
      <c r="T16" s="50" t="s">
        <v>39</v>
      </c>
      <c r="AJ16" s="50" t="s">
        <v>40</v>
      </c>
      <c r="AK16" s="50" t="s">
        <v>39</v>
      </c>
    </row>
    <row r="17" spans="1:38">
      <c r="A17" s="143">
        <v>11</v>
      </c>
      <c r="B17" s="50" t="s">
        <v>41</v>
      </c>
      <c r="C17" s="52" t="e">
        <f>C6*C43+C18</f>
        <v>#DIV/0!</v>
      </c>
      <c r="D17" s="52" t="e">
        <f t="shared" ref="D17:H17" si="9">D6*D43+D18</f>
        <v>#DIV/0!</v>
      </c>
      <c r="E17" s="52" t="e">
        <f t="shared" si="9"/>
        <v>#DIV/0!</v>
      </c>
      <c r="F17" s="52" t="e">
        <f t="shared" si="9"/>
        <v>#DIV/0!</v>
      </c>
      <c r="G17" s="52" t="e">
        <f t="shared" si="9"/>
        <v>#DIV/0!</v>
      </c>
      <c r="H17" s="52" t="e">
        <f t="shared" si="9"/>
        <v>#DIV/0!</v>
      </c>
      <c r="I17" s="52" t="e">
        <f>SUM(C17:H17)</f>
        <v>#DIV/0!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3">
        <v>12</v>
      </c>
      <c r="B18" s="55" t="s">
        <v>143</v>
      </c>
      <c r="C18" s="229" t="e">
        <f>$I$18/$I$9*C9</f>
        <v>#DIV/0!</v>
      </c>
      <c r="D18" s="229" t="e">
        <f t="shared" ref="D18:H18" si="10">$I$18/$I$9*D9</f>
        <v>#DIV/0!</v>
      </c>
      <c r="E18" s="229" t="e">
        <f t="shared" si="10"/>
        <v>#DIV/0!</v>
      </c>
      <c r="F18" s="229" t="e">
        <f t="shared" si="10"/>
        <v>#DIV/0!</v>
      </c>
      <c r="G18" s="229" t="e">
        <f t="shared" si="10"/>
        <v>#DIV/0!</v>
      </c>
      <c r="H18" s="229" t="e">
        <f t="shared" si="10"/>
        <v>#DIV/0!</v>
      </c>
      <c r="I18" s="56">
        <f>项目投资!I26</f>
        <v>0</v>
      </c>
      <c r="J18" s="68" t="s">
        <v>144</v>
      </c>
      <c r="K18" s="68"/>
      <c r="L18" s="68"/>
    </row>
    <row r="19" spans="1:38">
      <c r="A19" s="143">
        <v>13</v>
      </c>
      <c r="B19" s="50" t="s">
        <v>43</v>
      </c>
      <c r="C19" s="52">
        <f>C6*C44</f>
        <v>0</v>
      </c>
      <c r="D19" s="52">
        <f t="shared" ref="D19:H19" si="11">D6*D44</f>
        <v>0</v>
      </c>
      <c r="E19" s="52">
        <f t="shared" si="11"/>
        <v>0</v>
      </c>
      <c r="F19" s="52">
        <f t="shared" si="11"/>
        <v>0</v>
      </c>
      <c r="G19" s="52">
        <f t="shared" si="11"/>
        <v>0</v>
      </c>
      <c r="H19" s="52">
        <f t="shared" si="11"/>
        <v>0</v>
      </c>
      <c r="I19" s="52">
        <f>SUM(C19:H19)</f>
        <v>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3">
        <v>14</v>
      </c>
      <c r="B20" s="50" t="s">
        <v>45</v>
      </c>
      <c r="C20" s="52">
        <f>C6*C45</f>
        <v>0</v>
      </c>
      <c r="D20" s="52">
        <f t="shared" ref="D20:H20" si="12">D6*D45</f>
        <v>0</v>
      </c>
      <c r="E20" s="52">
        <f t="shared" si="12"/>
        <v>0</v>
      </c>
      <c r="F20" s="52">
        <f t="shared" si="12"/>
        <v>0</v>
      </c>
      <c r="G20" s="52">
        <f t="shared" si="12"/>
        <v>0</v>
      </c>
      <c r="H20" s="52">
        <f t="shared" si="12"/>
        <v>0</v>
      </c>
      <c r="I20" s="52">
        <f>SUM(C20:H20)</f>
        <v>0</v>
      </c>
      <c r="T20" s="50" t="s">
        <v>45</v>
      </c>
      <c r="AJ20" s="50" t="s">
        <v>46</v>
      </c>
      <c r="AK20" s="50" t="s">
        <v>45</v>
      </c>
    </row>
    <row r="21" spans="1:38">
      <c r="A21" s="143">
        <v>15</v>
      </c>
      <c r="B21" s="50" t="s">
        <v>47</v>
      </c>
      <c r="C21" s="57" t="e">
        <f t="shared" ref="C21:H21" si="13">$I$21/$I$6*C6</f>
        <v>#DIV/0!</v>
      </c>
      <c r="D21" s="57" t="e">
        <f t="shared" si="13"/>
        <v>#DIV/0!</v>
      </c>
      <c r="E21" s="57" t="e">
        <f t="shared" si="13"/>
        <v>#DIV/0!</v>
      </c>
      <c r="F21" s="57" t="e">
        <f t="shared" si="13"/>
        <v>#DIV/0!</v>
      </c>
      <c r="G21" s="57" t="e">
        <f t="shared" si="13"/>
        <v>#DIV/0!</v>
      </c>
      <c r="H21" s="57" t="e">
        <f t="shared" si="13"/>
        <v>#DIV/0!</v>
      </c>
      <c r="I21" s="52">
        <f>项目投资!D27</f>
        <v>14333.333333333334</v>
      </c>
      <c r="T21" s="50" t="s">
        <v>47</v>
      </c>
      <c r="AJ21" s="50"/>
      <c r="AK21" s="50"/>
    </row>
    <row r="22" spans="1:38">
      <c r="A22" s="143">
        <v>16</v>
      </c>
      <c r="B22" s="50" t="s">
        <v>48</v>
      </c>
      <c r="C22" s="52">
        <f>C6*C47</f>
        <v>0</v>
      </c>
      <c r="D22" s="52">
        <f t="shared" ref="D22:H22" si="14">D6*D47</f>
        <v>0</v>
      </c>
      <c r="E22" s="52">
        <f t="shared" si="14"/>
        <v>0</v>
      </c>
      <c r="F22" s="52">
        <f t="shared" si="14"/>
        <v>0</v>
      </c>
      <c r="G22" s="52">
        <f t="shared" si="14"/>
        <v>0</v>
      </c>
      <c r="H22" s="52">
        <f t="shared" si="14"/>
        <v>0</v>
      </c>
      <c r="I22" s="52">
        <f>SUM(C22:H22)</f>
        <v>0</v>
      </c>
      <c r="T22" s="50" t="s">
        <v>48</v>
      </c>
      <c r="AJ22" s="50" t="s">
        <v>49</v>
      </c>
      <c r="AK22" s="50" t="s">
        <v>48</v>
      </c>
    </row>
    <row r="23" spans="1:38">
      <c r="A23" s="143">
        <v>17</v>
      </c>
      <c r="B23" s="53" t="s">
        <v>50</v>
      </c>
      <c r="C23" s="57" t="e">
        <f>+C22+C21+C20+C19+C17</f>
        <v>#DIV/0!</v>
      </c>
      <c r="D23" s="57" t="e">
        <f t="shared" ref="D23:H23" si="15">+D22+D21+D20+D19+D17</f>
        <v>#DIV/0!</v>
      </c>
      <c r="E23" s="57" t="e">
        <f t="shared" si="15"/>
        <v>#DIV/0!</v>
      </c>
      <c r="F23" s="57" t="e">
        <f t="shared" si="15"/>
        <v>#DIV/0!</v>
      </c>
      <c r="G23" s="57" t="e">
        <f t="shared" si="15"/>
        <v>#DIV/0!</v>
      </c>
      <c r="H23" s="57" t="e">
        <f t="shared" si="15"/>
        <v>#DIV/0!</v>
      </c>
      <c r="I23" s="57" t="e">
        <f t="shared" ref="I23" si="16">+I22+I21+I20+I19+I17</f>
        <v>#DIV/0!</v>
      </c>
      <c r="T23" s="53" t="s">
        <v>50</v>
      </c>
      <c r="AJ23" s="50" t="s">
        <v>51</v>
      </c>
      <c r="AK23" s="53" t="s">
        <v>50</v>
      </c>
    </row>
    <row r="24" spans="1:38">
      <c r="A24" s="143">
        <v>18</v>
      </c>
      <c r="B24" s="58" t="s">
        <v>52</v>
      </c>
      <c r="C24" s="57" t="e">
        <f>+C15-C23</f>
        <v>#DIV/0!</v>
      </c>
      <c r="D24" s="57" t="e">
        <f t="shared" ref="D24:H24" si="17">+D15-D23</f>
        <v>#DIV/0!</v>
      </c>
      <c r="E24" s="57" t="e">
        <f t="shared" si="17"/>
        <v>#DIV/0!</v>
      </c>
      <c r="F24" s="57" t="e">
        <f t="shared" si="17"/>
        <v>#DIV/0!</v>
      </c>
      <c r="G24" s="57" t="e">
        <f t="shared" si="17"/>
        <v>#DIV/0!</v>
      </c>
      <c r="H24" s="57" t="e">
        <f t="shared" si="17"/>
        <v>#DIV/0!</v>
      </c>
      <c r="I24" s="57" t="e">
        <f t="shared" ref="I24" si="18">+I15-I23</f>
        <v>#DIV/0!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3">
        <v>19</v>
      </c>
      <c r="B25" s="50" t="s">
        <v>229</v>
      </c>
      <c r="C25" s="57" t="e">
        <f>IF(C24&lt;0,0,C24*0.15)</f>
        <v>#DIV/0!</v>
      </c>
      <c r="D25" s="57" t="e">
        <f t="shared" ref="D25:H25" si="19">IF(D24&lt;0,0,D24*0.15)</f>
        <v>#DIV/0!</v>
      </c>
      <c r="E25" s="57" t="e">
        <f t="shared" si="19"/>
        <v>#DIV/0!</v>
      </c>
      <c r="F25" s="57" t="e">
        <f t="shared" si="19"/>
        <v>#DIV/0!</v>
      </c>
      <c r="G25" s="57" t="e">
        <f t="shared" si="19"/>
        <v>#DIV/0!</v>
      </c>
      <c r="H25" s="57" t="e">
        <f t="shared" si="19"/>
        <v>#DIV/0!</v>
      </c>
      <c r="I25" s="57" t="e">
        <f>IF(I24&lt;0,0,I24*0.15)</f>
        <v>#DIV/0!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3">
        <v>20</v>
      </c>
      <c r="B26" s="50" t="s">
        <v>56</v>
      </c>
      <c r="C26" s="57" t="e">
        <f t="shared" ref="C26:H26" si="20">C24-C25</f>
        <v>#DIV/0!</v>
      </c>
      <c r="D26" s="57" t="e">
        <f t="shared" si="20"/>
        <v>#DIV/0!</v>
      </c>
      <c r="E26" s="57" t="e">
        <f t="shared" si="20"/>
        <v>#DIV/0!</v>
      </c>
      <c r="F26" s="57" t="e">
        <f t="shared" si="20"/>
        <v>#DIV/0!</v>
      </c>
      <c r="G26" s="57" t="e">
        <f t="shared" si="20"/>
        <v>#DIV/0!</v>
      </c>
      <c r="H26" s="57" t="e">
        <f t="shared" si="20"/>
        <v>#DIV/0!</v>
      </c>
      <c r="I26" s="52" t="e">
        <f>I24-I25</f>
        <v>#DIV/0!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3">
        <v>21</v>
      </c>
      <c r="B27" s="50" t="s">
        <v>60</v>
      </c>
      <c r="C27" s="59" t="e">
        <f t="shared" ref="C27:I27" si="21">C26/C7</f>
        <v>#DIV/0!</v>
      </c>
      <c r="D27" s="59" t="e">
        <f t="shared" ref="D27:H27" si="22">D26/D7</f>
        <v>#DIV/0!</v>
      </c>
      <c r="E27" s="59" t="e">
        <f t="shared" si="22"/>
        <v>#DIV/0!</v>
      </c>
      <c r="F27" s="59" t="e">
        <f t="shared" si="22"/>
        <v>#DIV/0!</v>
      </c>
      <c r="G27" s="59" t="e">
        <f t="shared" si="22"/>
        <v>#DIV/0!</v>
      </c>
      <c r="H27" s="59" t="e">
        <f t="shared" si="22"/>
        <v>#DIV/0!</v>
      </c>
      <c r="I27" s="59" t="e">
        <f t="shared" si="21"/>
        <v>#DIV/0!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3">
        <v>1</v>
      </c>
      <c r="B31" s="55" t="s">
        <v>65</v>
      </c>
      <c r="C31" s="61">
        <f>销量!C8</f>
        <v>34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3">
        <v>2</v>
      </c>
      <c r="B32" s="50" t="s">
        <v>146</v>
      </c>
      <c r="C32" s="52" t="e">
        <f>C9/C6</f>
        <v>#DIV/0!</v>
      </c>
      <c r="D32" s="52" t="e">
        <f t="shared" ref="D32:H32" si="23">D9/D6</f>
        <v>#DIV/0!</v>
      </c>
      <c r="E32" s="52" t="e">
        <f t="shared" si="23"/>
        <v>#DIV/0!</v>
      </c>
      <c r="F32" s="52" t="e">
        <f t="shared" si="23"/>
        <v>#DIV/0!</v>
      </c>
      <c r="G32" s="52" t="e">
        <f t="shared" si="23"/>
        <v>#DIV/0!</v>
      </c>
      <c r="H32" s="52" t="e">
        <f t="shared" si="23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3">
        <v>3</v>
      </c>
      <c r="B33" s="55" t="s">
        <v>66</v>
      </c>
      <c r="C33" s="52">
        <f>材料成本!J19</f>
        <v>0</v>
      </c>
      <c r="D33" s="52">
        <f>材料成本!J20</f>
        <v>0</v>
      </c>
      <c r="E33" s="52">
        <f>材料成本!J21</f>
        <v>0</v>
      </c>
      <c r="F33" s="52">
        <f>材料成本!J22</f>
        <v>0</v>
      </c>
      <c r="G33" s="52">
        <f>材料成本!J23</f>
        <v>0</v>
      </c>
      <c r="H33" s="52">
        <f>材料成本!J24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3">
        <v>4</v>
      </c>
      <c r="B34" s="50" t="s">
        <v>68</v>
      </c>
      <c r="C34" s="62" t="e">
        <f>C32-C33</f>
        <v>#DIV/0!</v>
      </c>
      <c r="D34" s="62" t="e">
        <f t="shared" ref="D34:H34" si="24">D32-D33</f>
        <v>#DIV/0!</v>
      </c>
      <c r="E34" s="62" t="e">
        <f t="shared" si="24"/>
        <v>#DIV/0!</v>
      </c>
      <c r="F34" s="62" t="e">
        <f t="shared" si="24"/>
        <v>#DIV/0!</v>
      </c>
      <c r="G34" s="62" t="e">
        <f t="shared" si="24"/>
        <v>#DIV/0!</v>
      </c>
      <c r="H34" s="62" t="e">
        <f t="shared" si="24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3">
        <v>1</v>
      </c>
      <c r="B36" s="50" t="s">
        <v>71</v>
      </c>
      <c r="C36" s="56">
        <f>'2025年'!C36</f>
        <v>2.6078000000000001</v>
      </c>
      <c r="D36" s="56">
        <f>'2025年'!D36</f>
        <v>0</v>
      </c>
      <c r="E36" s="56">
        <f>'2025年'!E36</f>
        <v>0</v>
      </c>
      <c r="F36" s="56">
        <f>'2025年'!F36</f>
        <v>0</v>
      </c>
      <c r="G36" s="56">
        <f>'2025年'!G36</f>
        <v>0</v>
      </c>
      <c r="H36" s="56">
        <f>'2025年'!H36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3">
        <v>2</v>
      </c>
      <c r="B37" s="50" t="s">
        <v>72</v>
      </c>
      <c r="C37" s="56">
        <f>'2025年'!C37</f>
        <v>0.17</v>
      </c>
      <c r="D37" s="56">
        <f>'2025年'!D37</f>
        <v>0</v>
      </c>
      <c r="E37" s="56">
        <f>'2025年'!E37</f>
        <v>0</v>
      </c>
      <c r="F37" s="56">
        <f>'2025年'!F37</f>
        <v>0</v>
      </c>
      <c r="G37" s="56">
        <f>'2025年'!G37</f>
        <v>0</v>
      </c>
      <c r="H37" s="56">
        <f>'2025年'!H37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3">
        <v>3</v>
      </c>
      <c r="B38" s="50" t="s">
        <v>73</v>
      </c>
      <c r="C38" s="56">
        <f>'2025年'!C38</f>
        <v>3.74</v>
      </c>
      <c r="D38" s="56">
        <f>'2025年'!D38</f>
        <v>0</v>
      </c>
      <c r="E38" s="56">
        <f>'2025年'!E38</f>
        <v>0</v>
      </c>
      <c r="F38" s="56">
        <f>'2025年'!F38</f>
        <v>0</v>
      </c>
      <c r="G38" s="56">
        <f>'2025年'!G38</f>
        <v>0</v>
      </c>
      <c r="H38" s="56">
        <f>'2025年'!H38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3">
        <v>1</v>
      </c>
      <c r="B40" s="50" t="s">
        <v>77</v>
      </c>
      <c r="C40" s="57" t="e">
        <f>C34-C36-C37-C38</f>
        <v>#DIV/0!</v>
      </c>
      <c r="D40" s="57" t="e">
        <f t="shared" ref="D40:H40" si="25">D34-D36-D37-D38</f>
        <v>#DIV/0!</v>
      </c>
      <c r="E40" s="57" t="e">
        <f t="shared" si="25"/>
        <v>#DIV/0!</v>
      </c>
      <c r="F40" s="57" t="e">
        <f t="shared" si="25"/>
        <v>#DIV/0!</v>
      </c>
      <c r="G40" s="57" t="e">
        <f t="shared" si="25"/>
        <v>#DIV/0!</v>
      </c>
      <c r="H40" s="57" t="e">
        <f t="shared" si="25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3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3">
        <v>1</v>
      </c>
      <c r="B43" s="58" t="s">
        <v>81</v>
      </c>
      <c r="C43" s="56">
        <f>'2025年'!C43</f>
        <v>1.6694</v>
      </c>
      <c r="D43" s="56">
        <f>'2025年'!D43</f>
        <v>0</v>
      </c>
      <c r="E43" s="56">
        <f>'2025年'!E43</f>
        <v>0</v>
      </c>
      <c r="F43" s="56">
        <f>'2025年'!F43</f>
        <v>0</v>
      </c>
      <c r="G43" s="56">
        <f>'2025年'!G43</f>
        <v>0</v>
      </c>
      <c r="H43" s="56">
        <f>'2025年'!H43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3">
        <v>2</v>
      </c>
      <c r="B44" s="58" t="s">
        <v>82</v>
      </c>
      <c r="C44" s="56">
        <f>'2025年'!C44</f>
        <v>1.0199999999999999E-2</v>
      </c>
      <c r="D44" s="56">
        <f>'2025年'!D44</f>
        <v>0</v>
      </c>
      <c r="E44" s="56">
        <f>'2025年'!E44</f>
        <v>0</v>
      </c>
      <c r="F44" s="56">
        <f>'2025年'!F44</f>
        <v>0</v>
      </c>
      <c r="G44" s="56">
        <f>'2025年'!G44</f>
        <v>0</v>
      </c>
      <c r="H44" s="56">
        <f>'2025年'!H44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3">
        <v>3</v>
      </c>
      <c r="B45" s="58" t="s">
        <v>83</v>
      </c>
      <c r="C45" s="56">
        <f>'2025年'!C45</f>
        <v>7.3746</v>
      </c>
      <c r="D45" s="56">
        <f>'2025年'!D45</f>
        <v>0</v>
      </c>
      <c r="E45" s="56">
        <f>'2025年'!E45</f>
        <v>0</v>
      </c>
      <c r="F45" s="56">
        <f>'2025年'!F45</f>
        <v>0</v>
      </c>
      <c r="G45" s="56">
        <f>'2025年'!G45</f>
        <v>0</v>
      </c>
      <c r="H45" s="56">
        <f>'2025年'!H45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3">
        <v>4</v>
      </c>
      <c r="B46" s="58" t="s">
        <v>84</v>
      </c>
      <c r="C46" s="63" t="e">
        <f>C21/C6</f>
        <v>#DIV/0!</v>
      </c>
      <c r="D46" s="63" t="e">
        <f t="shared" ref="D46:H46" si="26">D21/D6</f>
        <v>#DIV/0!</v>
      </c>
      <c r="E46" s="63" t="e">
        <f t="shared" si="26"/>
        <v>#DIV/0!</v>
      </c>
      <c r="F46" s="63" t="e">
        <f t="shared" si="26"/>
        <v>#DIV/0!</v>
      </c>
      <c r="G46" s="63" t="e">
        <f t="shared" si="26"/>
        <v>#DIV/0!</v>
      </c>
      <c r="H46" s="63" t="e">
        <f t="shared" si="26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3">
        <v>5</v>
      </c>
      <c r="B47" s="58" t="s">
        <v>86</v>
      </c>
      <c r="C47" s="63">
        <f>'2025年'!C47</f>
        <v>0.91800000000000004</v>
      </c>
      <c r="D47" s="63">
        <f>'2025年'!D47</f>
        <v>0</v>
      </c>
      <c r="E47" s="63">
        <f>'2025年'!E47</f>
        <v>0</v>
      </c>
      <c r="F47" s="63">
        <f>'2025年'!F47</f>
        <v>0</v>
      </c>
      <c r="G47" s="63">
        <f>'2025年'!G47</f>
        <v>0</v>
      </c>
      <c r="H47" s="63">
        <f>'2025年'!H47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 t="e">
        <f>C40-C43-C44-C45-C47-C46</f>
        <v>#DIV/0!</v>
      </c>
      <c r="D48" s="57" t="e">
        <f t="shared" ref="D48:H48" si="27">D40-D43-D44-D45-D47-D46</f>
        <v>#DIV/0!</v>
      </c>
      <c r="E48" s="57" t="e">
        <f t="shared" si="27"/>
        <v>#DIV/0!</v>
      </c>
      <c r="F48" s="57" t="e">
        <f t="shared" si="27"/>
        <v>#DIV/0!</v>
      </c>
      <c r="G48" s="57" t="e">
        <f t="shared" si="27"/>
        <v>#DIV/0!</v>
      </c>
      <c r="H48" s="57" t="e">
        <f t="shared" si="27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8</vt:i4>
      </vt:variant>
    </vt:vector>
  </HeadingPairs>
  <TitlesOfParts>
    <vt:vector size="24" baseType="lpstr">
      <vt:lpstr>假设条件</vt:lpstr>
      <vt:lpstr>损益表</vt:lpstr>
      <vt:lpstr>现金</vt:lpstr>
      <vt:lpstr>2025年</vt:lpstr>
      <vt:lpstr>2026年</vt:lpstr>
      <vt:lpstr>2027年</vt:lpstr>
      <vt:lpstr>2029年</vt:lpstr>
      <vt:lpstr>2030年 </vt:lpstr>
      <vt:lpstr>2031年</vt:lpstr>
      <vt:lpstr>2032年</vt:lpstr>
      <vt:lpstr>项目投资</vt:lpstr>
      <vt:lpstr>销量</vt:lpstr>
      <vt:lpstr>材料成本</vt:lpstr>
      <vt:lpstr>其他</vt:lpstr>
      <vt:lpstr>标准成本</vt:lpstr>
      <vt:lpstr>附加值</vt:lpstr>
      <vt:lpstr>'2025年'!Print_Area</vt:lpstr>
      <vt:lpstr>'2026年'!Print_Area</vt:lpstr>
      <vt:lpstr>'2027年'!Print_Area</vt:lpstr>
      <vt:lpstr>'2029年'!Print_Area</vt:lpstr>
      <vt:lpstr>'2030年 '!Print_Area</vt:lpstr>
      <vt:lpstr>'2031年'!Print_Area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ghrc</cp:lastModifiedBy>
  <dcterms:created xsi:type="dcterms:W3CDTF">2006-09-13T11:21:00Z</dcterms:created>
  <dcterms:modified xsi:type="dcterms:W3CDTF">2025-07-25T00:59:10Z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