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报价汇总" sheetId="1" r:id="rId1"/>
    <sheet name="SCSO005992" sheetId="2" r:id="rId2"/>
    <sheet name="SCS0006013" sheetId="3" r:id="rId3"/>
    <sheet name="SCSO008066" sheetId="4" r:id="rId4"/>
    <sheet name="SCSO008151" sheetId="5" r:id="rId5"/>
    <sheet name="SCS0008145" sheetId="6" r:id="rId6"/>
    <sheet name="SCS0008203" sheetId="7" r:id="rId7"/>
    <sheet name="SCS0008139" sheetId="8" r:id="rId8"/>
    <sheet name="SCS0008202" sheetId="9" r:id="rId9"/>
    <sheet name="SCS0005790" sheetId="10" r:id="rId10"/>
    <sheet name="Sheet1" sheetId="11" r:id="rId11"/>
  </sheets>
  <definedNames>
    <definedName name="_xlnm._FilterDatabase" localSheetId="0" hidden="1">报价汇总!$A$2:$O$20</definedName>
    <definedName name="_xlnm.Print_Area" localSheetId="0">报价汇总!$A$1:$R$20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<sst xmlns="http://schemas.openxmlformats.org/spreadsheetml/2006/main" count="576" uniqueCount="129">
  <si>
    <t>报价</t>
  </si>
  <si>
    <t>序号</t>
  </si>
  <si>
    <t>零件号</t>
  </si>
  <si>
    <t>名称</t>
  </si>
  <si>
    <t>图片</t>
  </si>
  <si>
    <t>U/S</t>
  </si>
  <si>
    <t>单重（Kg）</t>
  </si>
  <si>
    <t>材料</t>
  </si>
  <si>
    <t>海兴中盛报价单价（未税）</t>
  </si>
  <si>
    <t>备注</t>
  </si>
  <si>
    <t>采购核算单价</t>
  </si>
  <si>
    <t>财务目标价</t>
  </si>
  <si>
    <t>超出比</t>
  </si>
  <si>
    <t>A点价格</t>
  </si>
  <si>
    <t>A点厂家</t>
  </si>
  <si>
    <t>最终核定价</t>
  </si>
  <si>
    <t>最终协商价</t>
  </si>
  <si>
    <t>SCS0005992</t>
  </si>
  <si>
    <t>主驾置壳固定钢丝焊接总成</t>
  </si>
  <si>
    <t>Q235</t>
  </si>
  <si>
    <t>湘潭湘和汽车零部件制造有限公司</t>
  </si>
  <si>
    <t>SCS0006013</t>
  </si>
  <si>
    <t>副驾置壳固定钢丝焊接总成</t>
  </si>
  <si>
    <t>SCS0008066</t>
  </si>
  <si>
    <t>主驾罩壳固定钢丝焊接总成</t>
  </si>
  <si>
    <t>湖南凌天汽车零部件有限公司</t>
  </si>
  <si>
    <t>钢丝按含税8.55/Kg核算，焊道长度和数量按样件实际测量</t>
  </si>
  <si>
    <t>SCS0008151</t>
  </si>
  <si>
    <t>SCS0008145</t>
  </si>
  <si>
    <t>SCS0008203</t>
  </si>
  <si>
    <t>SCS0008139</t>
  </si>
  <si>
    <t>王驾置壳固定钢丝焊接总成</t>
  </si>
  <si>
    <t>SCS0008202</t>
  </si>
  <si>
    <t>SCS0005390</t>
  </si>
  <si>
    <t>背下支撑钢丝</t>
  </si>
  <si>
    <t>Q235 φ7</t>
  </si>
  <si>
    <t>实际称重</t>
  </si>
  <si>
    <t>湖南裕腾兴汽车配件有限公司</t>
  </si>
  <si>
    <t>钢丝按含税8.55/Kg，重量按样件实际称重</t>
  </si>
  <si>
    <t>SCS0005391</t>
  </si>
  <si>
    <t>靠背下支撑钢丝B</t>
  </si>
  <si>
    <t>SCS0005392</t>
  </si>
  <si>
    <t>靠背下支撑钢丝C</t>
  </si>
  <si>
    <t>SCS0005387</t>
  </si>
  <si>
    <t>靠背面套上固定钢丝</t>
  </si>
  <si>
    <t>SCS0005386</t>
  </si>
  <si>
    <t>靠背泡沫支撑钢丝</t>
  </si>
  <si>
    <t>BSP0000074</t>
  </si>
  <si>
    <t>背S簧A</t>
  </si>
  <si>
    <t>65Mn φ3.5</t>
  </si>
  <si>
    <t>两端手工折弯、切断</t>
  </si>
  <si>
    <t>蛇形簧按10.5元/Kg，两端穿热缩管增加0.3元</t>
  </si>
  <si>
    <t>BSP0000075</t>
  </si>
  <si>
    <t>背S簧B</t>
  </si>
  <si>
    <t>SCS0004565</t>
  </si>
  <si>
    <t>座网簧固定钢丝</t>
  </si>
  <si>
    <t>钢丝</t>
  </si>
  <si>
    <t>无QAD号，暂不定价</t>
  </si>
  <si>
    <t>SCS0005790</t>
  </si>
  <si>
    <t>扭力杆</t>
  </si>
  <si>
    <t>65Mn φ6</t>
  </si>
  <si>
    <t>QAD号</t>
  </si>
  <si>
    <t>图号</t>
  </si>
  <si>
    <t>QAD</t>
  </si>
  <si>
    <t>单件名称</t>
  </si>
  <si>
    <t>数量</t>
  </si>
  <si>
    <t>材质</t>
  </si>
  <si>
    <t>下料尺寸</t>
  </si>
  <si>
    <t>重量kg</t>
  </si>
  <si>
    <t>未税单价</t>
  </si>
  <si>
    <t>材料费用</t>
  </si>
  <si>
    <t>加工成本</t>
  </si>
  <si>
    <t>系数
（除钢丝费）</t>
  </si>
  <si>
    <t>合计</t>
  </si>
  <si>
    <t>长mm</t>
  </si>
  <si>
    <t>宽mm</t>
  </si>
  <si>
    <t>厚mm</t>
  </si>
  <si>
    <t>毛重</t>
  </si>
  <si>
    <t>废铁</t>
  </si>
  <si>
    <t>工序</t>
  </si>
  <si>
    <t>吨位</t>
  </si>
  <si>
    <t>工序数</t>
  </si>
  <si>
    <t>工序费</t>
  </si>
  <si>
    <t>出件数</t>
  </si>
  <si>
    <t>SCS0009002</t>
  </si>
  <si>
    <t>主驾左侧罩壳固定片</t>
  </si>
  <si>
    <t>落料</t>
  </si>
  <si>
    <t>80T</t>
  </si>
  <si>
    <t>SCS0009003</t>
  </si>
  <si>
    <t>钢丝固定片</t>
  </si>
  <si>
    <t>压型</t>
  </si>
  <si>
    <t>SCS0009000</t>
  </si>
  <si>
    <t>主驾罩壳固定钢丝A</t>
  </si>
  <si>
    <t>焊接</t>
  </si>
  <si>
    <t>5焊缝，共50mm</t>
  </si>
  <si>
    <t>SCS0009001</t>
  </si>
  <si>
    <t>主驾罩壳固定钢丝B</t>
  </si>
  <si>
    <t>检验调平</t>
  </si>
  <si>
    <t>工时费20/H，工时0.01H</t>
  </si>
  <si>
    <t>材料费合计</t>
  </si>
  <si>
    <t>加工费合计</t>
  </si>
  <si>
    <t>SCS0009017</t>
  </si>
  <si>
    <t>副驾右侧罩壳固定片</t>
  </si>
  <si>
    <t>SCS0009015</t>
  </si>
  <si>
    <t>副驾罩壳固定钢丝A</t>
  </si>
  <si>
    <t>SCS0009016</t>
  </si>
  <si>
    <t>副驾罩壳固定钢丝B</t>
  </si>
  <si>
    <t>SCSO008066</t>
  </si>
  <si>
    <t>7焊缝，15mm4条，10mm3条，共90mm</t>
  </si>
  <si>
    <t>SCS000900</t>
  </si>
  <si>
    <t>SCSO008151</t>
  </si>
  <si>
    <t>SCS0008153</t>
  </si>
  <si>
    <t>副驾右侧罩壳固定片定片</t>
  </si>
  <si>
    <t>SCS0009032</t>
  </si>
  <si>
    <t>SCS0009034</t>
  </si>
  <si>
    <t>SCS0009005</t>
  </si>
  <si>
    <t>SCS0009035</t>
  </si>
  <si>
    <t>6焊缝，10mm，共60mm</t>
  </si>
  <si>
    <t>SCS0009037</t>
  </si>
  <si>
    <t>SCS0009033</t>
  </si>
  <si>
    <t>SCS0009036</t>
  </si>
  <si>
    <t>6801102X0001A</t>
  </si>
  <si>
    <t>成形</t>
  </si>
  <si>
    <t>工时费25/H，工时0.01H</t>
  </si>
  <si>
    <t>回火</t>
  </si>
  <si>
    <t>工时费25/H，工时0.002H</t>
  </si>
  <si>
    <t>端部浸塑</t>
  </si>
  <si>
    <t>工时费25/H*3人，工时0.005H</t>
  </si>
  <si>
    <t>工时费20/H，工时0.005H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</si>
</sst>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0_ "/>
    <numFmt numFmtId="179" formatCode="0.00_ "/>
    <numFmt numFmtId="180" formatCode="0.0000_ "/>
    <numFmt numFmtId="181" formatCode="0.0000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2060"/>
      <name val="宋体"/>
      <charset val="134"/>
      <scheme val="minor"/>
    </font>
    <font>
      <sz val="12"/>
      <name val="宋体"/>
      <charset val="134"/>
    </font>
    <font>
      <b/>
      <sz val="11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굴림체"/>
      <charset val="129"/>
    </font>
    <font>
      <sz val="9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0" fillId="0" borderId="0"/>
    <xf numFmtId="0" fontId="34" fillId="0" borderId="3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</cellStyleXfs>
  <cellXfs count="56">
    <xf numFmtId="0" fontId="0" fillId="0" borderId="0" xfId="0">
      <alignment vertical="center"/>
    </xf>
    <xf numFmtId="0" fontId="0" fillId="0" borderId="0" xfId="5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3" xfId="51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180" fontId="5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81" fontId="4" fillId="0" borderId="3" xfId="51" applyNumberFormat="1" applyFont="1" applyBorder="1" applyAlignment="1">
      <alignment horizontal="center" vertical="center"/>
    </xf>
    <xf numFmtId="180" fontId="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8" fontId="10" fillId="3" borderId="3" xfId="0" applyNumberFormat="1" applyFont="1" applyFill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3" borderId="3" xfId="0" applyNumberFormat="1" applyFill="1" applyBorder="1" applyAlignment="1">
      <alignment horizontal="center" vertical="center"/>
    </xf>
    <xf numFmtId="9" fontId="0" fillId="0" borderId="3" xfId="3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4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PCS_KMC_HR TRIM COVER(NYLEX)_070921-2" xfId="49"/>
    <cellStyle name="표준_BH_ENGINEERING_BOM_050224" xfId="50"/>
    <cellStyle name="常规 2" xfId="51"/>
    <cellStyle name="BOM_Level_Below3" xfId="52"/>
    <cellStyle name="样式 1" xfId="53"/>
    <cellStyle name="样式 1 5 2" xfId="54"/>
    <cellStyle name="常规 18" xfId="55"/>
    <cellStyle name="样式 1 10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848995</xdr:colOff>
      <xdr:row>0</xdr:row>
      <xdr:rowOff>294005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150"/>
          <a:ext cx="1126490" cy="23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241300</xdr:colOff>
      <xdr:row>2</xdr:row>
      <xdr:rowOff>89535</xdr:rowOff>
    </xdr:from>
    <xdr:to>
      <xdr:col>3</xdr:col>
      <xdr:colOff>1397635</xdr:colOff>
      <xdr:row>2</xdr:row>
      <xdr:rowOff>646430</xdr:rowOff>
    </xdr:to>
    <xdr:pic>
      <xdr:nvPicPr>
        <xdr:cNvPr id="13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-5580000">
          <a:off x="3079115" y="920115"/>
          <a:ext cx="55689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3</xdr:row>
      <xdr:rowOff>128905</xdr:rowOff>
    </xdr:from>
    <xdr:to>
      <xdr:col>3</xdr:col>
      <xdr:colOff>1283335</xdr:colOff>
      <xdr:row>3</xdr:row>
      <xdr:rowOff>612140</xdr:rowOff>
    </xdr:to>
    <xdr:pic>
      <xdr:nvPicPr>
        <xdr:cNvPr id="14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23845" y="2008505"/>
          <a:ext cx="997585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4</xdr:row>
      <xdr:rowOff>47625</xdr:rowOff>
    </xdr:from>
    <xdr:to>
      <xdr:col>3</xdr:col>
      <xdr:colOff>1489075</xdr:colOff>
      <xdr:row>4</xdr:row>
      <xdr:rowOff>711200</xdr:rowOff>
    </xdr:to>
    <xdr:pic>
      <xdr:nvPicPr>
        <xdr:cNvPr id="15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-5400000">
          <a:off x="3007995" y="2320925"/>
          <a:ext cx="663575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5</xdr:row>
      <xdr:rowOff>151130</xdr:rowOff>
    </xdr:from>
    <xdr:to>
      <xdr:col>3</xdr:col>
      <xdr:colOff>1100455</xdr:colOff>
      <xdr:row>5</xdr:row>
      <xdr:rowOff>605790</xdr:rowOff>
    </xdr:to>
    <xdr:pic>
      <xdr:nvPicPr>
        <xdr:cNvPr id="16" name="图片 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-5400000">
          <a:off x="2955925" y="3301365"/>
          <a:ext cx="45466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6</xdr:row>
      <xdr:rowOff>133350</xdr:rowOff>
    </xdr:from>
    <xdr:to>
      <xdr:col>3</xdr:col>
      <xdr:colOff>1332230</xdr:colOff>
      <xdr:row>6</xdr:row>
      <xdr:rowOff>687705</xdr:rowOff>
    </xdr:to>
    <xdr:pic>
      <xdr:nvPicPr>
        <xdr:cNvPr id="17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-5400000">
          <a:off x="3038475" y="3983355"/>
          <a:ext cx="554355" cy="110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112395</xdr:colOff>
      <xdr:row>7</xdr:row>
      <xdr:rowOff>81915</xdr:rowOff>
    </xdr:from>
    <xdr:to>
      <xdr:col>3</xdr:col>
      <xdr:colOff>1316355</xdr:colOff>
      <xdr:row>7</xdr:row>
      <xdr:rowOff>694055</xdr:rowOff>
    </xdr:to>
    <xdr:pic>
      <xdr:nvPicPr>
        <xdr:cNvPr id="18" name="图片 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-5400000">
          <a:off x="2946400" y="4662805"/>
          <a:ext cx="612140" cy="120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128270</xdr:colOff>
      <xdr:row>8</xdr:row>
      <xdr:rowOff>71120</xdr:rowOff>
    </xdr:from>
    <xdr:to>
      <xdr:col>3</xdr:col>
      <xdr:colOff>1355090</xdr:colOff>
      <xdr:row>8</xdr:row>
      <xdr:rowOff>668020</xdr:rowOff>
    </xdr:to>
    <xdr:pic>
      <xdr:nvPicPr>
        <xdr:cNvPr id="19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-5400000">
          <a:off x="2981325" y="5382260"/>
          <a:ext cx="59690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79692</xdr:colOff>
      <xdr:row>9</xdr:row>
      <xdr:rowOff>91122</xdr:rowOff>
    </xdr:from>
    <xdr:to>
      <xdr:col>3</xdr:col>
      <xdr:colOff>1359852</xdr:colOff>
      <xdr:row>9</xdr:row>
      <xdr:rowOff>669607</xdr:rowOff>
    </xdr:to>
    <xdr:pic>
      <xdr:nvPicPr>
        <xdr:cNvPr id="2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-5400000">
          <a:off x="2967990" y="6115050"/>
          <a:ext cx="57848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240030</xdr:colOff>
      <xdr:row>11</xdr:row>
      <xdr:rowOff>60325</xdr:rowOff>
    </xdr:from>
    <xdr:to>
      <xdr:col>3</xdr:col>
      <xdr:colOff>1442720</xdr:colOff>
      <xdr:row>11</xdr:row>
      <xdr:rowOff>652145</xdr:rowOff>
    </xdr:to>
    <xdr:pic>
      <xdr:nvPicPr>
        <xdr:cNvPr id="26" name="图片 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-5400000">
          <a:off x="3083560" y="7628890"/>
          <a:ext cx="591820" cy="1202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150812</xdr:colOff>
      <xdr:row>12</xdr:row>
      <xdr:rowOff>60642</xdr:rowOff>
    </xdr:from>
    <xdr:to>
      <xdr:col>3</xdr:col>
      <xdr:colOff>1403032</xdr:colOff>
      <xdr:row>12</xdr:row>
      <xdr:rowOff>668337</xdr:rowOff>
    </xdr:to>
    <xdr:pic>
      <xdr:nvPicPr>
        <xdr:cNvPr id="27" name="图片 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-5400000">
          <a:off x="3010535" y="8361045"/>
          <a:ext cx="60769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122237</xdr:colOff>
      <xdr:row>13</xdr:row>
      <xdr:rowOff>65087</xdr:rowOff>
    </xdr:from>
    <xdr:to>
      <xdr:col>3</xdr:col>
      <xdr:colOff>1439862</xdr:colOff>
      <xdr:row>13</xdr:row>
      <xdr:rowOff>687387</xdr:rowOff>
    </xdr:to>
    <xdr:pic>
      <xdr:nvPicPr>
        <xdr:cNvPr id="28" name="图片 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-5400000">
          <a:off x="3007360" y="9089390"/>
          <a:ext cx="622300" cy="131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208915</xdr:colOff>
      <xdr:row>10</xdr:row>
      <xdr:rowOff>47625</xdr:rowOff>
    </xdr:from>
    <xdr:to>
      <xdr:col>3</xdr:col>
      <xdr:colOff>1383030</xdr:colOff>
      <xdr:row>10</xdr:row>
      <xdr:rowOff>652145</xdr:rowOff>
    </xdr:to>
    <xdr:pic>
      <xdr:nvPicPr>
        <xdr:cNvPr id="29" name="图片 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747010" y="7172325"/>
          <a:ext cx="117411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14</xdr:row>
      <xdr:rowOff>114935</xdr:rowOff>
    </xdr:from>
    <xdr:to>
      <xdr:col>3</xdr:col>
      <xdr:colOff>1309370</xdr:colOff>
      <xdr:row>14</xdr:row>
      <xdr:rowOff>708660</xdr:rowOff>
    </xdr:to>
    <xdr:pic>
      <xdr:nvPicPr>
        <xdr:cNvPr id="30" name="图片 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766695" y="10236835"/>
          <a:ext cx="1080770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323850</xdr:colOff>
      <xdr:row>15</xdr:row>
      <xdr:rowOff>168275</xdr:rowOff>
    </xdr:from>
    <xdr:to>
      <xdr:col>4</xdr:col>
      <xdr:colOff>0</xdr:colOff>
      <xdr:row>15</xdr:row>
      <xdr:rowOff>584200</xdr:rowOff>
    </xdr:to>
    <xdr:pic>
      <xdr:nvPicPr>
        <xdr:cNvPr id="31" name="图片 3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861945" y="11039475"/>
          <a:ext cx="119380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</xdr:row>
      <xdr:rowOff>198120</xdr:rowOff>
    </xdr:from>
    <xdr:to>
      <xdr:col>4</xdr:col>
      <xdr:colOff>0</xdr:colOff>
      <xdr:row>16</xdr:row>
      <xdr:rowOff>584200</xdr:rowOff>
    </xdr:to>
    <xdr:pic>
      <xdr:nvPicPr>
        <xdr:cNvPr id="32" name="图片 3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661920" y="11818620"/>
          <a:ext cx="1393825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485775</xdr:colOff>
      <xdr:row>17</xdr:row>
      <xdr:rowOff>282575</xdr:rowOff>
    </xdr:from>
    <xdr:to>
      <xdr:col>3</xdr:col>
      <xdr:colOff>865505</xdr:colOff>
      <xdr:row>17</xdr:row>
      <xdr:rowOff>518795</xdr:rowOff>
    </xdr:to>
    <xdr:pic>
      <xdr:nvPicPr>
        <xdr:cNvPr id="33" name="Picture 56"/>
        <xdr:cNvPicPr>
          <a:picLocks noChangeAspect="1" noChangeArrowheads="1"/>
        </xdr:cNvPicPr>
      </xdr:nvPicPr>
      <xdr:blipFill>
        <a:blip r:embed="rId17" cstate="email"/>
        <a:srcRect/>
        <a:stretch>
          <a:fillRect/>
        </a:stretch>
      </xdr:blipFill>
      <xdr:spPr>
        <a:xfrm>
          <a:off x="3023870" y="12652375"/>
          <a:ext cx="379730" cy="236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429577</xdr:colOff>
      <xdr:row>18</xdr:row>
      <xdr:rowOff>66992</xdr:rowOff>
    </xdr:from>
    <xdr:to>
      <xdr:col>3</xdr:col>
      <xdr:colOff>1122362</xdr:colOff>
      <xdr:row>18</xdr:row>
      <xdr:rowOff>597852</xdr:rowOff>
    </xdr:to>
    <xdr:pic>
      <xdr:nvPicPr>
        <xdr:cNvPr id="3" name="图片 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rot="5400000">
          <a:off x="3048000" y="13104495"/>
          <a:ext cx="530860" cy="692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0"/>
  <sheetViews>
    <sheetView tabSelected="1" view="pageBreakPreview" zoomScale="90" zoomScaleNormal="100" workbookViewId="0">
      <pane xSplit="9" ySplit="2" topLeftCell="J3" activePane="bottomRight" state="frozen"/>
      <selection/>
      <selection pane="topRight"/>
      <selection pane="bottomLeft"/>
      <selection pane="bottomRight" activeCell="Q2" sqref="Q2:Q20"/>
    </sheetView>
  </sheetViews>
  <sheetFormatPr defaultColWidth="9" defaultRowHeight="14.4"/>
  <cols>
    <col min="1" max="1" width="4.87962962962963" customWidth="1"/>
    <col min="2" max="2" width="16.25" customWidth="1"/>
    <col min="3" max="3" width="15.8796296296296" customWidth="1"/>
    <col min="4" max="4" width="22.1296296296296" customWidth="1"/>
    <col min="5" max="5" width="5.87962962962963" customWidth="1"/>
    <col min="7" max="7" width="12.5" customWidth="1"/>
    <col min="8" max="8" width="14.1296296296296" customWidth="1"/>
    <col min="9" max="9" width="9" style="26"/>
    <col min="10" max="10" width="13" style="26"/>
    <col min="11" max="11" width="14.5555555555556" style="26" customWidth="1"/>
    <col min="12" max="12" width="9.55555555555556" style="26" hidden="1" customWidth="1"/>
    <col min="13" max="13" width="16.2222222222222" customWidth="1"/>
    <col min="14" max="14" width="11.6666666666667" hidden="1" customWidth="1"/>
    <col min="15" max="15" width="12.712962962963" style="27" customWidth="1"/>
    <col min="16" max="16" width="11.9722222222222" style="28" customWidth="1"/>
    <col min="17" max="17" width="13"/>
    <col min="18" max="18" width="15.5555555555556" customWidth="1"/>
  </cols>
  <sheetData>
    <row r="1" ht="31" customHeight="1" spans="3:8">
      <c r="C1" s="29" t="s">
        <v>0</v>
      </c>
      <c r="D1" s="29"/>
      <c r="E1" s="29"/>
      <c r="F1" s="29"/>
      <c r="G1" s="29"/>
      <c r="H1" s="29"/>
    </row>
    <row r="2" ht="58" customHeight="1" spans="1:18">
      <c r="A2" s="30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2" t="s">
        <v>6</v>
      </c>
      <c r="G2" s="30" t="s">
        <v>7</v>
      </c>
      <c r="H2" s="30" t="s">
        <v>8</v>
      </c>
      <c r="I2" s="43" t="s">
        <v>9</v>
      </c>
      <c r="J2" s="44" t="s">
        <v>10</v>
      </c>
      <c r="K2" s="44" t="s">
        <v>11</v>
      </c>
      <c r="L2" s="44" t="s">
        <v>12</v>
      </c>
      <c r="M2" s="45" t="s">
        <v>13</v>
      </c>
      <c r="N2" s="44" t="s">
        <v>12</v>
      </c>
      <c r="O2" s="46" t="s">
        <v>14</v>
      </c>
      <c r="P2" s="45" t="s">
        <v>15</v>
      </c>
      <c r="Q2" s="52" t="s">
        <v>16</v>
      </c>
      <c r="R2" s="53" t="s">
        <v>9</v>
      </c>
    </row>
    <row r="3" ht="59" customHeight="1" spans="1:18">
      <c r="A3" s="33">
        <v>1</v>
      </c>
      <c r="B3" s="33" t="s">
        <v>17</v>
      </c>
      <c r="C3" s="34" t="s">
        <v>18</v>
      </c>
      <c r="D3" s="35"/>
      <c r="E3" s="36">
        <v>1</v>
      </c>
      <c r="F3" s="36">
        <f>SCSO005992!M7</f>
        <v>0.1642</v>
      </c>
      <c r="G3" s="36" t="s">
        <v>19</v>
      </c>
      <c r="H3" s="37">
        <v>2.2355448059469</v>
      </c>
      <c r="I3" s="47"/>
      <c r="J3" s="48">
        <f>SCSO005992!Y3</f>
        <v>2.1446488539469</v>
      </c>
      <c r="K3" s="49">
        <f>VLOOKUP(B3,Sheet1!B:C,2,0)</f>
        <v>2.1040233815629</v>
      </c>
      <c r="L3" s="50">
        <f>(H3-K3)/K3</f>
        <v>0.0625094880296929</v>
      </c>
      <c r="M3" s="48">
        <v>2.6093</v>
      </c>
      <c r="N3" s="50">
        <f>(M3-K3)/K3</f>
        <v>0.240147815306962</v>
      </c>
      <c r="O3" s="46" t="s">
        <v>20</v>
      </c>
      <c r="P3" s="48">
        <v>2.1040233815629</v>
      </c>
      <c r="Q3" s="54">
        <v>2.1040233815629</v>
      </c>
      <c r="R3" s="55"/>
    </row>
    <row r="4" customFormat="1" ht="59" customHeight="1" spans="1:18">
      <c r="A4" s="33">
        <v>2</v>
      </c>
      <c r="B4" s="33" t="s">
        <v>21</v>
      </c>
      <c r="C4" s="34" t="s">
        <v>22</v>
      </c>
      <c r="D4" s="35"/>
      <c r="E4" s="36">
        <v>1</v>
      </c>
      <c r="F4" s="36">
        <f>'SCS0006013'!M7</f>
        <v>0.1972</v>
      </c>
      <c r="G4" s="36" t="s">
        <v>19</v>
      </c>
      <c r="H4" s="37">
        <v>2.48523507143363</v>
      </c>
      <c r="I4" s="47"/>
      <c r="J4" s="48">
        <f>'SCS0006013'!Y3</f>
        <v>2.39433911943363</v>
      </c>
      <c r="K4" s="49">
        <f>VLOOKUP(B4,Sheet1!B:C,2,0)</f>
        <v>2.35371364704963</v>
      </c>
      <c r="L4" s="50">
        <f t="shared" ref="L4:L20" si="0">(H4-K4)/K4</f>
        <v>0.0558782605304862</v>
      </c>
      <c r="M4" s="48">
        <v>2.613665</v>
      </c>
      <c r="N4" s="50">
        <f t="shared" ref="N4:N20" si="1">(M4-K4)/K4</f>
        <v>0.110443066545592</v>
      </c>
      <c r="O4" s="46" t="s">
        <v>20</v>
      </c>
      <c r="P4" s="48">
        <v>2.35371364704963</v>
      </c>
      <c r="Q4" s="54">
        <v>2.35371364704963</v>
      </c>
      <c r="R4" s="55"/>
    </row>
    <row r="5" customFormat="1" ht="59" customHeight="1" spans="1:18">
      <c r="A5" s="33">
        <v>3</v>
      </c>
      <c r="B5" s="33" t="s">
        <v>23</v>
      </c>
      <c r="C5" s="34" t="s">
        <v>24</v>
      </c>
      <c r="D5" s="35"/>
      <c r="E5" s="36">
        <v>1</v>
      </c>
      <c r="F5" s="36">
        <f>SCSO008066!M7</f>
        <v>0.1542</v>
      </c>
      <c r="G5" s="36" t="s">
        <v>19</v>
      </c>
      <c r="H5" s="37">
        <v>2.4224410427469</v>
      </c>
      <c r="I5" s="47"/>
      <c r="J5" s="48">
        <f>SCSO008066!Y3</f>
        <v>2.3658641363469</v>
      </c>
      <c r="K5" s="49">
        <f>VLOOKUP(B5,Sheet1!B:C,2,0)</f>
        <v>1.9954800133709</v>
      </c>
      <c r="L5" s="50">
        <f t="shared" si="0"/>
        <v>0.21396407206041</v>
      </c>
      <c r="M5" s="48">
        <v>2.05519829246018</v>
      </c>
      <c r="N5" s="50">
        <f t="shared" si="1"/>
        <v>0.0299267738534748</v>
      </c>
      <c r="O5" s="46" t="s">
        <v>25</v>
      </c>
      <c r="P5" s="48">
        <v>1.9954800133709</v>
      </c>
      <c r="Q5" s="54">
        <v>2.3104410427469</v>
      </c>
      <c r="R5" s="55" t="s">
        <v>26</v>
      </c>
    </row>
    <row r="6" customFormat="1" ht="59" customHeight="1" spans="1:18">
      <c r="A6" s="33">
        <v>4</v>
      </c>
      <c r="B6" s="33" t="s">
        <v>27</v>
      </c>
      <c r="C6" s="34" t="s">
        <v>22</v>
      </c>
      <c r="D6" s="35"/>
      <c r="E6" s="36">
        <v>1</v>
      </c>
      <c r="F6" s="36">
        <f>SCSO008151!M7</f>
        <v>0.1872</v>
      </c>
      <c r="G6" s="36" t="s">
        <v>19</v>
      </c>
      <c r="H6" s="37">
        <v>2.67213130823363</v>
      </c>
      <c r="I6" s="47"/>
      <c r="J6" s="48">
        <f>SCSO008151!Y3</f>
        <v>2.61555440183363</v>
      </c>
      <c r="K6" s="48">
        <f>VLOOKUP(B6,Sheet1!B:C,2,0)</f>
        <v>2.24138709301692</v>
      </c>
      <c r="L6" s="50">
        <f t="shared" si="0"/>
        <v>0.19217752103539</v>
      </c>
      <c r="M6" s="49">
        <v>2.06</v>
      </c>
      <c r="N6" s="50">
        <f t="shared" si="1"/>
        <v>-0.0809262681943849</v>
      </c>
      <c r="O6" s="46" t="s">
        <v>25</v>
      </c>
      <c r="P6" s="48">
        <v>2.06</v>
      </c>
      <c r="Q6" s="54">
        <v>2.56013130823363</v>
      </c>
      <c r="R6" s="55" t="s">
        <v>26</v>
      </c>
    </row>
    <row r="7" customFormat="1" ht="59" customHeight="1" spans="1:18">
      <c r="A7" s="33">
        <v>5</v>
      </c>
      <c r="B7" s="33" t="s">
        <v>28</v>
      </c>
      <c r="C7" s="34" t="s">
        <v>18</v>
      </c>
      <c r="D7" s="35"/>
      <c r="E7" s="36">
        <v>1</v>
      </c>
      <c r="F7" s="36">
        <f>'SCS0008145'!M7</f>
        <v>0.1542</v>
      </c>
      <c r="G7" s="36" t="s">
        <v>19</v>
      </c>
      <c r="H7" s="37">
        <v>2.4224410427469</v>
      </c>
      <c r="I7" s="47"/>
      <c r="J7" s="48">
        <f>'SCS0008145'!Y3</f>
        <v>2.3658641363469</v>
      </c>
      <c r="K7" s="49">
        <f>VLOOKUP(B7,Sheet1!B:C,2,0)</f>
        <v>1.9954800133709</v>
      </c>
      <c r="L7" s="50">
        <f t="shared" si="0"/>
        <v>0.21396407206041</v>
      </c>
      <c r="M7" s="48">
        <v>2.06</v>
      </c>
      <c r="N7" s="50">
        <f t="shared" si="1"/>
        <v>0.0323330658271583</v>
      </c>
      <c r="O7" s="46" t="s">
        <v>25</v>
      </c>
      <c r="P7" s="48">
        <v>1.9954800133709</v>
      </c>
      <c r="Q7" s="54">
        <v>2.3104410427469</v>
      </c>
      <c r="R7" s="55" t="s">
        <v>26</v>
      </c>
    </row>
    <row r="8" customFormat="1" ht="59" customHeight="1" spans="1:18">
      <c r="A8" s="33">
        <v>6</v>
      </c>
      <c r="B8" s="33" t="s">
        <v>29</v>
      </c>
      <c r="C8" s="34" t="s">
        <v>22</v>
      </c>
      <c r="D8" s="35"/>
      <c r="E8" s="36">
        <v>1</v>
      </c>
      <c r="F8" s="36">
        <f>'SCS0008203'!M7</f>
        <v>0.1872</v>
      </c>
      <c r="G8" s="36" t="s">
        <v>19</v>
      </c>
      <c r="H8" s="37">
        <v>2.40333130823363</v>
      </c>
      <c r="I8" s="47"/>
      <c r="J8" s="48">
        <f>'SCS0008203'!Y3</f>
        <v>2.34675440183363</v>
      </c>
      <c r="K8" s="48">
        <f>VLOOKUP(B8,Sheet1!B:C,2,0)</f>
        <v>2.24138709301692</v>
      </c>
      <c r="L8" s="50">
        <f t="shared" si="0"/>
        <v>0.0722517836036666</v>
      </c>
      <c r="M8" s="49">
        <v>2.06</v>
      </c>
      <c r="N8" s="50">
        <f t="shared" si="1"/>
        <v>-0.0809262681943849</v>
      </c>
      <c r="O8" s="46" t="s">
        <v>25</v>
      </c>
      <c r="P8" s="48">
        <v>2.06</v>
      </c>
      <c r="Q8" s="54">
        <v>2.29133130823363</v>
      </c>
      <c r="R8" s="55" t="s">
        <v>26</v>
      </c>
    </row>
    <row r="9" customFormat="1" ht="59" customHeight="1" spans="1:18">
      <c r="A9" s="33">
        <v>7</v>
      </c>
      <c r="B9" s="33" t="s">
        <v>30</v>
      </c>
      <c r="C9" s="34" t="s">
        <v>31</v>
      </c>
      <c r="D9" s="35"/>
      <c r="E9" s="36">
        <v>1</v>
      </c>
      <c r="F9" s="36">
        <f>'SCS0008139'!M7</f>
        <v>0.1622</v>
      </c>
      <c r="G9" s="36" t="s">
        <v>19</v>
      </c>
      <c r="H9" s="37">
        <v>2.22041206258407</v>
      </c>
      <c r="I9" s="47"/>
      <c r="J9" s="48">
        <f>'SCS0008139'!Y3</f>
        <v>2.12951611058407</v>
      </c>
      <c r="K9" s="49">
        <f>VLOOKUP(B9,Sheet1!B:C,2,0)</f>
        <v>2.08889063820007</v>
      </c>
      <c r="L9" s="50">
        <f t="shared" si="0"/>
        <v>0.0629623312866814</v>
      </c>
      <c r="M9" s="48">
        <v>2.6093</v>
      </c>
      <c r="N9" s="50">
        <f t="shared" si="1"/>
        <v>0.249131932655101</v>
      </c>
      <c r="O9" s="46" t="s">
        <v>20</v>
      </c>
      <c r="P9" s="48">
        <v>2.08889063820007</v>
      </c>
      <c r="Q9" s="54">
        <v>2.08889063820007</v>
      </c>
      <c r="R9" s="55"/>
    </row>
    <row r="10" customFormat="1" ht="59" customHeight="1" spans="1:18">
      <c r="A10" s="33">
        <v>8</v>
      </c>
      <c r="B10" s="33" t="s">
        <v>32</v>
      </c>
      <c r="C10" s="34" t="s">
        <v>22</v>
      </c>
      <c r="D10" s="35"/>
      <c r="E10" s="36">
        <v>1</v>
      </c>
      <c r="F10" s="36">
        <f>'SCS0008202'!M7</f>
        <v>0.1972</v>
      </c>
      <c r="G10" s="36" t="s">
        <v>19</v>
      </c>
      <c r="H10" s="37">
        <v>2.48523507143363</v>
      </c>
      <c r="I10" s="47"/>
      <c r="J10" s="48">
        <f>'SCS0008202'!Y3</f>
        <v>2.48523507143363</v>
      </c>
      <c r="K10" s="49">
        <f>VLOOKUP(B10,Sheet1!B:C,2,0)</f>
        <v>2.35371364704963</v>
      </c>
      <c r="L10" s="50">
        <f t="shared" si="0"/>
        <v>0.0558782605304862</v>
      </c>
      <c r="M10" s="48">
        <v>2.613665</v>
      </c>
      <c r="N10" s="50">
        <f t="shared" si="1"/>
        <v>0.110443066545592</v>
      </c>
      <c r="O10" s="46" t="s">
        <v>20</v>
      </c>
      <c r="P10" s="48">
        <v>2.35371364704963</v>
      </c>
      <c r="Q10" s="54">
        <v>2.35371364704963</v>
      </c>
      <c r="R10" s="55"/>
    </row>
    <row r="11" customFormat="1" ht="59" customHeight="1" spans="1:18">
      <c r="A11" s="33">
        <v>9</v>
      </c>
      <c r="B11" s="38" t="s">
        <v>33</v>
      </c>
      <c r="C11" s="38" t="s">
        <v>34</v>
      </c>
      <c r="D11" s="39"/>
      <c r="E11" s="36">
        <v>1</v>
      </c>
      <c r="F11" s="36">
        <v>0.126</v>
      </c>
      <c r="G11" s="36" t="s">
        <v>35</v>
      </c>
      <c r="H11" s="37">
        <v>0.953362831858407</v>
      </c>
      <c r="I11" s="47" t="s">
        <v>36</v>
      </c>
      <c r="J11" s="48">
        <f>F11*8.55/1.13</f>
        <v>0.953362831858407</v>
      </c>
      <c r="K11" s="48">
        <v>0.953362831858407</v>
      </c>
      <c r="L11" s="50">
        <f t="shared" si="0"/>
        <v>0</v>
      </c>
      <c r="M11" s="48">
        <v>0.82062</v>
      </c>
      <c r="N11" s="50">
        <f t="shared" si="1"/>
        <v>-0.139236424394319</v>
      </c>
      <c r="O11" s="46" t="s">
        <v>37</v>
      </c>
      <c r="P11" s="48">
        <v>0.82062</v>
      </c>
      <c r="Q11" s="54">
        <v>0.953362831858407</v>
      </c>
      <c r="R11" s="55" t="s">
        <v>38</v>
      </c>
    </row>
    <row r="12" customFormat="1" ht="59" customHeight="1" spans="1:18">
      <c r="A12" s="33">
        <v>10</v>
      </c>
      <c r="B12" s="38" t="s">
        <v>39</v>
      </c>
      <c r="C12" s="40" t="s">
        <v>40</v>
      </c>
      <c r="D12" s="39"/>
      <c r="E12" s="36">
        <v>1</v>
      </c>
      <c r="F12" s="36">
        <v>0.064</v>
      </c>
      <c r="G12" s="36" t="s">
        <v>19</v>
      </c>
      <c r="H12" s="37">
        <v>0.48424778761062</v>
      </c>
      <c r="I12" s="47" t="s">
        <v>36</v>
      </c>
      <c r="J12" s="48">
        <f>F12*8.55/1.13</f>
        <v>0.48424778761062</v>
      </c>
      <c r="K12" s="48">
        <v>0.48424778761062</v>
      </c>
      <c r="L12" s="50">
        <f t="shared" si="0"/>
        <v>0</v>
      </c>
      <c r="M12" s="48">
        <v>0.49115</v>
      </c>
      <c r="N12" s="50">
        <f t="shared" si="1"/>
        <v>0.0142534722222211</v>
      </c>
      <c r="O12" s="46" t="s">
        <v>37</v>
      </c>
      <c r="P12" s="48">
        <v>0.48424778761062</v>
      </c>
      <c r="Q12" s="54">
        <v>0.48424778761062</v>
      </c>
      <c r="R12" s="55"/>
    </row>
    <row r="13" customFormat="1" ht="59" customHeight="1" spans="1:18">
      <c r="A13" s="33">
        <v>11</v>
      </c>
      <c r="B13" s="38" t="s">
        <v>41</v>
      </c>
      <c r="C13" s="40" t="s">
        <v>42</v>
      </c>
      <c r="D13" s="39"/>
      <c r="E13" s="36">
        <v>1</v>
      </c>
      <c r="F13" s="36">
        <v>0.061</v>
      </c>
      <c r="G13" s="36" t="s">
        <v>19</v>
      </c>
      <c r="H13" s="37">
        <v>0.461548672566372</v>
      </c>
      <c r="I13" s="47" t="s">
        <v>36</v>
      </c>
      <c r="J13" s="48">
        <f t="shared" ref="J13:J19" si="2">F13*8.55/1.13</f>
        <v>0.461548672566372</v>
      </c>
      <c r="K13" s="48">
        <v>0.461548672566372</v>
      </c>
      <c r="L13" s="50">
        <f t="shared" si="0"/>
        <v>0</v>
      </c>
      <c r="M13" s="48">
        <v>0.32148</v>
      </c>
      <c r="N13" s="50">
        <f t="shared" si="1"/>
        <v>-0.303475409836066</v>
      </c>
      <c r="O13" s="46" t="s">
        <v>37</v>
      </c>
      <c r="P13" s="48">
        <v>0.32148</v>
      </c>
      <c r="Q13" s="54">
        <v>0.461548672566372</v>
      </c>
      <c r="R13" s="55" t="s">
        <v>38</v>
      </c>
    </row>
    <row r="14" customFormat="1" ht="59" customHeight="1" spans="1:18">
      <c r="A14" s="33">
        <v>12</v>
      </c>
      <c r="B14" s="41" t="s">
        <v>43</v>
      </c>
      <c r="C14" s="40" t="s">
        <v>44</v>
      </c>
      <c r="D14" s="39"/>
      <c r="E14" s="36">
        <v>1</v>
      </c>
      <c r="F14" s="36">
        <v>0.062</v>
      </c>
      <c r="G14" s="36" t="s">
        <v>19</v>
      </c>
      <c r="H14" s="37">
        <v>0.469115044247788</v>
      </c>
      <c r="I14" s="47" t="s">
        <v>36</v>
      </c>
      <c r="J14" s="49">
        <f t="shared" si="2"/>
        <v>0.469115044247788</v>
      </c>
      <c r="K14" s="48">
        <v>0.469115044247788</v>
      </c>
      <c r="L14" s="50">
        <f t="shared" si="0"/>
        <v>0</v>
      </c>
      <c r="M14" s="48">
        <v>0.469965</v>
      </c>
      <c r="N14" s="50">
        <f t="shared" si="1"/>
        <v>0.00181182795698848</v>
      </c>
      <c r="O14" s="46" t="s">
        <v>20</v>
      </c>
      <c r="P14" s="48">
        <v>0.469115044247788</v>
      </c>
      <c r="Q14" s="54">
        <v>0.469115044247788</v>
      </c>
      <c r="R14" s="55"/>
    </row>
    <row r="15" customFormat="1" ht="59" customHeight="1" spans="1:18">
      <c r="A15" s="33">
        <v>13</v>
      </c>
      <c r="B15" s="41" t="s">
        <v>45</v>
      </c>
      <c r="C15" s="40" t="s">
        <v>46</v>
      </c>
      <c r="D15" s="39"/>
      <c r="E15" s="36">
        <v>1</v>
      </c>
      <c r="F15" s="36">
        <v>0.067</v>
      </c>
      <c r="G15" s="36" t="s">
        <v>19</v>
      </c>
      <c r="H15" s="37">
        <v>0.506946902654867</v>
      </c>
      <c r="I15" s="47" t="s">
        <v>36</v>
      </c>
      <c r="J15" s="49">
        <f t="shared" si="2"/>
        <v>0.506946902654867</v>
      </c>
      <c r="K15" s="48">
        <v>0.506946902654867</v>
      </c>
      <c r="L15" s="50">
        <f t="shared" si="0"/>
        <v>0</v>
      </c>
      <c r="M15" s="48">
        <v>0.525255</v>
      </c>
      <c r="N15" s="50">
        <f t="shared" si="1"/>
        <v>0.0361144278606972</v>
      </c>
      <c r="O15" s="46" t="s">
        <v>20</v>
      </c>
      <c r="P15" s="48">
        <v>0.506946902654867</v>
      </c>
      <c r="Q15" s="54">
        <v>0.506946902654867</v>
      </c>
      <c r="R15" s="55"/>
    </row>
    <row r="16" customFormat="1" ht="59" customHeight="1" spans="1:18">
      <c r="A16" s="33">
        <v>14</v>
      </c>
      <c r="B16" s="33" t="s">
        <v>47</v>
      </c>
      <c r="C16" s="34" t="s">
        <v>48</v>
      </c>
      <c r="D16" s="35"/>
      <c r="E16" s="36">
        <v>1</v>
      </c>
      <c r="F16" s="36">
        <v>0.0717</v>
      </c>
      <c r="G16" s="36" t="s">
        <v>49</v>
      </c>
      <c r="H16" s="37">
        <v>1.117</v>
      </c>
      <c r="I16" s="51" t="s">
        <v>50</v>
      </c>
      <c r="J16" s="46">
        <f>10.5*F16</f>
        <v>0.75285</v>
      </c>
      <c r="K16" s="48"/>
      <c r="L16" s="50" t="e">
        <f t="shared" si="0"/>
        <v>#DIV/0!</v>
      </c>
      <c r="M16" s="49">
        <v>1.041295</v>
      </c>
      <c r="N16" s="50" t="e">
        <f t="shared" si="1"/>
        <v>#DIV/0!</v>
      </c>
      <c r="O16" s="46" t="s">
        <v>20</v>
      </c>
      <c r="P16" s="48">
        <v>0.75285</v>
      </c>
      <c r="Q16" s="54">
        <v>1.05285</v>
      </c>
      <c r="R16" s="55" t="s">
        <v>51</v>
      </c>
    </row>
    <row r="17" customFormat="1" ht="59" customHeight="1" spans="1:18">
      <c r="A17" s="33">
        <v>15</v>
      </c>
      <c r="B17" s="33" t="s">
        <v>52</v>
      </c>
      <c r="C17" s="34" t="s">
        <v>53</v>
      </c>
      <c r="D17" s="35"/>
      <c r="E17" s="36">
        <v>1</v>
      </c>
      <c r="F17" s="36">
        <v>0.0624</v>
      </c>
      <c r="G17" s="36" t="s">
        <v>49</v>
      </c>
      <c r="H17" s="42">
        <v>1.024</v>
      </c>
      <c r="I17" s="51" t="s">
        <v>50</v>
      </c>
      <c r="J17" s="46">
        <f>10.5*F17</f>
        <v>0.6552</v>
      </c>
      <c r="K17" s="48"/>
      <c r="L17" s="50" t="e">
        <f t="shared" si="0"/>
        <v>#DIV/0!</v>
      </c>
      <c r="M17" s="48">
        <v>1.133445</v>
      </c>
      <c r="N17" s="50" t="e">
        <f t="shared" si="1"/>
        <v>#DIV/0!</v>
      </c>
      <c r="O17" s="46" t="s">
        <v>20</v>
      </c>
      <c r="P17" s="48">
        <v>0.6552</v>
      </c>
      <c r="Q17" s="54">
        <v>0.9552</v>
      </c>
      <c r="R17" s="55" t="s">
        <v>51</v>
      </c>
    </row>
    <row r="18" customFormat="1" ht="59" customHeight="1" spans="1:18">
      <c r="A18" s="33">
        <v>16</v>
      </c>
      <c r="B18" s="33" t="s">
        <v>54</v>
      </c>
      <c r="C18" s="34" t="s">
        <v>55</v>
      </c>
      <c r="D18" s="35"/>
      <c r="E18" s="36">
        <v>1</v>
      </c>
      <c r="F18" s="36">
        <v>0.0044</v>
      </c>
      <c r="G18" s="36" t="s">
        <v>19</v>
      </c>
      <c r="H18" s="42">
        <v>0.0332920353982301</v>
      </c>
      <c r="I18" s="47"/>
      <c r="J18" s="48">
        <f t="shared" si="2"/>
        <v>0.0332920353982301</v>
      </c>
      <c r="K18" s="48">
        <v>0.0332920353982301</v>
      </c>
      <c r="L18" s="50">
        <f t="shared" si="0"/>
        <v>0</v>
      </c>
      <c r="M18" s="48">
        <v>0.08298738</v>
      </c>
      <c r="N18" s="50">
        <f t="shared" si="1"/>
        <v>1.49270971291866</v>
      </c>
      <c r="O18" s="46" t="s">
        <v>20</v>
      </c>
      <c r="P18" s="48">
        <v>0.0332920353982301</v>
      </c>
      <c r="Q18" s="54">
        <v>0.0332920353982301</v>
      </c>
      <c r="R18" s="55"/>
    </row>
    <row r="19" customFormat="1" ht="59" customHeight="1" spans="1:18">
      <c r="A19" s="33">
        <v>17</v>
      </c>
      <c r="B19" s="33"/>
      <c r="C19" s="34" t="s">
        <v>56</v>
      </c>
      <c r="D19" s="35"/>
      <c r="E19" s="36">
        <v>1</v>
      </c>
      <c r="F19" s="36">
        <v>0.051</v>
      </c>
      <c r="G19" s="36" t="s">
        <v>19</v>
      </c>
      <c r="H19" s="37">
        <v>0.385884955752212</v>
      </c>
      <c r="I19" s="47"/>
      <c r="J19" s="48">
        <f t="shared" si="2"/>
        <v>0.385884955752212</v>
      </c>
      <c r="K19" s="48">
        <v>0.385884955752212</v>
      </c>
      <c r="L19" s="50">
        <f t="shared" si="0"/>
        <v>0</v>
      </c>
      <c r="M19" s="48" t="e">
        <v>#N/A</v>
      </c>
      <c r="N19" s="50" t="e">
        <f t="shared" si="1"/>
        <v>#N/A</v>
      </c>
      <c r="O19" s="46" t="e">
        <v>#N/A</v>
      </c>
      <c r="P19" s="48"/>
      <c r="Q19" s="54"/>
      <c r="R19" s="55" t="s">
        <v>57</v>
      </c>
    </row>
    <row r="20" customFormat="1" ht="59" customHeight="1" spans="1:18">
      <c r="A20" s="33">
        <v>18</v>
      </c>
      <c r="B20" s="33" t="s">
        <v>58</v>
      </c>
      <c r="C20" s="34" t="s">
        <v>59</v>
      </c>
      <c r="D20" s="35"/>
      <c r="E20" s="36">
        <v>1</v>
      </c>
      <c r="F20" s="36">
        <v>0.0998</v>
      </c>
      <c r="G20" s="36" t="s">
        <v>60</v>
      </c>
      <c r="H20" s="37">
        <v>1.7284</v>
      </c>
      <c r="I20" s="47"/>
      <c r="J20" s="45"/>
      <c r="K20" s="48"/>
      <c r="L20" s="50" t="e">
        <f t="shared" si="0"/>
        <v>#DIV/0!</v>
      </c>
      <c r="M20" s="49">
        <v>1.3386</v>
      </c>
      <c r="N20" s="50" t="e">
        <f t="shared" si="1"/>
        <v>#DIV/0!</v>
      </c>
      <c r="O20" s="46" t="s">
        <v>20</v>
      </c>
      <c r="P20" s="48">
        <v>1.3386</v>
      </c>
      <c r="Q20" s="54">
        <v>1.6286</v>
      </c>
      <c r="R20" s="55"/>
    </row>
  </sheetData>
  <autoFilter xmlns:etc="http://www.wps.cn/officeDocument/2017/etCustomData" ref="A2:O20" etc:filterBottomFollowUsedRange="0">
    <extLst/>
  </autoFilter>
  <mergeCells count="1">
    <mergeCell ref="C1:H1"/>
  </mergeCells>
  <pageMargins left="0.751388888888889" right="0.751388888888889" top="0.393055555555556" bottom="0.393055555555556" header="0.5" footer="0.5"/>
  <pageSetup paperSize="9" scale="69" orientation="portrait" horizontalDpi="6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Y24"/>
  <sheetViews>
    <sheetView workbookViewId="0">
      <selection activeCell="A4" sqref="A4:Q6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0.3796296296296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3" width="9" style="2"/>
    <col min="24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18</v>
      </c>
      <c r="B3" s="9" t="s">
        <v>58</v>
      </c>
      <c r="C3" s="9" t="s">
        <v>121</v>
      </c>
      <c r="D3" s="9" t="s">
        <v>59</v>
      </c>
      <c r="E3" s="9"/>
      <c r="F3" s="9"/>
      <c r="G3" s="9">
        <v>1</v>
      </c>
      <c r="H3" s="8" t="s">
        <v>19</v>
      </c>
      <c r="I3" s="8"/>
      <c r="J3" s="8"/>
      <c r="K3" s="8">
        <v>6</v>
      </c>
      <c r="L3" s="8">
        <v>0.0998</v>
      </c>
      <c r="M3" s="8">
        <v>0.0998</v>
      </c>
      <c r="N3" s="8">
        <f>L3-M3</f>
        <v>0</v>
      </c>
      <c r="O3" s="17">
        <v>8</v>
      </c>
      <c r="P3" s="17">
        <v>2</v>
      </c>
      <c r="Q3" s="20">
        <f>(L3*O3-N3*P3)*G3</f>
        <v>0.7984</v>
      </c>
      <c r="R3" s="8" t="s">
        <v>122</v>
      </c>
      <c r="S3" s="21" t="s">
        <v>123</v>
      </c>
      <c r="T3" s="22"/>
      <c r="U3" s="22"/>
      <c r="V3" s="23"/>
      <c r="W3" s="24">
        <f>25*0.01</f>
        <v>0.25</v>
      </c>
      <c r="X3" s="8">
        <v>1.2</v>
      </c>
      <c r="Y3" s="25">
        <f>Q7+W7*X3</f>
        <v>1.7284</v>
      </c>
    </row>
    <row r="4" ht="25" customHeight="1" spans="1:25">
      <c r="A4" s="8"/>
      <c r="B4" s="8"/>
      <c r="C4" s="8"/>
      <c r="D4" s="9"/>
      <c r="E4" s="9"/>
      <c r="F4" s="9"/>
      <c r="G4" s="9"/>
      <c r="H4" s="8"/>
      <c r="I4" s="8"/>
      <c r="J4" s="8"/>
      <c r="K4" s="8"/>
      <c r="L4" s="8"/>
      <c r="M4" s="8"/>
      <c r="N4" s="8"/>
      <c r="O4" s="17"/>
      <c r="P4" s="17"/>
      <c r="Q4" s="20"/>
      <c r="R4" s="8" t="s">
        <v>124</v>
      </c>
      <c r="S4" s="21" t="s">
        <v>125</v>
      </c>
      <c r="T4" s="22"/>
      <c r="U4" s="22"/>
      <c r="V4" s="23"/>
      <c r="W4" s="24">
        <f>25*0.002</f>
        <v>0.05</v>
      </c>
      <c r="X4" s="8"/>
      <c r="Y4" s="8"/>
    </row>
    <row r="5" ht="25" customHeight="1" spans="1:25">
      <c r="A5" s="8"/>
      <c r="B5" s="8"/>
      <c r="C5" s="8"/>
      <c r="D5" s="9"/>
      <c r="E5" s="9"/>
      <c r="F5" s="9"/>
      <c r="G5" s="9"/>
      <c r="H5" s="8"/>
      <c r="I5" s="8"/>
      <c r="J5" s="8"/>
      <c r="K5" s="8"/>
      <c r="L5" s="8"/>
      <c r="M5" s="8"/>
      <c r="N5" s="8"/>
      <c r="O5" s="17"/>
      <c r="P5" s="17"/>
      <c r="Q5" s="20"/>
      <c r="R5" s="8" t="s">
        <v>126</v>
      </c>
      <c r="S5" s="21" t="s">
        <v>127</v>
      </c>
      <c r="T5" s="22"/>
      <c r="U5" s="22"/>
      <c r="V5" s="23"/>
      <c r="W5" s="24">
        <f>25*3*0.005</f>
        <v>0.375</v>
      </c>
      <c r="X5" s="8"/>
      <c r="Y5" s="8"/>
    </row>
    <row r="6" ht="25" customHeight="1" spans="1:25">
      <c r="A6" s="10"/>
      <c r="B6" s="8"/>
      <c r="C6" s="8"/>
      <c r="D6" s="8"/>
      <c r="E6" s="9"/>
      <c r="F6" s="9"/>
      <c r="G6" s="9"/>
      <c r="H6" s="8"/>
      <c r="I6" s="8"/>
      <c r="J6" s="8"/>
      <c r="K6" s="8"/>
      <c r="L6" s="8"/>
      <c r="M6" s="8"/>
      <c r="N6" s="8"/>
      <c r="O6" s="17"/>
      <c r="P6" s="17"/>
      <c r="Q6" s="20"/>
      <c r="R6" s="8" t="s">
        <v>97</v>
      </c>
      <c r="S6" s="21" t="s">
        <v>128</v>
      </c>
      <c r="T6" s="22"/>
      <c r="U6" s="22"/>
      <c r="V6" s="23"/>
      <c r="W6" s="8">
        <f>20*0.005</f>
        <v>0.1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0.0998</v>
      </c>
      <c r="N7" s="8"/>
      <c r="O7" s="17" t="s">
        <v>99</v>
      </c>
      <c r="P7" s="17"/>
      <c r="Q7" s="17">
        <f>SUM(Q3:Q6)</f>
        <v>0.7984</v>
      </c>
      <c r="R7" s="21" t="s">
        <v>100</v>
      </c>
      <c r="S7" s="22"/>
      <c r="T7" s="22"/>
      <c r="U7" s="22"/>
      <c r="V7" s="23"/>
      <c r="W7" s="8">
        <f>SUM(W3:W6)</f>
        <v>0.775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20">
    <mergeCell ref="I1:K1"/>
    <mergeCell ref="L1:N1"/>
    <mergeCell ref="O1:P1"/>
    <mergeCell ref="R1:W1"/>
    <mergeCell ref="S3:V3"/>
    <mergeCell ref="S4:V4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9"/>
  <sheetViews>
    <sheetView workbookViewId="0">
      <selection activeCell="B2" sqref="B2:B9"/>
    </sheetView>
  </sheetViews>
  <sheetFormatPr defaultColWidth="8.88888888888889" defaultRowHeight="14.4" outlineLevelCol="2"/>
  <cols>
    <col min="2" max="2" width="17.3333333333333" customWidth="1"/>
    <col min="3" max="3" width="13.7777777777778" customWidth="1"/>
    <col min="11" max="18" width="12.8888888888889"/>
  </cols>
  <sheetData>
    <row r="2" spans="2:3">
      <c r="B2" t="s">
        <v>17</v>
      </c>
      <c r="C2">
        <v>2.1040233815629</v>
      </c>
    </row>
    <row r="3" spans="2:3">
      <c r="B3" t="s">
        <v>23</v>
      </c>
      <c r="C3">
        <v>1.9954800133709</v>
      </c>
    </row>
    <row r="4" spans="2:3">
      <c r="B4" t="s">
        <v>32</v>
      </c>
      <c r="C4">
        <v>2.35371364704963</v>
      </c>
    </row>
    <row r="5" spans="2:3">
      <c r="B5" t="s">
        <v>29</v>
      </c>
      <c r="C5">
        <v>2.24138709301692</v>
      </c>
    </row>
    <row r="6" spans="2:3">
      <c r="B6" t="s">
        <v>21</v>
      </c>
      <c r="C6">
        <v>2.35371364704963</v>
      </c>
    </row>
    <row r="7" spans="2:3">
      <c r="B7" t="s">
        <v>27</v>
      </c>
      <c r="C7">
        <v>2.24138709301692</v>
      </c>
    </row>
    <row r="8" spans="2:3">
      <c r="B8" t="s">
        <v>30</v>
      </c>
      <c r="C8">
        <v>2.08889063820007</v>
      </c>
    </row>
    <row r="9" spans="2:3">
      <c r="B9" t="s">
        <v>28</v>
      </c>
      <c r="C9">
        <v>1.9954800133709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Y24"/>
  <sheetViews>
    <sheetView topLeftCell="D1" workbookViewId="0">
      <selection activeCell="O3" sqref="O3:P4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5.1111111111111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4" width="9" style="2"/>
    <col min="25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1</v>
      </c>
      <c r="B3" s="9" t="str">
        <f>报价汇总!B3</f>
        <v>SCS0005992</v>
      </c>
      <c r="C3" s="9"/>
      <c r="D3" s="9" t="str">
        <f>报价汇总!C3</f>
        <v>主驾置壳固定钢丝焊接总成</v>
      </c>
      <c r="E3" s="9" t="s">
        <v>84</v>
      </c>
      <c r="F3" s="9" t="s">
        <v>85</v>
      </c>
      <c r="G3" s="9">
        <v>1</v>
      </c>
      <c r="H3" s="8" t="s">
        <v>19</v>
      </c>
      <c r="I3" s="8">
        <v>60</v>
      </c>
      <c r="J3" s="8">
        <v>61</v>
      </c>
      <c r="K3" s="8">
        <v>2</v>
      </c>
      <c r="L3" s="8">
        <f>I3*J3*K3*7.85/1000000</f>
        <v>0.057462</v>
      </c>
      <c r="M3" s="8">
        <v>0.027</v>
      </c>
      <c r="N3" s="8">
        <f>L3-M3</f>
        <v>0.030462</v>
      </c>
      <c r="O3" s="17">
        <v>4</v>
      </c>
      <c r="P3" s="17">
        <v>2.35</v>
      </c>
      <c r="Q3" s="20">
        <f>(L3*O3-N3*P3)*G3</f>
        <v>0.1582623</v>
      </c>
      <c r="R3" s="8" t="s">
        <v>86</v>
      </c>
      <c r="S3" s="8" t="s">
        <v>87</v>
      </c>
      <c r="T3" s="8">
        <v>3</v>
      </c>
      <c r="U3" s="8">
        <v>0.05</v>
      </c>
      <c r="V3" s="8">
        <v>1</v>
      </c>
      <c r="W3" s="24">
        <f>T3*U3/V3</f>
        <v>0.15</v>
      </c>
      <c r="X3" s="8">
        <v>1.2</v>
      </c>
      <c r="Y3" s="25">
        <f>Q5+Q6+(Q3+Q4+W7)*1.12</f>
        <v>2.1446488539469</v>
      </c>
    </row>
    <row r="4" ht="25" customHeight="1" spans="1:25">
      <c r="A4" s="8"/>
      <c r="B4" s="8"/>
      <c r="C4" s="8"/>
      <c r="D4" s="9"/>
      <c r="E4" s="9" t="s">
        <v>88</v>
      </c>
      <c r="F4" s="9" t="s">
        <v>89</v>
      </c>
      <c r="G4" s="9">
        <v>2</v>
      </c>
      <c r="H4" s="8" t="s">
        <v>19</v>
      </c>
      <c r="I4" s="8">
        <v>39</v>
      </c>
      <c r="J4" s="8">
        <v>20</v>
      </c>
      <c r="K4" s="8">
        <v>2</v>
      </c>
      <c r="L4" s="8">
        <f>I4*J4*K4*7.85/1000000</f>
        <v>0.012246</v>
      </c>
      <c r="M4" s="8">
        <v>0.0052</v>
      </c>
      <c r="N4" s="8">
        <f>L4-M4</f>
        <v>0.007046</v>
      </c>
      <c r="O4" s="17">
        <v>4</v>
      </c>
      <c r="P4" s="17">
        <v>2.35</v>
      </c>
      <c r="Q4" s="20">
        <f>(L4*O4-N4*P4)*G4</f>
        <v>0.0648518</v>
      </c>
      <c r="R4" s="8" t="s">
        <v>90</v>
      </c>
      <c r="S4" s="8" t="s">
        <v>87</v>
      </c>
      <c r="T4" s="8">
        <v>1</v>
      </c>
      <c r="U4" s="8">
        <v>0.05</v>
      </c>
      <c r="V4" s="8">
        <v>1</v>
      </c>
      <c r="W4" s="24">
        <f>T4*U4/V4</f>
        <v>0.05</v>
      </c>
      <c r="X4" s="8"/>
      <c r="Y4" s="8"/>
    </row>
    <row r="5" ht="25" customHeight="1" spans="1:25">
      <c r="A5" s="8"/>
      <c r="B5" s="8"/>
      <c r="C5" s="8"/>
      <c r="D5" s="9"/>
      <c r="E5" s="9" t="s">
        <v>91</v>
      </c>
      <c r="F5" s="9" t="s">
        <v>92</v>
      </c>
      <c r="G5" s="9">
        <v>1</v>
      </c>
      <c r="H5" s="8" t="s">
        <v>19</v>
      </c>
      <c r="I5" s="8"/>
      <c r="J5" s="8"/>
      <c r="K5" s="8">
        <v>6</v>
      </c>
      <c r="L5" s="8"/>
      <c r="M5" s="8">
        <v>0.091</v>
      </c>
      <c r="N5" s="8"/>
      <c r="O5" s="17">
        <f>8.55/1.13</f>
        <v>7.56637168141593</v>
      </c>
      <c r="P5" s="17"/>
      <c r="Q5" s="20">
        <f>M5*O5</f>
        <v>0.68853982300885</v>
      </c>
      <c r="R5" s="8" t="s">
        <v>93</v>
      </c>
      <c r="S5" s="21" t="s">
        <v>94</v>
      </c>
      <c r="T5" s="22"/>
      <c r="U5" s="22"/>
      <c r="V5" s="23"/>
      <c r="W5" s="24">
        <f>50*0.008</f>
        <v>0.4</v>
      </c>
      <c r="X5" s="8"/>
      <c r="Y5" s="8"/>
    </row>
    <row r="6" ht="25" customHeight="1" spans="1:25">
      <c r="A6" s="10"/>
      <c r="B6" s="8"/>
      <c r="C6" s="8"/>
      <c r="D6" s="8"/>
      <c r="E6" s="9" t="s">
        <v>95</v>
      </c>
      <c r="F6" s="9" t="s">
        <v>96</v>
      </c>
      <c r="G6" s="9">
        <v>1</v>
      </c>
      <c r="H6" s="8" t="s">
        <v>19</v>
      </c>
      <c r="I6" s="8"/>
      <c r="J6" s="8"/>
      <c r="K6" s="8">
        <v>5</v>
      </c>
      <c r="L6" s="8"/>
      <c r="M6" s="8">
        <v>0.041</v>
      </c>
      <c r="N6" s="8"/>
      <c r="O6" s="17">
        <f>8.55/1.13</f>
        <v>7.56637168141593</v>
      </c>
      <c r="P6" s="17"/>
      <c r="Q6" s="20">
        <f>M6*O6</f>
        <v>0.310221238938053</v>
      </c>
      <c r="R6" s="8" t="s">
        <v>97</v>
      </c>
      <c r="S6" s="21" t="s">
        <v>98</v>
      </c>
      <c r="T6" s="22"/>
      <c r="U6" s="22"/>
      <c r="V6" s="23"/>
      <c r="W6" s="8">
        <f>20*0.01</f>
        <v>0.2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0.1642</v>
      </c>
      <c r="N7" s="8"/>
      <c r="O7" s="17" t="s">
        <v>99</v>
      </c>
      <c r="P7" s="17"/>
      <c r="Q7" s="17">
        <f>SUM(Q3:Q6)</f>
        <v>1.2218751619469</v>
      </c>
      <c r="R7" s="21" t="s">
        <v>100</v>
      </c>
      <c r="S7" s="22"/>
      <c r="T7" s="22"/>
      <c r="U7" s="22"/>
      <c r="V7" s="23"/>
      <c r="W7" s="8">
        <f>SUM(W3:W6)</f>
        <v>0.8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18">
    <mergeCell ref="I1:K1"/>
    <mergeCell ref="L1:N1"/>
    <mergeCell ref="O1:P1"/>
    <mergeCell ref="R1:W1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Y24"/>
  <sheetViews>
    <sheetView workbookViewId="0">
      <selection activeCell="O3" sqref="O3:P4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0.3796296296296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4" width="9" style="2"/>
    <col min="25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2</v>
      </c>
      <c r="B3" s="9" t="str">
        <f>报价汇总!B4</f>
        <v>SCS0006013</v>
      </c>
      <c r="C3" s="9"/>
      <c r="D3" s="9" t="str">
        <f>报价汇总!C4</f>
        <v>副驾置壳固定钢丝焊接总成</v>
      </c>
      <c r="E3" s="9" t="s">
        <v>101</v>
      </c>
      <c r="F3" s="9" t="s">
        <v>102</v>
      </c>
      <c r="G3" s="9">
        <v>1</v>
      </c>
      <c r="H3" s="8" t="s">
        <v>19</v>
      </c>
      <c r="I3" s="8">
        <v>60</v>
      </c>
      <c r="J3" s="8">
        <v>61</v>
      </c>
      <c r="K3" s="8">
        <v>2</v>
      </c>
      <c r="L3" s="8">
        <f>I3*J3*K3*7.85/1000000</f>
        <v>0.057462</v>
      </c>
      <c r="M3" s="8">
        <v>0.027</v>
      </c>
      <c r="N3" s="8">
        <f>L3-M3</f>
        <v>0.030462</v>
      </c>
      <c r="O3" s="17">
        <v>4</v>
      </c>
      <c r="P3" s="17">
        <v>2.35</v>
      </c>
      <c r="Q3" s="20">
        <f>(L3*O3-N3*P3)*G3</f>
        <v>0.1582623</v>
      </c>
      <c r="R3" s="8" t="s">
        <v>86</v>
      </c>
      <c r="S3" s="8" t="s">
        <v>87</v>
      </c>
      <c r="T3" s="8">
        <v>3</v>
      </c>
      <c r="U3" s="8">
        <v>0.05</v>
      </c>
      <c r="V3" s="8">
        <v>1</v>
      </c>
      <c r="W3" s="24">
        <f>T3*U3/V3</f>
        <v>0.15</v>
      </c>
      <c r="X3" s="8">
        <v>1.2</v>
      </c>
      <c r="Y3" s="25">
        <f>Q5+Q6+(Q3+Q4+W7)*1.12</f>
        <v>2.39433911943363</v>
      </c>
    </row>
    <row r="4" ht="25" customHeight="1" spans="1:25">
      <c r="A4" s="8"/>
      <c r="B4" s="8"/>
      <c r="C4" s="8"/>
      <c r="D4" s="9"/>
      <c r="E4" s="9" t="s">
        <v>88</v>
      </c>
      <c r="F4" s="9" t="s">
        <v>89</v>
      </c>
      <c r="G4" s="9">
        <v>2</v>
      </c>
      <c r="H4" s="8" t="s">
        <v>19</v>
      </c>
      <c r="I4" s="8">
        <v>39</v>
      </c>
      <c r="J4" s="8">
        <v>20</v>
      </c>
      <c r="K4" s="8">
        <v>2</v>
      </c>
      <c r="L4" s="8">
        <f>I4*J4*K4*7.85/1000000</f>
        <v>0.012246</v>
      </c>
      <c r="M4" s="8">
        <v>0.0052</v>
      </c>
      <c r="N4" s="8">
        <f>L4-M4</f>
        <v>0.007046</v>
      </c>
      <c r="O4" s="17">
        <v>4</v>
      </c>
      <c r="P4" s="17">
        <v>2.35</v>
      </c>
      <c r="Q4" s="20">
        <f>(L4*O4-N4*P4)*G4</f>
        <v>0.0648518</v>
      </c>
      <c r="R4" s="8" t="s">
        <v>90</v>
      </c>
      <c r="S4" s="8" t="s">
        <v>87</v>
      </c>
      <c r="T4" s="8">
        <v>1</v>
      </c>
      <c r="U4" s="8">
        <v>0.05</v>
      </c>
      <c r="V4" s="8">
        <v>1</v>
      </c>
      <c r="W4" s="24">
        <f>T4*U4/V4</f>
        <v>0.05</v>
      </c>
      <c r="X4" s="8"/>
      <c r="Y4" s="8"/>
    </row>
    <row r="5" ht="25" customHeight="1" spans="1:25">
      <c r="A5" s="8"/>
      <c r="B5" s="8"/>
      <c r="C5" s="8"/>
      <c r="D5" s="9"/>
      <c r="E5" s="9" t="s">
        <v>103</v>
      </c>
      <c r="F5" s="9" t="s">
        <v>104</v>
      </c>
      <c r="G5" s="9">
        <v>1</v>
      </c>
      <c r="H5" s="8" t="s">
        <v>19</v>
      </c>
      <c r="I5" s="8"/>
      <c r="J5" s="8"/>
      <c r="K5" s="8">
        <v>6</v>
      </c>
      <c r="L5" s="8"/>
      <c r="M5" s="8">
        <v>0.125</v>
      </c>
      <c r="N5" s="8"/>
      <c r="O5" s="17">
        <f>8.55/1.13</f>
        <v>7.56637168141593</v>
      </c>
      <c r="P5" s="17"/>
      <c r="Q5" s="20">
        <f>M5*O5</f>
        <v>0.945796460176991</v>
      </c>
      <c r="R5" s="8" t="s">
        <v>93</v>
      </c>
      <c r="S5" s="21" t="s">
        <v>94</v>
      </c>
      <c r="T5" s="22"/>
      <c r="U5" s="22"/>
      <c r="V5" s="23"/>
      <c r="W5" s="24">
        <f>50*0.008</f>
        <v>0.4</v>
      </c>
      <c r="X5" s="8"/>
      <c r="Y5" s="8"/>
    </row>
    <row r="6" ht="25" customHeight="1" spans="1:25">
      <c r="A6" s="10"/>
      <c r="B6" s="8"/>
      <c r="C6" s="8"/>
      <c r="D6" s="8"/>
      <c r="E6" s="9" t="s">
        <v>105</v>
      </c>
      <c r="F6" s="9" t="s">
        <v>106</v>
      </c>
      <c r="G6" s="9">
        <v>1</v>
      </c>
      <c r="H6" s="8" t="s">
        <v>19</v>
      </c>
      <c r="I6" s="8"/>
      <c r="J6" s="8"/>
      <c r="K6" s="8">
        <v>5</v>
      </c>
      <c r="L6" s="8"/>
      <c r="M6" s="8">
        <v>0.04</v>
      </c>
      <c r="N6" s="8"/>
      <c r="O6" s="17">
        <f>8.55/1.13</f>
        <v>7.56637168141593</v>
      </c>
      <c r="P6" s="17"/>
      <c r="Q6" s="20">
        <f>M6*O6</f>
        <v>0.302654867256637</v>
      </c>
      <c r="R6" s="8" t="s">
        <v>97</v>
      </c>
      <c r="S6" s="21" t="s">
        <v>98</v>
      </c>
      <c r="T6" s="22"/>
      <c r="U6" s="22"/>
      <c r="V6" s="23"/>
      <c r="W6" s="8">
        <f>20*0.01</f>
        <v>0.2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0.1972</v>
      </c>
      <c r="N7" s="8"/>
      <c r="O7" s="17" t="s">
        <v>99</v>
      </c>
      <c r="P7" s="17"/>
      <c r="Q7" s="17">
        <f>SUM(Q3:Q6)</f>
        <v>1.47156542743363</v>
      </c>
      <c r="R7" s="21" t="s">
        <v>100</v>
      </c>
      <c r="S7" s="22"/>
      <c r="T7" s="22"/>
      <c r="U7" s="22"/>
      <c r="V7" s="23"/>
      <c r="W7" s="8">
        <f>SUM(W3:W6)</f>
        <v>0.8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18">
    <mergeCell ref="I1:K1"/>
    <mergeCell ref="L1:N1"/>
    <mergeCell ref="O1:P1"/>
    <mergeCell ref="R1:W1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24"/>
  <sheetViews>
    <sheetView topLeftCell="C1" workbookViewId="0">
      <selection activeCell="O3" sqref="O3:P4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0.3796296296296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4" width="9" style="2"/>
    <col min="25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3</v>
      </c>
      <c r="B3" s="9" t="s">
        <v>107</v>
      </c>
      <c r="C3" s="9"/>
      <c r="D3" s="9" t="s">
        <v>24</v>
      </c>
      <c r="E3" s="9" t="s">
        <v>101</v>
      </c>
      <c r="F3" s="9" t="s">
        <v>85</v>
      </c>
      <c r="G3" s="9">
        <v>1</v>
      </c>
      <c r="H3" s="8" t="s">
        <v>19</v>
      </c>
      <c r="I3" s="8">
        <v>29</v>
      </c>
      <c r="J3" s="8">
        <v>61</v>
      </c>
      <c r="K3" s="8">
        <v>2</v>
      </c>
      <c r="L3" s="8">
        <f>I3*J3*K3*7.85/1000000</f>
        <v>0.0277733</v>
      </c>
      <c r="M3" s="8">
        <v>0.017</v>
      </c>
      <c r="N3" s="8">
        <f>L3-M3</f>
        <v>0.0107733</v>
      </c>
      <c r="O3" s="17">
        <v>4</v>
      </c>
      <c r="P3" s="17">
        <v>2.35</v>
      </c>
      <c r="Q3" s="20">
        <f>(L3*O3-N3*P3)*G3</f>
        <v>0.085775945</v>
      </c>
      <c r="R3" s="8" t="s">
        <v>86</v>
      </c>
      <c r="S3" s="8" t="s">
        <v>87</v>
      </c>
      <c r="T3" s="8">
        <v>3</v>
      </c>
      <c r="U3" s="8">
        <v>0.05</v>
      </c>
      <c r="V3" s="8">
        <v>1</v>
      </c>
      <c r="W3" s="24">
        <f>T3*U3/V3</f>
        <v>0.15</v>
      </c>
      <c r="X3" s="8">
        <v>1.2</v>
      </c>
      <c r="Y3" s="25">
        <f>Q5+Q6+(Q3+Q4+W7)*1.12</f>
        <v>2.3658641363469</v>
      </c>
    </row>
    <row r="4" ht="25" customHeight="1" spans="1:25">
      <c r="A4" s="8"/>
      <c r="B4" s="8"/>
      <c r="C4" s="8"/>
      <c r="D4" s="9"/>
      <c r="E4" s="9" t="s">
        <v>88</v>
      </c>
      <c r="F4" s="9" t="s">
        <v>89</v>
      </c>
      <c r="G4" s="9">
        <v>2</v>
      </c>
      <c r="H4" s="8" t="s">
        <v>19</v>
      </c>
      <c r="I4" s="8">
        <v>39</v>
      </c>
      <c r="J4" s="8">
        <v>20</v>
      </c>
      <c r="K4" s="8">
        <v>2</v>
      </c>
      <c r="L4" s="8">
        <f>I4*J4*K4*7.85/1000000</f>
        <v>0.012246</v>
      </c>
      <c r="M4" s="8">
        <v>0.0052</v>
      </c>
      <c r="N4" s="8">
        <f>L4-M4</f>
        <v>0.007046</v>
      </c>
      <c r="O4" s="17">
        <v>4</v>
      </c>
      <c r="P4" s="17">
        <v>2.35</v>
      </c>
      <c r="Q4" s="20">
        <f>(L4*O4-N4*P4)*G4</f>
        <v>0.0648518</v>
      </c>
      <c r="R4" s="8" t="s">
        <v>90</v>
      </c>
      <c r="S4" s="8" t="s">
        <v>87</v>
      </c>
      <c r="T4" s="8"/>
      <c r="U4" s="8">
        <v>0.05</v>
      </c>
      <c r="V4" s="8">
        <v>1</v>
      </c>
      <c r="W4" s="24">
        <f>T4*U4/V4</f>
        <v>0</v>
      </c>
      <c r="X4" s="8"/>
      <c r="Y4" s="8"/>
    </row>
    <row r="5" ht="25" customHeight="1" spans="1:25">
      <c r="A5" s="8"/>
      <c r="B5" s="8"/>
      <c r="C5" s="8"/>
      <c r="D5" s="9"/>
      <c r="E5" s="9" t="s">
        <v>91</v>
      </c>
      <c r="F5" s="9" t="s">
        <v>104</v>
      </c>
      <c r="G5" s="9">
        <v>1</v>
      </c>
      <c r="H5" s="8" t="s">
        <v>19</v>
      </c>
      <c r="I5" s="8"/>
      <c r="J5" s="8"/>
      <c r="K5" s="8">
        <v>6</v>
      </c>
      <c r="L5" s="8"/>
      <c r="M5" s="8">
        <v>0.091</v>
      </c>
      <c r="N5" s="8"/>
      <c r="O5" s="17">
        <f>8.55/1.13</f>
        <v>7.56637168141593</v>
      </c>
      <c r="P5" s="17"/>
      <c r="Q5" s="20">
        <f>M5*O5</f>
        <v>0.68853982300885</v>
      </c>
      <c r="R5" s="8" t="s">
        <v>93</v>
      </c>
      <c r="S5" s="21" t="s">
        <v>108</v>
      </c>
      <c r="T5" s="22"/>
      <c r="U5" s="22"/>
      <c r="V5" s="23"/>
      <c r="W5" s="24">
        <f>90*0.008</f>
        <v>0.72</v>
      </c>
      <c r="X5" s="8"/>
      <c r="Y5" s="8"/>
    </row>
    <row r="6" ht="25" customHeight="1" spans="1:25">
      <c r="A6" s="10"/>
      <c r="B6" s="8"/>
      <c r="C6" s="8"/>
      <c r="D6" s="8"/>
      <c r="E6" s="9" t="s">
        <v>109</v>
      </c>
      <c r="F6" s="9" t="s">
        <v>106</v>
      </c>
      <c r="G6" s="9">
        <v>1</v>
      </c>
      <c r="H6" s="8" t="s">
        <v>19</v>
      </c>
      <c r="I6" s="8"/>
      <c r="J6" s="8"/>
      <c r="K6" s="8">
        <v>5</v>
      </c>
      <c r="L6" s="8"/>
      <c r="M6" s="8">
        <v>0.041</v>
      </c>
      <c r="N6" s="8"/>
      <c r="O6" s="17">
        <f>8.55/1.13</f>
        <v>7.56637168141593</v>
      </c>
      <c r="P6" s="17"/>
      <c r="Q6" s="20">
        <f>M6*O6</f>
        <v>0.310221238938053</v>
      </c>
      <c r="R6" s="8" t="s">
        <v>97</v>
      </c>
      <c r="S6" s="21" t="s">
        <v>98</v>
      </c>
      <c r="T6" s="22"/>
      <c r="U6" s="22"/>
      <c r="V6" s="23"/>
      <c r="W6" s="8">
        <f>20*0.01</f>
        <v>0.2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0.1542</v>
      </c>
      <c r="N7" s="8"/>
      <c r="O7" s="17" t="s">
        <v>99</v>
      </c>
      <c r="P7" s="17"/>
      <c r="Q7" s="17">
        <f>SUM(Q3:Q6)</f>
        <v>1.1493888069469</v>
      </c>
      <c r="R7" s="21" t="s">
        <v>100</v>
      </c>
      <c r="S7" s="22"/>
      <c r="T7" s="22"/>
      <c r="U7" s="22"/>
      <c r="V7" s="23"/>
      <c r="W7" s="8">
        <f>SUM(W3:W6)</f>
        <v>1.07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18">
    <mergeCell ref="I1:K1"/>
    <mergeCell ref="L1:N1"/>
    <mergeCell ref="O1:P1"/>
    <mergeCell ref="R1:W1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Y24"/>
  <sheetViews>
    <sheetView workbookViewId="0">
      <selection activeCell="O3" sqref="O3:P4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0.3796296296296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4" width="9" style="2"/>
    <col min="25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4</v>
      </c>
      <c r="B3" s="9" t="s">
        <v>110</v>
      </c>
      <c r="C3" s="9"/>
      <c r="D3" s="9" t="s">
        <v>22</v>
      </c>
      <c r="E3" s="9" t="s">
        <v>111</v>
      </c>
      <c r="F3" s="9" t="s">
        <v>112</v>
      </c>
      <c r="G3" s="9">
        <v>1</v>
      </c>
      <c r="H3" s="8" t="s">
        <v>19</v>
      </c>
      <c r="I3" s="8">
        <v>29</v>
      </c>
      <c r="J3" s="8">
        <v>61</v>
      </c>
      <c r="K3" s="8">
        <v>2</v>
      </c>
      <c r="L3" s="8">
        <f>I3*J3*K3*7.85/1000000</f>
        <v>0.0277733</v>
      </c>
      <c r="M3" s="8">
        <v>0.017</v>
      </c>
      <c r="N3" s="8">
        <f>L3-M3</f>
        <v>0.0107733</v>
      </c>
      <c r="O3" s="17">
        <v>4</v>
      </c>
      <c r="P3" s="17">
        <v>2.35</v>
      </c>
      <c r="Q3" s="20">
        <f>(L3*O3-N3*P3)*G3</f>
        <v>0.085775945</v>
      </c>
      <c r="R3" s="8" t="s">
        <v>86</v>
      </c>
      <c r="S3" s="8" t="s">
        <v>87</v>
      </c>
      <c r="T3" s="8">
        <v>3</v>
      </c>
      <c r="U3" s="8">
        <v>0.05</v>
      </c>
      <c r="V3" s="8">
        <v>1</v>
      </c>
      <c r="W3" s="24">
        <f>T3*U3/V3</f>
        <v>0.15</v>
      </c>
      <c r="X3" s="8">
        <v>1.2</v>
      </c>
      <c r="Y3" s="25">
        <f>Q5+Q6+(Q3+Q4+W7)*1.12</f>
        <v>2.61555440183363</v>
      </c>
    </row>
    <row r="4" ht="25" customHeight="1" spans="1:25">
      <c r="A4" s="8"/>
      <c r="B4" s="8"/>
      <c r="C4" s="8"/>
      <c r="D4" s="9"/>
      <c r="E4" s="9" t="s">
        <v>88</v>
      </c>
      <c r="F4" s="9" t="s">
        <v>89</v>
      </c>
      <c r="G4" s="9">
        <v>2</v>
      </c>
      <c r="H4" s="8" t="s">
        <v>19</v>
      </c>
      <c r="I4" s="8">
        <v>39</v>
      </c>
      <c r="J4" s="8">
        <v>20</v>
      </c>
      <c r="K4" s="8">
        <v>2</v>
      </c>
      <c r="L4" s="8">
        <f>I4*J4*K4*7.85/1000000</f>
        <v>0.012246</v>
      </c>
      <c r="M4" s="8">
        <v>0.0052</v>
      </c>
      <c r="N4" s="8">
        <f>L4-M4</f>
        <v>0.007046</v>
      </c>
      <c r="O4" s="17">
        <v>4</v>
      </c>
      <c r="P4" s="17">
        <v>2.35</v>
      </c>
      <c r="Q4" s="20">
        <f>(L4*O4-N4*P4)*G4</f>
        <v>0.0648518</v>
      </c>
      <c r="R4" s="8" t="s">
        <v>90</v>
      </c>
      <c r="S4" s="8" t="s">
        <v>87</v>
      </c>
      <c r="T4" s="8"/>
      <c r="U4" s="8">
        <v>0.05</v>
      </c>
      <c r="V4" s="8">
        <v>1</v>
      </c>
      <c r="W4" s="24">
        <f>T4*U4/V4</f>
        <v>0</v>
      </c>
      <c r="X4" s="8"/>
      <c r="Y4" s="8"/>
    </row>
    <row r="5" ht="25" customHeight="1" spans="1:25">
      <c r="A5" s="8"/>
      <c r="B5" s="8"/>
      <c r="C5" s="8"/>
      <c r="D5" s="9"/>
      <c r="E5" s="9" t="s">
        <v>103</v>
      </c>
      <c r="F5" s="9" t="s">
        <v>104</v>
      </c>
      <c r="G5" s="9">
        <v>1</v>
      </c>
      <c r="H5" s="8" t="s">
        <v>19</v>
      </c>
      <c r="I5" s="8"/>
      <c r="J5" s="8"/>
      <c r="K5" s="8">
        <v>6</v>
      </c>
      <c r="L5" s="8"/>
      <c r="M5" s="8">
        <v>0.125</v>
      </c>
      <c r="N5" s="8"/>
      <c r="O5" s="17">
        <f>8.55/1.13</f>
        <v>7.56637168141593</v>
      </c>
      <c r="P5" s="17"/>
      <c r="Q5" s="20">
        <f>M5*O5</f>
        <v>0.945796460176991</v>
      </c>
      <c r="R5" s="8" t="s">
        <v>93</v>
      </c>
      <c r="S5" s="21" t="s">
        <v>108</v>
      </c>
      <c r="T5" s="22"/>
      <c r="U5" s="22"/>
      <c r="V5" s="23"/>
      <c r="W5" s="24">
        <f>90*0.008</f>
        <v>0.72</v>
      </c>
      <c r="X5" s="8"/>
      <c r="Y5" s="8"/>
    </row>
    <row r="6" ht="25" customHeight="1" spans="1:25">
      <c r="A6" s="10"/>
      <c r="B6" s="8"/>
      <c r="C6" s="8"/>
      <c r="D6" s="8"/>
      <c r="E6" s="9" t="s">
        <v>105</v>
      </c>
      <c r="F6" s="9" t="s">
        <v>106</v>
      </c>
      <c r="G6" s="9">
        <v>1</v>
      </c>
      <c r="H6" s="8" t="s">
        <v>19</v>
      </c>
      <c r="I6" s="8"/>
      <c r="J6" s="8"/>
      <c r="K6" s="8">
        <v>5</v>
      </c>
      <c r="L6" s="8"/>
      <c r="M6" s="8">
        <v>0.04</v>
      </c>
      <c r="N6" s="8"/>
      <c r="O6" s="17">
        <f>8.55/1.13</f>
        <v>7.56637168141593</v>
      </c>
      <c r="P6" s="17"/>
      <c r="Q6" s="20">
        <f>M6*O6</f>
        <v>0.302654867256637</v>
      </c>
      <c r="R6" s="8" t="s">
        <v>97</v>
      </c>
      <c r="S6" s="21" t="s">
        <v>98</v>
      </c>
      <c r="T6" s="22"/>
      <c r="U6" s="22"/>
      <c r="V6" s="23"/>
      <c r="W6" s="8">
        <f>20*0.01</f>
        <v>0.2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0.1872</v>
      </c>
      <c r="N7" s="8"/>
      <c r="O7" s="17" t="s">
        <v>99</v>
      </c>
      <c r="P7" s="17"/>
      <c r="Q7" s="17">
        <f>SUM(Q3:Q6)</f>
        <v>1.39907907243363</v>
      </c>
      <c r="R7" s="21" t="s">
        <v>100</v>
      </c>
      <c r="S7" s="22"/>
      <c r="T7" s="22"/>
      <c r="U7" s="22"/>
      <c r="V7" s="23"/>
      <c r="W7" s="8">
        <f>SUM(W3:W6)</f>
        <v>1.07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18">
    <mergeCell ref="I1:K1"/>
    <mergeCell ref="L1:N1"/>
    <mergeCell ref="O1:P1"/>
    <mergeCell ref="R1:W1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Y24"/>
  <sheetViews>
    <sheetView workbookViewId="0">
      <selection activeCell="O3" sqref="O3:P4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0.3796296296296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4" width="9" style="2"/>
    <col min="25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5</v>
      </c>
      <c r="B3" s="9" t="s">
        <v>28</v>
      </c>
      <c r="C3" s="9"/>
      <c r="D3" s="9" t="s">
        <v>24</v>
      </c>
      <c r="E3" s="9" t="s">
        <v>111</v>
      </c>
      <c r="F3" s="9" t="s">
        <v>112</v>
      </c>
      <c r="G3" s="9">
        <v>1</v>
      </c>
      <c r="H3" s="8" t="s">
        <v>19</v>
      </c>
      <c r="I3" s="8">
        <v>29</v>
      </c>
      <c r="J3" s="8">
        <v>61</v>
      </c>
      <c r="K3" s="8">
        <v>2</v>
      </c>
      <c r="L3" s="8">
        <f>I3*J3*K3*7.85/1000000</f>
        <v>0.0277733</v>
      </c>
      <c r="M3" s="8">
        <v>0.017</v>
      </c>
      <c r="N3" s="8">
        <f>L3-M3</f>
        <v>0.0107733</v>
      </c>
      <c r="O3" s="17">
        <v>4</v>
      </c>
      <c r="P3" s="17">
        <v>2.35</v>
      </c>
      <c r="Q3" s="20">
        <f>(L3*O3-N3*P3)*G3</f>
        <v>0.085775945</v>
      </c>
      <c r="R3" s="8" t="s">
        <v>86</v>
      </c>
      <c r="S3" s="8" t="s">
        <v>87</v>
      </c>
      <c r="T3" s="8">
        <v>3</v>
      </c>
      <c r="U3" s="8">
        <v>0.05</v>
      </c>
      <c r="V3" s="8">
        <v>1</v>
      </c>
      <c r="W3" s="24">
        <f>T3*U3/V3</f>
        <v>0.15</v>
      </c>
      <c r="X3" s="8">
        <v>1.2</v>
      </c>
      <c r="Y3" s="25">
        <f>Q5+Q6+(Q3+Q4+W7)*1.12</f>
        <v>2.3658641363469</v>
      </c>
    </row>
    <row r="4" ht="25" customHeight="1" spans="1:25">
      <c r="A4" s="8"/>
      <c r="B4" s="8"/>
      <c r="C4" s="8"/>
      <c r="D4" s="9"/>
      <c r="E4" s="9" t="s">
        <v>88</v>
      </c>
      <c r="F4" s="9" t="s">
        <v>89</v>
      </c>
      <c r="G4" s="9">
        <v>2</v>
      </c>
      <c r="H4" s="8" t="s">
        <v>19</v>
      </c>
      <c r="I4" s="8">
        <v>39</v>
      </c>
      <c r="J4" s="8">
        <v>20</v>
      </c>
      <c r="K4" s="8">
        <v>2</v>
      </c>
      <c r="L4" s="8">
        <f>I4*J4*K4*7.85/1000000</f>
        <v>0.012246</v>
      </c>
      <c r="M4" s="8">
        <v>0.0052</v>
      </c>
      <c r="N4" s="8">
        <f>L4-M4</f>
        <v>0.007046</v>
      </c>
      <c r="O4" s="17">
        <v>4</v>
      </c>
      <c r="P4" s="17">
        <v>2.35</v>
      </c>
      <c r="Q4" s="20">
        <f>(L4*O4-N4*P4)*G4</f>
        <v>0.0648518</v>
      </c>
      <c r="R4" s="8" t="s">
        <v>90</v>
      </c>
      <c r="S4" s="8" t="s">
        <v>87</v>
      </c>
      <c r="T4" s="8"/>
      <c r="U4" s="8">
        <v>0.05</v>
      </c>
      <c r="V4" s="8">
        <v>1</v>
      </c>
      <c r="W4" s="24">
        <f>T4*U4/V4</f>
        <v>0</v>
      </c>
      <c r="X4" s="8"/>
      <c r="Y4" s="8"/>
    </row>
    <row r="5" ht="25" customHeight="1" spans="1:25">
      <c r="A5" s="8"/>
      <c r="B5" s="8"/>
      <c r="C5" s="8"/>
      <c r="D5" s="9"/>
      <c r="E5" s="9" t="s">
        <v>113</v>
      </c>
      <c r="F5" s="9" t="s">
        <v>92</v>
      </c>
      <c r="G5" s="9">
        <v>1</v>
      </c>
      <c r="H5" s="8" t="s">
        <v>19</v>
      </c>
      <c r="I5" s="8"/>
      <c r="J5" s="8"/>
      <c r="K5" s="8">
        <v>6</v>
      </c>
      <c r="L5" s="8"/>
      <c r="M5" s="8">
        <v>0.091</v>
      </c>
      <c r="N5" s="8"/>
      <c r="O5" s="17">
        <f>8.55/1.13</f>
        <v>7.56637168141593</v>
      </c>
      <c r="P5" s="17"/>
      <c r="Q5" s="20">
        <f>M5*O5</f>
        <v>0.68853982300885</v>
      </c>
      <c r="R5" s="8" t="s">
        <v>93</v>
      </c>
      <c r="S5" s="21" t="s">
        <v>108</v>
      </c>
      <c r="T5" s="22"/>
      <c r="U5" s="22"/>
      <c r="V5" s="23"/>
      <c r="W5" s="24">
        <f>90*0.008</f>
        <v>0.72</v>
      </c>
      <c r="X5" s="8"/>
      <c r="Y5" s="8"/>
    </row>
    <row r="6" ht="25" customHeight="1" spans="1:25">
      <c r="A6" s="10"/>
      <c r="B6" s="8"/>
      <c r="C6" s="8"/>
      <c r="D6" s="8"/>
      <c r="E6" s="9" t="s">
        <v>114</v>
      </c>
      <c r="F6" s="9" t="s">
        <v>96</v>
      </c>
      <c r="G6" s="9">
        <v>1</v>
      </c>
      <c r="H6" s="8" t="s">
        <v>19</v>
      </c>
      <c r="I6" s="8"/>
      <c r="J6" s="8"/>
      <c r="K6" s="8">
        <v>5</v>
      </c>
      <c r="L6" s="8"/>
      <c r="M6" s="8">
        <v>0.041</v>
      </c>
      <c r="N6" s="8"/>
      <c r="O6" s="17">
        <f>8.55/1.13</f>
        <v>7.56637168141593</v>
      </c>
      <c r="P6" s="17"/>
      <c r="Q6" s="20">
        <f>M6*O6</f>
        <v>0.310221238938053</v>
      </c>
      <c r="R6" s="8" t="s">
        <v>97</v>
      </c>
      <c r="S6" s="21" t="s">
        <v>98</v>
      </c>
      <c r="T6" s="22"/>
      <c r="U6" s="22"/>
      <c r="V6" s="23"/>
      <c r="W6" s="8">
        <f>20*0.01</f>
        <v>0.2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0.1542</v>
      </c>
      <c r="N7" s="8"/>
      <c r="O7" s="17" t="s">
        <v>99</v>
      </c>
      <c r="P7" s="17"/>
      <c r="Q7" s="17">
        <f>SUM(Q3:Q6)</f>
        <v>1.1493888069469</v>
      </c>
      <c r="R7" s="21" t="s">
        <v>100</v>
      </c>
      <c r="S7" s="22"/>
      <c r="T7" s="22"/>
      <c r="U7" s="22"/>
      <c r="V7" s="23"/>
      <c r="W7" s="8">
        <f>SUM(W3:W6)</f>
        <v>1.07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18">
    <mergeCell ref="I1:K1"/>
    <mergeCell ref="L1:N1"/>
    <mergeCell ref="O1:P1"/>
    <mergeCell ref="R1:W1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Y24"/>
  <sheetViews>
    <sheetView workbookViewId="0">
      <selection activeCell="O3" sqref="O3:P4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0.3796296296296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4" width="9" style="2"/>
    <col min="25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6</v>
      </c>
      <c r="B3" s="9" t="s">
        <v>29</v>
      </c>
      <c r="C3" s="9"/>
      <c r="D3" s="9" t="s">
        <v>22</v>
      </c>
      <c r="E3" s="9" t="s">
        <v>115</v>
      </c>
      <c r="F3" s="9" t="s">
        <v>85</v>
      </c>
      <c r="G3" s="9">
        <v>1</v>
      </c>
      <c r="H3" s="8" t="s">
        <v>19</v>
      </c>
      <c r="I3" s="8">
        <v>29</v>
      </c>
      <c r="J3" s="8">
        <v>61</v>
      </c>
      <c r="K3" s="8">
        <v>2</v>
      </c>
      <c r="L3" s="8">
        <f>I3*J3*K3*7.85/1000000</f>
        <v>0.0277733</v>
      </c>
      <c r="M3" s="8">
        <v>0.017</v>
      </c>
      <c r="N3" s="8">
        <f>L3-M3</f>
        <v>0.0107733</v>
      </c>
      <c r="O3" s="17">
        <v>4</v>
      </c>
      <c r="P3" s="17">
        <v>2.35</v>
      </c>
      <c r="Q3" s="20">
        <f>(L3*O3-N3*P3)*G3</f>
        <v>0.085775945</v>
      </c>
      <c r="R3" s="8" t="s">
        <v>86</v>
      </c>
      <c r="S3" s="8" t="s">
        <v>87</v>
      </c>
      <c r="T3" s="8">
        <v>3</v>
      </c>
      <c r="U3" s="8">
        <v>0.05</v>
      </c>
      <c r="V3" s="8">
        <v>1</v>
      </c>
      <c r="W3" s="24">
        <f>T3*U3/V3</f>
        <v>0.15</v>
      </c>
      <c r="X3" s="8">
        <v>1.2</v>
      </c>
      <c r="Y3" s="25">
        <f>Q5+Q6+(Q3+Q4+W7)*1.12</f>
        <v>2.34675440183363</v>
      </c>
    </row>
    <row r="4" ht="25" customHeight="1" spans="1:25">
      <c r="A4" s="8"/>
      <c r="B4" s="8"/>
      <c r="C4" s="8"/>
      <c r="D4" s="9"/>
      <c r="E4" s="9" t="s">
        <v>88</v>
      </c>
      <c r="F4" s="9" t="s">
        <v>89</v>
      </c>
      <c r="G4" s="9">
        <v>2</v>
      </c>
      <c r="H4" s="8" t="s">
        <v>19</v>
      </c>
      <c r="I4" s="8">
        <v>39</v>
      </c>
      <c r="J4" s="8">
        <v>20</v>
      </c>
      <c r="K4" s="8">
        <v>2</v>
      </c>
      <c r="L4" s="8">
        <f>I4*J4*K4*7.85/1000000</f>
        <v>0.012246</v>
      </c>
      <c r="M4" s="8">
        <v>0.0052</v>
      </c>
      <c r="N4" s="8">
        <f>L4-M4</f>
        <v>0.007046</v>
      </c>
      <c r="O4" s="17">
        <v>4</v>
      </c>
      <c r="P4" s="17">
        <v>2.35</v>
      </c>
      <c r="Q4" s="20">
        <f>(L4*O4-N4*P4)*G4</f>
        <v>0.0648518</v>
      </c>
      <c r="R4" s="8" t="s">
        <v>90</v>
      </c>
      <c r="S4" s="8" t="s">
        <v>87</v>
      </c>
      <c r="T4" s="8"/>
      <c r="U4" s="8">
        <v>0.05</v>
      </c>
      <c r="V4" s="8">
        <v>1</v>
      </c>
      <c r="W4" s="24">
        <f>T4*U4/V4</f>
        <v>0</v>
      </c>
      <c r="X4" s="8"/>
      <c r="Y4" s="8"/>
    </row>
    <row r="5" ht="25" customHeight="1" spans="1:25">
      <c r="A5" s="8"/>
      <c r="B5" s="8"/>
      <c r="C5" s="8"/>
      <c r="D5" s="9"/>
      <c r="E5" s="9" t="s">
        <v>116</v>
      </c>
      <c r="F5" s="9" t="s">
        <v>104</v>
      </c>
      <c r="G5" s="9">
        <v>1</v>
      </c>
      <c r="H5" s="8" t="s">
        <v>19</v>
      </c>
      <c r="I5" s="8"/>
      <c r="J5" s="8"/>
      <c r="K5" s="8">
        <v>6</v>
      </c>
      <c r="L5" s="8"/>
      <c r="M5" s="8">
        <v>0.125</v>
      </c>
      <c r="N5" s="8"/>
      <c r="O5" s="17">
        <f>8.55/1.13</f>
        <v>7.56637168141593</v>
      </c>
      <c r="P5" s="17"/>
      <c r="Q5" s="20">
        <f>M5*O5</f>
        <v>0.945796460176991</v>
      </c>
      <c r="R5" s="8" t="s">
        <v>93</v>
      </c>
      <c r="S5" s="21" t="s">
        <v>117</v>
      </c>
      <c r="T5" s="22"/>
      <c r="U5" s="22"/>
      <c r="V5" s="23"/>
      <c r="W5" s="24">
        <f>60*0.008</f>
        <v>0.48</v>
      </c>
      <c r="X5" s="8"/>
      <c r="Y5" s="8"/>
    </row>
    <row r="6" ht="25" customHeight="1" spans="1:25">
      <c r="A6" s="10"/>
      <c r="B6" s="8"/>
      <c r="C6" s="8"/>
      <c r="D6" s="8"/>
      <c r="E6" s="9" t="s">
        <v>118</v>
      </c>
      <c r="F6" s="9" t="s">
        <v>106</v>
      </c>
      <c r="G6" s="9">
        <v>1</v>
      </c>
      <c r="H6" s="8" t="s">
        <v>19</v>
      </c>
      <c r="I6" s="8"/>
      <c r="J6" s="8"/>
      <c r="K6" s="8">
        <v>5</v>
      </c>
      <c r="L6" s="8"/>
      <c r="M6" s="8">
        <v>0.04</v>
      </c>
      <c r="N6" s="8"/>
      <c r="O6" s="17">
        <f>8.55/1.13</f>
        <v>7.56637168141593</v>
      </c>
      <c r="P6" s="17"/>
      <c r="Q6" s="20">
        <f>M6*O6</f>
        <v>0.302654867256637</v>
      </c>
      <c r="R6" s="8" t="s">
        <v>97</v>
      </c>
      <c r="S6" s="21" t="s">
        <v>98</v>
      </c>
      <c r="T6" s="22"/>
      <c r="U6" s="22"/>
      <c r="V6" s="23"/>
      <c r="W6" s="8">
        <f>20*0.01</f>
        <v>0.2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0.1872</v>
      </c>
      <c r="N7" s="8"/>
      <c r="O7" s="17" t="s">
        <v>99</v>
      </c>
      <c r="P7" s="17"/>
      <c r="Q7" s="17">
        <f>SUM(Q3:Q6)</f>
        <v>1.39907907243363</v>
      </c>
      <c r="R7" s="21" t="s">
        <v>100</v>
      </c>
      <c r="S7" s="22"/>
      <c r="T7" s="22"/>
      <c r="U7" s="22"/>
      <c r="V7" s="23"/>
      <c r="W7" s="8">
        <f>SUM(W3:W6)</f>
        <v>0.83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18">
    <mergeCell ref="I1:K1"/>
    <mergeCell ref="L1:N1"/>
    <mergeCell ref="O1:P1"/>
    <mergeCell ref="R1:W1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Y24"/>
  <sheetViews>
    <sheetView topLeftCell="C1" workbookViewId="0">
      <selection activeCell="O3" sqref="O3:P4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0.3796296296296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4" width="9" style="2"/>
    <col min="25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7</v>
      </c>
      <c r="B3" s="9" t="s">
        <v>30</v>
      </c>
      <c r="C3" s="9"/>
      <c r="D3" s="9" t="s">
        <v>31</v>
      </c>
      <c r="E3" s="9" t="s">
        <v>101</v>
      </c>
      <c r="F3" s="9" t="s">
        <v>102</v>
      </c>
      <c r="G3" s="9">
        <v>1</v>
      </c>
      <c r="H3" s="8" t="s">
        <v>19</v>
      </c>
      <c r="I3" s="8">
        <v>60</v>
      </c>
      <c r="J3" s="8">
        <v>61</v>
      </c>
      <c r="K3" s="8">
        <v>2</v>
      </c>
      <c r="L3" s="8">
        <f>I3*J3*K3*7.85/1000000</f>
        <v>0.057462</v>
      </c>
      <c r="M3" s="8">
        <v>0.027</v>
      </c>
      <c r="N3" s="8">
        <f>L3-M3</f>
        <v>0.030462</v>
      </c>
      <c r="O3" s="17">
        <v>4</v>
      </c>
      <c r="P3" s="17">
        <v>2.35</v>
      </c>
      <c r="Q3" s="20">
        <f>(L3*O3-N3*P3)*G3</f>
        <v>0.1582623</v>
      </c>
      <c r="R3" s="8" t="s">
        <v>86</v>
      </c>
      <c r="S3" s="8" t="s">
        <v>87</v>
      </c>
      <c r="T3" s="8">
        <v>3</v>
      </c>
      <c r="U3" s="8">
        <v>0.05</v>
      </c>
      <c r="V3" s="8">
        <v>1</v>
      </c>
      <c r="W3" s="24">
        <f>T3*U3/V3</f>
        <v>0.15</v>
      </c>
      <c r="X3" s="8">
        <v>1.2</v>
      </c>
      <c r="Y3" s="25">
        <f>Q5+Q6+(Q3+Q4+W7)*1.12</f>
        <v>2.12951611058407</v>
      </c>
    </row>
    <row r="4" ht="25" customHeight="1" spans="1:25">
      <c r="A4" s="8"/>
      <c r="B4" s="8"/>
      <c r="C4" s="8"/>
      <c r="D4" s="9"/>
      <c r="E4" s="9" t="s">
        <v>88</v>
      </c>
      <c r="F4" s="9" t="s">
        <v>89</v>
      </c>
      <c r="G4" s="9">
        <v>2</v>
      </c>
      <c r="H4" s="8" t="s">
        <v>19</v>
      </c>
      <c r="I4" s="8">
        <v>39</v>
      </c>
      <c r="J4" s="8">
        <v>20</v>
      </c>
      <c r="K4" s="8">
        <v>2</v>
      </c>
      <c r="L4" s="8">
        <f>I4*J4*K4*7.85/1000000</f>
        <v>0.012246</v>
      </c>
      <c r="M4" s="8">
        <v>0.0052</v>
      </c>
      <c r="N4" s="8">
        <f>L4-M4</f>
        <v>0.007046</v>
      </c>
      <c r="O4" s="17">
        <v>4</v>
      </c>
      <c r="P4" s="17">
        <v>2.35</v>
      </c>
      <c r="Q4" s="20">
        <f>(L4*O4-N4*P4)*G4</f>
        <v>0.0648518</v>
      </c>
      <c r="R4" s="8" t="s">
        <v>90</v>
      </c>
      <c r="S4" s="8" t="s">
        <v>87</v>
      </c>
      <c r="T4" s="8">
        <v>1</v>
      </c>
      <c r="U4" s="8">
        <v>0.05</v>
      </c>
      <c r="V4" s="8">
        <v>1</v>
      </c>
      <c r="W4" s="24">
        <f>T4*U4/V4</f>
        <v>0.05</v>
      </c>
      <c r="X4" s="8"/>
      <c r="Y4" s="8"/>
    </row>
    <row r="5" ht="25" customHeight="1" spans="1:25">
      <c r="A5" s="8"/>
      <c r="B5" s="8"/>
      <c r="C5" s="8"/>
      <c r="D5" s="9"/>
      <c r="E5" s="9" t="s">
        <v>113</v>
      </c>
      <c r="F5" s="9" t="s">
        <v>92</v>
      </c>
      <c r="G5" s="9">
        <v>1</v>
      </c>
      <c r="H5" s="8" t="s">
        <v>19</v>
      </c>
      <c r="I5" s="8"/>
      <c r="J5" s="8"/>
      <c r="K5" s="8">
        <v>6</v>
      </c>
      <c r="L5" s="8"/>
      <c r="M5" s="8">
        <v>0.091</v>
      </c>
      <c r="N5" s="8"/>
      <c r="O5" s="17">
        <f>8.55/1.13</f>
        <v>7.56637168141593</v>
      </c>
      <c r="P5" s="17"/>
      <c r="Q5" s="20">
        <f>M5*O5</f>
        <v>0.68853982300885</v>
      </c>
      <c r="R5" s="8" t="s">
        <v>93</v>
      </c>
      <c r="S5" s="21" t="s">
        <v>94</v>
      </c>
      <c r="T5" s="22"/>
      <c r="U5" s="22"/>
      <c r="V5" s="23"/>
      <c r="W5" s="24">
        <f>50*0.008</f>
        <v>0.4</v>
      </c>
      <c r="X5" s="8"/>
      <c r="Y5" s="8"/>
    </row>
    <row r="6" ht="25" customHeight="1" spans="1:25">
      <c r="A6" s="10"/>
      <c r="B6" s="8"/>
      <c r="C6" s="8"/>
      <c r="D6" s="8"/>
      <c r="E6" s="9" t="s">
        <v>119</v>
      </c>
      <c r="F6" s="9" t="s">
        <v>96</v>
      </c>
      <c r="G6" s="9">
        <v>1</v>
      </c>
      <c r="H6" s="8" t="s">
        <v>19</v>
      </c>
      <c r="I6" s="8"/>
      <c r="J6" s="8"/>
      <c r="K6" s="8">
        <v>5</v>
      </c>
      <c r="L6" s="8"/>
      <c r="M6" s="8">
        <v>0.039</v>
      </c>
      <c r="N6" s="8"/>
      <c r="O6" s="17">
        <f>8.55/1.13</f>
        <v>7.56637168141593</v>
      </c>
      <c r="P6" s="17"/>
      <c r="Q6" s="20">
        <f>M6*O6</f>
        <v>0.295088495575221</v>
      </c>
      <c r="R6" s="8" t="s">
        <v>97</v>
      </c>
      <c r="S6" s="21" t="s">
        <v>98</v>
      </c>
      <c r="T6" s="22"/>
      <c r="U6" s="22"/>
      <c r="V6" s="23"/>
      <c r="W6" s="8">
        <f>20*0.01</f>
        <v>0.2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0.1622</v>
      </c>
      <c r="N7" s="8"/>
      <c r="O7" s="17" t="s">
        <v>99</v>
      </c>
      <c r="P7" s="17"/>
      <c r="Q7" s="17">
        <f>SUM(Q3:Q6)</f>
        <v>1.20674241858407</v>
      </c>
      <c r="R7" s="21" t="s">
        <v>100</v>
      </c>
      <c r="S7" s="22"/>
      <c r="T7" s="22"/>
      <c r="U7" s="22"/>
      <c r="V7" s="23"/>
      <c r="W7" s="8">
        <f>SUM(W3:W6)</f>
        <v>0.8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18">
    <mergeCell ref="I1:K1"/>
    <mergeCell ref="L1:N1"/>
    <mergeCell ref="O1:P1"/>
    <mergeCell ref="R1:W1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Y24"/>
  <sheetViews>
    <sheetView workbookViewId="0">
      <selection activeCell="M24" sqref="M24"/>
    </sheetView>
  </sheetViews>
  <sheetFormatPr defaultColWidth="9" defaultRowHeight="14.4"/>
  <cols>
    <col min="1" max="1" width="5" style="2" customWidth="1"/>
    <col min="2" max="2" width="9" style="2"/>
    <col min="3" max="3" width="10.75" style="2" customWidth="1"/>
    <col min="4" max="4" width="10.3796296296296" style="2" customWidth="1"/>
    <col min="5" max="5" width="11.1296296296296" style="2" customWidth="1"/>
    <col min="6" max="6" width="17.5" style="3" customWidth="1"/>
    <col min="7" max="7" width="9" style="2"/>
    <col min="8" max="8" width="6.62962962962963" style="2" customWidth="1"/>
    <col min="9" max="9" width="5" style="2" customWidth="1"/>
    <col min="10" max="11" width="4.87962962962963" style="2" customWidth="1"/>
    <col min="12" max="12" width="6" style="2" customWidth="1"/>
    <col min="13" max="13" width="9" style="2"/>
    <col min="14" max="14" width="3.75" style="2" customWidth="1"/>
    <col min="15" max="15" width="7.5" style="2" customWidth="1"/>
    <col min="16" max="16" width="6.87962962962963" style="2" customWidth="1"/>
    <col min="17" max="17" width="8.12962962962963" style="2" customWidth="1"/>
    <col min="18" max="18" width="9" style="2"/>
    <col min="19" max="19" width="8.75" style="2" customWidth="1"/>
    <col min="20" max="24" width="9" style="2"/>
    <col min="25" max="25" width="9.62962962962963" style="2"/>
    <col min="26" max="26" width="12.6296296296296" style="2"/>
    <col min="27" max="16384" width="9" style="2"/>
  </cols>
  <sheetData>
    <row r="1" s="1" customFormat="1" ht="38" customHeight="1" spans="1:25">
      <c r="A1" s="4" t="s">
        <v>1</v>
      </c>
      <c r="B1" s="4" t="s">
        <v>61</v>
      </c>
      <c r="C1" s="4" t="s">
        <v>62</v>
      </c>
      <c r="D1" s="4" t="s">
        <v>3</v>
      </c>
      <c r="E1" s="4" t="s">
        <v>63</v>
      </c>
      <c r="F1" s="5" t="s">
        <v>64</v>
      </c>
      <c r="G1" s="5" t="s">
        <v>65</v>
      </c>
      <c r="H1" s="4" t="s">
        <v>66</v>
      </c>
      <c r="I1" s="13" t="s">
        <v>67</v>
      </c>
      <c r="J1" s="13"/>
      <c r="K1" s="13"/>
      <c r="L1" s="14" t="s">
        <v>68</v>
      </c>
      <c r="M1" s="14"/>
      <c r="N1" s="14"/>
      <c r="O1" s="15" t="s">
        <v>69</v>
      </c>
      <c r="P1" s="15"/>
      <c r="Q1" s="4" t="s">
        <v>70</v>
      </c>
      <c r="R1" s="18" t="s">
        <v>71</v>
      </c>
      <c r="S1" s="18"/>
      <c r="T1" s="18"/>
      <c r="U1" s="18"/>
      <c r="V1" s="18"/>
      <c r="W1" s="18"/>
      <c r="X1" s="5" t="s">
        <v>72</v>
      </c>
      <c r="Y1" s="4" t="s">
        <v>73</v>
      </c>
    </row>
    <row r="2" s="1" customFormat="1" ht="22.2" customHeight="1" spans="1:25">
      <c r="A2" s="6"/>
      <c r="B2" s="6"/>
      <c r="C2" s="6"/>
      <c r="D2" s="6"/>
      <c r="E2" s="6"/>
      <c r="F2" s="7"/>
      <c r="G2" s="7"/>
      <c r="H2" s="6"/>
      <c r="I2" s="6" t="s">
        <v>74</v>
      </c>
      <c r="J2" s="6" t="s">
        <v>75</v>
      </c>
      <c r="K2" s="6" t="s">
        <v>76</v>
      </c>
      <c r="L2" s="14" t="s">
        <v>77</v>
      </c>
      <c r="M2" s="16" t="s">
        <v>36</v>
      </c>
      <c r="N2" s="14" t="s">
        <v>78</v>
      </c>
      <c r="O2" s="15" t="s">
        <v>7</v>
      </c>
      <c r="P2" s="15" t="s">
        <v>78</v>
      </c>
      <c r="Q2" s="6"/>
      <c r="R2" s="18" t="s">
        <v>79</v>
      </c>
      <c r="S2" s="18" t="s">
        <v>80</v>
      </c>
      <c r="T2" s="18" t="s">
        <v>81</v>
      </c>
      <c r="U2" s="19" t="s">
        <v>82</v>
      </c>
      <c r="V2" s="19" t="s">
        <v>83</v>
      </c>
      <c r="W2" s="19" t="s">
        <v>73</v>
      </c>
      <c r="X2" s="6"/>
      <c r="Y2" s="6"/>
    </row>
    <row r="3" ht="27" customHeight="1" spans="1:25">
      <c r="A3" s="8">
        <v>8</v>
      </c>
      <c r="B3" s="9" t="s">
        <v>32</v>
      </c>
      <c r="C3" s="9"/>
      <c r="D3" s="9" t="s">
        <v>22</v>
      </c>
      <c r="E3" s="9" t="s">
        <v>84</v>
      </c>
      <c r="F3" s="9" t="s">
        <v>85</v>
      </c>
      <c r="G3" s="9">
        <v>1</v>
      </c>
      <c r="H3" s="8" t="s">
        <v>19</v>
      </c>
      <c r="I3" s="8">
        <v>60</v>
      </c>
      <c r="J3" s="8">
        <v>61</v>
      </c>
      <c r="K3" s="8">
        <v>2</v>
      </c>
      <c r="L3" s="8">
        <f>I3*J3*K3*7.85/1000000</f>
        <v>0.057462</v>
      </c>
      <c r="M3" s="8">
        <v>0.027</v>
      </c>
      <c r="N3" s="8">
        <f>L3-M3</f>
        <v>0.030462</v>
      </c>
      <c r="O3" s="17">
        <v>4.8</v>
      </c>
      <c r="P3" s="17">
        <v>2</v>
      </c>
      <c r="Q3" s="20">
        <f>(L3*O3-N3*P3)*G3</f>
        <v>0.2148936</v>
      </c>
      <c r="R3" s="8" t="s">
        <v>86</v>
      </c>
      <c r="S3" s="8" t="s">
        <v>87</v>
      </c>
      <c r="T3" s="8">
        <v>3</v>
      </c>
      <c r="U3" s="8">
        <v>0.05</v>
      </c>
      <c r="V3" s="8">
        <v>1</v>
      </c>
      <c r="W3" s="24">
        <f>T3*U3/V3</f>
        <v>0.15</v>
      </c>
      <c r="X3" s="8">
        <v>1.2</v>
      </c>
      <c r="Y3" s="25">
        <f>Q5+Q6+(Q3+Q4+W7)*1.12</f>
        <v>2.48523507143363</v>
      </c>
    </row>
    <row r="4" ht="25" customHeight="1" spans="1:25">
      <c r="A4" s="8"/>
      <c r="B4" s="8"/>
      <c r="C4" s="8"/>
      <c r="D4" s="9"/>
      <c r="E4" s="9" t="s">
        <v>88</v>
      </c>
      <c r="F4" s="9" t="s">
        <v>89</v>
      </c>
      <c r="G4" s="9">
        <v>2</v>
      </c>
      <c r="H4" s="8" t="s">
        <v>19</v>
      </c>
      <c r="I4" s="8">
        <v>39</v>
      </c>
      <c r="J4" s="8">
        <v>20</v>
      </c>
      <c r="K4" s="8">
        <v>2</v>
      </c>
      <c r="L4" s="8">
        <f>I4*J4*K4*7.85/1000000</f>
        <v>0.012246</v>
      </c>
      <c r="M4" s="8">
        <v>0.0052</v>
      </c>
      <c r="N4" s="8">
        <f>L4-M4</f>
        <v>0.007046</v>
      </c>
      <c r="O4" s="17">
        <v>4.8</v>
      </c>
      <c r="P4" s="17">
        <v>2</v>
      </c>
      <c r="Q4" s="20">
        <f>(L4*O4-N4*P4)*G4</f>
        <v>0.0893776</v>
      </c>
      <c r="R4" s="8" t="s">
        <v>90</v>
      </c>
      <c r="S4" s="8" t="s">
        <v>87</v>
      </c>
      <c r="T4" s="8">
        <v>1</v>
      </c>
      <c r="U4" s="8">
        <v>0.05</v>
      </c>
      <c r="V4" s="8">
        <v>1</v>
      </c>
      <c r="W4" s="24">
        <f>T4*U4/V4</f>
        <v>0.05</v>
      </c>
      <c r="X4" s="8"/>
      <c r="Y4" s="8"/>
    </row>
    <row r="5" ht="25" customHeight="1" spans="1:25">
      <c r="A5" s="8"/>
      <c r="B5" s="8"/>
      <c r="C5" s="8"/>
      <c r="D5" s="9"/>
      <c r="E5" s="9" t="s">
        <v>116</v>
      </c>
      <c r="F5" s="9" t="s">
        <v>104</v>
      </c>
      <c r="G5" s="9">
        <v>1</v>
      </c>
      <c r="H5" s="8" t="s">
        <v>19</v>
      </c>
      <c r="I5" s="8"/>
      <c r="J5" s="8"/>
      <c r="K5" s="8">
        <v>6</v>
      </c>
      <c r="L5" s="8"/>
      <c r="M5" s="8">
        <v>0.125</v>
      </c>
      <c r="N5" s="8"/>
      <c r="O5" s="17">
        <f>8.55/1.13</f>
        <v>7.56637168141593</v>
      </c>
      <c r="P5" s="17"/>
      <c r="Q5" s="20">
        <f>M5*O5</f>
        <v>0.945796460176991</v>
      </c>
      <c r="R5" s="8" t="s">
        <v>93</v>
      </c>
      <c r="S5" s="21" t="s">
        <v>94</v>
      </c>
      <c r="T5" s="22"/>
      <c r="U5" s="22"/>
      <c r="V5" s="23"/>
      <c r="W5" s="24">
        <f>50*0.008</f>
        <v>0.4</v>
      </c>
      <c r="X5" s="8"/>
      <c r="Y5" s="8"/>
    </row>
    <row r="6" ht="25" customHeight="1" spans="1:25">
      <c r="A6" s="10"/>
      <c r="B6" s="8"/>
      <c r="C6" s="8"/>
      <c r="D6" s="8"/>
      <c r="E6" s="9" t="s">
        <v>120</v>
      </c>
      <c r="F6" s="9" t="s">
        <v>106</v>
      </c>
      <c r="G6" s="9">
        <v>1</v>
      </c>
      <c r="H6" s="8" t="s">
        <v>19</v>
      </c>
      <c r="I6" s="8"/>
      <c r="J6" s="8"/>
      <c r="K6" s="8">
        <v>5</v>
      </c>
      <c r="L6" s="8"/>
      <c r="M6" s="8">
        <v>0.04</v>
      </c>
      <c r="N6" s="8"/>
      <c r="O6" s="17">
        <f>8.55/1.13</f>
        <v>7.56637168141593</v>
      </c>
      <c r="P6" s="17"/>
      <c r="Q6" s="20">
        <f>M6*O6</f>
        <v>0.302654867256637</v>
      </c>
      <c r="R6" s="8" t="s">
        <v>97</v>
      </c>
      <c r="S6" s="21" t="s">
        <v>98</v>
      </c>
      <c r="T6" s="22"/>
      <c r="U6" s="22"/>
      <c r="V6" s="23"/>
      <c r="W6" s="8">
        <f>20*0.01</f>
        <v>0.2</v>
      </c>
      <c r="X6" s="8"/>
      <c r="Y6" s="8"/>
    </row>
    <row r="7" ht="25" customHeight="1" spans="1:25">
      <c r="A7" s="8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>
        <f>SUM(M3:M6)</f>
        <v>0.1972</v>
      </c>
      <c r="N7" s="8"/>
      <c r="O7" s="17" t="s">
        <v>99</v>
      </c>
      <c r="P7" s="17"/>
      <c r="Q7" s="17">
        <f>SUM(Q3:Q6)</f>
        <v>1.55272252743363</v>
      </c>
      <c r="R7" s="21" t="s">
        <v>100</v>
      </c>
      <c r="S7" s="22"/>
      <c r="T7" s="22"/>
      <c r="U7" s="22"/>
      <c r="V7" s="23"/>
      <c r="W7" s="8">
        <f>SUM(W3:W6)</f>
        <v>0.8</v>
      </c>
      <c r="X7" s="8"/>
      <c r="Y7" s="8"/>
    </row>
    <row r="8" spans="1:2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2:25"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>
      <c r="A12" s="11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>
      <c r="A13" s="11"/>
      <c r="B13" s="11"/>
      <c r="C13" s="11"/>
      <c r="D13" s="11"/>
      <c r="E13" s="11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>
      <c r="A14" s="11"/>
      <c r="B14" s="11"/>
      <c r="C14" s="11"/>
      <c r="D14" s="11"/>
      <c r="E14" s="11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>
      <c r="A15" s="11"/>
      <c r="B15" s="11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>
      <c r="A16" s="11"/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11"/>
      <c r="B17" s="11"/>
      <c r="C17" s="11"/>
      <c r="D17" s="11"/>
      <c r="E17" s="11"/>
      <c r="F17" s="1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>
      <c r="A18" s="11"/>
      <c r="B18" s="11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>
      <c r="A19" s="11"/>
      <c r="B19" s="11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>
      <c r="A20" s="11"/>
      <c r="B20" s="11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11"/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>
      <c r="A22" s="11"/>
      <c r="B22" s="11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1"/>
      <c r="B23" s="11"/>
      <c r="C23" s="11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>
      <c r="A24" s="11"/>
      <c r="B24" s="11"/>
      <c r="C24" s="11"/>
      <c r="D24" s="11"/>
      <c r="E24" s="11"/>
      <c r="F24" s="1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</sheetData>
  <mergeCells count="18">
    <mergeCell ref="I1:K1"/>
    <mergeCell ref="L1:N1"/>
    <mergeCell ref="O1:P1"/>
    <mergeCell ref="R1:W1"/>
    <mergeCell ref="S5:V5"/>
    <mergeCell ref="S6:V6"/>
    <mergeCell ref="R7:V7"/>
    <mergeCell ref="A1:A2"/>
    <mergeCell ref="B1:B2"/>
    <mergeCell ref="C1:C2"/>
    <mergeCell ref="D1:D2"/>
    <mergeCell ref="E1:E2"/>
    <mergeCell ref="F1:F2"/>
    <mergeCell ref="G1:G2"/>
    <mergeCell ref="H1:H2"/>
    <mergeCell ref="Q1:Q2"/>
    <mergeCell ref="X1:X2"/>
    <mergeCell ref="Y1:Y2"/>
  </mergeCells>
  <conditionalFormatting sqref="E1: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报价汇总</vt:lpstr>
      <vt:lpstr>SCSO005992</vt:lpstr>
      <vt:lpstr>SCS0006013</vt:lpstr>
      <vt:lpstr>SCSO008066</vt:lpstr>
      <vt:lpstr>SCSO008151</vt:lpstr>
      <vt:lpstr>SCS0008145</vt:lpstr>
      <vt:lpstr>SCS0008203</vt:lpstr>
      <vt:lpstr>SCS0008139</vt:lpstr>
      <vt:lpstr>SCS0008202</vt:lpstr>
      <vt:lpstr>SCS0005790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2025-05-21T08:02:00Z</dcterms:created>
  <dcterms:modified xsi:type="dcterms:W3CDTF">2025-08-12T02:58:16Z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CE8838652A194D6FB5DEAAB509A7FC65_11</vt:lpwstr>
  </property>
  <property fmtid="{D5CDD505-2E9C-101B-9397-08002B2CF9AE}" pid="3" name="KSOProductBuildVer">
    <vt:lpwstr>2052-12.1.0.21915</vt:lpwstr>
  </property>
</Properties>
</file>