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615" activeTab="1"/>
  </bookViews>
  <sheets>
    <sheet name="河北利达" sheetId="7" r:id="rId1"/>
    <sheet name="河北利达 (2)" sheetId="8" r:id="rId2"/>
    <sheet name="利达降本目标-第一版" sheetId="9" state="hidden" r:id="rId3"/>
    <sheet name="利达降本目标-第二版 (2)" sheetId="12" state="hidden" r:id="rId4"/>
    <sheet name="利达降本目标-第三版汇总" sheetId="15" state="hidden" r:id="rId5"/>
    <sheet name="利达降本目标-第三版 (3)" sheetId="13" r:id="rId6"/>
    <sheet name="上下盖板供货额" sheetId="14" r:id="rId7"/>
    <sheet name="Sheet1" sheetId="1" r:id="rId8"/>
    <sheet name="Sheet2" sheetId="2" r:id="rId9"/>
    <sheet name="Sheet2 (3)" sheetId="10" r:id="rId10"/>
    <sheet name="Sheet3" sheetId="3" r:id="rId11"/>
    <sheet name="Sheet4" sheetId="11" r:id="rId12"/>
  </sheets>
  <externalReferences>
    <externalReference r:id="rId13"/>
  </externalReferences>
  <definedNames>
    <definedName name="_xlnm._FilterDatabase" localSheetId="0" hidden="1">河北利达!$A$8:$XDQ$23</definedName>
    <definedName name="_xlnm._FilterDatabase" localSheetId="1" hidden="1">'河北利达 (2)'!$A$8:$XDQ$23</definedName>
    <definedName name="_xlnm.Print_Area" localSheetId="0">河北利达!$A$1:$L$23</definedName>
    <definedName name="_xlnm.Print_Area" localSheetId="1">'河北利达 (2)'!$A$1:$L$23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<sst xmlns="http://schemas.openxmlformats.org/spreadsheetml/2006/main" count="452" uniqueCount="178">
  <si>
    <r>
      <rPr>
        <b/>
        <sz val="18"/>
        <rFont val="楷体_GB2312"/>
        <charset val="134"/>
      </rPr>
      <t>零部件采购价格协议</t>
    </r>
    <r>
      <rPr>
        <b/>
        <sz val="9"/>
        <rFont val="楷体_GB2312"/>
        <charset val="134"/>
      </rPr>
      <t>（</t>
    </r>
    <r>
      <rPr>
        <b/>
        <sz val="9"/>
        <rFont val="微软雅黑"/>
        <charset val="134"/>
      </rPr>
      <t xml:space="preserve">                        </t>
    </r>
    <r>
      <rPr>
        <b/>
        <sz val="9"/>
        <rFont val="楷体_GB2312"/>
        <charset val="134"/>
      </rPr>
      <t>）</t>
    </r>
  </si>
  <si>
    <r>
      <rPr>
        <b/>
        <sz val="12"/>
        <rFont val="楷体_GB2312"/>
        <charset val="134"/>
      </rPr>
      <t xml:space="preserve">                  </t>
    </r>
    <r>
      <rPr>
        <b/>
        <sz val="12"/>
        <rFont val="微软雅黑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charset val="134"/>
        <scheme val="minor"/>
      </rPr>
      <t xml:space="preserve">       协议编号：HBZYXY-2025-WU047-01</t>
    </r>
  </si>
  <si>
    <t>甲方：河北光华荣昌汽车部件有限公司</t>
  </si>
  <si>
    <r>
      <rPr>
        <sz val="12"/>
        <rFont val="楷体_GB2312"/>
        <charset val="134"/>
      </rPr>
      <t>乙方：</t>
    </r>
    <r>
      <rPr>
        <u/>
        <sz val="12"/>
        <rFont val="Microsoft YaHei UI"/>
        <charset val="134"/>
      </rPr>
      <t>河北利达金属制品集团有限公司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</si>
  <si>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</si>
  <si>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</si>
  <si>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</si>
  <si>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</si>
  <si>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</si>
  <si>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</si>
  <si>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</si>
  <si>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（不含摊销费）</t>
  </si>
  <si>
    <r>
      <rPr>
        <b/>
        <sz val="10"/>
        <rFont val="楷体_GB2312"/>
        <charset val="134"/>
      </rPr>
      <t>未税模检</t>
    </r>
    <r>
      <rPr>
        <b/>
        <sz val="10"/>
        <rFont val="Microsoft YaHei UI"/>
        <charset val="134"/>
      </rPr>
      <t>焊</t>
    </r>
    <r>
      <rPr>
        <b/>
        <sz val="10"/>
        <rFont val="楷体_GB2312"/>
        <charset val="134"/>
      </rPr>
      <t>具摊销费</t>
    </r>
  </si>
  <si>
    <t>未税产品价格
（含模摊费）</t>
  </si>
  <si>
    <t>备注</t>
  </si>
  <si>
    <t>2024年</t>
  </si>
  <si>
    <t>2025年</t>
  </si>
  <si>
    <t>模检焊具总价</t>
  </si>
  <si>
    <t>摊销费</t>
  </si>
  <si>
    <t>摊销方式</t>
  </si>
  <si>
    <t>SLT0010539</t>
  </si>
  <si>
    <t>减震器上盖板</t>
  </si>
  <si>
    <t>件</t>
  </si>
  <si>
    <t>1.模检焊具费用共计24.5万，预付30%，剩余70%费用分摊至10万件产品中，自轻卡减震项目供货之日起执行
2.2024年9月因设变新开1付冲孔模具，覆盖冲孔模具，1万元，分摊至1万件产品中，自新状态供货之日起执行
3.2025年6月1日设变，取消1付缺口冲孔模具，增加一个冲孔模具1.41万元，修改一个工序冲孔模具0.3万元，侧冲孔模具更换冲针、脱料板、固定板和刀口镶块0.5万元，共计2.21万元，分摊至10万件产品中，自新状态供货之日起执行</t>
  </si>
  <si>
    <t>SLT0011732</t>
  </si>
  <si>
    <t>减震器下底板（欧马可）</t>
  </si>
  <si>
    <t>1.模检焊具费用预付30%，剩余70%费用分摊至10万件产品中，自轻卡减震项目供货之日起执行
2.此模具是在SLT0010545基础上设变，所有使用此件或SLT0010545的分总成或总成，累计供货至10万件后减掉SLT0010545的模摊费
3.修模费用15500元，荣昌已支付</t>
  </si>
  <si>
    <t>不再使用</t>
  </si>
  <si>
    <t>SLT0010545</t>
  </si>
  <si>
    <t>减震器下底板（轻卡减震）</t>
  </si>
  <si>
    <t>1.模检焊具费用预付30%，剩余70%费用分摊至10万件产品中，自轻卡减震项目供货之日起执行
2.所有使用此件的分总成或总成，均需在此件或此件设变状态分摊10万件后减掉模摊费
3.2024年9月因设变新开1付冲孔模具，覆盖冲孔模具，1万元，分摊至1万件产品中，自新状态供货之日起执行
3.2025年6月1日设变，取消1付冲孔模具，修改异形缺口冲孔模具0.5万元，增加一个冲孔模具1.26万元，共计1.76万元，分摊至10万件产品中，自新状态供货之日起执行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</si>
  <si>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</si>
  <si>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</t>
    </r>
    <r>
      <rPr>
        <u/>
        <sz val="12"/>
        <rFont val="微软雅黑"/>
        <charset val="134"/>
      </rPr>
      <t>5</t>
    </r>
    <r>
      <rPr>
        <u/>
        <sz val="12"/>
        <rFont val="楷体_GB2312"/>
        <charset val="134"/>
      </rPr>
      <t xml:space="preserve">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</t>
    </r>
    <r>
      <rPr>
        <u/>
        <sz val="12"/>
        <rFont val="宋体"/>
        <charset val="134"/>
      </rPr>
      <t>1</t>
    </r>
    <r>
      <rPr>
        <u/>
        <sz val="12"/>
        <rFont val="楷体_GB2312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</t>
    </r>
    <r>
      <rPr>
        <u/>
        <sz val="12"/>
        <rFont val="宋体"/>
        <charset val="134"/>
      </rPr>
      <t>5</t>
    </r>
    <r>
      <rPr>
        <u/>
        <sz val="12"/>
        <rFont val="楷体_GB2312"/>
        <charset val="134"/>
      </rPr>
      <t xml:space="preserve">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</si>
  <si>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</si>
  <si>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</si>
  <si>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</si>
  <si>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2"/>
        <rFont val="宋体"/>
        <charset val="134"/>
        <scheme val="minor"/>
      </rPr>
      <t>七</t>
    </r>
    <r>
      <rPr>
        <sz val="12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</si>
  <si>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</si>
  <si>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</si>
  <si>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</si>
  <si>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>签订日期：</t>
  </si>
  <si>
    <t>甲方：河北光华荣昌汽车部件有限公司黄骅分公司</t>
  </si>
  <si>
    <t>河北利达降价说明</t>
  </si>
  <si>
    <t>分类</t>
  </si>
  <si>
    <t>说明</t>
  </si>
  <si>
    <t>1月</t>
  </si>
  <si>
    <t>2月</t>
  </si>
  <si>
    <t>3月</t>
  </si>
  <si>
    <t>4月</t>
  </si>
  <si>
    <t>5月</t>
  </si>
  <si>
    <t>6月</t>
  </si>
  <si>
    <t>1-6月</t>
  </si>
  <si>
    <t>7月</t>
  </si>
  <si>
    <t>8月</t>
  </si>
  <si>
    <t>9月</t>
  </si>
  <si>
    <t>10月</t>
  </si>
  <si>
    <t>11月</t>
  </si>
  <si>
    <t>12月</t>
  </si>
  <si>
    <t>7-12月</t>
  </si>
  <si>
    <t>年度合计</t>
  </si>
  <si>
    <t>反推数据1（产品1月降价）</t>
  </si>
  <si>
    <t>反推数据2（产品7月降价）</t>
  </si>
  <si>
    <t>降价目标</t>
  </si>
  <si>
    <t>材料降价（包含已降36万）</t>
  </si>
  <si>
    <t>产品降价（从1月份开始）</t>
  </si>
  <si>
    <t>利息（按3.5%）</t>
  </si>
  <si>
    <t>合计</t>
  </si>
  <si>
    <t>25年价格</t>
  </si>
  <si>
    <t>24年价格</t>
  </si>
  <si>
    <t>产品价格</t>
  </si>
  <si>
    <t>每月挂账</t>
  </si>
  <si>
    <t>7月执行产品价格</t>
  </si>
  <si>
    <t>6.7利息</t>
  </si>
  <si>
    <t>36万材料</t>
  </si>
  <si>
    <t>4月之前账款按照市场价销售材料费</t>
  </si>
  <si>
    <t>按目标价应降价</t>
  </si>
  <si>
    <t>产品降价（从7月份开始）</t>
  </si>
  <si>
    <t>比例</t>
  </si>
  <si>
    <t>我司目标降价23%</t>
  </si>
  <si>
    <t>通过材料降价</t>
  </si>
  <si>
    <t>按照供给利达高10%计算</t>
  </si>
  <si>
    <t>1.上半年外卖利达材料差额36万，按利达反馈，相当于降了36万，根据1-6月供货额，相当于上半年降了14%
2.下半年材料降价应结合利达产品降价的执行期计算</t>
  </si>
  <si>
    <t>利息（按6.7%）</t>
  </si>
  <si>
    <t>1.如果利达从1月开始产品降价,则外卖利达材料应加7.09%,即4498元（含税）
2.如果利达从7月开始产品降价，则外卖利达材料应加10.56%，即4643.63元（含税）</t>
  </si>
  <si>
    <t>1.我司实际采购价为4110元，按照4331元外卖利达，相当于给利达加了5%
2.按照4477元外卖利达，相当于给利达加了8.93%</t>
  </si>
  <si>
    <t>产品应降价</t>
  </si>
  <si>
    <t>只轻卡上/下板降价了10%，其余产品未降价，查1-5月份，利达盖板供货额153万，总挂账202万,轻卡盖板占利达销售额的76%</t>
  </si>
  <si>
    <t>1.利达通过产品直降，如从1月份开始降价，则产品降了7.6%
2.如果是从7月开始降，则预计降价22.8万，相当于降了4.13%</t>
  </si>
  <si>
    <t>年化率</t>
  </si>
  <si>
    <t>1.利达提出需核算利息，给出的年化率为7.3%
2.我司财务反馈：a.需要看利达的应收结构，我司费用占比。b.应按照超期金额阶梯天数计算利息，按此计算应付利息（年化利息3.5%计算，利息应为9.89万）。</t>
  </si>
  <si>
    <t>目前材料费</t>
  </si>
  <si>
    <t>产品定价时材料费</t>
  </si>
  <si>
    <t>差异率</t>
  </si>
  <si>
    <t>SPHC/DC04</t>
  </si>
  <si>
    <t>卖给利达</t>
  </si>
  <si>
    <t>查1-5月份，利达盖板供货额136万，总供货额202万</t>
  </si>
  <si>
    <t>利达反馈利息：</t>
  </si>
  <si>
    <t>1.如果利达从1月开始产品降价,则外卖利达材料应加-1.6%,即4498元（含税）
2.如果利达从7月开始产品降价，则外卖利达材料应加3.60%，即4351元（含税）
3.上述材料价是基于4200元基础上，如果材料涨价，应在涨价基础上再加对应点数。如目前材料4600元，利达从7月开始产品降价，则外卖利达材料应加6.86%，即4765.60元（含税）</t>
  </si>
  <si>
    <t>只轻卡上/下板降价了15%，其余产品未降价，查1-5月份，利达盖板供货额153万，总挂账202万,轻卡盖板占利达销售额的76%</t>
  </si>
  <si>
    <t>1.利达提出需核算利息，给出的年化率为6.7%
2.我司财务反馈：a.需要看利达的应收结构，我司费用占比。b.应按照超期金额阶梯天数计算利息，按此计算应付利息（年化利息3.5%计算，利息应为9.89万）。</t>
  </si>
  <si>
    <t>7月-12月</t>
  </si>
  <si>
    <t>目标</t>
  </si>
  <si>
    <t>实际产品降价</t>
  </si>
  <si>
    <t>财务费用</t>
  </si>
  <si>
    <t>上半年利达通过材料降价</t>
  </si>
  <si>
    <t>剩余应降金额</t>
  </si>
  <si>
    <t>每月通过材料应降价（8月-12月）</t>
  </si>
  <si>
    <t>材料含税单价（元/吨）</t>
  </si>
  <si>
    <t>给利达材料总额</t>
  </si>
  <si>
    <t>材料数量（吨/月）</t>
  </si>
  <si>
    <t>每月每吨应加差额</t>
  </si>
  <si>
    <t>应加占比</t>
  </si>
  <si>
    <t>上下盖板供货额</t>
  </si>
  <si>
    <t>上下盖板实际降价金额</t>
  </si>
  <si>
    <t>降价比例</t>
  </si>
  <si>
    <t>财务费-按6.7%利率</t>
  </si>
  <si>
    <t>产品</t>
  </si>
  <si>
    <t>材料</t>
  </si>
  <si>
    <t>财务费</t>
  </si>
  <si>
    <t>河北利达降价目标</t>
  </si>
  <si>
    <t>完成率</t>
  </si>
  <si>
    <t>上下盖板降价比例</t>
  </si>
  <si>
    <t>上下盖板有26元降至22元/件</t>
  </si>
  <si>
    <t>7月开始降价-上下盖板</t>
  </si>
  <si>
    <t>距离降价目标差额</t>
  </si>
  <si>
    <t>下半年通过材料应降价</t>
  </si>
  <si>
    <t>推算外卖利达材料费</t>
  </si>
  <si>
    <t>材质</t>
  </si>
  <si>
    <t>材料数量（吨）</t>
  </si>
  <si>
    <t>每吨应加差额</t>
  </si>
  <si>
    <t>占比</t>
  </si>
  <si>
    <t>河北利达</t>
  </si>
  <si>
    <t>物料号</t>
  </si>
  <si>
    <t>名称</t>
  </si>
  <si>
    <t>项目</t>
  </si>
  <si>
    <t>1-6月供货数量</t>
  </si>
  <si>
    <t>产品未税单价-不含模摊</t>
  </si>
  <si>
    <t>含税单价-含模摊</t>
  </si>
  <si>
    <t>含税总价</t>
  </si>
  <si>
    <t>未税目标价</t>
  </si>
  <si>
    <t>超出比</t>
  </si>
  <si>
    <t>协商后降价</t>
  </si>
  <si>
    <t>SLT0011480</t>
  </si>
  <si>
    <t>轻卡</t>
  </si>
  <si>
    <t>价格不降</t>
  </si>
  <si>
    <t>SLT0011375</t>
  </si>
  <si>
    <t>SLT0011373</t>
  </si>
  <si>
    <t>SLT0011318</t>
  </si>
  <si>
    <t>SLT0011266</t>
  </si>
  <si>
    <t>比原价降了17%,但是从7月开始</t>
  </si>
  <si>
    <t>轻卡/铁马</t>
  </si>
  <si>
    <t>SLT0011617</t>
  </si>
  <si>
    <t>减震器下底板-铁马</t>
  </si>
  <si>
    <t>铁马</t>
  </si>
  <si>
    <t>SHT0011031</t>
  </si>
  <si>
    <t>H6</t>
  </si>
  <si>
    <t>SLT0011616</t>
  </si>
  <si>
    <t>下底板焊接分总成</t>
  </si>
  <si>
    <t>SLT0011620</t>
  </si>
  <si>
    <t>减震器上盖板分总成</t>
  </si>
  <si>
    <t>其中上下板占比</t>
  </si>
  <si>
    <t>规格型号</t>
  </si>
  <si>
    <t>数量</t>
  </si>
  <si>
    <t>未税单价</t>
  </si>
  <si>
    <t>税额</t>
  </si>
  <si>
    <t>上盖板分总成焊胎</t>
  </si>
  <si>
    <t>定制</t>
  </si>
  <si>
    <t>下底板分总成焊胎</t>
  </si>
  <si>
    <t>合计：</t>
  </si>
  <si>
    <t>大写：壹万壹仟叁佰圆整</t>
  </si>
  <si>
    <t>降价金额</t>
  </si>
  <si>
    <t>推进方案</t>
  </si>
  <si>
    <t>反推应外卖利达材料价格</t>
  </si>
  <si>
    <t>目前利达反馈材料费</t>
  </si>
  <si>
    <t>固定阻尼开发</t>
  </si>
  <si>
    <t>精冲件资源整合</t>
  </si>
  <si>
    <t>差异</t>
  </si>
  <si>
    <t>利息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</si>
</sst>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  <numFmt numFmtId="178" formatCode="0_ "/>
    <numFmt numFmtId="179" formatCode="0.00_);[Red]\(0.00\)"/>
    <numFmt numFmtId="180" formatCode="0.0000_);[Red]\(0.0000\)"/>
  </numFmts>
  <fonts count="5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8"/>
      <color rgb="FF000000"/>
      <name val="Microsoft Sans Serif"/>
      <charset val="134"/>
    </font>
    <font>
      <sz val="8"/>
      <color rgb="FF0000FF"/>
      <name val="Microsoft Sans Serif"/>
      <charset val="134"/>
    </font>
    <font>
      <b/>
      <sz val="16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楷体_GB2312"/>
      <charset val="134"/>
    </font>
    <font>
      <b/>
      <sz val="11"/>
      <name val="宋体"/>
      <charset val="134"/>
      <scheme val="minor"/>
    </font>
    <font>
      <sz val="12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name val="微软雅黑"/>
      <charset val="134"/>
    </font>
    <font>
      <b/>
      <sz val="10"/>
      <name val="楷体_GB2312"/>
      <charset val="134"/>
    </font>
    <font>
      <sz val="10"/>
      <name val="宋体"/>
      <charset val="134"/>
      <scheme val="minor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0"/>
      <name val="MS Sans Serif"/>
      <charset val="134"/>
    </font>
    <font>
      <b/>
      <sz val="10"/>
      <name val="Microsoft YaHei UI"/>
      <charset val="134"/>
    </font>
    <font>
      <u/>
      <sz val="12"/>
      <name val="楷体_GB2312"/>
      <charset val="134"/>
    </font>
    <font>
      <u/>
      <sz val="12"/>
      <name val="微软雅黑"/>
      <charset val="134"/>
    </font>
    <font>
      <u/>
      <sz val="12"/>
      <name val="宋体"/>
      <charset val="134"/>
    </font>
    <font>
      <u/>
      <sz val="12"/>
      <name val="Microsoft YaHei UI"/>
      <charset val="134"/>
    </font>
    <font>
      <b/>
      <sz val="9"/>
      <name val="楷体_GB2312"/>
      <charset val="134"/>
    </font>
    <font>
      <b/>
      <sz val="9"/>
      <name val="微软雅黑"/>
      <charset val="134"/>
    </font>
    <font>
      <b/>
      <sz val="12"/>
      <name val="微软雅黑"/>
      <charset val="134"/>
    </font>
    <font>
      <b/>
      <sz val="12"/>
      <name val="宋体"/>
      <charset val="134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EBEBEB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7" borderId="13" applyNumberFormat="0" applyAlignment="0" applyProtection="0">
      <alignment vertical="center"/>
    </xf>
    <xf numFmtId="0" fontId="30" fillId="18" borderId="14" applyNumberFormat="0" applyAlignment="0" applyProtection="0">
      <alignment vertical="center"/>
    </xf>
    <xf numFmtId="0" fontId="31" fillId="18" borderId="13" applyNumberFormat="0" applyAlignment="0" applyProtection="0">
      <alignment vertical="center"/>
    </xf>
    <xf numFmtId="0" fontId="32" fillId="19" borderId="15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/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Protection="0">
      <alignment vertical="center"/>
    </xf>
    <xf numFmtId="0" fontId="0" fillId="0" borderId="0">
      <alignment vertical="center"/>
    </xf>
    <xf numFmtId="0" fontId="7" fillId="0" borderId="0" applyProtection="0">
      <alignment vertical="center"/>
    </xf>
    <xf numFmtId="0" fontId="7" fillId="0" borderId="0"/>
    <xf numFmtId="0" fontId="41" fillId="0" borderId="0"/>
    <xf numFmtId="0" fontId="0" fillId="0" borderId="0">
      <alignment vertical="center"/>
    </xf>
    <xf numFmtId="0" fontId="0" fillId="0" borderId="0"/>
    <xf numFmtId="176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2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3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3" fontId="2" fillId="0" borderId="1" xfId="1" applyNumberFormat="1" applyFont="1" applyFill="1" applyBorder="1" applyAlignment="1">
      <alignment horizontal="center" vertical="center"/>
    </xf>
    <xf numFmtId="43" fontId="3" fillId="0" borderId="1" xfId="1" applyNumberFormat="1" applyFont="1" applyFill="1" applyBorder="1" applyAlignment="1">
      <alignment horizontal="center" vertical="center"/>
    </xf>
    <xf numFmtId="43" fontId="2" fillId="0" borderId="1" xfId="1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9" fontId="0" fillId="0" borderId="0" xfId="3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9" fontId="0" fillId="2" borderId="1" xfId="3" applyFill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0" fillId="0" borderId="0" xfId="3" applyNumberFormat="1">
      <alignment vertical="center"/>
    </xf>
    <xf numFmtId="0" fontId="0" fillId="0" borderId="1" xfId="0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9" fontId="0" fillId="2" borderId="1" xfId="3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0" fontId="0" fillId="2" borderId="1" xfId="3" applyNumberFormat="1" applyFill="1" applyBorder="1" applyAlignment="1">
      <alignment horizontal="center" vertical="center"/>
    </xf>
    <xf numFmtId="9" fontId="0" fillId="3" borderId="1" xfId="3" applyFill="1" applyBorder="1" applyAlignment="1">
      <alignment horizontal="center" vertical="center"/>
    </xf>
    <xf numFmtId="177" fontId="0" fillId="0" borderId="1" xfId="3" applyNumberForma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43" fontId="2" fillId="5" borderId="0" xfId="1" applyNumberFormat="1" applyFont="1" applyFill="1" applyBorder="1">
      <alignment vertical="center"/>
    </xf>
    <xf numFmtId="43" fontId="2" fillId="0" borderId="0" xfId="1" applyNumberFormat="1" applyFont="1" applyBorder="1" applyAlignment="1"/>
    <xf numFmtId="43" fontId="3" fillId="5" borderId="0" xfId="1" applyNumberFormat="1" applyFont="1" applyFill="1" applyBorder="1" applyAlignment="1"/>
    <xf numFmtId="2" fontId="0" fillId="0" borderId="1" xfId="0" applyNumberForma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/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center"/>
    </xf>
    <xf numFmtId="177" fontId="0" fillId="0" borderId="1" xfId="0" applyNumberFormat="1" applyFont="1" applyFill="1" applyBorder="1" applyAlignment="1"/>
    <xf numFmtId="0" fontId="5" fillId="6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/>
    <xf numFmtId="0" fontId="0" fillId="2" borderId="1" xfId="0" applyFont="1" applyFill="1" applyBorder="1" applyAlignment="1">
      <alignment horizontal="center"/>
    </xf>
    <xf numFmtId="177" fontId="0" fillId="2" borderId="1" xfId="0" applyNumberFormat="1" applyFont="1" applyFill="1" applyBorder="1" applyAlignment="1"/>
    <xf numFmtId="177" fontId="0" fillId="2" borderId="1" xfId="0" applyNumberFormat="1" applyFont="1" applyFill="1" applyBorder="1" applyAlignment="1">
      <alignment horizontal="right"/>
    </xf>
    <xf numFmtId="9" fontId="0" fillId="0" borderId="0" xfId="3" applyAlignment="1"/>
    <xf numFmtId="9" fontId="0" fillId="0" borderId="1" xfId="3" applyFont="1" applyFill="1" applyBorder="1" applyAlignment="1">
      <alignment horizontal="center"/>
    </xf>
    <xf numFmtId="0" fontId="0" fillId="0" borderId="1" xfId="0" applyFont="1" applyFill="1" applyBorder="1" applyAlignment="1">
      <alignment horizontal="right"/>
    </xf>
    <xf numFmtId="9" fontId="0" fillId="0" borderId="1" xfId="3" applyFont="1" applyFill="1" applyBorder="1" applyAlignment="1">
      <alignment horizontal="left"/>
    </xf>
    <xf numFmtId="9" fontId="0" fillId="2" borderId="1" xfId="3" applyFont="1" applyFill="1" applyBorder="1" applyAlignment="1">
      <alignment horizontal="center"/>
    </xf>
    <xf numFmtId="0" fontId="0" fillId="2" borderId="1" xfId="0" applyFont="1" applyFill="1" applyBorder="1" applyAlignment="1">
      <alignment horizontal="right"/>
    </xf>
    <xf numFmtId="9" fontId="0" fillId="2" borderId="1" xfId="3" applyFont="1" applyFill="1" applyBorder="1" applyAlignment="1">
      <alignment horizontal="left"/>
    </xf>
    <xf numFmtId="9" fontId="0" fillId="0" borderId="0" xfId="3" applyFont="1" applyFill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0" fontId="0" fillId="7" borderId="0" xfId="0" applyFill="1">
      <alignment vertical="center"/>
    </xf>
    <xf numFmtId="0" fontId="0" fillId="0" borderId="0" xfId="0" applyFill="1">
      <alignment vertical="center"/>
    </xf>
    <xf numFmtId="0" fontId="6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2" borderId="1" xfId="3" applyNumberFormat="1" applyFill="1" applyBorder="1" applyAlignment="1">
      <alignment horizontal="center" vertical="center"/>
    </xf>
    <xf numFmtId="177" fontId="0" fillId="2" borderId="1" xfId="0" applyNumberFormat="1" applyFill="1" applyBorder="1">
      <alignment vertical="center"/>
    </xf>
    <xf numFmtId="0" fontId="0" fillId="2" borderId="1" xfId="0" applyFill="1" applyBorder="1">
      <alignment vertical="center"/>
    </xf>
    <xf numFmtId="0" fontId="0" fillId="2" borderId="1" xfId="3" applyNumberFormat="1" applyFill="1" applyBorder="1">
      <alignment vertical="center"/>
    </xf>
    <xf numFmtId="9" fontId="0" fillId="2" borderId="1" xfId="3" applyFill="1" applyBorder="1">
      <alignment vertical="center"/>
    </xf>
    <xf numFmtId="0" fontId="1" fillId="0" borderId="7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77" fontId="0" fillId="7" borderId="1" xfId="0" applyNumberFormat="1" applyFill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9" fontId="0" fillId="0" borderId="0" xfId="0" applyNumberFormat="1" applyFill="1" applyBorder="1" applyAlignment="1">
      <alignment horizontal="center" vertical="center"/>
    </xf>
    <xf numFmtId="10" fontId="0" fillId="0" borderId="0" xfId="3" applyNumberFormat="1" applyBorder="1" applyAlignment="1">
      <alignment horizontal="center" vertical="center" wrapText="1"/>
    </xf>
    <xf numFmtId="9" fontId="0" fillId="0" borderId="0" xfId="3" applyBorder="1" applyAlignment="1">
      <alignment horizontal="center" vertical="center"/>
    </xf>
    <xf numFmtId="177" fontId="0" fillId="8" borderId="1" xfId="0" applyNumberFormat="1" applyFill="1" applyBorder="1" applyAlignment="1">
      <alignment horizontal="center" vertical="center"/>
    </xf>
    <xf numFmtId="9" fontId="0" fillId="7" borderId="1" xfId="3" applyFill="1" applyBorder="1" applyAlignment="1">
      <alignment horizontal="center" vertical="center"/>
    </xf>
    <xf numFmtId="10" fontId="0" fillId="0" borderId="0" xfId="3" applyNumberFormat="1" applyAlignment="1">
      <alignment horizontal="center" vertical="center"/>
    </xf>
    <xf numFmtId="0" fontId="0" fillId="0" borderId="1" xfId="0" applyBorder="1" applyAlignment="1">
      <alignment vertical="center" wrapText="1"/>
    </xf>
    <xf numFmtId="9" fontId="0" fillId="0" borderId="0" xfId="3" applyAlignment="1">
      <alignment horizontal="center" vertical="center"/>
    </xf>
    <xf numFmtId="9" fontId="0" fillId="0" borderId="0" xfId="3" applyFill="1" applyBorder="1" applyAlignment="1">
      <alignment horizontal="center" vertical="center"/>
    </xf>
    <xf numFmtId="9" fontId="0" fillId="0" borderId="0" xfId="3" applyBorder="1" applyAlignment="1">
      <alignment horizontal="center" vertical="center" wrapText="1"/>
    </xf>
    <xf numFmtId="10" fontId="0" fillId="0" borderId="0" xfId="3" applyNumberFormat="1" applyBorder="1" applyAlignment="1">
      <alignment horizontal="center" vertical="center"/>
    </xf>
    <xf numFmtId="9" fontId="0" fillId="7" borderId="1" xfId="3" applyNumberFormat="1" applyFill="1" applyBorder="1" applyAlignment="1">
      <alignment horizontal="center" vertical="center"/>
    </xf>
    <xf numFmtId="177" fontId="0" fillId="8" borderId="1" xfId="3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9" fontId="1" fillId="0" borderId="4" xfId="3" applyFont="1" applyBorder="1" applyAlignment="1">
      <alignment horizontal="center" vertical="center"/>
    </xf>
    <xf numFmtId="10" fontId="0" fillId="0" borderId="0" xfId="3" applyNumberFormat="1">
      <alignment vertical="center"/>
    </xf>
    <xf numFmtId="9" fontId="0" fillId="0" borderId="0" xfId="0" applyNumberFormat="1" applyAlignment="1">
      <alignment horizontal="center" vertical="center"/>
    </xf>
    <xf numFmtId="9" fontId="7" fillId="0" borderId="0" xfId="3" applyFont="1" applyFill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9" fontId="2" fillId="0" borderId="1" xfId="1" applyNumberFormat="1" applyFont="1" applyFill="1" applyBorder="1" applyAlignment="1">
      <alignment horizontal="center" vertical="center"/>
    </xf>
    <xf numFmtId="179" fontId="3" fillId="0" borderId="1" xfId="1" applyNumberFormat="1" applyFont="1" applyFill="1" applyBorder="1" applyAlignment="1">
      <alignment horizontal="center" vertical="center"/>
    </xf>
    <xf numFmtId="179" fontId="2" fillId="0" borderId="1" xfId="1" applyNumberFormat="1" applyFont="1" applyBorder="1" applyAlignment="1">
      <alignment horizontal="center" vertical="center"/>
    </xf>
    <xf numFmtId="179" fontId="0" fillId="2" borderId="1" xfId="0" applyNumberFormat="1" applyFill="1" applyBorder="1" applyAlignment="1">
      <alignment horizontal="center" vertical="center"/>
    </xf>
    <xf numFmtId="9" fontId="0" fillId="4" borderId="1" xfId="3" applyFill="1" applyBorder="1" applyAlignment="1">
      <alignment horizontal="center" vertical="center"/>
    </xf>
    <xf numFmtId="9" fontId="0" fillId="9" borderId="0" xfId="0" applyNumberFormat="1" applyFill="1" applyAlignment="1">
      <alignment horizontal="center" vertical="center"/>
    </xf>
    <xf numFmtId="0" fontId="0" fillId="10" borderId="1" xfId="0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10" borderId="1" xfId="0" applyFill="1" applyBorder="1">
      <alignment vertical="center"/>
    </xf>
    <xf numFmtId="0" fontId="0" fillId="0" borderId="3" xfId="0" applyBorder="1" applyAlignment="1">
      <alignment horizontal="center" vertical="center"/>
    </xf>
    <xf numFmtId="178" fontId="0" fillId="10" borderId="2" xfId="0" applyNumberFormat="1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178" fontId="0" fillId="10" borderId="3" xfId="0" applyNumberFormat="1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8" fontId="0" fillId="10" borderId="4" xfId="0" applyNumberFormat="1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178" fontId="0" fillId="2" borderId="2" xfId="0" applyNumberFormat="1" applyFill="1" applyBorder="1" applyAlignment="1">
      <alignment horizontal="center" vertical="center"/>
    </xf>
    <xf numFmtId="9" fontId="0" fillId="10" borderId="2" xfId="3" applyFill="1" applyBorder="1" applyAlignment="1">
      <alignment horizontal="center" vertical="center"/>
    </xf>
    <xf numFmtId="178" fontId="0" fillId="2" borderId="3" xfId="0" applyNumberFormat="1" applyFill="1" applyBorder="1" applyAlignment="1">
      <alignment horizontal="center" vertical="center"/>
    </xf>
    <xf numFmtId="9" fontId="0" fillId="10" borderId="3" xfId="3" applyFill="1" applyBorder="1" applyAlignment="1">
      <alignment horizontal="center" vertical="center"/>
    </xf>
    <xf numFmtId="178" fontId="0" fillId="2" borderId="4" xfId="0" applyNumberFormat="1" applyFill="1" applyBorder="1" applyAlignment="1">
      <alignment horizontal="center" vertical="center"/>
    </xf>
    <xf numFmtId="9" fontId="0" fillId="10" borderId="4" xfId="3" applyFill="1" applyBorder="1" applyAlignment="1">
      <alignment horizontal="center" vertical="center"/>
    </xf>
    <xf numFmtId="9" fontId="0" fillId="0" borderId="0" xfId="0" applyNumberFormat="1">
      <alignment vertical="center"/>
    </xf>
    <xf numFmtId="0" fontId="1" fillId="11" borderId="1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0" fillId="4" borderId="1" xfId="0" applyNumberFormat="1" applyFill="1" applyBorder="1" applyAlignment="1">
      <alignment horizontal="center" vertical="center"/>
    </xf>
    <xf numFmtId="9" fontId="0" fillId="11" borderId="1" xfId="3" applyFill="1" applyBorder="1" applyAlignment="1">
      <alignment horizontal="center" vertical="center"/>
    </xf>
    <xf numFmtId="9" fontId="0" fillId="12" borderId="1" xfId="3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left" vertical="center" wrapText="1"/>
    </xf>
    <xf numFmtId="10" fontId="0" fillId="12" borderId="1" xfId="3" applyNumberFormat="1" applyFill="1" applyBorder="1" applyAlignment="1">
      <alignment horizontal="center" vertical="center"/>
    </xf>
    <xf numFmtId="0" fontId="0" fillId="4" borderId="1" xfId="0" applyFill="1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9" fontId="0" fillId="0" borderId="0" xfId="3" applyAlignment="1">
      <alignment horizontal="left" vertical="center" wrapText="1"/>
    </xf>
    <xf numFmtId="9" fontId="0" fillId="0" borderId="1" xfId="3" applyNumberFormat="1" applyBorder="1" applyAlignment="1">
      <alignment horizontal="center" vertical="center"/>
    </xf>
    <xf numFmtId="177" fontId="0" fillId="11" borderId="1" xfId="3" applyNumberForma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10" fontId="0" fillId="0" borderId="1" xfId="3" applyNumberFormat="1" applyBorder="1" applyAlignment="1">
      <alignment horizontal="center" vertical="center" wrapText="1"/>
    </xf>
    <xf numFmtId="10" fontId="0" fillId="0" borderId="1" xfId="3" applyNumberFormat="1" applyBorder="1" applyAlignment="1">
      <alignment horizontal="center" vertical="center"/>
    </xf>
    <xf numFmtId="9" fontId="0" fillId="0" borderId="1" xfId="3" applyBorder="1" applyAlignment="1">
      <alignment horizontal="center" vertical="center" wrapText="1"/>
    </xf>
    <xf numFmtId="0" fontId="8" fillId="0" borderId="0" xfId="52" applyFont="1" applyAlignment="1">
      <alignment horizontal="center" vertical="center"/>
    </xf>
    <xf numFmtId="0" fontId="0" fillId="0" borderId="0" xfId="52">
      <alignment vertical="center"/>
    </xf>
    <xf numFmtId="0" fontId="8" fillId="0" borderId="0" xfId="52" applyFont="1">
      <alignment vertical="center"/>
    </xf>
    <xf numFmtId="0" fontId="8" fillId="13" borderId="0" xfId="52" applyFont="1" applyFill="1" applyAlignment="1">
      <alignment horizontal="center" vertical="center"/>
    </xf>
    <xf numFmtId="49" fontId="9" fillId="13" borderId="0" xfId="52" applyNumberFormat="1" applyFont="1" applyFill="1" applyAlignment="1">
      <alignment horizontal="center" vertical="center"/>
    </xf>
    <xf numFmtId="0" fontId="8" fillId="13" borderId="0" xfId="52" applyFont="1" applyFill="1" applyAlignment="1">
      <alignment horizontal="center" vertical="center" wrapText="1"/>
    </xf>
    <xf numFmtId="0" fontId="10" fillId="13" borderId="0" xfId="52" applyFont="1" applyFill="1" applyAlignment="1">
      <alignment horizontal="center" vertical="center"/>
    </xf>
    <xf numFmtId="180" fontId="8" fillId="13" borderId="0" xfId="52" applyNumberFormat="1" applyFont="1" applyFill="1" applyAlignment="1">
      <alignment horizontal="center" vertical="center"/>
    </xf>
    <xf numFmtId="0" fontId="8" fillId="13" borderId="0" xfId="52" applyFont="1" applyFill="1" applyAlignment="1">
      <alignment horizontal="center" vertical="center" shrinkToFit="1"/>
    </xf>
    <xf numFmtId="0" fontId="11" fillId="13" borderId="0" xfId="52" applyFont="1" applyFill="1" applyAlignment="1">
      <alignment horizontal="center" vertical="center"/>
    </xf>
    <xf numFmtId="0" fontId="12" fillId="13" borderId="0" xfId="52" applyFont="1" applyFill="1" applyAlignment="1">
      <alignment horizontal="center" vertical="center"/>
    </xf>
    <xf numFmtId="0" fontId="13" fillId="13" borderId="0" xfId="52" applyFont="1" applyFill="1" applyAlignment="1">
      <alignment horizontal="left" vertical="center"/>
    </xf>
    <xf numFmtId="0" fontId="13" fillId="13" borderId="0" xfId="52" applyFont="1" applyFill="1" applyAlignment="1">
      <alignment horizontal="left" vertical="center" wrapText="1"/>
    </xf>
    <xf numFmtId="0" fontId="13" fillId="13" borderId="0" xfId="52" applyFont="1" applyFill="1" applyAlignment="1">
      <alignment horizontal="left" vertical="center" shrinkToFit="1"/>
    </xf>
    <xf numFmtId="0" fontId="14" fillId="13" borderId="1" xfId="52" applyFont="1" applyFill="1" applyBorder="1" applyAlignment="1">
      <alignment horizontal="center" vertical="center" wrapText="1"/>
    </xf>
    <xf numFmtId="49" fontId="15" fillId="13" borderId="1" xfId="52" applyNumberFormat="1" applyFont="1" applyFill="1" applyBorder="1" applyAlignment="1">
      <alignment horizontal="center" vertical="center" wrapText="1"/>
    </xf>
    <xf numFmtId="0" fontId="15" fillId="13" borderId="1" xfId="52" applyFont="1" applyFill="1" applyBorder="1" applyAlignment="1">
      <alignment horizontal="center" vertical="center" wrapText="1"/>
    </xf>
    <xf numFmtId="0" fontId="16" fillId="13" borderId="1" xfId="52" applyFont="1" applyFill="1" applyBorder="1" applyAlignment="1">
      <alignment horizontal="center" vertical="center" wrapText="1"/>
    </xf>
    <xf numFmtId="180" fontId="17" fillId="0" borderId="5" xfId="59" applyNumberFormat="1" applyFont="1" applyBorder="1" applyAlignment="1">
      <alignment horizontal="center" vertical="center" wrapText="1"/>
    </xf>
    <xf numFmtId="0" fontId="18" fillId="14" borderId="1" xfId="62" applyFont="1" applyFill="1" applyBorder="1" applyAlignment="1">
      <alignment horizontal="center" vertical="center" wrapText="1"/>
    </xf>
    <xf numFmtId="180" fontId="17" fillId="0" borderId="1" xfId="59" applyNumberFormat="1" applyFont="1" applyBorder="1" applyAlignment="1">
      <alignment horizontal="center" vertical="center" wrapText="1"/>
    </xf>
    <xf numFmtId="179" fontId="19" fillId="14" borderId="1" xfId="62" applyNumberFormat="1" applyFont="1" applyFill="1" applyBorder="1" applyAlignment="1">
      <alignment horizontal="center" vertical="center" wrapText="1"/>
    </xf>
    <xf numFmtId="0" fontId="14" fillId="0" borderId="1" xfId="52" applyFont="1" applyBorder="1" applyAlignment="1">
      <alignment horizontal="center" vertical="center"/>
    </xf>
    <xf numFmtId="0" fontId="2" fillId="0" borderId="1" xfId="52" applyFont="1" applyBorder="1" applyAlignment="1">
      <alignment horizontal="center" vertical="center" wrapText="1"/>
    </xf>
    <xf numFmtId="49" fontId="2" fillId="0" borderId="1" xfId="52" applyNumberFormat="1" applyFont="1" applyBorder="1" applyAlignment="1">
      <alignment horizontal="left" vertical="center" wrapText="1"/>
    </xf>
    <xf numFmtId="0" fontId="14" fillId="0" borderId="1" xfId="52" applyFont="1" applyBorder="1" applyAlignment="1">
      <alignment horizontal="center" vertical="center" wrapText="1"/>
    </xf>
    <xf numFmtId="0" fontId="15" fillId="0" borderId="1" xfId="52" applyFont="1" applyBorder="1" applyAlignment="1">
      <alignment horizontal="center" vertical="center" wrapText="1"/>
    </xf>
    <xf numFmtId="180" fontId="14" fillId="0" borderId="1" xfId="52" applyNumberFormat="1" applyFont="1" applyBorder="1" applyAlignment="1">
      <alignment horizontal="center" vertical="center" wrapText="1"/>
    </xf>
    <xf numFmtId="179" fontId="14" fillId="0" borderId="1" xfId="52" applyNumberFormat="1" applyFont="1" applyBorder="1" applyAlignment="1">
      <alignment horizontal="center" vertical="center" wrapText="1"/>
    </xf>
    <xf numFmtId="179" fontId="14" fillId="0" borderId="2" xfId="52" applyNumberFormat="1" applyFont="1" applyBorder="1" applyAlignment="1">
      <alignment horizontal="center" vertical="center" wrapText="1"/>
    </xf>
    <xf numFmtId="179" fontId="14" fillId="0" borderId="4" xfId="52" applyNumberFormat="1" applyFont="1" applyBorder="1" applyAlignment="1">
      <alignment horizontal="center" vertical="center" wrapText="1"/>
    </xf>
    <xf numFmtId="0" fontId="13" fillId="0" borderId="8" xfId="52" applyFont="1" applyBorder="1" applyAlignment="1">
      <alignment horizontal="left" vertical="center" wrapText="1"/>
    </xf>
    <xf numFmtId="0" fontId="13" fillId="0" borderId="0" xfId="52" applyFont="1" applyAlignment="1">
      <alignment horizontal="left" vertical="center" wrapText="1"/>
    </xf>
    <xf numFmtId="0" fontId="13" fillId="0" borderId="0" xfId="52" applyFont="1">
      <alignment vertical="center"/>
    </xf>
    <xf numFmtId="49" fontId="12" fillId="0" borderId="0" xfId="52" applyNumberFormat="1" applyFont="1" applyAlignment="1">
      <alignment vertical="center" wrapText="1"/>
    </xf>
    <xf numFmtId="180" fontId="13" fillId="0" borderId="0" xfId="52" applyNumberFormat="1" applyFont="1">
      <alignment vertical="center"/>
    </xf>
    <xf numFmtId="0" fontId="20" fillId="0" borderId="0" xfId="52" applyFont="1">
      <alignment vertical="center"/>
    </xf>
    <xf numFmtId="49" fontId="12" fillId="0" borderId="0" xfId="52" applyNumberFormat="1" applyFont="1" applyAlignment="1">
      <alignment horizontal="left" vertical="center" wrapText="1"/>
    </xf>
    <xf numFmtId="0" fontId="13" fillId="0" borderId="0" xfId="52" applyFont="1" applyAlignment="1">
      <alignment horizontal="left" vertical="center"/>
    </xf>
    <xf numFmtId="0" fontId="20" fillId="0" borderId="0" xfId="52" applyFont="1" applyAlignment="1">
      <alignment horizontal="left" vertical="center"/>
    </xf>
    <xf numFmtId="180" fontId="8" fillId="0" borderId="0" xfId="52" applyNumberFormat="1" applyFont="1">
      <alignment vertical="center"/>
    </xf>
    <xf numFmtId="0" fontId="20" fillId="0" borderId="0" xfId="52" applyFont="1" applyAlignment="1">
      <alignment horizontal="center" vertical="center"/>
    </xf>
    <xf numFmtId="0" fontId="8" fillId="0" borderId="0" xfId="52" applyFont="1" applyAlignment="1">
      <alignment vertical="center" wrapText="1"/>
    </xf>
    <xf numFmtId="0" fontId="14" fillId="13" borderId="0" xfId="52" applyFont="1" applyFill="1" applyAlignment="1">
      <alignment horizontal="center" vertical="center"/>
    </xf>
    <xf numFmtId="180" fontId="17" fillId="15" borderId="1" xfId="59" applyNumberFormat="1" applyFont="1" applyFill="1" applyBorder="1" applyAlignment="1">
      <alignment horizontal="center" vertical="center" wrapText="1"/>
    </xf>
    <xf numFmtId="179" fontId="15" fillId="13" borderId="1" xfId="52" applyNumberFormat="1" applyFont="1" applyFill="1" applyBorder="1" applyAlignment="1">
      <alignment horizontal="center" vertical="center" shrinkToFit="1"/>
    </xf>
    <xf numFmtId="179" fontId="14" fillId="0" borderId="1" xfId="52" applyNumberFormat="1" applyFont="1" applyBorder="1" applyAlignment="1">
      <alignment horizontal="left" vertical="center" wrapText="1"/>
    </xf>
    <xf numFmtId="180" fontId="14" fillId="0" borderId="1" xfId="52" applyNumberFormat="1" applyFont="1" applyBorder="1" applyAlignment="1">
      <alignment horizontal="center" vertical="center" wrapText="1" shrinkToFit="1"/>
    </xf>
    <xf numFmtId="0" fontId="13" fillId="0" borderId="0" xfId="52" applyFont="1" applyAlignment="1">
      <alignment vertical="center" shrinkToFit="1"/>
    </xf>
    <xf numFmtId="0" fontId="8" fillId="0" borderId="0" xfId="52" applyFont="1" applyAlignment="1">
      <alignment vertical="center" shrinkToFi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百分比 2" xfId="50"/>
    <cellStyle name="常规 10" xfId="51"/>
    <cellStyle name="常规 2" xfId="52"/>
    <cellStyle name="常规 2 10" xfId="53"/>
    <cellStyle name="常规 2 2" xfId="54"/>
    <cellStyle name="常规 2 2 10" xfId="55"/>
    <cellStyle name="常规 2 2 2" xfId="56"/>
    <cellStyle name="常规 2 2 3" xfId="57"/>
    <cellStyle name="常规 2 2 4" xfId="58"/>
    <cellStyle name="常规 2 2 6" xfId="59"/>
    <cellStyle name="常规 2 3" xfId="60"/>
    <cellStyle name="常规 3" xfId="61"/>
    <cellStyle name="常规 3 2" xfId="62"/>
    <cellStyle name="常规 4" xfId="63"/>
    <cellStyle name="常规 5" xfId="64"/>
    <cellStyle name="千位分隔 2" xfId="65"/>
    <cellStyle name="样式 1" xfId="66"/>
    <cellStyle name="样式 1 10 2 2" xfId="67"/>
    <cellStyle name="样式 1 5 21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20</xdr:col>
      <xdr:colOff>267335</xdr:colOff>
      <xdr:row>18</xdr:row>
      <xdr:rowOff>41910</xdr:rowOff>
    </xdr:from>
    <xdr:to>
      <xdr:col>31</xdr:col>
      <xdr:colOff>873125</xdr:colOff>
      <xdr:row>38</xdr:row>
      <xdr:rowOff>34290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466320" y="8030210"/>
          <a:ext cx="11849100" cy="3649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44</xdr:row>
      <xdr:rowOff>160655</xdr:rowOff>
    </xdr:from>
    <xdr:to>
      <xdr:col>19</xdr:col>
      <xdr:colOff>4260850</xdr:colOff>
      <xdr:row>70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12903835"/>
          <a:ext cx="12072620" cy="4705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328295</xdr:colOff>
      <xdr:row>18</xdr:row>
      <xdr:rowOff>22225</xdr:rowOff>
    </xdr:from>
    <xdr:to>
      <xdr:col>20</xdr:col>
      <xdr:colOff>252730</xdr:colOff>
      <xdr:row>36</xdr:row>
      <xdr:rowOff>167005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28295" y="8010525"/>
          <a:ext cx="12123420" cy="343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71</xdr:row>
      <xdr:rowOff>82550</xdr:rowOff>
    </xdr:from>
    <xdr:to>
      <xdr:col>19</xdr:col>
      <xdr:colOff>4220210</xdr:colOff>
      <xdr:row>104</xdr:row>
      <xdr:rowOff>91440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620" y="17763490"/>
          <a:ext cx="12024995" cy="60439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20</xdr:col>
      <xdr:colOff>289560</xdr:colOff>
      <xdr:row>17</xdr:row>
      <xdr:rowOff>31115</xdr:rowOff>
    </xdr:from>
    <xdr:to>
      <xdr:col>31</xdr:col>
      <xdr:colOff>895350</xdr:colOff>
      <xdr:row>37</xdr:row>
      <xdr:rowOff>23495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09185" y="8458835"/>
          <a:ext cx="11849100" cy="3649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44</xdr:row>
      <xdr:rowOff>160655</xdr:rowOff>
    </xdr:from>
    <xdr:to>
      <xdr:col>18</xdr:col>
      <xdr:colOff>903605</xdr:colOff>
      <xdr:row>70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13526135"/>
          <a:ext cx="12072620" cy="4705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415290</xdr:colOff>
      <xdr:row>27</xdr:row>
      <xdr:rowOff>64770</xdr:rowOff>
    </xdr:from>
    <xdr:to>
      <xdr:col>18</xdr:col>
      <xdr:colOff>1369060</xdr:colOff>
      <xdr:row>46</xdr:row>
      <xdr:rowOff>26670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15290" y="10321290"/>
          <a:ext cx="12123420" cy="343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71</xdr:row>
      <xdr:rowOff>82550</xdr:rowOff>
    </xdr:from>
    <xdr:to>
      <xdr:col>18</xdr:col>
      <xdr:colOff>862965</xdr:colOff>
      <xdr:row>104</xdr:row>
      <xdr:rowOff>91440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620" y="18385790"/>
          <a:ext cx="12024995" cy="60439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20</xdr:col>
      <xdr:colOff>200025</xdr:colOff>
      <xdr:row>0</xdr:row>
      <xdr:rowOff>183515</xdr:rowOff>
    </xdr:from>
    <xdr:to>
      <xdr:col>33</xdr:col>
      <xdr:colOff>254000</xdr:colOff>
      <xdr:row>13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11230" y="183515"/>
          <a:ext cx="13181330" cy="6198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635</xdr:colOff>
      <xdr:row>37</xdr:row>
      <xdr:rowOff>160655</xdr:rowOff>
    </xdr:from>
    <xdr:to>
      <xdr:col>21</xdr:col>
      <xdr:colOff>1347470</xdr:colOff>
      <xdr:row>63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65225" y="11303635"/>
          <a:ext cx="12072620" cy="4705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7620</xdr:colOff>
      <xdr:row>64</xdr:row>
      <xdr:rowOff>82550</xdr:rowOff>
    </xdr:from>
    <xdr:to>
      <xdr:col>21</xdr:col>
      <xdr:colOff>1306830</xdr:colOff>
      <xdr:row>97</xdr:row>
      <xdr:rowOff>91440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72210" y="16163290"/>
          <a:ext cx="12024995" cy="60439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13</xdr:col>
      <xdr:colOff>571500</xdr:colOff>
      <xdr:row>36</xdr:row>
      <xdr:rowOff>175260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014720"/>
          <a:ext cx="11849100" cy="36499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21556;&#33521;&#26684;\AppData\Local\Temp\Shell\tmp1959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"/>
      <sheetName val="搜索条件"/>
      <sheetName val="信息"/>
      <sheetName val="Sheet1"/>
    </sheetNames>
    <sheetDataSet>
      <sheetData sheetId="0">
        <row r="1">
          <cell r="L1" t="str">
            <v>物料号</v>
          </cell>
          <cell r="M1" t="str">
            <v>产品线</v>
          </cell>
          <cell r="N1" t="str">
            <v>描述 </v>
          </cell>
        </row>
        <row r="2">
          <cell r="L2" t="str">
            <v>SLT0011480</v>
          </cell>
          <cell r="M2" t="str">
            <v>YC04</v>
          </cell>
          <cell r="N2" t="str">
            <v>滑轨右连接板2（福田）</v>
          </cell>
        </row>
        <row r="3">
          <cell r="L3" t="str">
            <v>SLT0011375</v>
          </cell>
          <cell r="M3" t="str">
            <v>YC04</v>
          </cell>
          <cell r="N3" t="str">
            <v>调角器右连接板</v>
          </cell>
        </row>
        <row r="4">
          <cell r="L4" t="str">
            <v>SLT0011373</v>
          </cell>
          <cell r="M4" t="str">
            <v>YC04</v>
          </cell>
          <cell r="N4" t="str">
            <v>调角器左连接板</v>
          </cell>
        </row>
        <row r="5">
          <cell r="L5" t="str">
            <v>SLT0011318</v>
          </cell>
          <cell r="M5" t="str">
            <v>YC04</v>
          </cell>
          <cell r="N5" t="str">
            <v>座垫后端固定钣金</v>
          </cell>
        </row>
        <row r="6">
          <cell r="L6" t="str">
            <v>SLT0011266</v>
          </cell>
          <cell r="M6" t="str">
            <v>YC04</v>
          </cell>
          <cell r="N6" t="str">
            <v>左侧大护板固定钣金</v>
          </cell>
        </row>
        <row r="7">
          <cell r="L7" t="str">
            <v>SLT0010545</v>
          </cell>
          <cell r="M7" t="str">
            <v>YC04</v>
          </cell>
          <cell r="N7" t="str">
            <v>减震器下底板</v>
          </cell>
        </row>
        <row r="8">
          <cell r="L8" t="str">
            <v>SLT0010539</v>
          </cell>
          <cell r="M8" t="str">
            <v>YC04</v>
          </cell>
          <cell r="N8" t="str">
            <v>减震器上盖板</v>
          </cell>
        </row>
        <row r="9">
          <cell r="L9" t="str">
            <v>SLT0010545</v>
          </cell>
          <cell r="M9" t="str">
            <v>YC04</v>
          </cell>
          <cell r="N9" t="str">
            <v>减震器下底板</v>
          </cell>
        </row>
        <row r="10">
          <cell r="L10" t="str">
            <v>SLT0010539</v>
          </cell>
          <cell r="M10" t="str">
            <v>YC04</v>
          </cell>
          <cell r="N10" t="str">
            <v>减震器上盖板</v>
          </cell>
        </row>
        <row r="11">
          <cell r="L11" t="str">
            <v>SLT0010545</v>
          </cell>
          <cell r="M11" t="str">
            <v>YC04</v>
          </cell>
          <cell r="N11" t="str">
            <v>减震器下底板</v>
          </cell>
        </row>
        <row r="12">
          <cell r="L12" t="str">
            <v>SLT0011480</v>
          </cell>
          <cell r="M12" t="str">
            <v>YC04</v>
          </cell>
          <cell r="N12" t="str">
            <v>滑轨右连接板2（福田）</v>
          </cell>
        </row>
        <row r="13">
          <cell r="L13" t="str">
            <v>SLT0011375</v>
          </cell>
          <cell r="M13" t="str">
            <v>YC04</v>
          </cell>
          <cell r="N13" t="str">
            <v>调角器右连接板</v>
          </cell>
        </row>
        <row r="14">
          <cell r="L14" t="str">
            <v>SLT0011373</v>
          </cell>
          <cell r="M14" t="str">
            <v>YC04</v>
          </cell>
          <cell r="N14" t="str">
            <v>调角器左连接板</v>
          </cell>
        </row>
        <row r="15">
          <cell r="L15" t="str">
            <v>SLT0010545</v>
          </cell>
          <cell r="M15" t="str">
            <v>YC04</v>
          </cell>
          <cell r="N15" t="str">
            <v>减震器下底板</v>
          </cell>
        </row>
        <row r="16">
          <cell r="L16" t="str">
            <v>SLT0010539</v>
          </cell>
          <cell r="M16" t="str">
            <v>YC04</v>
          </cell>
          <cell r="N16" t="str">
            <v>减震器上盖板</v>
          </cell>
        </row>
        <row r="17">
          <cell r="L17" t="str">
            <v>SLT0011617</v>
          </cell>
          <cell r="M17" t="str">
            <v>BC05</v>
          </cell>
          <cell r="N17" t="str">
            <v>减震器下底板</v>
          </cell>
        </row>
        <row r="18">
          <cell r="L18" t="str">
            <v>SLT0011318</v>
          </cell>
          <cell r="M18" t="str">
            <v>YC04</v>
          </cell>
          <cell r="N18" t="str">
            <v>座垫后端固定钣金</v>
          </cell>
        </row>
        <row r="19">
          <cell r="L19" t="str">
            <v>SLT0011266</v>
          </cell>
          <cell r="M19" t="str">
            <v>YC04</v>
          </cell>
          <cell r="N19" t="str">
            <v>左侧大护板固定钣金</v>
          </cell>
        </row>
        <row r="20">
          <cell r="L20" t="str">
            <v>SLT0010545</v>
          </cell>
          <cell r="M20" t="str">
            <v>YC04</v>
          </cell>
          <cell r="N20" t="str">
            <v>减震器下底板</v>
          </cell>
        </row>
        <row r="21">
          <cell r="L21" t="str">
            <v>SLT0010539</v>
          </cell>
          <cell r="M21" t="str">
            <v>YC04</v>
          </cell>
          <cell r="N21" t="str">
            <v>减震器上盖板</v>
          </cell>
        </row>
        <row r="22">
          <cell r="L22" t="str">
            <v>SLT0011617</v>
          </cell>
          <cell r="M22" t="str">
            <v>BC05</v>
          </cell>
          <cell r="N22" t="str">
            <v>减震器下底板</v>
          </cell>
        </row>
        <row r="23">
          <cell r="L23" t="str">
            <v>SLT0010539</v>
          </cell>
          <cell r="M23" t="str">
            <v>YC04</v>
          </cell>
          <cell r="N23" t="str">
            <v>减震器上盖板</v>
          </cell>
        </row>
        <row r="24">
          <cell r="L24" t="str">
            <v>SLT0010545</v>
          </cell>
          <cell r="M24" t="str">
            <v>YC04</v>
          </cell>
          <cell r="N24" t="str">
            <v>减震器下底板</v>
          </cell>
        </row>
        <row r="25">
          <cell r="L25" t="str">
            <v>SLT0010539</v>
          </cell>
          <cell r="M25" t="str">
            <v>YC04</v>
          </cell>
          <cell r="N25" t="str">
            <v>减震器上盖板</v>
          </cell>
        </row>
        <row r="26">
          <cell r="L26" t="str">
            <v>SLT0011480</v>
          </cell>
          <cell r="M26" t="str">
            <v>YC04</v>
          </cell>
          <cell r="N26" t="str">
            <v>滑轨右连接板2（福田）</v>
          </cell>
        </row>
        <row r="27">
          <cell r="L27" t="str">
            <v>SLT0011375</v>
          </cell>
          <cell r="M27" t="str">
            <v>YC04</v>
          </cell>
          <cell r="N27" t="str">
            <v>调角器右连接板</v>
          </cell>
        </row>
        <row r="28">
          <cell r="L28" t="str">
            <v>SLT0011373</v>
          </cell>
          <cell r="M28" t="str">
            <v>YC04</v>
          </cell>
          <cell r="N28" t="str">
            <v>调角器左连接板</v>
          </cell>
        </row>
        <row r="29">
          <cell r="L29" t="str">
            <v>SLT0010545</v>
          </cell>
          <cell r="M29" t="str">
            <v>YC04</v>
          </cell>
          <cell r="N29" t="str">
            <v>减震器下底板</v>
          </cell>
        </row>
        <row r="30">
          <cell r="L30" t="str">
            <v>SLT0010539</v>
          </cell>
          <cell r="M30" t="str">
            <v>YC04</v>
          </cell>
          <cell r="N30" t="str">
            <v>减震器上盖板</v>
          </cell>
        </row>
        <row r="31">
          <cell r="L31" t="str">
            <v>SLT0011480</v>
          </cell>
          <cell r="M31" t="str">
            <v>YC04</v>
          </cell>
          <cell r="N31" t="str">
            <v>滑轨右连接板2（福田）</v>
          </cell>
        </row>
        <row r="32">
          <cell r="L32" t="str">
            <v>SLT0011373</v>
          </cell>
          <cell r="M32" t="str">
            <v>YC04</v>
          </cell>
          <cell r="N32" t="str">
            <v>调角器左连接板</v>
          </cell>
        </row>
        <row r="33">
          <cell r="L33" t="str">
            <v>SLT0011318</v>
          </cell>
          <cell r="M33" t="str">
            <v>YC04</v>
          </cell>
          <cell r="N33" t="str">
            <v>座垫后端固定钣金</v>
          </cell>
        </row>
        <row r="34">
          <cell r="L34" t="str">
            <v>SLT0011266</v>
          </cell>
          <cell r="M34" t="str">
            <v>YC04</v>
          </cell>
          <cell r="N34" t="str">
            <v>左侧大护板固定钣金</v>
          </cell>
        </row>
        <row r="35">
          <cell r="L35" t="str">
            <v>SLT0010545</v>
          </cell>
          <cell r="M35" t="str">
            <v>YC04</v>
          </cell>
          <cell r="N35" t="str">
            <v>减震器下底板</v>
          </cell>
        </row>
        <row r="36">
          <cell r="L36" t="str">
            <v>SLT0010539</v>
          </cell>
          <cell r="M36" t="str">
            <v>YC04</v>
          </cell>
          <cell r="N36" t="str">
            <v>减震器上盖板</v>
          </cell>
        </row>
        <row r="37">
          <cell r="L37" t="str">
            <v>SLT0011480</v>
          </cell>
          <cell r="M37" t="str">
            <v>YC04</v>
          </cell>
          <cell r="N37" t="str">
            <v>滑轨右连接板2（福田）</v>
          </cell>
        </row>
        <row r="38">
          <cell r="L38" t="str">
            <v>SLT0011373</v>
          </cell>
          <cell r="M38" t="str">
            <v>YC04</v>
          </cell>
          <cell r="N38" t="str">
            <v>调角器左连接板</v>
          </cell>
        </row>
        <row r="39">
          <cell r="L39" t="str">
            <v>SLT0011318</v>
          </cell>
          <cell r="M39" t="str">
            <v>YC04</v>
          </cell>
          <cell r="N39" t="str">
            <v>座垫后端固定钣金</v>
          </cell>
        </row>
        <row r="40">
          <cell r="L40" t="str">
            <v>SLT0011266</v>
          </cell>
          <cell r="M40" t="str">
            <v>YC04</v>
          </cell>
          <cell r="N40" t="str">
            <v>左侧大护板固定钣金</v>
          </cell>
        </row>
        <row r="41">
          <cell r="L41" t="str">
            <v>SLT0010545</v>
          </cell>
          <cell r="M41" t="str">
            <v>YC04</v>
          </cell>
          <cell r="N41" t="str">
            <v>减震器下底板</v>
          </cell>
        </row>
        <row r="42">
          <cell r="L42" t="str">
            <v>SLT0010539</v>
          </cell>
          <cell r="M42" t="str">
            <v>YC04</v>
          </cell>
          <cell r="N42" t="str">
            <v>减震器上盖板</v>
          </cell>
        </row>
        <row r="43">
          <cell r="L43" t="str">
            <v>SLT0010545</v>
          </cell>
          <cell r="M43" t="str">
            <v>YC04</v>
          </cell>
          <cell r="N43" t="str">
            <v>减震器下底板</v>
          </cell>
        </row>
        <row r="44">
          <cell r="L44" t="str">
            <v>SLT0010539</v>
          </cell>
          <cell r="M44" t="str">
            <v>YC04</v>
          </cell>
          <cell r="N44" t="str">
            <v>减震器上盖板</v>
          </cell>
        </row>
        <row r="45">
          <cell r="L45" t="str">
            <v>SLT0010545</v>
          </cell>
          <cell r="M45" t="str">
            <v>YC04</v>
          </cell>
          <cell r="N45" t="str">
            <v>减震器下底板</v>
          </cell>
        </row>
        <row r="46">
          <cell r="L46" t="str">
            <v>SLT0010539</v>
          </cell>
          <cell r="M46" t="str">
            <v>YC04</v>
          </cell>
          <cell r="N46" t="str">
            <v>减震器上盖板</v>
          </cell>
        </row>
        <row r="47">
          <cell r="L47" t="str">
            <v>SLT0011375</v>
          </cell>
          <cell r="M47" t="str">
            <v>YC04</v>
          </cell>
          <cell r="N47" t="str">
            <v>调角器右连接板</v>
          </cell>
        </row>
        <row r="48">
          <cell r="L48" t="str">
            <v>SLT0011318</v>
          </cell>
          <cell r="M48" t="str">
            <v>YC04</v>
          </cell>
          <cell r="N48" t="str">
            <v>座垫后端固定钣金</v>
          </cell>
        </row>
        <row r="49">
          <cell r="L49" t="str">
            <v>SLT0010545</v>
          </cell>
          <cell r="M49" t="str">
            <v>YC04</v>
          </cell>
          <cell r="N49" t="str">
            <v>减震器下底板</v>
          </cell>
        </row>
        <row r="50">
          <cell r="L50" t="str">
            <v>SLT0010539</v>
          </cell>
          <cell r="M50" t="str">
            <v>YC04</v>
          </cell>
          <cell r="N50" t="str">
            <v>减震器上盖板</v>
          </cell>
        </row>
        <row r="51">
          <cell r="L51" t="str">
            <v>SLT0010545</v>
          </cell>
          <cell r="M51" t="str">
            <v>YC04</v>
          </cell>
          <cell r="N51" t="str">
            <v>减震器下底板</v>
          </cell>
        </row>
        <row r="52">
          <cell r="L52" t="str">
            <v>SLT0010539</v>
          </cell>
          <cell r="M52" t="str">
            <v>YC04</v>
          </cell>
          <cell r="N52" t="str">
            <v>减震器上盖板</v>
          </cell>
        </row>
        <row r="53">
          <cell r="L53" t="str">
            <v>SLT0011480</v>
          </cell>
          <cell r="M53" t="str">
            <v>YC04</v>
          </cell>
          <cell r="N53" t="str">
            <v>滑轨右连接板2（福田）</v>
          </cell>
        </row>
        <row r="54">
          <cell r="L54" t="str">
            <v>SLT0011375</v>
          </cell>
          <cell r="M54" t="str">
            <v>YC04</v>
          </cell>
          <cell r="N54" t="str">
            <v>调角器右连接板</v>
          </cell>
        </row>
        <row r="55">
          <cell r="L55" t="str">
            <v>SLT0011373</v>
          </cell>
          <cell r="M55" t="str">
            <v>YC04</v>
          </cell>
          <cell r="N55" t="str">
            <v>调角器左连接板</v>
          </cell>
        </row>
        <row r="56">
          <cell r="L56" t="str">
            <v>SLT0011318</v>
          </cell>
          <cell r="M56" t="str">
            <v>YC04</v>
          </cell>
          <cell r="N56" t="str">
            <v>座垫后端固定钣金</v>
          </cell>
        </row>
        <row r="57">
          <cell r="L57" t="str">
            <v>SLT0010545</v>
          </cell>
          <cell r="M57" t="str">
            <v>YC04</v>
          </cell>
          <cell r="N57" t="str">
            <v>减震器下底板</v>
          </cell>
        </row>
        <row r="58">
          <cell r="L58" t="str">
            <v>SLT0010539</v>
          </cell>
          <cell r="M58" t="str">
            <v>YC04</v>
          </cell>
          <cell r="N58" t="str">
            <v>减震器上盖板</v>
          </cell>
        </row>
        <row r="59">
          <cell r="L59" t="str">
            <v>SLT0010545</v>
          </cell>
          <cell r="M59" t="str">
            <v>YC04</v>
          </cell>
          <cell r="N59" t="str">
            <v>减震器下底板</v>
          </cell>
        </row>
        <row r="60">
          <cell r="L60" t="str">
            <v>SLT0010539</v>
          </cell>
          <cell r="M60" t="str">
            <v>YC04</v>
          </cell>
          <cell r="N60" t="str">
            <v>减震器上盖板</v>
          </cell>
        </row>
        <row r="61">
          <cell r="L61" t="str">
            <v>SLT0010545</v>
          </cell>
          <cell r="M61" t="str">
            <v>YC04</v>
          </cell>
          <cell r="N61" t="str">
            <v>减震器下底板</v>
          </cell>
        </row>
        <row r="62">
          <cell r="L62" t="str">
            <v>SLT0010539</v>
          </cell>
          <cell r="M62" t="str">
            <v>YC04</v>
          </cell>
          <cell r="N62" t="str">
            <v>减震器上盖板</v>
          </cell>
        </row>
        <row r="63">
          <cell r="L63" t="str">
            <v>SLT0010545</v>
          </cell>
          <cell r="M63" t="str">
            <v>YC04</v>
          </cell>
          <cell r="N63" t="str">
            <v>减震器下底板</v>
          </cell>
        </row>
        <row r="64">
          <cell r="L64" t="str">
            <v>SLT0010539</v>
          </cell>
          <cell r="M64" t="str">
            <v>YC04</v>
          </cell>
          <cell r="N64" t="str">
            <v>减震器上盖板</v>
          </cell>
        </row>
        <row r="65">
          <cell r="L65" t="str">
            <v>SLT0011480</v>
          </cell>
          <cell r="M65" t="str">
            <v>YC04</v>
          </cell>
          <cell r="N65" t="str">
            <v>滑轨右连接板2（福田）</v>
          </cell>
        </row>
        <row r="66">
          <cell r="L66" t="str">
            <v>SLT0011375</v>
          </cell>
          <cell r="M66" t="str">
            <v>YC04</v>
          </cell>
          <cell r="N66" t="str">
            <v>调角器右连接板</v>
          </cell>
        </row>
        <row r="67">
          <cell r="L67" t="str">
            <v>SLT0011373</v>
          </cell>
          <cell r="M67" t="str">
            <v>YC04</v>
          </cell>
          <cell r="N67" t="str">
            <v>调角器左连接板</v>
          </cell>
        </row>
        <row r="68">
          <cell r="L68" t="str">
            <v>SLT0011318</v>
          </cell>
          <cell r="M68" t="str">
            <v>YC04</v>
          </cell>
          <cell r="N68" t="str">
            <v>座垫后端固定钣金</v>
          </cell>
        </row>
        <row r="69">
          <cell r="L69" t="str">
            <v>SLT0011266</v>
          </cell>
          <cell r="M69" t="str">
            <v>YC04</v>
          </cell>
          <cell r="N69" t="str">
            <v>左侧大护板固定钣金</v>
          </cell>
        </row>
        <row r="70">
          <cell r="L70" t="str">
            <v>SLT0010545</v>
          </cell>
          <cell r="M70" t="str">
            <v>YC04</v>
          </cell>
          <cell r="N70" t="str">
            <v>减震器下底板</v>
          </cell>
        </row>
        <row r="71">
          <cell r="L71" t="str">
            <v>SLT0010539</v>
          </cell>
          <cell r="M71" t="str">
            <v>YC04</v>
          </cell>
          <cell r="N71" t="str">
            <v>减震器上盖板</v>
          </cell>
        </row>
        <row r="72">
          <cell r="L72" t="str">
            <v>SLT0011266</v>
          </cell>
          <cell r="M72" t="str">
            <v>YC04</v>
          </cell>
          <cell r="N72" t="str">
            <v>左侧大护板固定钣金</v>
          </cell>
        </row>
        <row r="73">
          <cell r="L73" t="str">
            <v>SLT0011480</v>
          </cell>
          <cell r="M73" t="str">
            <v>YC04</v>
          </cell>
          <cell r="N73" t="str">
            <v>滑轨右连接板2（福田）</v>
          </cell>
        </row>
        <row r="74">
          <cell r="L74" t="str">
            <v>SLT0011375</v>
          </cell>
          <cell r="M74" t="str">
            <v>YC04</v>
          </cell>
          <cell r="N74" t="str">
            <v>调角器右连接板</v>
          </cell>
        </row>
        <row r="75">
          <cell r="L75" t="str">
            <v>SLT0010545</v>
          </cell>
          <cell r="M75" t="str">
            <v>YC04</v>
          </cell>
          <cell r="N75" t="str">
            <v>减震器下底板</v>
          </cell>
        </row>
        <row r="76">
          <cell r="L76" t="str">
            <v>SLT0010539</v>
          </cell>
          <cell r="M76" t="str">
            <v>YC04</v>
          </cell>
          <cell r="N76" t="str">
            <v>减震器上盖板</v>
          </cell>
        </row>
        <row r="77">
          <cell r="L77" t="str">
            <v>SLT0011373</v>
          </cell>
          <cell r="M77" t="str">
            <v>YC04</v>
          </cell>
          <cell r="N77" t="str">
            <v>调角器左连接板</v>
          </cell>
        </row>
        <row r="78">
          <cell r="L78" t="str">
            <v>SLT0010539</v>
          </cell>
          <cell r="M78" t="str">
            <v>YC04</v>
          </cell>
          <cell r="N78" t="str">
            <v>减震器上盖板</v>
          </cell>
        </row>
        <row r="79">
          <cell r="L79" t="str">
            <v>SLT0011318</v>
          </cell>
          <cell r="M79" t="str">
            <v>YC04</v>
          </cell>
          <cell r="N79" t="str">
            <v>座垫后端固定钣金</v>
          </cell>
        </row>
        <row r="80">
          <cell r="L80" t="str">
            <v>SLT0010545</v>
          </cell>
          <cell r="M80" t="str">
            <v>YC04</v>
          </cell>
          <cell r="N80" t="str">
            <v>减震器下底板</v>
          </cell>
        </row>
        <row r="81">
          <cell r="L81" t="str">
            <v>SLT0010539</v>
          </cell>
          <cell r="M81" t="str">
            <v>YC04</v>
          </cell>
          <cell r="N81" t="str">
            <v>减震器上盖板</v>
          </cell>
        </row>
        <row r="82">
          <cell r="L82" t="str">
            <v>SLT0010545</v>
          </cell>
          <cell r="M82" t="str">
            <v>YC04</v>
          </cell>
          <cell r="N82" t="str">
            <v>减震器下底板</v>
          </cell>
        </row>
        <row r="83">
          <cell r="L83" t="str">
            <v>SLT0010539</v>
          </cell>
          <cell r="M83" t="str">
            <v>YC04</v>
          </cell>
          <cell r="N83" t="str">
            <v>减震器上盖板</v>
          </cell>
        </row>
        <row r="84">
          <cell r="L84" t="str">
            <v>SLT0011375</v>
          </cell>
          <cell r="M84" t="str">
            <v>YC04</v>
          </cell>
          <cell r="N84" t="str">
            <v>调角器右连接板</v>
          </cell>
        </row>
        <row r="85">
          <cell r="L85" t="str">
            <v>SHT0011031</v>
          </cell>
          <cell r="M85" t="str">
            <v>YC04</v>
          </cell>
          <cell r="N85" t="str">
            <v>副司机座椅底支架上板</v>
          </cell>
        </row>
        <row r="86">
          <cell r="L86" t="str">
            <v>SLT0011480</v>
          </cell>
          <cell r="M86" t="str">
            <v>YC04</v>
          </cell>
          <cell r="N86" t="str">
            <v>滑轨右连接板2（福田）</v>
          </cell>
        </row>
        <row r="87">
          <cell r="L87" t="str">
            <v>SLT0011373</v>
          </cell>
          <cell r="M87" t="str">
            <v>YC04</v>
          </cell>
          <cell r="N87" t="str">
            <v>调角器左连接板</v>
          </cell>
        </row>
        <row r="88">
          <cell r="L88" t="str">
            <v>SLT0011318</v>
          </cell>
          <cell r="M88" t="str">
            <v>YC04</v>
          </cell>
          <cell r="N88" t="str">
            <v>座垫后端固定钣金</v>
          </cell>
        </row>
        <row r="89">
          <cell r="L89" t="str">
            <v>SLT0011266</v>
          </cell>
          <cell r="M89" t="str">
            <v>YC04</v>
          </cell>
          <cell r="N89" t="str">
            <v>左侧大护板固定钣金</v>
          </cell>
        </row>
        <row r="90">
          <cell r="L90" t="str">
            <v>SLT0010545</v>
          </cell>
          <cell r="M90" t="str">
            <v>YC04</v>
          </cell>
          <cell r="N90" t="str">
            <v>减震器下底板</v>
          </cell>
        </row>
        <row r="91">
          <cell r="L91" t="str">
            <v>SLT0010539</v>
          </cell>
          <cell r="M91" t="str">
            <v>YC04</v>
          </cell>
          <cell r="N91" t="str">
            <v>减震器上盖板</v>
          </cell>
        </row>
        <row r="92">
          <cell r="L92" t="str">
            <v>SLT0010545</v>
          </cell>
          <cell r="M92" t="str">
            <v>YC04</v>
          </cell>
          <cell r="N92" t="str">
            <v>减震器下底板</v>
          </cell>
        </row>
        <row r="93">
          <cell r="L93" t="str">
            <v>SLT0010539</v>
          </cell>
          <cell r="M93" t="str">
            <v>YC04</v>
          </cell>
          <cell r="N93" t="str">
            <v>减震器上盖板</v>
          </cell>
        </row>
        <row r="94">
          <cell r="L94" t="str">
            <v>SHT0011031</v>
          </cell>
          <cell r="M94" t="str">
            <v>YC04</v>
          </cell>
          <cell r="N94" t="str">
            <v>副司机座椅底支架上板</v>
          </cell>
        </row>
        <row r="95">
          <cell r="L95" t="str">
            <v>SLT0010545</v>
          </cell>
          <cell r="M95" t="str">
            <v>YC04</v>
          </cell>
          <cell r="N95" t="str">
            <v>减震器下底板</v>
          </cell>
        </row>
        <row r="96">
          <cell r="L96" t="str">
            <v>SLT0010539</v>
          </cell>
          <cell r="M96" t="str">
            <v>YC04</v>
          </cell>
          <cell r="N96" t="str">
            <v>减震器上盖板</v>
          </cell>
        </row>
        <row r="97">
          <cell r="L97" t="str">
            <v>SLT0011480</v>
          </cell>
          <cell r="M97" t="str">
            <v>YC04</v>
          </cell>
          <cell r="N97" t="str">
            <v>滑轨右连接板2（福田）</v>
          </cell>
        </row>
        <row r="98">
          <cell r="L98" t="str">
            <v>SLT0011375</v>
          </cell>
          <cell r="M98" t="str">
            <v>YC04</v>
          </cell>
          <cell r="N98" t="str">
            <v>调角器右连接板</v>
          </cell>
        </row>
        <row r="99">
          <cell r="L99" t="str">
            <v>SLT0011373</v>
          </cell>
          <cell r="M99" t="str">
            <v>YC04</v>
          </cell>
          <cell r="N99" t="str">
            <v>调角器左连接板</v>
          </cell>
        </row>
        <row r="100">
          <cell r="L100" t="str">
            <v>SLT0011318</v>
          </cell>
          <cell r="M100" t="str">
            <v>YC04</v>
          </cell>
          <cell r="N100" t="str">
            <v>座垫后端固定钣金</v>
          </cell>
        </row>
        <row r="101">
          <cell r="L101" t="str">
            <v>SLT0011266</v>
          </cell>
          <cell r="M101" t="str">
            <v>YC04</v>
          </cell>
          <cell r="N101" t="str">
            <v>左侧大护板固定钣金</v>
          </cell>
        </row>
        <row r="102">
          <cell r="L102" t="str">
            <v>SLT0010545</v>
          </cell>
          <cell r="M102" t="str">
            <v>YC04</v>
          </cell>
          <cell r="N102" t="str">
            <v>减震器下底板</v>
          </cell>
        </row>
        <row r="103">
          <cell r="L103" t="str">
            <v>SLT0010539</v>
          </cell>
          <cell r="M103" t="str">
            <v>YC04</v>
          </cell>
          <cell r="N103" t="str">
            <v>减震器上盖板</v>
          </cell>
        </row>
        <row r="104">
          <cell r="L104" t="str">
            <v>SLT0010545</v>
          </cell>
          <cell r="M104" t="str">
            <v>YC04</v>
          </cell>
          <cell r="N104" t="str">
            <v>减震器下底板</v>
          </cell>
        </row>
        <row r="105">
          <cell r="L105" t="str">
            <v>SLT0010539</v>
          </cell>
          <cell r="M105" t="str">
            <v>YC04</v>
          </cell>
          <cell r="N105" t="str">
            <v>减震器上盖板</v>
          </cell>
        </row>
        <row r="106">
          <cell r="L106" t="str">
            <v>SLT0010545</v>
          </cell>
          <cell r="M106" t="str">
            <v>YC04</v>
          </cell>
          <cell r="N106" t="str">
            <v>减震器下底板</v>
          </cell>
        </row>
        <row r="107">
          <cell r="L107" t="str">
            <v>SLT0010539</v>
          </cell>
          <cell r="M107" t="str">
            <v>YC04</v>
          </cell>
          <cell r="N107" t="str">
            <v>减震器上盖板</v>
          </cell>
        </row>
        <row r="108">
          <cell r="L108" t="str">
            <v>SLT0011375</v>
          </cell>
          <cell r="M108" t="str">
            <v>YC04</v>
          </cell>
          <cell r="N108" t="str">
            <v>调角器右连接板</v>
          </cell>
        </row>
        <row r="109">
          <cell r="L109" t="str">
            <v>SLT0011373</v>
          </cell>
          <cell r="M109" t="str">
            <v>YC04</v>
          </cell>
          <cell r="N109" t="str">
            <v>调角器左连接板</v>
          </cell>
        </row>
        <row r="110">
          <cell r="L110" t="str">
            <v>SLT0011318</v>
          </cell>
          <cell r="M110" t="str">
            <v>YC04</v>
          </cell>
          <cell r="N110" t="str">
            <v>座垫后端固定钣金</v>
          </cell>
        </row>
        <row r="111">
          <cell r="L111" t="str">
            <v>SLT0011266</v>
          </cell>
          <cell r="M111" t="str">
            <v>YC04</v>
          </cell>
          <cell r="N111" t="str">
            <v>左侧大护板固定钣金</v>
          </cell>
        </row>
        <row r="112">
          <cell r="L112" t="str">
            <v>SLT0010545</v>
          </cell>
          <cell r="M112" t="str">
            <v>YC04</v>
          </cell>
          <cell r="N112" t="str">
            <v>减震器下底板</v>
          </cell>
        </row>
        <row r="113">
          <cell r="L113" t="str">
            <v>SLT0010539</v>
          </cell>
          <cell r="M113" t="str">
            <v>YC04</v>
          </cell>
          <cell r="N113" t="str">
            <v>减震器上盖板</v>
          </cell>
        </row>
        <row r="114">
          <cell r="L114" t="str">
            <v>SLT0011480</v>
          </cell>
          <cell r="M114" t="str">
            <v>YC04</v>
          </cell>
          <cell r="N114" t="str">
            <v>滑轨右连接板2（福田）</v>
          </cell>
        </row>
        <row r="115">
          <cell r="L115" t="str">
            <v>SLT0010545</v>
          </cell>
          <cell r="M115" t="str">
            <v>YC04</v>
          </cell>
          <cell r="N115" t="str">
            <v>减震器下底板</v>
          </cell>
        </row>
        <row r="116">
          <cell r="L116" t="str">
            <v>SLT0010539</v>
          </cell>
          <cell r="M116" t="str">
            <v>YC04</v>
          </cell>
          <cell r="N116" t="str">
            <v>减震器上盖板</v>
          </cell>
        </row>
        <row r="117">
          <cell r="L117" t="str">
            <v>SLT0011480</v>
          </cell>
          <cell r="M117" t="str">
            <v>YC04</v>
          </cell>
          <cell r="N117" t="str">
            <v>滑轨右连接板2（福田）</v>
          </cell>
        </row>
        <row r="118">
          <cell r="L118" t="str">
            <v>SLT0011375</v>
          </cell>
          <cell r="M118" t="str">
            <v>YC04</v>
          </cell>
          <cell r="N118" t="str">
            <v>调角器右连接板</v>
          </cell>
        </row>
        <row r="119">
          <cell r="L119" t="str">
            <v>SLT0011373</v>
          </cell>
          <cell r="M119" t="str">
            <v>YC04</v>
          </cell>
          <cell r="N119" t="str">
            <v>调角器左连接板</v>
          </cell>
        </row>
        <row r="120">
          <cell r="L120" t="str">
            <v>SLT0011318</v>
          </cell>
          <cell r="M120" t="str">
            <v>YC04</v>
          </cell>
          <cell r="N120" t="str">
            <v>座垫后端固定钣金</v>
          </cell>
        </row>
        <row r="121">
          <cell r="L121" t="str">
            <v>SLT0011266</v>
          </cell>
          <cell r="M121" t="str">
            <v>YC04</v>
          </cell>
          <cell r="N121" t="str">
            <v>左侧大护板固定钣金</v>
          </cell>
        </row>
        <row r="122">
          <cell r="L122" t="str">
            <v>SLT0010545</v>
          </cell>
          <cell r="M122" t="str">
            <v>YC04</v>
          </cell>
          <cell r="N122" t="str">
            <v>减震器下底板</v>
          </cell>
        </row>
        <row r="123">
          <cell r="L123" t="str">
            <v>SLT0010539</v>
          </cell>
          <cell r="M123" t="str">
            <v>YC04</v>
          </cell>
          <cell r="N123" t="str">
            <v>减震器上盖板</v>
          </cell>
        </row>
        <row r="124">
          <cell r="L124" t="str">
            <v>SLT0010545</v>
          </cell>
          <cell r="M124" t="str">
            <v>YC04</v>
          </cell>
          <cell r="N124" t="str">
            <v>减震器下底板</v>
          </cell>
        </row>
        <row r="125">
          <cell r="L125" t="str">
            <v>SLT0010539</v>
          </cell>
          <cell r="M125" t="str">
            <v>YC04</v>
          </cell>
          <cell r="N125" t="str">
            <v>减震器上盖板</v>
          </cell>
        </row>
        <row r="126">
          <cell r="L126" t="str">
            <v>SLT0011480</v>
          </cell>
          <cell r="M126" t="str">
            <v>YC04</v>
          </cell>
          <cell r="N126" t="str">
            <v>滑轨右连接板2（福田）</v>
          </cell>
        </row>
        <row r="127">
          <cell r="L127" t="str">
            <v>SLT0011375</v>
          </cell>
          <cell r="M127" t="str">
            <v>YC04</v>
          </cell>
          <cell r="N127" t="str">
            <v>调角器右连接板</v>
          </cell>
        </row>
        <row r="128">
          <cell r="L128" t="str">
            <v>SLT0011373</v>
          </cell>
          <cell r="M128" t="str">
            <v>YC04</v>
          </cell>
          <cell r="N128" t="str">
            <v>调角器左连接板</v>
          </cell>
        </row>
        <row r="129">
          <cell r="L129" t="str">
            <v>SLT0011318</v>
          </cell>
          <cell r="M129" t="str">
            <v>YC04</v>
          </cell>
          <cell r="N129" t="str">
            <v>座垫后端固定钣金</v>
          </cell>
        </row>
        <row r="130">
          <cell r="L130" t="str">
            <v>SLT0011266</v>
          </cell>
          <cell r="M130" t="str">
            <v>YC04</v>
          </cell>
          <cell r="N130" t="str">
            <v>左侧大护板固定钣金</v>
          </cell>
        </row>
        <row r="131">
          <cell r="L131" t="str">
            <v>SLT0010545</v>
          </cell>
          <cell r="M131" t="str">
            <v>YC04</v>
          </cell>
          <cell r="N131" t="str">
            <v>减震器下底板</v>
          </cell>
        </row>
        <row r="132">
          <cell r="L132" t="str">
            <v>SLT0010539</v>
          </cell>
          <cell r="M132" t="str">
            <v>YC04</v>
          </cell>
          <cell r="N132" t="str">
            <v>减震器上盖板</v>
          </cell>
        </row>
        <row r="133">
          <cell r="L133" t="str">
            <v>SLT0010545</v>
          </cell>
          <cell r="M133" t="str">
            <v>YC04</v>
          </cell>
          <cell r="N133" t="str">
            <v>减震器下底板</v>
          </cell>
        </row>
        <row r="134">
          <cell r="L134" t="str">
            <v>SLT0010539</v>
          </cell>
          <cell r="M134" t="str">
            <v>YC04</v>
          </cell>
          <cell r="N134" t="str">
            <v>减震器上盖板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Z46"/>
  <sheetViews>
    <sheetView view="pageBreakPreview" zoomScale="80" zoomScaleNormal="100" topLeftCell="A8" workbookViewId="0">
      <selection activeCell="M11" sqref="M11"/>
    </sheetView>
  </sheetViews>
  <sheetFormatPr defaultColWidth="9" defaultRowHeight="15.6"/>
  <cols>
    <col min="1" max="1" width="5.44444444444444" style="156" customWidth="1"/>
    <col min="2" max="2" width="16.7777777777778" style="157" customWidth="1"/>
    <col min="3" max="3" width="20.2777777777778" style="156" customWidth="1"/>
    <col min="4" max="4" width="7.91666666666667" style="158" customWidth="1"/>
    <col min="5" max="5" width="4.77777777777778" style="159" customWidth="1"/>
    <col min="6" max="6" width="14.6666666666667" style="160" customWidth="1"/>
    <col min="7" max="7" width="14.4444444444444" style="160" customWidth="1"/>
    <col min="8" max="9" width="12.5555555555556" style="160" customWidth="1"/>
    <col min="10" max="10" width="60.1388888888889" style="160" customWidth="1"/>
    <col min="11" max="11" width="14.4444444444444" style="160" customWidth="1"/>
    <col min="12" max="12" width="7.91666666666667" style="161" customWidth="1"/>
    <col min="13" max="203" width="8.88888888888889" style="156"/>
    <col min="204" max="204" width="5" style="156" customWidth="1"/>
    <col min="205" max="205" width="15" style="156" customWidth="1"/>
    <col min="206" max="207" width="14.6666666666667" style="156" customWidth="1"/>
    <col min="208" max="208" width="6.22222222222222" style="156" customWidth="1"/>
    <col min="209" max="211" width="10.1111111111111" style="156" customWidth="1"/>
    <col min="212" max="212" width="10.4444444444444" style="156" customWidth="1"/>
    <col min="213" max="234" width="8.88888888888889" style="156"/>
    <col min="235" max="235" width="6.44444444444444" style="156" customWidth="1"/>
    <col min="236" max="236" width="12.2222222222222" style="156" customWidth="1"/>
    <col min="237" max="237" width="28.2222222222222" style="156" customWidth="1"/>
    <col min="238" max="238" width="13.7777777777778" style="156" customWidth="1"/>
    <col min="239" max="239" width="5.66666666666667" style="156" customWidth="1"/>
    <col min="240" max="241" width="9.33333333333333" style="156" customWidth="1"/>
    <col min="242" max="242" width="13.1111111111111" style="156" customWidth="1"/>
    <col min="243" max="459" width="8.88888888888889" style="156"/>
    <col min="460" max="460" width="5" style="156" customWidth="1"/>
    <col min="461" max="461" width="15" style="156" customWidth="1"/>
    <col min="462" max="463" width="14.6666666666667" style="156" customWidth="1"/>
    <col min="464" max="464" width="6.22222222222222" style="156" customWidth="1"/>
    <col min="465" max="467" width="10.1111111111111" style="156" customWidth="1"/>
    <col min="468" max="468" width="10.4444444444444" style="156" customWidth="1"/>
    <col min="469" max="490" width="8.88888888888889" style="156"/>
    <col min="491" max="491" width="6.44444444444444" style="156" customWidth="1"/>
    <col min="492" max="492" width="12.2222222222222" style="156" customWidth="1"/>
    <col min="493" max="493" width="28.2222222222222" style="156" customWidth="1"/>
    <col min="494" max="494" width="13.7777777777778" style="156" customWidth="1"/>
    <col min="495" max="495" width="5.66666666666667" style="156" customWidth="1"/>
    <col min="496" max="497" width="9.33333333333333" style="156" customWidth="1"/>
    <col min="498" max="498" width="13.1111111111111" style="156" customWidth="1"/>
    <col min="499" max="715" width="8.88888888888889" style="156"/>
    <col min="716" max="716" width="5" style="156" customWidth="1"/>
    <col min="717" max="717" width="15" style="156" customWidth="1"/>
    <col min="718" max="719" width="14.6666666666667" style="156" customWidth="1"/>
    <col min="720" max="720" width="6.22222222222222" style="156" customWidth="1"/>
    <col min="721" max="723" width="10.1111111111111" style="156" customWidth="1"/>
    <col min="724" max="724" width="10.4444444444444" style="156" customWidth="1"/>
    <col min="725" max="746" width="8.88888888888889" style="156"/>
    <col min="747" max="747" width="6.44444444444444" style="156" customWidth="1"/>
    <col min="748" max="748" width="12.2222222222222" style="156" customWidth="1"/>
    <col min="749" max="749" width="28.2222222222222" style="156" customWidth="1"/>
    <col min="750" max="750" width="13.7777777777778" style="156" customWidth="1"/>
    <col min="751" max="751" width="5.66666666666667" style="156" customWidth="1"/>
    <col min="752" max="753" width="9.33333333333333" style="156" customWidth="1"/>
    <col min="754" max="754" width="13.1111111111111" style="156" customWidth="1"/>
    <col min="755" max="971" width="8.88888888888889" style="156"/>
    <col min="972" max="972" width="5" style="156" customWidth="1"/>
    <col min="973" max="973" width="15" style="156" customWidth="1"/>
    <col min="974" max="975" width="14.6666666666667" style="156" customWidth="1"/>
    <col min="976" max="976" width="6.22222222222222" style="156" customWidth="1"/>
    <col min="977" max="979" width="10.1111111111111" style="156" customWidth="1"/>
    <col min="980" max="980" width="10.4444444444444" style="156" customWidth="1"/>
    <col min="981" max="1002" width="8.88888888888889" style="156"/>
    <col min="1003" max="1003" width="6.44444444444444" style="156" customWidth="1"/>
    <col min="1004" max="1004" width="12.2222222222222" style="156" customWidth="1"/>
    <col min="1005" max="1005" width="28.2222222222222" style="156" customWidth="1"/>
    <col min="1006" max="1006" width="13.7777777777778" style="156" customWidth="1"/>
    <col min="1007" max="1007" width="5.66666666666667" style="156" customWidth="1"/>
    <col min="1008" max="1009" width="9.33333333333333" style="156" customWidth="1"/>
    <col min="1010" max="1010" width="13.1111111111111" style="156" customWidth="1"/>
    <col min="1011" max="1227" width="8.88888888888889" style="156"/>
    <col min="1228" max="1228" width="5" style="156" customWidth="1"/>
    <col min="1229" max="1229" width="15" style="156" customWidth="1"/>
    <col min="1230" max="1231" width="14.6666666666667" style="156" customWidth="1"/>
    <col min="1232" max="1232" width="6.22222222222222" style="156" customWidth="1"/>
    <col min="1233" max="1235" width="10.1111111111111" style="156" customWidth="1"/>
    <col min="1236" max="1236" width="10.4444444444444" style="156" customWidth="1"/>
    <col min="1237" max="1258" width="8.88888888888889" style="156"/>
    <col min="1259" max="1259" width="6.44444444444444" style="156" customWidth="1"/>
    <col min="1260" max="1260" width="12.2222222222222" style="156" customWidth="1"/>
    <col min="1261" max="1261" width="28.2222222222222" style="156" customWidth="1"/>
    <col min="1262" max="1262" width="13.7777777777778" style="156" customWidth="1"/>
    <col min="1263" max="1263" width="5.66666666666667" style="156" customWidth="1"/>
    <col min="1264" max="1265" width="9.33333333333333" style="156" customWidth="1"/>
    <col min="1266" max="1266" width="13.1111111111111" style="156" customWidth="1"/>
    <col min="1267" max="1483" width="8.88888888888889" style="156"/>
    <col min="1484" max="1484" width="5" style="156" customWidth="1"/>
    <col min="1485" max="1485" width="15" style="156" customWidth="1"/>
    <col min="1486" max="1487" width="14.6666666666667" style="156" customWidth="1"/>
    <col min="1488" max="1488" width="6.22222222222222" style="156" customWidth="1"/>
    <col min="1489" max="1491" width="10.1111111111111" style="156" customWidth="1"/>
    <col min="1492" max="1492" width="10.4444444444444" style="156" customWidth="1"/>
    <col min="1493" max="1514" width="8.88888888888889" style="156"/>
    <col min="1515" max="1515" width="6.44444444444444" style="156" customWidth="1"/>
    <col min="1516" max="1516" width="12.2222222222222" style="156" customWidth="1"/>
    <col min="1517" max="1517" width="28.2222222222222" style="156" customWidth="1"/>
    <col min="1518" max="1518" width="13.7777777777778" style="156" customWidth="1"/>
    <col min="1519" max="1519" width="5.66666666666667" style="156" customWidth="1"/>
    <col min="1520" max="1521" width="9.33333333333333" style="156" customWidth="1"/>
    <col min="1522" max="1522" width="13.1111111111111" style="156" customWidth="1"/>
    <col min="1523" max="1739" width="8.88888888888889" style="156"/>
    <col min="1740" max="1740" width="5" style="156" customWidth="1"/>
    <col min="1741" max="1741" width="15" style="156" customWidth="1"/>
    <col min="1742" max="1743" width="14.6666666666667" style="156" customWidth="1"/>
    <col min="1744" max="1744" width="6.22222222222222" style="156" customWidth="1"/>
    <col min="1745" max="1747" width="10.1111111111111" style="156" customWidth="1"/>
    <col min="1748" max="1748" width="10.4444444444444" style="156" customWidth="1"/>
    <col min="1749" max="1770" width="8.88888888888889" style="156"/>
    <col min="1771" max="1771" width="6.44444444444444" style="156" customWidth="1"/>
    <col min="1772" max="1772" width="12.2222222222222" style="156" customWidth="1"/>
    <col min="1773" max="1773" width="28.2222222222222" style="156" customWidth="1"/>
    <col min="1774" max="1774" width="13.7777777777778" style="156" customWidth="1"/>
    <col min="1775" max="1775" width="5.66666666666667" style="156" customWidth="1"/>
    <col min="1776" max="1777" width="9.33333333333333" style="156" customWidth="1"/>
    <col min="1778" max="1778" width="13.1111111111111" style="156" customWidth="1"/>
    <col min="1779" max="1995" width="8.88888888888889" style="156"/>
    <col min="1996" max="1996" width="5" style="156" customWidth="1"/>
    <col min="1997" max="1997" width="15" style="156" customWidth="1"/>
    <col min="1998" max="1999" width="14.6666666666667" style="156" customWidth="1"/>
    <col min="2000" max="2000" width="6.22222222222222" style="156" customWidth="1"/>
    <col min="2001" max="2003" width="10.1111111111111" style="156" customWidth="1"/>
    <col min="2004" max="2004" width="10.4444444444444" style="156" customWidth="1"/>
    <col min="2005" max="2026" width="8.88888888888889" style="156"/>
    <col min="2027" max="2027" width="6.44444444444444" style="156" customWidth="1"/>
    <col min="2028" max="2028" width="12.2222222222222" style="156" customWidth="1"/>
    <col min="2029" max="2029" width="28.2222222222222" style="156" customWidth="1"/>
    <col min="2030" max="2030" width="13.7777777777778" style="156" customWidth="1"/>
    <col min="2031" max="2031" width="5.66666666666667" style="156" customWidth="1"/>
    <col min="2032" max="2033" width="9.33333333333333" style="156" customWidth="1"/>
    <col min="2034" max="2034" width="13.1111111111111" style="156" customWidth="1"/>
    <col min="2035" max="2251" width="8.88888888888889" style="156"/>
    <col min="2252" max="2252" width="5" style="156" customWidth="1"/>
    <col min="2253" max="2253" width="15" style="156" customWidth="1"/>
    <col min="2254" max="2255" width="14.6666666666667" style="156" customWidth="1"/>
    <col min="2256" max="2256" width="6.22222222222222" style="156" customWidth="1"/>
    <col min="2257" max="2259" width="10.1111111111111" style="156" customWidth="1"/>
    <col min="2260" max="2260" width="10.4444444444444" style="156" customWidth="1"/>
    <col min="2261" max="2282" width="8.88888888888889" style="156"/>
    <col min="2283" max="2283" width="6.44444444444444" style="156" customWidth="1"/>
    <col min="2284" max="2284" width="12.2222222222222" style="156" customWidth="1"/>
    <col min="2285" max="2285" width="28.2222222222222" style="156" customWidth="1"/>
    <col min="2286" max="2286" width="13.7777777777778" style="156" customWidth="1"/>
    <col min="2287" max="2287" width="5.66666666666667" style="156" customWidth="1"/>
    <col min="2288" max="2289" width="9.33333333333333" style="156" customWidth="1"/>
    <col min="2290" max="2290" width="13.1111111111111" style="156" customWidth="1"/>
    <col min="2291" max="2507" width="8.88888888888889" style="156"/>
    <col min="2508" max="2508" width="5" style="156" customWidth="1"/>
    <col min="2509" max="2509" width="15" style="156" customWidth="1"/>
    <col min="2510" max="2511" width="14.6666666666667" style="156" customWidth="1"/>
    <col min="2512" max="2512" width="6.22222222222222" style="156" customWidth="1"/>
    <col min="2513" max="2515" width="10.1111111111111" style="156" customWidth="1"/>
    <col min="2516" max="2516" width="10.4444444444444" style="156" customWidth="1"/>
    <col min="2517" max="2538" width="8.88888888888889" style="156"/>
    <col min="2539" max="2539" width="6.44444444444444" style="156" customWidth="1"/>
    <col min="2540" max="2540" width="12.2222222222222" style="156" customWidth="1"/>
    <col min="2541" max="2541" width="28.2222222222222" style="156" customWidth="1"/>
    <col min="2542" max="2542" width="13.7777777777778" style="156" customWidth="1"/>
    <col min="2543" max="2543" width="5.66666666666667" style="156" customWidth="1"/>
    <col min="2544" max="2545" width="9.33333333333333" style="156" customWidth="1"/>
    <col min="2546" max="2546" width="13.1111111111111" style="156" customWidth="1"/>
    <col min="2547" max="2763" width="8.88888888888889" style="156"/>
    <col min="2764" max="2764" width="5" style="156" customWidth="1"/>
    <col min="2765" max="2765" width="15" style="156" customWidth="1"/>
    <col min="2766" max="2767" width="14.6666666666667" style="156" customWidth="1"/>
    <col min="2768" max="2768" width="6.22222222222222" style="156" customWidth="1"/>
    <col min="2769" max="2771" width="10.1111111111111" style="156" customWidth="1"/>
    <col min="2772" max="2772" width="10.4444444444444" style="156" customWidth="1"/>
    <col min="2773" max="2794" width="8.88888888888889" style="156"/>
    <col min="2795" max="2795" width="6.44444444444444" style="156" customWidth="1"/>
    <col min="2796" max="2796" width="12.2222222222222" style="156" customWidth="1"/>
    <col min="2797" max="2797" width="28.2222222222222" style="156" customWidth="1"/>
    <col min="2798" max="2798" width="13.7777777777778" style="156" customWidth="1"/>
    <col min="2799" max="2799" width="5.66666666666667" style="156" customWidth="1"/>
    <col min="2800" max="2801" width="9.33333333333333" style="156" customWidth="1"/>
    <col min="2802" max="2802" width="13.1111111111111" style="156" customWidth="1"/>
    <col min="2803" max="3019" width="8.88888888888889" style="156"/>
    <col min="3020" max="3020" width="5" style="156" customWidth="1"/>
    <col min="3021" max="3021" width="15" style="156" customWidth="1"/>
    <col min="3022" max="3023" width="14.6666666666667" style="156" customWidth="1"/>
    <col min="3024" max="3024" width="6.22222222222222" style="156" customWidth="1"/>
    <col min="3025" max="3027" width="10.1111111111111" style="156" customWidth="1"/>
    <col min="3028" max="3028" width="10.4444444444444" style="156" customWidth="1"/>
    <col min="3029" max="3050" width="8.88888888888889" style="156"/>
    <col min="3051" max="3051" width="6.44444444444444" style="156" customWidth="1"/>
    <col min="3052" max="3052" width="12.2222222222222" style="156" customWidth="1"/>
    <col min="3053" max="3053" width="28.2222222222222" style="156" customWidth="1"/>
    <col min="3054" max="3054" width="13.7777777777778" style="156" customWidth="1"/>
    <col min="3055" max="3055" width="5.66666666666667" style="156" customWidth="1"/>
    <col min="3056" max="3057" width="9.33333333333333" style="156" customWidth="1"/>
    <col min="3058" max="3058" width="13.1111111111111" style="156" customWidth="1"/>
    <col min="3059" max="3275" width="8.88888888888889" style="156"/>
    <col min="3276" max="3276" width="5" style="156" customWidth="1"/>
    <col min="3277" max="3277" width="15" style="156" customWidth="1"/>
    <col min="3278" max="3279" width="14.6666666666667" style="156" customWidth="1"/>
    <col min="3280" max="3280" width="6.22222222222222" style="156" customWidth="1"/>
    <col min="3281" max="3283" width="10.1111111111111" style="156" customWidth="1"/>
    <col min="3284" max="3284" width="10.4444444444444" style="156" customWidth="1"/>
    <col min="3285" max="3306" width="8.88888888888889" style="156"/>
    <col min="3307" max="3307" width="6.44444444444444" style="156" customWidth="1"/>
    <col min="3308" max="3308" width="12.2222222222222" style="156" customWidth="1"/>
    <col min="3309" max="3309" width="28.2222222222222" style="156" customWidth="1"/>
    <col min="3310" max="3310" width="13.7777777777778" style="156" customWidth="1"/>
    <col min="3311" max="3311" width="5.66666666666667" style="156" customWidth="1"/>
    <col min="3312" max="3313" width="9.33333333333333" style="156" customWidth="1"/>
    <col min="3314" max="3314" width="13.1111111111111" style="156" customWidth="1"/>
    <col min="3315" max="3531" width="8.88888888888889" style="156"/>
    <col min="3532" max="3532" width="5" style="156" customWidth="1"/>
    <col min="3533" max="3533" width="15" style="156" customWidth="1"/>
    <col min="3534" max="3535" width="14.6666666666667" style="156" customWidth="1"/>
    <col min="3536" max="3536" width="6.22222222222222" style="156" customWidth="1"/>
    <col min="3537" max="3539" width="10.1111111111111" style="156" customWidth="1"/>
    <col min="3540" max="3540" width="10.4444444444444" style="156" customWidth="1"/>
    <col min="3541" max="3562" width="8.88888888888889" style="156"/>
    <col min="3563" max="3563" width="6.44444444444444" style="156" customWidth="1"/>
    <col min="3564" max="3564" width="12.2222222222222" style="156" customWidth="1"/>
    <col min="3565" max="3565" width="28.2222222222222" style="156" customWidth="1"/>
    <col min="3566" max="3566" width="13.7777777777778" style="156" customWidth="1"/>
    <col min="3567" max="3567" width="5.66666666666667" style="156" customWidth="1"/>
    <col min="3568" max="3569" width="9.33333333333333" style="156" customWidth="1"/>
    <col min="3570" max="3570" width="13.1111111111111" style="156" customWidth="1"/>
    <col min="3571" max="3787" width="8.88888888888889" style="156"/>
    <col min="3788" max="3788" width="5" style="156" customWidth="1"/>
    <col min="3789" max="3789" width="15" style="156" customWidth="1"/>
    <col min="3790" max="3791" width="14.6666666666667" style="156" customWidth="1"/>
    <col min="3792" max="3792" width="6.22222222222222" style="156" customWidth="1"/>
    <col min="3793" max="3795" width="10.1111111111111" style="156" customWidth="1"/>
    <col min="3796" max="3796" width="10.4444444444444" style="156" customWidth="1"/>
    <col min="3797" max="3818" width="8.88888888888889" style="156"/>
    <col min="3819" max="3819" width="6.44444444444444" style="156" customWidth="1"/>
    <col min="3820" max="3820" width="12.2222222222222" style="156" customWidth="1"/>
    <col min="3821" max="3821" width="28.2222222222222" style="156" customWidth="1"/>
    <col min="3822" max="3822" width="13.7777777777778" style="156" customWidth="1"/>
    <col min="3823" max="3823" width="5.66666666666667" style="156" customWidth="1"/>
    <col min="3824" max="3825" width="9.33333333333333" style="156" customWidth="1"/>
    <col min="3826" max="3826" width="13.1111111111111" style="156" customWidth="1"/>
    <col min="3827" max="4043" width="8.88888888888889" style="156"/>
    <col min="4044" max="4044" width="5" style="156" customWidth="1"/>
    <col min="4045" max="4045" width="15" style="156" customWidth="1"/>
    <col min="4046" max="4047" width="14.6666666666667" style="156" customWidth="1"/>
    <col min="4048" max="4048" width="6.22222222222222" style="156" customWidth="1"/>
    <col min="4049" max="4051" width="10.1111111111111" style="156" customWidth="1"/>
    <col min="4052" max="4052" width="10.4444444444444" style="156" customWidth="1"/>
    <col min="4053" max="4074" width="8.88888888888889" style="156"/>
    <col min="4075" max="4075" width="6.44444444444444" style="156" customWidth="1"/>
    <col min="4076" max="4076" width="12.2222222222222" style="156" customWidth="1"/>
    <col min="4077" max="4077" width="28.2222222222222" style="156" customWidth="1"/>
    <col min="4078" max="4078" width="13.7777777777778" style="156" customWidth="1"/>
    <col min="4079" max="4079" width="5.66666666666667" style="156" customWidth="1"/>
    <col min="4080" max="4081" width="9.33333333333333" style="156" customWidth="1"/>
    <col min="4082" max="4082" width="13.1111111111111" style="156" customWidth="1"/>
    <col min="4083" max="4299" width="8.88888888888889" style="156"/>
    <col min="4300" max="4300" width="5" style="156" customWidth="1"/>
    <col min="4301" max="4301" width="15" style="156" customWidth="1"/>
    <col min="4302" max="4303" width="14.6666666666667" style="156" customWidth="1"/>
    <col min="4304" max="4304" width="6.22222222222222" style="156" customWidth="1"/>
    <col min="4305" max="4307" width="10.1111111111111" style="156" customWidth="1"/>
    <col min="4308" max="4308" width="10.4444444444444" style="156" customWidth="1"/>
    <col min="4309" max="4330" width="8.88888888888889" style="156"/>
    <col min="4331" max="4331" width="6.44444444444444" style="156" customWidth="1"/>
    <col min="4332" max="4332" width="12.2222222222222" style="156" customWidth="1"/>
    <col min="4333" max="4333" width="28.2222222222222" style="156" customWidth="1"/>
    <col min="4334" max="4334" width="13.7777777777778" style="156" customWidth="1"/>
    <col min="4335" max="4335" width="5.66666666666667" style="156" customWidth="1"/>
    <col min="4336" max="4337" width="9.33333333333333" style="156" customWidth="1"/>
    <col min="4338" max="4338" width="13.1111111111111" style="156" customWidth="1"/>
    <col min="4339" max="4555" width="8.88888888888889" style="156"/>
    <col min="4556" max="4556" width="5" style="156" customWidth="1"/>
    <col min="4557" max="4557" width="15" style="156" customWidth="1"/>
    <col min="4558" max="4559" width="14.6666666666667" style="156" customWidth="1"/>
    <col min="4560" max="4560" width="6.22222222222222" style="156" customWidth="1"/>
    <col min="4561" max="4563" width="10.1111111111111" style="156" customWidth="1"/>
    <col min="4564" max="4564" width="10.4444444444444" style="156" customWidth="1"/>
    <col min="4565" max="4586" width="8.88888888888889" style="156"/>
    <col min="4587" max="4587" width="6.44444444444444" style="156" customWidth="1"/>
    <col min="4588" max="4588" width="12.2222222222222" style="156" customWidth="1"/>
    <col min="4589" max="4589" width="28.2222222222222" style="156" customWidth="1"/>
    <col min="4590" max="4590" width="13.7777777777778" style="156" customWidth="1"/>
    <col min="4591" max="4591" width="5.66666666666667" style="156" customWidth="1"/>
    <col min="4592" max="4593" width="9.33333333333333" style="156" customWidth="1"/>
    <col min="4594" max="4594" width="13.1111111111111" style="156" customWidth="1"/>
    <col min="4595" max="4811" width="8.88888888888889" style="156"/>
    <col min="4812" max="4812" width="5" style="156" customWidth="1"/>
    <col min="4813" max="4813" width="15" style="156" customWidth="1"/>
    <col min="4814" max="4815" width="14.6666666666667" style="156" customWidth="1"/>
    <col min="4816" max="4816" width="6.22222222222222" style="156" customWidth="1"/>
    <col min="4817" max="4819" width="10.1111111111111" style="156" customWidth="1"/>
    <col min="4820" max="4820" width="10.4444444444444" style="156" customWidth="1"/>
    <col min="4821" max="4842" width="8.88888888888889" style="156"/>
    <col min="4843" max="4843" width="6.44444444444444" style="156" customWidth="1"/>
    <col min="4844" max="4844" width="12.2222222222222" style="156" customWidth="1"/>
    <col min="4845" max="4845" width="28.2222222222222" style="156" customWidth="1"/>
    <col min="4846" max="4846" width="13.7777777777778" style="156" customWidth="1"/>
    <col min="4847" max="4847" width="5.66666666666667" style="156" customWidth="1"/>
    <col min="4848" max="4849" width="9.33333333333333" style="156" customWidth="1"/>
    <col min="4850" max="4850" width="13.1111111111111" style="156" customWidth="1"/>
    <col min="4851" max="5067" width="8.88888888888889" style="156"/>
    <col min="5068" max="5068" width="5" style="156" customWidth="1"/>
    <col min="5069" max="5069" width="15" style="156" customWidth="1"/>
    <col min="5070" max="5071" width="14.6666666666667" style="156" customWidth="1"/>
    <col min="5072" max="5072" width="6.22222222222222" style="156" customWidth="1"/>
    <col min="5073" max="5075" width="10.1111111111111" style="156" customWidth="1"/>
    <col min="5076" max="5076" width="10.4444444444444" style="156" customWidth="1"/>
    <col min="5077" max="5098" width="8.88888888888889" style="156"/>
    <col min="5099" max="5099" width="6.44444444444444" style="156" customWidth="1"/>
    <col min="5100" max="5100" width="12.2222222222222" style="156" customWidth="1"/>
    <col min="5101" max="5101" width="28.2222222222222" style="156" customWidth="1"/>
    <col min="5102" max="5102" width="13.7777777777778" style="156" customWidth="1"/>
    <col min="5103" max="5103" width="5.66666666666667" style="156" customWidth="1"/>
    <col min="5104" max="5105" width="9.33333333333333" style="156" customWidth="1"/>
    <col min="5106" max="5106" width="13.1111111111111" style="156" customWidth="1"/>
    <col min="5107" max="5323" width="8.88888888888889" style="156"/>
    <col min="5324" max="5324" width="5" style="156" customWidth="1"/>
    <col min="5325" max="5325" width="15" style="156" customWidth="1"/>
    <col min="5326" max="5327" width="14.6666666666667" style="156" customWidth="1"/>
    <col min="5328" max="5328" width="6.22222222222222" style="156" customWidth="1"/>
    <col min="5329" max="5331" width="10.1111111111111" style="156" customWidth="1"/>
    <col min="5332" max="5332" width="10.4444444444444" style="156" customWidth="1"/>
    <col min="5333" max="5354" width="8.88888888888889" style="156"/>
    <col min="5355" max="5355" width="6.44444444444444" style="156" customWidth="1"/>
    <col min="5356" max="5356" width="12.2222222222222" style="156" customWidth="1"/>
    <col min="5357" max="5357" width="28.2222222222222" style="156" customWidth="1"/>
    <col min="5358" max="5358" width="13.7777777777778" style="156" customWidth="1"/>
    <col min="5359" max="5359" width="5.66666666666667" style="156" customWidth="1"/>
    <col min="5360" max="5361" width="9.33333333333333" style="156" customWidth="1"/>
    <col min="5362" max="5362" width="13.1111111111111" style="156" customWidth="1"/>
    <col min="5363" max="5579" width="8.88888888888889" style="156"/>
    <col min="5580" max="5580" width="5" style="156" customWidth="1"/>
    <col min="5581" max="5581" width="15" style="156" customWidth="1"/>
    <col min="5582" max="5583" width="14.6666666666667" style="156" customWidth="1"/>
    <col min="5584" max="5584" width="6.22222222222222" style="156" customWidth="1"/>
    <col min="5585" max="5587" width="10.1111111111111" style="156" customWidth="1"/>
    <col min="5588" max="5588" width="10.4444444444444" style="156" customWidth="1"/>
    <col min="5589" max="5610" width="8.88888888888889" style="156"/>
    <col min="5611" max="5611" width="6.44444444444444" style="156" customWidth="1"/>
    <col min="5612" max="5612" width="12.2222222222222" style="156" customWidth="1"/>
    <col min="5613" max="5613" width="28.2222222222222" style="156" customWidth="1"/>
    <col min="5614" max="5614" width="13.7777777777778" style="156" customWidth="1"/>
    <col min="5615" max="5615" width="5.66666666666667" style="156" customWidth="1"/>
    <col min="5616" max="5617" width="9.33333333333333" style="156" customWidth="1"/>
    <col min="5618" max="5618" width="13.1111111111111" style="156" customWidth="1"/>
    <col min="5619" max="5835" width="8.88888888888889" style="156"/>
    <col min="5836" max="5836" width="5" style="156" customWidth="1"/>
    <col min="5837" max="5837" width="15" style="156" customWidth="1"/>
    <col min="5838" max="5839" width="14.6666666666667" style="156" customWidth="1"/>
    <col min="5840" max="5840" width="6.22222222222222" style="156" customWidth="1"/>
    <col min="5841" max="5843" width="10.1111111111111" style="156" customWidth="1"/>
    <col min="5844" max="5844" width="10.4444444444444" style="156" customWidth="1"/>
    <col min="5845" max="5866" width="8.88888888888889" style="156"/>
    <col min="5867" max="5867" width="6.44444444444444" style="156" customWidth="1"/>
    <col min="5868" max="5868" width="12.2222222222222" style="156" customWidth="1"/>
    <col min="5869" max="5869" width="28.2222222222222" style="156" customWidth="1"/>
    <col min="5870" max="5870" width="13.7777777777778" style="156" customWidth="1"/>
    <col min="5871" max="5871" width="5.66666666666667" style="156" customWidth="1"/>
    <col min="5872" max="5873" width="9.33333333333333" style="156" customWidth="1"/>
    <col min="5874" max="5874" width="13.1111111111111" style="156" customWidth="1"/>
    <col min="5875" max="6091" width="8.88888888888889" style="156"/>
    <col min="6092" max="6092" width="5" style="156" customWidth="1"/>
    <col min="6093" max="6093" width="15" style="156" customWidth="1"/>
    <col min="6094" max="6095" width="14.6666666666667" style="156" customWidth="1"/>
    <col min="6096" max="6096" width="6.22222222222222" style="156" customWidth="1"/>
    <col min="6097" max="6099" width="10.1111111111111" style="156" customWidth="1"/>
    <col min="6100" max="6100" width="10.4444444444444" style="156" customWidth="1"/>
    <col min="6101" max="6122" width="8.88888888888889" style="156"/>
    <col min="6123" max="6123" width="6.44444444444444" style="156" customWidth="1"/>
    <col min="6124" max="6124" width="12.2222222222222" style="156" customWidth="1"/>
    <col min="6125" max="6125" width="28.2222222222222" style="156" customWidth="1"/>
    <col min="6126" max="6126" width="13.7777777777778" style="156" customWidth="1"/>
    <col min="6127" max="6127" width="5.66666666666667" style="156" customWidth="1"/>
    <col min="6128" max="6129" width="9.33333333333333" style="156" customWidth="1"/>
    <col min="6130" max="6130" width="13.1111111111111" style="156" customWidth="1"/>
    <col min="6131" max="6347" width="8.88888888888889" style="156"/>
    <col min="6348" max="6348" width="5" style="156" customWidth="1"/>
    <col min="6349" max="6349" width="15" style="156" customWidth="1"/>
    <col min="6350" max="6351" width="14.6666666666667" style="156" customWidth="1"/>
    <col min="6352" max="6352" width="6.22222222222222" style="156" customWidth="1"/>
    <col min="6353" max="6355" width="10.1111111111111" style="156" customWidth="1"/>
    <col min="6356" max="6356" width="10.4444444444444" style="156" customWidth="1"/>
    <col min="6357" max="6378" width="8.88888888888889" style="156"/>
    <col min="6379" max="6379" width="6.44444444444444" style="156" customWidth="1"/>
    <col min="6380" max="6380" width="12.2222222222222" style="156" customWidth="1"/>
    <col min="6381" max="6381" width="28.2222222222222" style="156" customWidth="1"/>
    <col min="6382" max="6382" width="13.7777777777778" style="156" customWidth="1"/>
    <col min="6383" max="6383" width="5.66666666666667" style="156" customWidth="1"/>
    <col min="6384" max="6385" width="9.33333333333333" style="156" customWidth="1"/>
    <col min="6386" max="6386" width="13.1111111111111" style="156" customWidth="1"/>
    <col min="6387" max="6603" width="8.88888888888889" style="156"/>
    <col min="6604" max="6604" width="5" style="156" customWidth="1"/>
    <col min="6605" max="6605" width="15" style="156" customWidth="1"/>
    <col min="6606" max="6607" width="14.6666666666667" style="156" customWidth="1"/>
    <col min="6608" max="6608" width="6.22222222222222" style="156" customWidth="1"/>
    <col min="6609" max="6611" width="10.1111111111111" style="156" customWidth="1"/>
    <col min="6612" max="6612" width="10.4444444444444" style="156" customWidth="1"/>
    <col min="6613" max="6634" width="8.88888888888889" style="156"/>
    <col min="6635" max="6635" width="6.44444444444444" style="156" customWidth="1"/>
    <col min="6636" max="6636" width="12.2222222222222" style="156" customWidth="1"/>
    <col min="6637" max="6637" width="28.2222222222222" style="156" customWidth="1"/>
    <col min="6638" max="6638" width="13.7777777777778" style="156" customWidth="1"/>
    <col min="6639" max="6639" width="5.66666666666667" style="156" customWidth="1"/>
    <col min="6640" max="6641" width="9.33333333333333" style="156" customWidth="1"/>
    <col min="6642" max="6642" width="13.1111111111111" style="156" customWidth="1"/>
    <col min="6643" max="6859" width="8.88888888888889" style="156"/>
    <col min="6860" max="6860" width="5" style="156" customWidth="1"/>
    <col min="6861" max="6861" width="15" style="156" customWidth="1"/>
    <col min="6862" max="6863" width="14.6666666666667" style="156" customWidth="1"/>
    <col min="6864" max="6864" width="6.22222222222222" style="156" customWidth="1"/>
    <col min="6865" max="6867" width="10.1111111111111" style="156" customWidth="1"/>
    <col min="6868" max="6868" width="10.4444444444444" style="156" customWidth="1"/>
    <col min="6869" max="6890" width="8.88888888888889" style="156"/>
    <col min="6891" max="6891" width="6.44444444444444" style="156" customWidth="1"/>
    <col min="6892" max="6892" width="12.2222222222222" style="156" customWidth="1"/>
    <col min="6893" max="6893" width="28.2222222222222" style="156" customWidth="1"/>
    <col min="6894" max="6894" width="13.7777777777778" style="156" customWidth="1"/>
    <col min="6895" max="6895" width="5.66666666666667" style="156" customWidth="1"/>
    <col min="6896" max="6897" width="9.33333333333333" style="156" customWidth="1"/>
    <col min="6898" max="6898" width="13.1111111111111" style="156" customWidth="1"/>
    <col min="6899" max="7115" width="8.88888888888889" style="156"/>
    <col min="7116" max="7116" width="5" style="156" customWidth="1"/>
    <col min="7117" max="7117" width="15" style="156" customWidth="1"/>
    <col min="7118" max="7119" width="14.6666666666667" style="156" customWidth="1"/>
    <col min="7120" max="7120" width="6.22222222222222" style="156" customWidth="1"/>
    <col min="7121" max="7123" width="10.1111111111111" style="156" customWidth="1"/>
    <col min="7124" max="7124" width="10.4444444444444" style="156" customWidth="1"/>
    <col min="7125" max="7146" width="8.88888888888889" style="156"/>
    <col min="7147" max="7147" width="6.44444444444444" style="156" customWidth="1"/>
    <col min="7148" max="7148" width="12.2222222222222" style="156" customWidth="1"/>
    <col min="7149" max="7149" width="28.2222222222222" style="156" customWidth="1"/>
    <col min="7150" max="7150" width="13.7777777777778" style="156" customWidth="1"/>
    <col min="7151" max="7151" width="5.66666666666667" style="156" customWidth="1"/>
    <col min="7152" max="7153" width="9.33333333333333" style="156" customWidth="1"/>
    <col min="7154" max="7154" width="13.1111111111111" style="156" customWidth="1"/>
    <col min="7155" max="7371" width="8.88888888888889" style="156"/>
    <col min="7372" max="7372" width="5" style="156" customWidth="1"/>
    <col min="7373" max="7373" width="15" style="156" customWidth="1"/>
    <col min="7374" max="7375" width="14.6666666666667" style="156" customWidth="1"/>
    <col min="7376" max="7376" width="6.22222222222222" style="156" customWidth="1"/>
    <col min="7377" max="7379" width="10.1111111111111" style="156" customWidth="1"/>
    <col min="7380" max="7380" width="10.4444444444444" style="156" customWidth="1"/>
    <col min="7381" max="7402" width="8.88888888888889" style="156"/>
    <col min="7403" max="7403" width="6.44444444444444" style="156" customWidth="1"/>
    <col min="7404" max="7404" width="12.2222222222222" style="156" customWidth="1"/>
    <col min="7405" max="7405" width="28.2222222222222" style="156" customWidth="1"/>
    <col min="7406" max="7406" width="13.7777777777778" style="156" customWidth="1"/>
    <col min="7407" max="7407" width="5.66666666666667" style="156" customWidth="1"/>
    <col min="7408" max="7409" width="9.33333333333333" style="156" customWidth="1"/>
    <col min="7410" max="7410" width="13.1111111111111" style="156" customWidth="1"/>
    <col min="7411" max="7627" width="8.88888888888889" style="156"/>
    <col min="7628" max="7628" width="5" style="156" customWidth="1"/>
    <col min="7629" max="7629" width="15" style="156" customWidth="1"/>
    <col min="7630" max="7631" width="14.6666666666667" style="156" customWidth="1"/>
    <col min="7632" max="7632" width="6.22222222222222" style="156" customWidth="1"/>
    <col min="7633" max="7635" width="10.1111111111111" style="156" customWidth="1"/>
    <col min="7636" max="7636" width="10.4444444444444" style="156" customWidth="1"/>
    <col min="7637" max="7658" width="8.88888888888889" style="156"/>
    <col min="7659" max="7659" width="6.44444444444444" style="156" customWidth="1"/>
    <col min="7660" max="7660" width="12.2222222222222" style="156" customWidth="1"/>
    <col min="7661" max="7661" width="28.2222222222222" style="156" customWidth="1"/>
    <col min="7662" max="7662" width="13.7777777777778" style="156" customWidth="1"/>
    <col min="7663" max="7663" width="5.66666666666667" style="156" customWidth="1"/>
    <col min="7664" max="7665" width="9.33333333333333" style="156" customWidth="1"/>
    <col min="7666" max="7666" width="13.1111111111111" style="156" customWidth="1"/>
    <col min="7667" max="7883" width="8.88888888888889" style="156"/>
    <col min="7884" max="7884" width="5" style="156" customWidth="1"/>
    <col min="7885" max="7885" width="15" style="156" customWidth="1"/>
    <col min="7886" max="7887" width="14.6666666666667" style="156" customWidth="1"/>
    <col min="7888" max="7888" width="6.22222222222222" style="156" customWidth="1"/>
    <col min="7889" max="7891" width="10.1111111111111" style="156" customWidth="1"/>
    <col min="7892" max="7892" width="10.4444444444444" style="156" customWidth="1"/>
    <col min="7893" max="7914" width="8.88888888888889" style="156"/>
    <col min="7915" max="7915" width="6.44444444444444" style="156" customWidth="1"/>
    <col min="7916" max="7916" width="12.2222222222222" style="156" customWidth="1"/>
    <col min="7917" max="7917" width="28.2222222222222" style="156" customWidth="1"/>
    <col min="7918" max="7918" width="13.7777777777778" style="156" customWidth="1"/>
    <col min="7919" max="7919" width="5.66666666666667" style="156" customWidth="1"/>
    <col min="7920" max="7921" width="9.33333333333333" style="156" customWidth="1"/>
    <col min="7922" max="7922" width="13.1111111111111" style="156" customWidth="1"/>
    <col min="7923" max="8139" width="8.88888888888889" style="156"/>
    <col min="8140" max="8140" width="5" style="156" customWidth="1"/>
    <col min="8141" max="8141" width="15" style="156" customWidth="1"/>
    <col min="8142" max="8143" width="14.6666666666667" style="156" customWidth="1"/>
    <col min="8144" max="8144" width="6.22222222222222" style="156" customWidth="1"/>
    <col min="8145" max="8147" width="10.1111111111111" style="156" customWidth="1"/>
    <col min="8148" max="8148" width="10.4444444444444" style="156" customWidth="1"/>
    <col min="8149" max="8170" width="8.88888888888889" style="156"/>
    <col min="8171" max="8171" width="6.44444444444444" style="156" customWidth="1"/>
    <col min="8172" max="8172" width="12.2222222222222" style="156" customWidth="1"/>
    <col min="8173" max="8173" width="28.2222222222222" style="156" customWidth="1"/>
    <col min="8174" max="8174" width="13.7777777777778" style="156" customWidth="1"/>
    <col min="8175" max="8175" width="5.66666666666667" style="156" customWidth="1"/>
    <col min="8176" max="8177" width="9.33333333333333" style="156" customWidth="1"/>
    <col min="8178" max="8178" width="13.1111111111111" style="156" customWidth="1"/>
    <col min="8179" max="8395" width="8.88888888888889" style="156"/>
    <col min="8396" max="8396" width="5" style="156" customWidth="1"/>
    <col min="8397" max="8397" width="15" style="156" customWidth="1"/>
    <col min="8398" max="8399" width="14.6666666666667" style="156" customWidth="1"/>
    <col min="8400" max="8400" width="6.22222222222222" style="156" customWidth="1"/>
    <col min="8401" max="8403" width="10.1111111111111" style="156" customWidth="1"/>
    <col min="8404" max="8404" width="10.4444444444444" style="156" customWidth="1"/>
    <col min="8405" max="8426" width="8.88888888888889" style="156"/>
    <col min="8427" max="8427" width="6.44444444444444" style="156" customWidth="1"/>
    <col min="8428" max="8428" width="12.2222222222222" style="156" customWidth="1"/>
    <col min="8429" max="8429" width="28.2222222222222" style="156" customWidth="1"/>
    <col min="8430" max="8430" width="13.7777777777778" style="156" customWidth="1"/>
    <col min="8431" max="8431" width="5.66666666666667" style="156" customWidth="1"/>
    <col min="8432" max="8433" width="9.33333333333333" style="156" customWidth="1"/>
    <col min="8434" max="8434" width="13.1111111111111" style="156" customWidth="1"/>
    <col min="8435" max="8651" width="8.88888888888889" style="156"/>
    <col min="8652" max="8652" width="5" style="156" customWidth="1"/>
    <col min="8653" max="8653" width="15" style="156" customWidth="1"/>
    <col min="8654" max="8655" width="14.6666666666667" style="156" customWidth="1"/>
    <col min="8656" max="8656" width="6.22222222222222" style="156" customWidth="1"/>
    <col min="8657" max="8659" width="10.1111111111111" style="156" customWidth="1"/>
    <col min="8660" max="8660" width="10.4444444444444" style="156" customWidth="1"/>
    <col min="8661" max="8682" width="8.88888888888889" style="156"/>
    <col min="8683" max="8683" width="6.44444444444444" style="156" customWidth="1"/>
    <col min="8684" max="8684" width="12.2222222222222" style="156" customWidth="1"/>
    <col min="8685" max="8685" width="28.2222222222222" style="156" customWidth="1"/>
    <col min="8686" max="8686" width="13.7777777777778" style="156" customWidth="1"/>
    <col min="8687" max="8687" width="5.66666666666667" style="156" customWidth="1"/>
    <col min="8688" max="8689" width="9.33333333333333" style="156" customWidth="1"/>
    <col min="8690" max="8690" width="13.1111111111111" style="156" customWidth="1"/>
    <col min="8691" max="8907" width="8.88888888888889" style="156"/>
    <col min="8908" max="8908" width="5" style="156" customWidth="1"/>
    <col min="8909" max="8909" width="15" style="156" customWidth="1"/>
    <col min="8910" max="8911" width="14.6666666666667" style="156" customWidth="1"/>
    <col min="8912" max="8912" width="6.22222222222222" style="156" customWidth="1"/>
    <col min="8913" max="8915" width="10.1111111111111" style="156" customWidth="1"/>
    <col min="8916" max="8916" width="10.4444444444444" style="156" customWidth="1"/>
    <col min="8917" max="8938" width="8.88888888888889" style="156"/>
    <col min="8939" max="8939" width="6.44444444444444" style="156" customWidth="1"/>
    <col min="8940" max="8940" width="12.2222222222222" style="156" customWidth="1"/>
    <col min="8941" max="8941" width="28.2222222222222" style="156" customWidth="1"/>
    <col min="8942" max="8942" width="13.7777777777778" style="156" customWidth="1"/>
    <col min="8943" max="8943" width="5.66666666666667" style="156" customWidth="1"/>
    <col min="8944" max="8945" width="9.33333333333333" style="156" customWidth="1"/>
    <col min="8946" max="8946" width="13.1111111111111" style="156" customWidth="1"/>
    <col min="8947" max="9163" width="8.88888888888889" style="156"/>
    <col min="9164" max="9164" width="5" style="156" customWidth="1"/>
    <col min="9165" max="9165" width="15" style="156" customWidth="1"/>
    <col min="9166" max="9167" width="14.6666666666667" style="156" customWidth="1"/>
    <col min="9168" max="9168" width="6.22222222222222" style="156" customWidth="1"/>
    <col min="9169" max="9171" width="10.1111111111111" style="156" customWidth="1"/>
    <col min="9172" max="9172" width="10.4444444444444" style="156" customWidth="1"/>
    <col min="9173" max="9194" width="8.88888888888889" style="156"/>
    <col min="9195" max="9195" width="6.44444444444444" style="156" customWidth="1"/>
    <col min="9196" max="9196" width="12.2222222222222" style="156" customWidth="1"/>
    <col min="9197" max="9197" width="28.2222222222222" style="156" customWidth="1"/>
    <col min="9198" max="9198" width="13.7777777777778" style="156" customWidth="1"/>
    <col min="9199" max="9199" width="5.66666666666667" style="156" customWidth="1"/>
    <col min="9200" max="9201" width="9.33333333333333" style="156" customWidth="1"/>
    <col min="9202" max="9202" width="13.1111111111111" style="156" customWidth="1"/>
    <col min="9203" max="9419" width="8.88888888888889" style="156"/>
    <col min="9420" max="9420" width="5" style="156" customWidth="1"/>
    <col min="9421" max="9421" width="15" style="156" customWidth="1"/>
    <col min="9422" max="9423" width="14.6666666666667" style="156" customWidth="1"/>
    <col min="9424" max="9424" width="6.22222222222222" style="156" customWidth="1"/>
    <col min="9425" max="9427" width="10.1111111111111" style="156" customWidth="1"/>
    <col min="9428" max="9428" width="10.4444444444444" style="156" customWidth="1"/>
    <col min="9429" max="9450" width="8.88888888888889" style="156"/>
    <col min="9451" max="9451" width="6.44444444444444" style="156" customWidth="1"/>
    <col min="9452" max="9452" width="12.2222222222222" style="156" customWidth="1"/>
    <col min="9453" max="9453" width="28.2222222222222" style="156" customWidth="1"/>
    <col min="9454" max="9454" width="13.7777777777778" style="156" customWidth="1"/>
    <col min="9455" max="9455" width="5.66666666666667" style="156" customWidth="1"/>
    <col min="9456" max="9457" width="9.33333333333333" style="156" customWidth="1"/>
    <col min="9458" max="9458" width="13.1111111111111" style="156" customWidth="1"/>
    <col min="9459" max="9675" width="8.88888888888889" style="156"/>
    <col min="9676" max="9676" width="5" style="156" customWidth="1"/>
    <col min="9677" max="9677" width="15" style="156" customWidth="1"/>
    <col min="9678" max="9679" width="14.6666666666667" style="156" customWidth="1"/>
    <col min="9680" max="9680" width="6.22222222222222" style="156" customWidth="1"/>
    <col min="9681" max="9683" width="10.1111111111111" style="156" customWidth="1"/>
    <col min="9684" max="9684" width="10.4444444444444" style="156" customWidth="1"/>
    <col min="9685" max="9706" width="8.88888888888889" style="156"/>
    <col min="9707" max="9707" width="6.44444444444444" style="156" customWidth="1"/>
    <col min="9708" max="9708" width="12.2222222222222" style="156" customWidth="1"/>
    <col min="9709" max="9709" width="28.2222222222222" style="156" customWidth="1"/>
    <col min="9710" max="9710" width="13.7777777777778" style="156" customWidth="1"/>
    <col min="9711" max="9711" width="5.66666666666667" style="156" customWidth="1"/>
    <col min="9712" max="9713" width="9.33333333333333" style="156" customWidth="1"/>
    <col min="9714" max="9714" width="13.1111111111111" style="156" customWidth="1"/>
    <col min="9715" max="9931" width="8.88888888888889" style="156"/>
    <col min="9932" max="9932" width="5" style="156" customWidth="1"/>
    <col min="9933" max="9933" width="15" style="156" customWidth="1"/>
    <col min="9934" max="9935" width="14.6666666666667" style="156" customWidth="1"/>
    <col min="9936" max="9936" width="6.22222222222222" style="156" customWidth="1"/>
    <col min="9937" max="9939" width="10.1111111111111" style="156" customWidth="1"/>
    <col min="9940" max="9940" width="10.4444444444444" style="156" customWidth="1"/>
    <col min="9941" max="9962" width="8.88888888888889" style="156"/>
    <col min="9963" max="9963" width="6.44444444444444" style="156" customWidth="1"/>
    <col min="9964" max="9964" width="12.2222222222222" style="156" customWidth="1"/>
    <col min="9965" max="9965" width="28.2222222222222" style="156" customWidth="1"/>
    <col min="9966" max="9966" width="13.7777777777778" style="156" customWidth="1"/>
    <col min="9967" max="9967" width="5.66666666666667" style="156" customWidth="1"/>
    <col min="9968" max="9969" width="9.33333333333333" style="156" customWidth="1"/>
    <col min="9970" max="9970" width="13.1111111111111" style="156" customWidth="1"/>
    <col min="9971" max="10187" width="8.88888888888889" style="156"/>
    <col min="10188" max="10188" width="5" style="156" customWidth="1"/>
    <col min="10189" max="10189" width="15" style="156" customWidth="1"/>
    <col min="10190" max="10191" width="14.6666666666667" style="156" customWidth="1"/>
    <col min="10192" max="10192" width="6.22222222222222" style="156" customWidth="1"/>
    <col min="10193" max="10195" width="10.1111111111111" style="156" customWidth="1"/>
    <col min="10196" max="10196" width="10.4444444444444" style="156" customWidth="1"/>
    <col min="10197" max="10218" width="8.88888888888889" style="156"/>
    <col min="10219" max="10219" width="6.44444444444444" style="156" customWidth="1"/>
    <col min="10220" max="10220" width="12.2222222222222" style="156" customWidth="1"/>
    <col min="10221" max="10221" width="28.2222222222222" style="156" customWidth="1"/>
    <col min="10222" max="10222" width="13.7777777777778" style="156" customWidth="1"/>
    <col min="10223" max="10223" width="5.66666666666667" style="156" customWidth="1"/>
    <col min="10224" max="10225" width="9.33333333333333" style="156" customWidth="1"/>
    <col min="10226" max="10226" width="13.1111111111111" style="156" customWidth="1"/>
    <col min="10227" max="10443" width="8.88888888888889" style="156"/>
    <col min="10444" max="10444" width="5" style="156" customWidth="1"/>
    <col min="10445" max="10445" width="15" style="156" customWidth="1"/>
    <col min="10446" max="10447" width="14.6666666666667" style="156" customWidth="1"/>
    <col min="10448" max="10448" width="6.22222222222222" style="156" customWidth="1"/>
    <col min="10449" max="10451" width="10.1111111111111" style="156" customWidth="1"/>
    <col min="10452" max="10452" width="10.4444444444444" style="156" customWidth="1"/>
    <col min="10453" max="10474" width="8.88888888888889" style="156"/>
    <col min="10475" max="10475" width="6.44444444444444" style="156" customWidth="1"/>
    <col min="10476" max="10476" width="12.2222222222222" style="156" customWidth="1"/>
    <col min="10477" max="10477" width="28.2222222222222" style="156" customWidth="1"/>
    <col min="10478" max="10478" width="13.7777777777778" style="156" customWidth="1"/>
    <col min="10479" max="10479" width="5.66666666666667" style="156" customWidth="1"/>
    <col min="10480" max="10481" width="9.33333333333333" style="156" customWidth="1"/>
    <col min="10482" max="10482" width="13.1111111111111" style="156" customWidth="1"/>
    <col min="10483" max="10699" width="8.88888888888889" style="156"/>
    <col min="10700" max="10700" width="5" style="156" customWidth="1"/>
    <col min="10701" max="10701" width="15" style="156" customWidth="1"/>
    <col min="10702" max="10703" width="14.6666666666667" style="156" customWidth="1"/>
    <col min="10704" max="10704" width="6.22222222222222" style="156" customWidth="1"/>
    <col min="10705" max="10707" width="10.1111111111111" style="156" customWidth="1"/>
    <col min="10708" max="10708" width="10.4444444444444" style="156" customWidth="1"/>
    <col min="10709" max="10730" width="8.88888888888889" style="156"/>
    <col min="10731" max="10731" width="6.44444444444444" style="156" customWidth="1"/>
    <col min="10732" max="10732" width="12.2222222222222" style="156" customWidth="1"/>
    <col min="10733" max="10733" width="28.2222222222222" style="156" customWidth="1"/>
    <col min="10734" max="10734" width="13.7777777777778" style="156" customWidth="1"/>
    <col min="10735" max="10735" width="5.66666666666667" style="156" customWidth="1"/>
    <col min="10736" max="10737" width="9.33333333333333" style="156" customWidth="1"/>
    <col min="10738" max="10738" width="13.1111111111111" style="156" customWidth="1"/>
    <col min="10739" max="10955" width="8.88888888888889" style="156"/>
    <col min="10956" max="10956" width="5" style="156" customWidth="1"/>
    <col min="10957" max="10957" width="15" style="156" customWidth="1"/>
    <col min="10958" max="10959" width="14.6666666666667" style="156" customWidth="1"/>
    <col min="10960" max="10960" width="6.22222222222222" style="156" customWidth="1"/>
    <col min="10961" max="10963" width="10.1111111111111" style="156" customWidth="1"/>
    <col min="10964" max="10964" width="10.4444444444444" style="156" customWidth="1"/>
    <col min="10965" max="10986" width="8.88888888888889" style="156"/>
    <col min="10987" max="10987" width="6.44444444444444" style="156" customWidth="1"/>
    <col min="10988" max="10988" width="12.2222222222222" style="156" customWidth="1"/>
    <col min="10989" max="10989" width="28.2222222222222" style="156" customWidth="1"/>
    <col min="10990" max="10990" width="13.7777777777778" style="156" customWidth="1"/>
    <col min="10991" max="10991" width="5.66666666666667" style="156" customWidth="1"/>
    <col min="10992" max="10993" width="9.33333333333333" style="156" customWidth="1"/>
    <col min="10994" max="10994" width="13.1111111111111" style="156" customWidth="1"/>
    <col min="10995" max="11211" width="8.88888888888889" style="156"/>
    <col min="11212" max="11212" width="5" style="156" customWidth="1"/>
    <col min="11213" max="11213" width="15" style="156" customWidth="1"/>
    <col min="11214" max="11215" width="14.6666666666667" style="156" customWidth="1"/>
    <col min="11216" max="11216" width="6.22222222222222" style="156" customWidth="1"/>
    <col min="11217" max="11219" width="10.1111111111111" style="156" customWidth="1"/>
    <col min="11220" max="11220" width="10.4444444444444" style="156" customWidth="1"/>
    <col min="11221" max="11242" width="8.88888888888889" style="156"/>
    <col min="11243" max="11243" width="6.44444444444444" style="156" customWidth="1"/>
    <col min="11244" max="11244" width="12.2222222222222" style="156" customWidth="1"/>
    <col min="11245" max="11245" width="28.2222222222222" style="156" customWidth="1"/>
    <col min="11246" max="11246" width="13.7777777777778" style="156" customWidth="1"/>
    <col min="11247" max="11247" width="5.66666666666667" style="156" customWidth="1"/>
    <col min="11248" max="11249" width="9.33333333333333" style="156" customWidth="1"/>
    <col min="11250" max="11250" width="13.1111111111111" style="156" customWidth="1"/>
    <col min="11251" max="11467" width="8.88888888888889" style="156"/>
    <col min="11468" max="11468" width="5" style="156" customWidth="1"/>
    <col min="11469" max="11469" width="15" style="156" customWidth="1"/>
    <col min="11470" max="11471" width="14.6666666666667" style="156" customWidth="1"/>
    <col min="11472" max="11472" width="6.22222222222222" style="156" customWidth="1"/>
    <col min="11473" max="11475" width="10.1111111111111" style="156" customWidth="1"/>
    <col min="11476" max="11476" width="10.4444444444444" style="156" customWidth="1"/>
    <col min="11477" max="11498" width="8.88888888888889" style="156"/>
    <col min="11499" max="11499" width="6.44444444444444" style="156" customWidth="1"/>
    <col min="11500" max="11500" width="12.2222222222222" style="156" customWidth="1"/>
    <col min="11501" max="11501" width="28.2222222222222" style="156" customWidth="1"/>
    <col min="11502" max="11502" width="13.7777777777778" style="156" customWidth="1"/>
    <col min="11503" max="11503" width="5.66666666666667" style="156" customWidth="1"/>
    <col min="11504" max="11505" width="9.33333333333333" style="156" customWidth="1"/>
    <col min="11506" max="11506" width="13.1111111111111" style="156" customWidth="1"/>
    <col min="11507" max="11723" width="8.88888888888889" style="156"/>
    <col min="11724" max="11724" width="5" style="156" customWidth="1"/>
    <col min="11725" max="11725" width="15" style="156" customWidth="1"/>
    <col min="11726" max="11727" width="14.6666666666667" style="156" customWidth="1"/>
    <col min="11728" max="11728" width="6.22222222222222" style="156" customWidth="1"/>
    <col min="11729" max="11731" width="10.1111111111111" style="156" customWidth="1"/>
    <col min="11732" max="11732" width="10.4444444444444" style="156" customWidth="1"/>
    <col min="11733" max="11754" width="8.88888888888889" style="156"/>
    <col min="11755" max="11755" width="6.44444444444444" style="156" customWidth="1"/>
    <col min="11756" max="11756" width="12.2222222222222" style="156" customWidth="1"/>
    <col min="11757" max="11757" width="28.2222222222222" style="156" customWidth="1"/>
    <col min="11758" max="11758" width="13.7777777777778" style="156" customWidth="1"/>
    <col min="11759" max="11759" width="5.66666666666667" style="156" customWidth="1"/>
    <col min="11760" max="11761" width="9.33333333333333" style="156" customWidth="1"/>
    <col min="11762" max="11762" width="13.1111111111111" style="156" customWidth="1"/>
    <col min="11763" max="11979" width="8.88888888888889" style="156"/>
    <col min="11980" max="11980" width="5" style="156" customWidth="1"/>
    <col min="11981" max="11981" width="15" style="156" customWidth="1"/>
    <col min="11982" max="11983" width="14.6666666666667" style="156" customWidth="1"/>
    <col min="11984" max="11984" width="6.22222222222222" style="156" customWidth="1"/>
    <col min="11985" max="11987" width="10.1111111111111" style="156" customWidth="1"/>
    <col min="11988" max="11988" width="10.4444444444444" style="156" customWidth="1"/>
    <col min="11989" max="12010" width="8.88888888888889" style="156"/>
    <col min="12011" max="12011" width="6.44444444444444" style="156" customWidth="1"/>
    <col min="12012" max="12012" width="12.2222222222222" style="156" customWidth="1"/>
    <col min="12013" max="12013" width="28.2222222222222" style="156" customWidth="1"/>
    <col min="12014" max="12014" width="13.7777777777778" style="156" customWidth="1"/>
    <col min="12015" max="12015" width="5.66666666666667" style="156" customWidth="1"/>
    <col min="12016" max="12017" width="9.33333333333333" style="156" customWidth="1"/>
    <col min="12018" max="12018" width="13.1111111111111" style="156" customWidth="1"/>
    <col min="12019" max="12235" width="8.88888888888889" style="156"/>
    <col min="12236" max="12236" width="5" style="156" customWidth="1"/>
    <col min="12237" max="12237" width="15" style="156" customWidth="1"/>
    <col min="12238" max="12239" width="14.6666666666667" style="156" customWidth="1"/>
    <col min="12240" max="12240" width="6.22222222222222" style="156" customWidth="1"/>
    <col min="12241" max="12243" width="10.1111111111111" style="156" customWidth="1"/>
    <col min="12244" max="12244" width="10.4444444444444" style="156" customWidth="1"/>
    <col min="12245" max="12266" width="8.88888888888889" style="156"/>
    <col min="12267" max="12267" width="6.44444444444444" style="156" customWidth="1"/>
    <col min="12268" max="12268" width="12.2222222222222" style="156" customWidth="1"/>
    <col min="12269" max="12269" width="28.2222222222222" style="156" customWidth="1"/>
    <col min="12270" max="12270" width="13.7777777777778" style="156" customWidth="1"/>
    <col min="12271" max="12271" width="5.66666666666667" style="156" customWidth="1"/>
    <col min="12272" max="12273" width="9.33333333333333" style="156" customWidth="1"/>
    <col min="12274" max="12274" width="13.1111111111111" style="156" customWidth="1"/>
    <col min="12275" max="12491" width="8.88888888888889" style="156"/>
    <col min="12492" max="12492" width="5" style="156" customWidth="1"/>
    <col min="12493" max="12493" width="15" style="156" customWidth="1"/>
    <col min="12494" max="12495" width="14.6666666666667" style="156" customWidth="1"/>
    <col min="12496" max="12496" width="6.22222222222222" style="156" customWidth="1"/>
    <col min="12497" max="12499" width="10.1111111111111" style="156" customWidth="1"/>
    <col min="12500" max="12500" width="10.4444444444444" style="156" customWidth="1"/>
    <col min="12501" max="12522" width="8.88888888888889" style="156"/>
    <col min="12523" max="12523" width="6.44444444444444" style="156" customWidth="1"/>
    <col min="12524" max="12524" width="12.2222222222222" style="156" customWidth="1"/>
    <col min="12525" max="12525" width="28.2222222222222" style="156" customWidth="1"/>
    <col min="12526" max="12526" width="13.7777777777778" style="156" customWidth="1"/>
    <col min="12527" max="12527" width="5.66666666666667" style="156" customWidth="1"/>
    <col min="12528" max="12529" width="9.33333333333333" style="156" customWidth="1"/>
    <col min="12530" max="12530" width="13.1111111111111" style="156" customWidth="1"/>
    <col min="12531" max="12747" width="8.88888888888889" style="156"/>
    <col min="12748" max="12748" width="5" style="156" customWidth="1"/>
    <col min="12749" max="12749" width="15" style="156" customWidth="1"/>
    <col min="12750" max="12751" width="14.6666666666667" style="156" customWidth="1"/>
    <col min="12752" max="12752" width="6.22222222222222" style="156" customWidth="1"/>
    <col min="12753" max="12755" width="10.1111111111111" style="156" customWidth="1"/>
    <col min="12756" max="12756" width="10.4444444444444" style="156" customWidth="1"/>
    <col min="12757" max="12778" width="8.88888888888889" style="156"/>
    <col min="12779" max="12779" width="6.44444444444444" style="156" customWidth="1"/>
    <col min="12780" max="12780" width="12.2222222222222" style="156" customWidth="1"/>
    <col min="12781" max="12781" width="28.2222222222222" style="156" customWidth="1"/>
    <col min="12782" max="12782" width="13.7777777777778" style="156" customWidth="1"/>
    <col min="12783" max="12783" width="5.66666666666667" style="156" customWidth="1"/>
    <col min="12784" max="12785" width="9.33333333333333" style="156" customWidth="1"/>
    <col min="12786" max="12786" width="13.1111111111111" style="156" customWidth="1"/>
    <col min="12787" max="13003" width="8.88888888888889" style="156"/>
    <col min="13004" max="13004" width="5" style="156" customWidth="1"/>
    <col min="13005" max="13005" width="15" style="156" customWidth="1"/>
    <col min="13006" max="13007" width="14.6666666666667" style="156" customWidth="1"/>
    <col min="13008" max="13008" width="6.22222222222222" style="156" customWidth="1"/>
    <col min="13009" max="13011" width="10.1111111111111" style="156" customWidth="1"/>
    <col min="13012" max="13012" width="10.4444444444444" style="156" customWidth="1"/>
    <col min="13013" max="13034" width="8.88888888888889" style="156"/>
    <col min="13035" max="13035" width="6.44444444444444" style="156" customWidth="1"/>
    <col min="13036" max="13036" width="12.2222222222222" style="156" customWidth="1"/>
    <col min="13037" max="13037" width="28.2222222222222" style="156" customWidth="1"/>
    <col min="13038" max="13038" width="13.7777777777778" style="156" customWidth="1"/>
    <col min="13039" max="13039" width="5.66666666666667" style="156" customWidth="1"/>
    <col min="13040" max="13041" width="9.33333333333333" style="156" customWidth="1"/>
    <col min="13042" max="13042" width="13.1111111111111" style="156" customWidth="1"/>
    <col min="13043" max="13259" width="8.88888888888889" style="156"/>
    <col min="13260" max="13260" width="5" style="156" customWidth="1"/>
    <col min="13261" max="13261" width="15" style="156" customWidth="1"/>
    <col min="13262" max="13263" width="14.6666666666667" style="156" customWidth="1"/>
    <col min="13264" max="13264" width="6.22222222222222" style="156" customWidth="1"/>
    <col min="13265" max="13267" width="10.1111111111111" style="156" customWidth="1"/>
    <col min="13268" max="13268" width="10.4444444444444" style="156" customWidth="1"/>
    <col min="13269" max="13290" width="8.88888888888889" style="156"/>
    <col min="13291" max="13291" width="6.44444444444444" style="156" customWidth="1"/>
    <col min="13292" max="13292" width="12.2222222222222" style="156" customWidth="1"/>
    <col min="13293" max="13293" width="28.2222222222222" style="156" customWidth="1"/>
    <col min="13294" max="13294" width="13.7777777777778" style="156" customWidth="1"/>
    <col min="13295" max="13295" width="5.66666666666667" style="156" customWidth="1"/>
    <col min="13296" max="13297" width="9.33333333333333" style="156" customWidth="1"/>
    <col min="13298" max="13298" width="13.1111111111111" style="156" customWidth="1"/>
    <col min="13299" max="13515" width="8.88888888888889" style="156"/>
    <col min="13516" max="13516" width="5" style="156" customWidth="1"/>
    <col min="13517" max="13517" width="15" style="156" customWidth="1"/>
    <col min="13518" max="13519" width="14.6666666666667" style="156" customWidth="1"/>
    <col min="13520" max="13520" width="6.22222222222222" style="156" customWidth="1"/>
    <col min="13521" max="13523" width="10.1111111111111" style="156" customWidth="1"/>
    <col min="13524" max="13524" width="10.4444444444444" style="156" customWidth="1"/>
    <col min="13525" max="13546" width="8.88888888888889" style="156"/>
    <col min="13547" max="13547" width="6.44444444444444" style="156" customWidth="1"/>
    <col min="13548" max="13548" width="12.2222222222222" style="156" customWidth="1"/>
    <col min="13549" max="13549" width="28.2222222222222" style="156" customWidth="1"/>
    <col min="13550" max="13550" width="13.7777777777778" style="156" customWidth="1"/>
    <col min="13551" max="13551" width="5.66666666666667" style="156" customWidth="1"/>
    <col min="13552" max="13553" width="9.33333333333333" style="156" customWidth="1"/>
    <col min="13554" max="13554" width="13.1111111111111" style="156" customWidth="1"/>
    <col min="13555" max="13771" width="8.88888888888889" style="156"/>
    <col min="13772" max="13772" width="5" style="156" customWidth="1"/>
    <col min="13773" max="13773" width="15" style="156" customWidth="1"/>
    <col min="13774" max="13775" width="14.6666666666667" style="156" customWidth="1"/>
    <col min="13776" max="13776" width="6.22222222222222" style="156" customWidth="1"/>
    <col min="13777" max="13779" width="10.1111111111111" style="156" customWidth="1"/>
    <col min="13780" max="13780" width="10.4444444444444" style="156" customWidth="1"/>
    <col min="13781" max="13802" width="8.88888888888889" style="156"/>
    <col min="13803" max="13803" width="6.44444444444444" style="156" customWidth="1"/>
    <col min="13804" max="13804" width="12.2222222222222" style="156" customWidth="1"/>
    <col min="13805" max="13805" width="28.2222222222222" style="156" customWidth="1"/>
    <col min="13806" max="13806" width="13.7777777777778" style="156" customWidth="1"/>
    <col min="13807" max="13807" width="5.66666666666667" style="156" customWidth="1"/>
    <col min="13808" max="13809" width="9.33333333333333" style="156" customWidth="1"/>
    <col min="13810" max="13810" width="13.1111111111111" style="156" customWidth="1"/>
    <col min="13811" max="14027" width="8.88888888888889" style="156"/>
    <col min="14028" max="14028" width="5" style="156" customWidth="1"/>
    <col min="14029" max="14029" width="15" style="156" customWidth="1"/>
    <col min="14030" max="14031" width="14.6666666666667" style="156" customWidth="1"/>
    <col min="14032" max="14032" width="6.22222222222222" style="156" customWidth="1"/>
    <col min="14033" max="14035" width="10.1111111111111" style="156" customWidth="1"/>
    <col min="14036" max="14036" width="10.4444444444444" style="156" customWidth="1"/>
    <col min="14037" max="14058" width="8.88888888888889" style="156"/>
    <col min="14059" max="14059" width="6.44444444444444" style="156" customWidth="1"/>
    <col min="14060" max="14060" width="12.2222222222222" style="156" customWidth="1"/>
    <col min="14061" max="14061" width="28.2222222222222" style="156" customWidth="1"/>
    <col min="14062" max="14062" width="13.7777777777778" style="156" customWidth="1"/>
    <col min="14063" max="14063" width="5.66666666666667" style="156" customWidth="1"/>
    <col min="14064" max="14065" width="9.33333333333333" style="156" customWidth="1"/>
    <col min="14066" max="14066" width="13.1111111111111" style="156" customWidth="1"/>
    <col min="14067" max="14283" width="8.88888888888889" style="156"/>
    <col min="14284" max="14284" width="5" style="156" customWidth="1"/>
    <col min="14285" max="14285" width="15" style="156" customWidth="1"/>
    <col min="14286" max="14287" width="14.6666666666667" style="156" customWidth="1"/>
    <col min="14288" max="14288" width="6.22222222222222" style="156" customWidth="1"/>
    <col min="14289" max="14291" width="10.1111111111111" style="156" customWidth="1"/>
    <col min="14292" max="14292" width="10.4444444444444" style="156" customWidth="1"/>
    <col min="14293" max="14314" width="8.88888888888889" style="156"/>
    <col min="14315" max="14315" width="6.44444444444444" style="156" customWidth="1"/>
    <col min="14316" max="14316" width="12.2222222222222" style="156" customWidth="1"/>
    <col min="14317" max="14317" width="28.2222222222222" style="156" customWidth="1"/>
    <col min="14318" max="14318" width="13.7777777777778" style="156" customWidth="1"/>
    <col min="14319" max="14319" width="5.66666666666667" style="156" customWidth="1"/>
    <col min="14320" max="14321" width="9.33333333333333" style="156" customWidth="1"/>
    <col min="14322" max="14322" width="13.1111111111111" style="156" customWidth="1"/>
    <col min="14323" max="14539" width="8.88888888888889" style="156"/>
    <col min="14540" max="14540" width="5" style="156" customWidth="1"/>
    <col min="14541" max="14541" width="15" style="156" customWidth="1"/>
    <col min="14542" max="14543" width="14.6666666666667" style="156" customWidth="1"/>
    <col min="14544" max="14544" width="6.22222222222222" style="156" customWidth="1"/>
    <col min="14545" max="14547" width="10.1111111111111" style="156" customWidth="1"/>
    <col min="14548" max="14548" width="10.4444444444444" style="156" customWidth="1"/>
    <col min="14549" max="14570" width="8.88888888888889" style="156"/>
    <col min="14571" max="14571" width="6.44444444444444" style="156" customWidth="1"/>
    <col min="14572" max="14572" width="12.2222222222222" style="156" customWidth="1"/>
    <col min="14573" max="14573" width="28.2222222222222" style="156" customWidth="1"/>
    <col min="14574" max="14574" width="13.7777777777778" style="156" customWidth="1"/>
    <col min="14575" max="14575" width="5.66666666666667" style="156" customWidth="1"/>
    <col min="14576" max="14577" width="9.33333333333333" style="156" customWidth="1"/>
    <col min="14578" max="14578" width="13.1111111111111" style="156" customWidth="1"/>
    <col min="14579" max="14795" width="8.88888888888889" style="156"/>
    <col min="14796" max="14796" width="5" style="156" customWidth="1"/>
    <col min="14797" max="14797" width="15" style="156" customWidth="1"/>
    <col min="14798" max="14799" width="14.6666666666667" style="156" customWidth="1"/>
    <col min="14800" max="14800" width="6.22222222222222" style="156" customWidth="1"/>
    <col min="14801" max="14803" width="10.1111111111111" style="156" customWidth="1"/>
    <col min="14804" max="14804" width="10.4444444444444" style="156" customWidth="1"/>
    <col min="14805" max="14826" width="8.88888888888889" style="156"/>
    <col min="14827" max="14827" width="6.44444444444444" style="156" customWidth="1"/>
    <col min="14828" max="14828" width="12.2222222222222" style="156" customWidth="1"/>
    <col min="14829" max="14829" width="28.2222222222222" style="156" customWidth="1"/>
    <col min="14830" max="14830" width="13.7777777777778" style="156" customWidth="1"/>
    <col min="14831" max="14831" width="5.66666666666667" style="156" customWidth="1"/>
    <col min="14832" max="14833" width="9.33333333333333" style="156" customWidth="1"/>
    <col min="14834" max="14834" width="13.1111111111111" style="156" customWidth="1"/>
    <col min="14835" max="15051" width="8.88888888888889" style="156"/>
    <col min="15052" max="15052" width="5" style="156" customWidth="1"/>
    <col min="15053" max="15053" width="15" style="156" customWidth="1"/>
    <col min="15054" max="15055" width="14.6666666666667" style="156" customWidth="1"/>
    <col min="15056" max="15056" width="6.22222222222222" style="156" customWidth="1"/>
    <col min="15057" max="15059" width="10.1111111111111" style="156" customWidth="1"/>
    <col min="15060" max="15060" width="10.4444444444444" style="156" customWidth="1"/>
    <col min="15061" max="15082" width="8.88888888888889" style="156"/>
    <col min="15083" max="15083" width="6.44444444444444" style="156" customWidth="1"/>
    <col min="15084" max="15084" width="12.2222222222222" style="156" customWidth="1"/>
    <col min="15085" max="15085" width="28.2222222222222" style="156" customWidth="1"/>
    <col min="15086" max="15086" width="13.7777777777778" style="156" customWidth="1"/>
    <col min="15087" max="15087" width="5.66666666666667" style="156" customWidth="1"/>
    <col min="15088" max="15089" width="9.33333333333333" style="156" customWidth="1"/>
    <col min="15090" max="15090" width="13.1111111111111" style="156" customWidth="1"/>
    <col min="15091" max="15307" width="8.88888888888889" style="156"/>
    <col min="15308" max="15308" width="5" style="156" customWidth="1"/>
    <col min="15309" max="15309" width="15" style="156" customWidth="1"/>
    <col min="15310" max="15311" width="14.6666666666667" style="156" customWidth="1"/>
    <col min="15312" max="15312" width="6.22222222222222" style="156" customWidth="1"/>
    <col min="15313" max="15315" width="10.1111111111111" style="156" customWidth="1"/>
    <col min="15316" max="15316" width="10.4444444444444" style="156" customWidth="1"/>
    <col min="15317" max="15338" width="8.88888888888889" style="156"/>
    <col min="15339" max="15339" width="6.44444444444444" style="156" customWidth="1"/>
    <col min="15340" max="15340" width="12.2222222222222" style="156" customWidth="1"/>
    <col min="15341" max="15341" width="28.2222222222222" style="156" customWidth="1"/>
    <col min="15342" max="15342" width="13.7777777777778" style="156" customWidth="1"/>
    <col min="15343" max="15343" width="5.66666666666667" style="156" customWidth="1"/>
    <col min="15344" max="15345" width="9.33333333333333" style="156" customWidth="1"/>
    <col min="15346" max="15346" width="13.1111111111111" style="156" customWidth="1"/>
    <col min="15347" max="15563" width="8.88888888888889" style="156"/>
    <col min="15564" max="15564" width="5" style="156" customWidth="1"/>
    <col min="15565" max="15565" width="15" style="156" customWidth="1"/>
    <col min="15566" max="15567" width="14.6666666666667" style="156" customWidth="1"/>
    <col min="15568" max="15568" width="6.22222222222222" style="156" customWidth="1"/>
    <col min="15569" max="15571" width="10.1111111111111" style="156" customWidth="1"/>
    <col min="15572" max="15572" width="10.4444444444444" style="156" customWidth="1"/>
    <col min="15573" max="15594" width="8.88888888888889" style="156"/>
    <col min="15595" max="15595" width="6.44444444444444" style="156" customWidth="1"/>
    <col min="15596" max="15596" width="12.2222222222222" style="156" customWidth="1"/>
    <col min="15597" max="15597" width="28.2222222222222" style="156" customWidth="1"/>
    <col min="15598" max="15598" width="13.7777777777778" style="156" customWidth="1"/>
    <col min="15599" max="15599" width="5.66666666666667" style="156" customWidth="1"/>
    <col min="15600" max="15601" width="9.33333333333333" style="156" customWidth="1"/>
    <col min="15602" max="15602" width="13.1111111111111" style="156" customWidth="1"/>
    <col min="15603" max="15819" width="8.88888888888889" style="156"/>
    <col min="15820" max="15820" width="5" style="156" customWidth="1"/>
    <col min="15821" max="15821" width="15" style="156" customWidth="1"/>
    <col min="15822" max="15823" width="14.6666666666667" style="156" customWidth="1"/>
    <col min="15824" max="15824" width="6.22222222222222" style="156" customWidth="1"/>
    <col min="15825" max="15827" width="10.1111111111111" style="156" customWidth="1"/>
    <col min="15828" max="15828" width="10.4444444444444" style="156" customWidth="1"/>
    <col min="15829" max="15850" width="8.88888888888889" style="156"/>
    <col min="15851" max="15851" width="6.44444444444444" style="156" customWidth="1"/>
    <col min="15852" max="15852" width="12.2222222222222" style="156" customWidth="1"/>
    <col min="15853" max="15853" width="28.2222222222222" style="156" customWidth="1"/>
    <col min="15854" max="15854" width="13.7777777777778" style="156" customWidth="1"/>
    <col min="15855" max="15855" width="5.66666666666667" style="156" customWidth="1"/>
    <col min="15856" max="15857" width="9.33333333333333" style="156" customWidth="1"/>
    <col min="15858" max="15858" width="13.1111111111111" style="156" customWidth="1"/>
    <col min="15859" max="16075" width="8.88888888888889" style="156"/>
    <col min="16076" max="16076" width="5" style="156" customWidth="1"/>
    <col min="16077" max="16077" width="15" style="156" customWidth="1"/>
    <col min="16078" max="16079" width="14.6666666666667" style="156" customWidth="1"/>
    <col min="16080" max="16080" width="6.22222222222222" style="156" customWidth="1"/>
    <col min="16081" max="16083" width="10.1111111111111" style="156" customWidth="1"/>
    <col min="16084" max="16084" width="10.4444444444444" style="156" customWidth="1"/>
    <col min="16085" max="16106" width="8.88888888888889" style="156"/>
    <col min="16107" max="16107" width="6.44444444444444" style="156" customWidth="1"/>
    <col min="16108" max="16108" width="12.2222222222222" style="156" customWidth="1"/>
    <col min="16109" max="16109" width="28.2222222222222" style="156" customWidth="1"/>
    <col min="16110" max="16110" width="13.7777777777778" style="156" customWidth="1"/>
    <col min="16111" max="16111" width="5.66666666666667" style="156" customWidth="1"/>
    <col min="16112" max="16113" width="9.33333333333333" style="156" customWidth="1"/>
    <col min="16114" max="16114" width="13.1111111111111" style="156" customWidth="1"/>
    <col min="16115" max="16331" width="8.88888888888889" style="156"/>
    <col min="16332" max="16332" width="5" style="156" customWidth="1"/>
    <col min="16333" max="16333" width="15" style="156" customWidth="1"/>
    <col min="16334" max="16335" width="14.6666666666667" style="156" customWidth="1"/>
    <col min="16336" max="16336" width="6.22222222222222" style="156" customWidth="1"/>
    <col min="16337" max="16339" width="10.1111111111111" style="156" customWidth="1"/>
    <col min="16340" max="16340" width="10.4444444444444" style="156" customWidth="1"/>
    <col min="16341" max="16384" width="8.88888888888889" style="156"/>
  </cols>
  <sheetData>
    <row r="1" ht="22.2" spans="1:37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</row>
    <row r="2" ht="16.5" customHeight="1" spans="1:37">
      <c r="A2" s="163" t="s">
        <v>1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</row>
    <row r="3" spans="1:37">
      <c r="A3" s="164" t="s">
        <v>2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</row>
    <row r="4" ht="21" customHeight="1" spans="1:37">
      <c r="A4" s="164" t="s">
        <v>3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</row>
    <row r="5" ht="31.5" customHeight="1" spans="1:37">
      <c r="A5" s="165" t="s">
        <v>4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</row>
    <row r="6" spans="1:37">
      <c r="A6" s="166" t="s">
        <v>5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</row>
    <row r="7" ht="33.6" customHeight="1" spans="1:37">
      <c r="A7" s="167" t="s">
        <v>6</v>
      </c>
      <c r="B7" s="168" t="s">
        <v>7</v>
      </c>
      <c r="C7" s="169" t="s">
        <v>8</v>
      </c>
      <c r="D7" s="169" t="s">
        <v>9</v>
      </c>
      <c r="E7" s="170" t="s">
        <v>10</v>
      </c>
      <c r="F7" s="171" t="s">
        <v>11</v>
      </c>
      <c r="G7" s="171" t="s">
        <v>11</v>
      </c>
      <c r="H7" s="172" t="s">
        <v>12</v>
      </c>
      <c r="I7" s="172"/>
      <c r="J7" s="172"/>
      <c r="K7" s="197" t="s">
        <v>13</v>
      </c>
      <c r="L7" s="198" t="s">
        <v>14</v>
      </c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</row>
    <row r="8" ht="30.6" customHeight="1" spans="1:37">
      <c r="A8" s="167"/>
      <c r="B8" s="168"/>
      <c r="C8" s="169"/>
      <c r="D8" s="169"/>
      <c r="E8" s="170"/>
      <c r="F8" s="173" t="s">
        <v>15</v>
      </c>
      <c r="G8" s="173" t="s">
        <v>16</v>
      </c>
      <c r="H8" s="174" t="s">
        <v>17</v>
      </c>
      <c r="I8" s="174" t="s">
        <v>18</v>
      </c>
      <c r="J8" s="174" t="s">
        <v>19</v>
      </c>
      <c r="K8" s="197" t="s">
        <v>16</v>
      </c>
      <c r="L8" s="198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</row>
    <row r="9" s="153" customFormat="1" ht="133" customHeight="1" spans="1:234">
      <c r="A9" s="175">
        <v>1</v>
      </c>
      <c r="B9" s="176" t="s">
        <v>20</v>
      </c>
      <c r="C9" s="177" t="s">
        <v>21</v>
      </c>
      <c r="D9" s="178"/>
      <c r="E9" s="179" t="s">
        <v>22</v>
      </c>
      <c r="F9" s="180">
        <v>26</v>
      </c>
      <c r="G9" s="180">
        <v>21.5</v>
      </c>
      <c r="H9" s="181">
        <f>245000+10000+22100</f>
        <v>277100</v>
      </c>
      <c r="I9" s="181">
        <f>245000*0.7/100000+10000/10000+22100/100000</f>
        <v>2.936</v>
      </c>
      <c r="J9" s="199" t="s">
        <v>23</v>
      </c>
      <c r="K9" s="180">
        <f>G9+I9</f>
        <v>24.436</v>
      </c>
      <c r="L9" s="200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  <c r="BY9" s="154"/>
      <c r="BZ9" s="154"/>
      <c r="CA9" s="154"/>
      <c r="CB9" s="154"/>
      <c r="CC9" s="154"/>
      <c r="CD9" s="154"/>
      <c r="CE9" s="154"/>
      <c r="CF9" s="154"/>
      <c r="CG9" s="154"/>
      <c r="CH9" s="154"/>
      <c r="CI9" s="154"/>
      <c r="CJ9" s="154"/>
      <c r="CK9" s="154"/>
      <c r="CL9" s="154"/>
      <c r="CM9" s="154"/>
      <c r="CN9" s="154"/>
      <c r="CO9" s="154"/>
      <c r="CP9" s="154"/>
      <c r="CQ9" s="154"/>
      <c r="CR9" s="154"/>
      <c r="CS9" s="154"/>
      <c r="CT9" s="154"/>
      <c r="CU9" s="154"/>
      <c r="CV9" s="154"/>
      <c r="CW9" s="154"/>
      <c r="CX9" s="154"/>
      <c r="CY9" s="154"/>
      <c r="CZ9" s="154"/>
      <c r="DA9" s="154"/>
      <c r="DB9" s="154"/>
      <c r="DC9" s="154"/>
      <c r="DD9" s="154"/>
      <c r="DE9" s="154"/>
      <c r="DF9" s="154"/>
      <c r="DG9" s="154"/>
      <c r="DH9" s="154"/>
      <c r="DI9" s="154"/>
      <c r="DJ9" s="154"/>
      <c r="DK9" s="154"/>
      <c r="DL9" s="154"/>
      <c r="DM9" s="154"/>
      <c r="DN9" s="154"/>
      <c r="DO9" s="154"/>
      <c r="DP9" s="154"/>
      <c r="DQ9" s="154"/>
      <c r="DR9" s="154"/>
      <c r="DS9" s="154"/>
      <c r="DT9" s="154"/>
      <c r="DU9" s="154"/>
      <c r="DV9" s="154"/>
      <c r="DW9" s="154"/>
      <c r="DX9" s="154"/>
      <c r="DY9" s="154"/>
      <c r="DZ9" s="154"/>
      <c r="EA9" s="154"/>
      <c r="EB9" s="154"/>
      <c r="EC9" s="154"/>
      <c r="ED9" s="154"/>
      <c r="EE9" s="154"/>
      <c r="EF9" s="154"/>
      <c r="EG9" s="154"/>
      <c r="EH9" s="154"/>
      <c r="EI9" s="154"/>
      <c r="EJ9" s="154"/>
      <c r="EK9" s="154"/>
      <c r="EL9" s="154"/>
      <c r="EM9" s="154"/>
      <c r="EN9" s="154"/>
      <c r="EO9" s="154"/>
      <c r="EP9" s="154"/>
      <c r="EQ9" s="154"/>
      <c r="ER9" s="154"/>
      <c r="ES9" s="154"/>
      <c r="ET9" s="154"/>
      <c r="EU9" s="154"/>
      <c r="EV9" s="154"/>
      <c r="EW9" s="154"/>
      <c r="EX9" s="154"/>
      <c r="EY9" s="154"/>
      <c r="EZ9" s="154"/>
      <c r="FA9" s="154"/>
      <c r="FB9" s="154"/>
      <c r="FC9" s="154"/>
      <c r="FD9" s="154"/>
      <c r="FE9" s="154"/>
      <c r="FF9" s="154"/>
      <c r="FG9" s="154"/>
      <c r="FH9" s="154"/>
      <c r="FI9" s="154"/>
      <c r="FJ9" s="154"/>
      <c r="FK9" s="154"/>
      <c r="FL9" s="154"/>
      <c r="FM9" s="154"/>
      <c r="FN9" s="154"/>
      <c r="FO9" s="154"/>
      <c r="FP9" s="154"/>
      <c r="FQ9" s="154"/>
      <c r="FR9" s="154"/>
      <c r="FS9" s="154"/>
      <c r="FT9" s="154"/>
      <c r="FU9" s="154"/>
      <c r="FV9" s="154"/>
      <c r="FW9" s="154"/>
      <c r="FX9" s="154"/>
      <c r="FY9" s="154"/>
      <c r="FZ9" s="154"/>
      <c r="GA9" s="154"/>
      <c r="GB9" s="154"/>
      <c r="GC9" s="154"/>
      <c r="GD9" s="154"/>
      <c r="GE9" s="154"/>
      <c r="GF9" s="154"/>
      <c r="GG9" s="154"/>
      <c r="GH9" s="154"/>
      <c r="GI9" s="154"/>
      <c r="GJ9" s="154"/>
      <c r="GK9" s="154"/>
      <c r="GL9" s="154"/>
      <c r="GM9" s="154"/>
      <c r="GN9" s="154"/>
      <c r="GO9" s="154"/>
      <c r="GP9" s="154"/>
      <c r="GQ9" s="154"/>
      <c r="GR9" s="154"/>
      <c r="GS9" s="154"/>
      <c r="GT9" s="154"/>
      <c r="GU9" s="154"/>
      <c r="GV9" s="154"/>
      <c r="GW9" s="154"/>
      <c r="GX9" s="154"/>
      <c r="GY9" s="154"/>
      <c r="GZ9" s="154"/>
      <c r="HA9" s="154"/>
      <c r="HB9" s="154"/>
      <c r="HC9" s="154"/>
      <c r="HD9" s="154"/>
      <c r="HE9" s="154"/>
      <c r="HF9" s="154"/>
      <c r="HG9" s="154"/>
      <c r="HH9" s="154"/>
      <c r="HI9" s="154"/>
      <c r="HJ9" s="154"/>
      <c r="HK9" s="154"/>
      <c r="HL9" s="154"/>
      <c r="HM9" s="154"/>
      <c r="HN9" s="154"/>
      <c r="HO9" s="154"/>
      <c r="HP9" s="154"/>
      <c r="HQ9" s="154"/>
      <c r="HR9" s="154"/>
      <c r="HS9" s="154"/>
      <c r="HT9" s="154"/>
      <c r="HU9" s="154"/>
      <c r="HV9" s="154"/>
      <c r="HW9" s="154"/>
      <c r="HX9" s="154"/>
      <c r="HY9" s="154"/>
      <c r="HZ9" s="154"/>
    </row>
    <row r="10" s="153" customFormat="1" ht="100" customHeight="1" spans="1:234">
      <c r="A10" s="175">
        <v>2</v>
      </c>
      <c r="B10" s="176" t="s">
        <v>24</v>
      </c>
      <c r="C10" s="177" t="s">
        <v>25</v>
      </c>
      <c r="D10" s="178"/>
      <c r="E10" s="179" t="s">
        <v>22</v>
      </c>
      <c r="F10" s="180">
        <v>26</v>
      </c>
      <c r="G10" s="180">
        <v>21.5</v>
      </c>
      <c r="H10" s="182">
        <v>245000</v>
      </c>
      <c r="I10" s="181">
        <f>H10*0.7/2/100000</f>
        <v>0.8575</v>
      </c>
      <c r="J10" s="199" t="s">
        <v>26</v>
      </c>
      <c r="K10" s="180">
        <f>G10+I10</f>
        <v>22.3575</v>
      </c>
      <c r="L10" s="200"/>
      <c r="M10" s="154" t="s">
        <v>27</v>
      </c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4"/>
      <c r="FF10" s="154"/>
      <c r="FG10" s="154"/>
      <c r="FH10" s="154"/>
      <c r="FI10" s="154"/>
      <c r="FJ10" s="154"/>
      <c r="FK10" s="154"/>
      <c r="FL10" s="154"/>
      <c r="FM10" s="154"/>
      <c r="FN10" s="154"/>
      <c r="FO10" s="154"/>
      <c r="FP10" s="154"/>
      <c r="FQ10" s="154"/>
      <c r="FR10" s="154"/>
      <c r="FS10" s="154"/>
      <c r="FT10" s="154"/>
      <c r="FU10" s="154"/>
      <c r="FV10" s="154"/>
      <c r="FW10" s="154"/>
      <c r="FX10" s="154"/>
      <c r="FY10" s="154"/>
      <c r="FZ10" s="154"/>
      <c r="GA10" s="154"/>
      <c r="GB10" s="154"/>
      <c r="GC10" s="154"/>
      <c r="GD10" s="154"/>
      <c r="GE10" s="154"/>
      <c r="GF10" s="154"/>
      <c r="GG10" s="154"/>
      <c r="GH10" s="154"/>
      <c r="GI10" s="154"/>
      <c r="GJ10" s="154"/>
      <c r="GK10" s="154"/>
      <c r="GL10" s="154"/>
      <c r="GM10" s="154"/>
      <c r="GN10" s="154"/>
      <c r="GO10" s="154"/>
      <c r="GP10" s="154"/>
      <c r="GQ10" s="154"/>
      <c r="GR10" s="154"/>
      <c r="GS10" s="154"/>
      <c r="GT10" s="154"/>
      <c r="GU10" s="154"/>
      <c r="GV10" s="154"/>
      <c r="GW10" s="154"/>
      <c r="GX10" s="154"/>
      <c r="GY10" s="154"/>
      <c r="GZ10" s="154"/>
      <c r="HA10" s="154"/>
      <c r="HB10" s="154"/>
      <c r="HC10" s="154"/>
      <c r="HD10" s="154"/>
      <c r="HE10" s="154"/>
      <c r="HF10" s="154"/>
      <c r="HG10" s="154"/>
      <c r="HH10" s="154"/>
      <c r="HI10" s="154"/>
      <c r="HJ10" s="154"/>
      <c r="HK10" s="154"/>
      <c r="HL10" s="154"/>
      <c r="HM10" s="154"/>
      <c r="HN10" s="154"/>
      <c r="HO10" s="154"/>
      <c r="HP10" s="154"/>
      <c r="HQ10" s="154"/>
      <c r="HR10" s="154"/>
      <c r="HS10" s="154"/>
      <c r="HT10" s="154"/>
      <c r="HU10" s="154"/>
      <c r="HV10" s="154"/>
      <c r="HW10" s="154"/>
      <c r="HX10" s="154"/>
      <c r="HY10" s="154"/>
      <c r="HZ10" s="154"/>
    </row>
    <row r="11" s="153" customFormat="1" ht="141" customHeight="1" spans="1:234">
      <c r="A11" s="175">
        <v>3</v>
      </c>
      <c r="B11" s="176" t="s">
        <v>28</v>
      </c>
      <c r="C11" s="177" t="s">
        <v>29</v>
      </c>
      <c r="D11" s="178"/>
      <c r="E11" s="179" t="s">
        <v>22</v>
      </c>
      <c r="F11" s="180">
        <v>26</v>
      </c>
      <c r="G11" s="180">
        <v>21.5</v>
      </c>
      <c r="H11" s="183"/>
      <c r="I11" s="181">
        <f>H10*0.7/2/100000+10000/10000+17600/100000</f>
        <v>2.0335</v>
      </c>
      <c r="J11" s="199" t="s">
        <v>30</v>
      </c>
      <c r="K11" s="180">
        <f>G11+I11</f>
        <v>23.5335</v>
      </c>
      <c r="L11" s="200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  <c r="BI11" s="154"/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4"/>
      <c r="BU11" s="154"/>
      <c r="BV11" s="154"/>
      <c r="BW11" s="154"/>
      <c r="BX11" s="154"/>
      <c r="BY11" s="154"/>
      <c r="BZ11" s="154"/>
      <c r="CA11" s="154"/>
      <c r="CB11" s="154"/>
      <c r="CC11" s="154"/>
      <c r="CD11" s="154"/>
      <c r="CE11" s="154"/>
      <c r="CF11" s="154"/>
      <c r="CG11" s="154"/>
      <c r="CH11" s="154"/>
      <c r="CI11" s="154"/>
      <c r="CJ11" s="154"/>
      <c r="CK11" s="154"/>
      <c r="CL11" s="154"/>
      <c r="CM11" s="154"/>
      <c r="CN11" s="154"/>
      <c r="CO11" s="154"/>
      <c r="CP11" s="154"/>
      <c r="CQ11" s="154"/>
      <c r="CR11" s="154"/>
      <c r="CS11" s="154"/>
      <c r="CT11" s="154"/>
      <c r="CU11" s="154"/>
      <c r="CV11" s="154"/>
      <c r="CW11" s="154"/>
      <c r="CX11" s="154"/>
      <c r="CY11" s="154"/>
      <c r="CZ11" s="154"/>
      <c r="DA11" s="154"/>
      <c r="DB11" s="154"/>
      <c r="DC11" s="154"/>
      <c r="DD11" s="154"/>
      <c r="DE11" s="154"/>
      <c r="DF11" s="154"/>
      <c r="DG11" s="154"/>
      <c r="DH11" s="154"/>
      <c r="DI11" s="154"/>
      <c r="DJ11" s="154"/>
      <c r="DK11" s="154"/>
      <c r="DL11" s="154"/>
      <c r="DM11" s="154"/>
      <c r="DN11" s="154"/>
      <c r="DO11" s="154"/>
      <c r="DP11" s="154"/>
      <c r="DQ11" s="154"/>
      <c r="DR11" s="154"/>
      <c r="DS11" s="154"/>
      <c r="DT11" s="154"/>
      <c r="DU11" s="154"/>
      <c r="DV11" s="154"/>
      <c r="DW11" s="154"/>
      <c r="DX11" s="154"/>
      <c r="DY11" s="154"/>
      <c r="DZ11" s="154"/>
      <c r="EA11" s="154"/>
      <c r="EB11" s="154"/>
      <c r="EC11" s="154"/>
      <c r="ED11" s="154"/>
      <c r="EE11" s="154"/>
      <c r="EF11" s="154"/>
      <c r="EG11" s="154"/>
      <c r="EH11" s="154"/>
      <c r="EI11" s="154"/>
      <c r="EJ11" s="154"/>
      <c r="EK11" s="154"/>
      <c r="EL11" s="154"/>
      <c r="EM11" s="154"/>
      <c r="EN11" s="154"/>
      <c r="EO11" s="154"/>
      <c r="EP11" s="154"/>
      <c r="EQ11" s="154"/>
      <c r="ER11" s="154"/>
      <c r="ES11" s="154"/>
      <c r="ET11" s="154"/>
      <c r="EU11" s="154"/>
      <c r="EV11" s="154"/>
      <c r="EW11" s="154"/>
      <c r="EX11" s="154"/>
      <c r="EY11" s="154"/>
      <c r="EZ11" s="154"/>
      <c r="FA11" s="154"/>
      <c r="FB11" s="154"/>
      <c r="FC11" s="154"/>
      <c r="FD11" s="154"/>
      <c r="FE11" s="154"/>
      <c r="FF11" s="154"/>
      <c r="FG11" s="154"/>
      <c r="FH11" s="154"/>
      <c r="FI11" s="154"/>
      <c r="FJ11" s="154"/>
      <c r="FK11" s="154"/>
      <c r="FL11" s="154"/>
      <c r="FM11" s="154"/>
      <c r="FN11" s="154"/>
      <c r="FO11" s="154"/>
      <c r="FP11" s="154"/>
      <c r="FQ11" s="154"/>
      <c r="FR11" s="154"/>
      <c r="FS11" s="154"/>
      <c r="FT11" s="154"/>
      <c r="FU11" s="154"/>
      <c r="FV11" s="154"/>
      <c r="FW11" s="154"/>
      <c r="FX11" s="154"/>
      <c r="FY11" s="154"/>
      <c r="FZ11" s="154"/>
      <c r="GA11" s="154"/>
      <c r="GB11" s="154"/>
      <c r="GC11" s="154"/>
      <c r="GD11" s="154"/>
      <c r="GE11" s="154"/>
      <c r="GF11" s="154"/>
      <c r="GG11" s="154"/>
      <c r="GH11" s="154"/>
      <c r="GI11" s="154"/>
      <c r="GJ11" s="154"/>
      <c r="GK11" s="154"/>
      <c r="GL11" s="154"/>
      <c r="GM11" s="154"/>
      <c r="GN11" s="154"/>
      <c r="GO11" s="154"/>
      <c r="GP11" s="154"/>
      <c r="GQ11" s="154"/>
      <c r="GR11" s="154"/>
      <c r="GS11" s="154"/>
      <c r="GT11" s="154"/>
      <c r="GU11" s="154"/>
      <c r="GV11" s="154"/>
      <c r="GW11" s="154"/>
      <c r="GX11" s="154"/>
      <c r="GY11" s="154"/>
      <c r="GZ11" s="154"/>
      <c r="HA11" s="154"/>
      <c r="HB11" s="154"/>
      <c r="HC11" s="154"/>
      <c r="HD11" s="154"/>
      <c r="HE11" s="154"/>
      <c r="HF11" s="154"/>
      <c r="HG11" s="154"/>
      <c r="HH11" s="154"/>
      <c r="HI11" s="154"/>
      <c r="HJ11" s="154"/>
      <c r="HK11" s="154"/>
      <c r="HL11" s="154"/>
      <c r="HM11" s="154"/>
      <c r="HN11" s="154"/>
      <c r="HO11" s="154"/>
      <c r="HP11" s="154"/>
      <c r="HQ11" s="154"/>
      <c r="HR11" s="154"/>
      <c r="HS11" s="154"/>
      <c r="HT11" s="154"/>
      <c r="HU11" s="154"/>
      <c r="HV11" s="154"/>
      <c r="HW11" s="154"/>
      <c r="HX11" s="154"/>
      <c r="HY11" s="154"/>
      <c r="HZ11" s="154"/>
    </row>
    <row r="12" s="154" customFormat="1" ht="21" customHeight="1" spans="1:12">
      <c r="A12" s="184" t="s">
        <v>31</v>
      </c>
      <c r="B12" s="184"/>
      <c r="C12" s="184"/>
      <c r="D12" s="184"/>
      <c r="E12" s="184"/>
      <c r="F12" s="184"/>
      <c r="G12" s="184"/>
      <c r="H12" s="184"/>
      <c r="I12" s="184"/>
      <c r="J12" s="184"/>
      <c r="K12" s="184"/>
      <c r="L12" s="184"/>
    </row>
    <row r="13" s="154" customFormat="1" ht="21" customHeight="1" spans="1:12">
      <c r="A13" s="185" t="s">
        <v>32</v>
      </c>
      <c r="B13" s="185"/>
      <c r="C13" s="185"/>
      <c r="D13" s="185"/>
      <c r="E13" s="185"/>
      <c r="F13" s="185"/>
      <c r="G13" s="185"/>
      <c r="H13" s="185"/>
      <c r="I13" s="185"/>
      <c r="J13" s="185"/>
      <c r="K13" s="185"/>
      <c r="L13" s="185"/>
    </row>
    <row r="14" s="154" customFormat="1" ht="21" customHeight="1" spans="1:12">
      <c r="A14" s="185" t="s">
        <v>33</v>
      </c>
      <c r="B14" s="185"/>
      <c r="C14" s="185"/>
      <c r="D14" s="185"/>
      <c r="E14" s="185"/>
      <c r="F14" s="185"/>
      <c r="G14" s="185"/>
      <c r="H14" s="185"/>
      <c r="I14" s="185"/>
      <c r="J14" s="185"/>
      <c r="K14" s="185"/>
      <c r="L14" s="185"/>
    </row>
    <row r="15" s="154" customFormat="1" ht="21" customHeight="1" spans="1:12">
      <c r="A15" s="185" t="s">
        <v>34</v>
      </c>
      <c r="B15" s="185"/>
      <c r="C15" s="185"/>
      <c r="D15" s="185"/>
      <c r="E15" s="185"/>
      <c r="F15" s="185"/>
      <c r="G15" s="185"/>
      <c r="H15" s="185"/>
      <c r="I15" s="185"/>
      <c r="J15" s="185"/>
      <c r="K15" s="185"/>
      <c r="L15" s="185"/>
    </row>
    <row r="16" s="154" customFormat="1" ht="21" customHeight="1" spans="1:12">
      <c r="A16" s="185" t="s">
        <v>35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</row>
    <row r="17" s="154" customFormat="1" ht="28.2" customHeight="1" spans="1:12">
      <c r="A17" s="185" t="s">
        <v>36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</row>
    <row r="18" s="155" customFormat="1" spans="1:12">
      <c r="A18" s="186"/>
      <c r="B18" s="187"/>
      <c r="C18" s="186"/>
      <c r="D18" s="186"/>
      <c r="E18" s="186"/>
      <c r="F18" s="188"/>
      <c r="G18" s="188"/>
      <c r="H18" s="188"/>
      <c r="I18" s="188"/>
      <c r="J18" s="188"/>
      <c r="K18" s="188"/>
      <c r="L18" s="201"/>
    </row>
    <row r="19" s="155" customFormat="1" ht="19.2" customHeight="1" spans="1:12">
      <c r="A19" s="189" t="s">
        <v>37</v>
      </c>
      <c r="B19" s="190"/>
      <c r="C19" s="191"/>
      <c r="D19" s="192"/>
      <c r="E19" s="191"/>
      <c r="F19" s="193"/>
      <c r="G19" s="193"/>
      <c r="H19" s="192" t="s">
        <v>38</v>
      </c>
      <c r="I19" s="193"/>
      <c r="J19" s="193"/>
      <c r="K19" s="193"/>
      <c r="L19" s="202"/>
    </row>
    <row r="20" s="155" customFormat="1" ht="19.2" customHeight="1" spans="1:12">
      <c r="A20" s="189"/>
      <c r="B20" s="190"/>
      <c r="C20" s="191"/>
      <c r="D20" s="194"/>
      <c r="E20" s="191"/>
      <c r="F20" s="193"/>
      <c r="G20" s="193"/>
      <c r="H20" s="194"/>
      <c r="I20" s="193"/>
      <c r="J20" s="193"/>
      <c r="K20" s="193"/>
      <c r="L20" s="202"/>
    </row>
    <row r="21" s="154" customFormat="1" ht="19.2" customHeight="1" spans="1:8">
      <c r="A21" s="189" t="s">
        <v>39</v>
      </c>
      <c r="B21" s="190"/>
      <c r="C21" s="191"/>
      <c r="D21" s="189"/>
      <c r="E21" s="191"/>
      <c r="F21" s="193"/>
      <c r="G21" s="193"/>
      <c r="H21" s="189" t="s">
        <v>39</v>
      </c>
    </row>
    <row r="22" s="155" customFormat="1" ht="19.2" customHeight="1" spans="1:12">
      <c r="A22" s="189"/>
      <c r="B22" s="190"/>
      <c r="C22" s="191"/>
      <c r="D22" s="194"/>
      <c r="E22" s="191"/>
      <c r="F22" s="193"/>
      <c r="G22" s="193"/>
      <c r="H22" s="194"/>
      <c r="I22" s="193"/>
      <c r="J22" s="193"/>
      <c r="K22" s="193"/>
      <c r="L22" s="202"/>
    </row>
    <row r="23" s="155" customFormat="1" ht="19.2" customHeight="1" spans="1:12">
      <c r="A23" s="189" t="s">
        <v>40</v>
      </c>
      <c r="B23" s="189"/>
      <c r="C23" s="186"/>
      <c r="D23" s="189"/>
      <c r="E23" s="186"/>
      <c r="F23" s="193"/>
      <c r="G23" s="193"/>
      <c r="H23" s="189" t="s">
        <v>40</v>
      </c>
      <c r="I23" s="193"/>
      <c r="J23" s="193"/>
      <c r="K23" s="193"/>
      <c r="L23" s="202"/>
    </row>
    <row r="24" s="155" customFormat="1" ht="14.4" spans="2:12">
      <c r="B24" s="195"/>
      <c r="F24" s="193"/>
      <c r="G24" s="193"/>
      <c r="H24" s="193"/>
      <c r="I24" s="193"/>
      <c r="J24" s="193"/>
      <c r="K24" s="193"/>
      <c r="L24" s="202"/>
    </row>
    <row r="25" spans="2:2">
      <c r="B25" s="196"/>
    </row>
    <row r="26" spans="2:2">
      <c r="B26" s="196"/>
    </row>
    <row r="27" spans="2:2">
      <c r="B27" s="196"/>
    </row>
    <row r="28" spans="2:2">
      <c r="B28" s="196"/>
    </row>
    <row r="29" spans="2:2">
      <c r="B29" s="196"/>
    </row>
    <row r="30" spans="2:2">
      <c r="B30" s="196"/>
    </row>
    <row r="31" spans="2:2">
      <c r="B31" s="196"/>
    </row>
    <row r="32" spans="2:2">
      <c r="B32" s="196"/>
    </row>
    <row r="33" spans="2:2">
      <c r="B33" s="196"/>
    </row>
    <row r="34" spans="2:2">
      <c r="B34" s="196"/>
    </row>
    <row r="35" spans="2:2">
      <c r="B35" s="196"/>
    </row>
    <row r="36" spans="2:2">
      <c r="B36" s="196"/>
    </row>
    <row r="37" spans="2:2">
      <c r="B37" s="196"/>
    </row>
    <row r="38" spans="2:2">
      <c r="B38" s="196"/>
    </row>
    <row r="39" spans="2:2">
      <c r="B39" s="196"/>
    </row>
    <row r="40" spans="2:2">
      <c r="B40" s="196"/>
    </row>
    <row r="41" spans="2:2">
      <c r="B41" s="196"/>
    </row>
    <row r="42" spans="2:2">
      <c r="B42" s="196"/>
    </row>
    <row r="43" spans="2:2">
      <c r="B43" s="196"/>
    </row>
    <row r="44" spans="2:2">
      <c r="B44" s="196"/>
    </row>
    <row r="45" spans="2:2">
      <c r="B45" s="196"/>
    </row>
    <row r="46" spans="2:2">
      <c r="B46" s="196"/>
    </row>
  </sheetData>
  <autoFilter xmlns:etc="http://www.wps.cn/officeDocument/2017/etCustomData" ref="A8:XDQ23" etc:filterBottomFollowUsedRange="0">
    <extLst/>
  </autoFilter>
  <mergeCells count="20">
    <mergeCell ref="A1:L1"/>
    <mergeCell ref="A2:L2"/>
    <mergeCell ref="A3:L3"/>
    <mergeCell ref="A4:L4"/>
    <mergeCell ref="A5:L5"/>
    <mergeCell ref="A6:L6"/>
    <mergeCell ref="H7:J7"/>
    <mergeCell ref="A12:L12"/>
    <mergeCell ref="A13:L13"/>
    <mergeCell ref="A14:L14"/>
    <mergeCell ref="A15:L15"/>
    <mergeCell ref="A16:L16"/>
    <mergeCell ref="A17:L17"/>
    <mergeCell ref="A7:A8"/>
    <mergeCell ref="B7:B8"/>
    <mergeCell ref="C7:C8"/>
    <mergeCell ref="D7:D8"/>
    <mergeCell ref="E7:E8"/>
    <mergeCell ref="H10:H11"/>
    <mergeCell ref="L7:L8"/>
  </mergeCells>
  <conditionalFormatting sqref="B21">
    <cfRule type="duplicateValues" dxfId="0" priority="4"/>
  </conditionalFormatting>
  <conditionalFormatting sqref="B1:B11 B24:B1048576">
    <cfRule type="duplicateValues" dxfId="0" priority="6"/>
  </conditionalFormatting>
  <conditionalFormatting sqref="D1:D11 D24:D1048576">
    <cfRule type="duplicateValues" dxfId="0" priority="7"/>
  </conditionalFormatting>
  <conditionalFormatting sqref="D18:D20 D22:D23">
    <cfRule type="duplicateValues" dxfId="0" priority="5"/>
  </conditionalFormatting>
  <conditionalFormatting sqref="H19:H20 H22:H23">
    <cfRule type="duplicateValues" dxfId="0" priority="3"/>
  </conditionalFormatting>
  <printOptions horizontalCentered="1" verticalCentered="1"/>
  <pageMargins left="0.196850393700787" right="0.196850393700787" top="0.196850393700787" bottom="0.196850393700787" header="0.354330708661417" footer="0.15748031496063"/>
  <pageSetup paperSize="9" scale="73" orientation="landscape"/>
  <headerFooter>
    <oddFooter>&amp;C第 &amp;P 页，共 &amp;N 页</oddFooter>
  </headerFooter>
  <rowBreaks count="1" manualBreakCount="1">
    <brk id="23" max="16383" man="1"/>
  </rowBreaks>
  <colBreaks count="1" manualBreakCount="1">
    <brk id="12" max="23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6"/>
  <sheetViews>
    <sheetView zoomScale="80" zoomScaleNormal="80" topLeftCell="C1" workbookViewId="0">
      <selection activeCell="S11" sqref="S11"/>
    </sheetView>
  </sheetViews>
  <sheetFormatPr defaultColWidth="9" defaultRowHeight="14.4"/>
  <cols>
    <col min="1" max="1" width="17.9166666666667" customWidth="1"/>
    <col min="2" max="2" width="14.0648148148148" customWidth="1"/>
    <col min="3" max="3" width="8.01851851851852" customWidth="1"/>
    <col min="4" max="16" width="12.4444444444444" customWidth="1"/>
    <col min="17" max="17" width="14.1111111111111"/>
    <col min="18" max="18" width="19.1666666666667" customWidth="1"/>
    <col min="19" max="19" width="15.6944444444444" customWidth="1"/>
    <col min="21" max="21" width="15.1388888888889" customWidth="1"/>
    <col min="16384" max="16384" width="12.8888888888889"/>
  </cols>
  <sheetData>
    <row r="1" ht="28" customHeight="1" spans="1:17">
      <c r="A1" s="5" t="s">
        <v>42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ht="34" customHeight="1" spans="1:19">
      <c r="A2" s="6" t="s">
        <v>43</v>
      </c>
      <c r="B2" s="6" t="s">
        <v>44</v>
      </c>
      <c r="C2" s="6" t="s">
        <v>45</v>
      </c>
      <c r="D2" s="6" t="s">
        <v>46</v>
      </c>
      <c r="E2" s="6" t="s">
        <v>47</v>
      </c>
      <c r="F2" s="6" t="s">
        <v>48</v>
      </c>
      <c r="G2" s="6" t="s">
        <v>49</v>
      </c>
      <c r="H2" s="6" t="s">
        <v>50</v>
      </c>
      <c r="I2" s="16" t="s">
        <v>51</v>
      </c>
      <c r="J2" s="6" t="s">
        <v>52</v>
      </c>
      <c r="K2" s="6" t="s">
        <v>53</v>
      </c>
      <c r="L2" s="6" t="s">
        <v>54</v>
      </c>
      <c r="M2" s="6" t="s">
        <v>55</v>
      </c>
      <c r="N2" s="6" t="s">
        <v>56</v>
      </c>
      <c r="O2" s="6" t="s">
        <v>57</v>
      </c>
      <c r="P2" s="16" t="s">
        <v>58</v>
      </c>
      <c r="Q2" s="6" t="s">
        <v>66</v>
      </c>
      <c r="R2" s="2" t="s">
        <v>171</v>
      </c>
      <c r="S2" s="24" t="s">
        <v>172</v>
      </c>
    </row>
    <row r="3" s="1" customFormat="1" ht="34" customHeight="1" spans="1:19">
      <c r="A3" s="7" t="s">
        <v>70</v>
      </c>
      <c r="B3" s="6"/>
      <c r="C3" s="2"/>
      <c r="D3" s="8">
        <v>767590.11</v>
      </c>
      <c r="E3" s="8">
        <v>241653.29</v>
      </c>
      <c r="F3" s="9">
        <v>498197.19</v>
      </c>
      <c r="G3" s="10">
        <v>515143.22</v>
      </c>
      <c r="H3" s="2">
        <v>500000</v>
      </c>
      <c r="I3" s="17">
        <f t="shared" ref="I3:I6" si="0">SUM(C3:H3)</f>
        <v>2522583.81</v>
      </c>
      <c r="J3" s="2">
        <v>500000</v>
      </c>
      <c r="K3" s="2">
        <v>500000</v>
      </c>
      <c r="L3" s="2">
        <v>500000</v>
      </c>
      <c r="M3" s="2">
        <v>500000</v>
      </c>
      <c r="N3" s="2">
        <v>500000</v>
      </c>
      <c r="O3" s="2">
        <v>500000</v>
      </c>
      <c r="P3" s="17">
        <f t="shared" ref="P3:P6" si="1">SUM(J3:O3)</f>
        <v>3000000</v>
      </c>
      <c r="Q3" s="2">
        <f t="shared" ref="Q3:Q6" si="2">I3+P3</f>
        <v>5522583.81</v>
      </c>
      <c r="R3" s="2">
        <f>Q3</f>
        <v>5522583.81</v>
      </c>
      <c r="S3" s="2"/>
    </row>
    <row r="4" s="1" customFormat="1" ht="36" customHeight="1" spans="1:19">
      <c r="A4" s="7" t="s">
        <v>75</v>
      </c>
      <c r="B4" s="11"/>
      <c r="C4" s="2"/>
      <c r="D4" s="2">
        <f t="shared" ref="D4:H4" si="3">D3*0.23</f>
        <v>176545.7253</v>
      </c>
      <c r="E4" s="2">
        <f t="shared" si="3"/>
        <v>55580.2567</v>
      </c>
      <c r="F4" s="2">
        <f t="shared" si="3"/>
        <v>114585.3537</v>
      </c>
      <c r="G4" s="2">
        <f t="shared" si="3"/>
        <v>118482.9406</v>
      </c>
      <c r="H4" s="2">
        <f t="shared" si="3"/>
        <v>115000</v>
      </c>
      <c r="I4" s="18">
        <f t="shared" si="0"/>
        <v>580194.2763</v>
      </c>
      <c r="J4" s="2">
        <f t="shared" ref="J4:O4" si="4">J3*0.23</f>
        <v>115000</v>
      </c>
      <c r="K4" s="2">
        <f t="shared" si="4"/>
        <v>115000</v>
      </c>
      <c r="L4" s="2">
        <f t="shared" si="4"/>
        <v>115000</v>
      </c>
      <c r="M4" s="2">
        <f t="shared" si="4"/>
        <v>115000</v>
      </c>
      <c r="N4" s="2">
        <f t="shared" si="4"/>
        <v>115000</v>
      </c>
      <c r="O4" s="2">
        <f t="shared" si="4"/>
        <v>115000</v>
      </c>
      <c r="P4" s="17">
        <f t="shared" si="1"/>
        <v>690000</v>
      </c>
      <c r="Q4" s="2">
        <f t="shared" si="2"/>
        <v>1270194.2763</v>
      </c>
      <c r="R4" s="25">
        <f>Q4</f>
        <v>1270194.2763</v>
      </c>
      <c r="S4" s="2"/>
    </row>
    <row r="5" s="1" customFormat="1" ht="36" customHeight="1" spans="1:19">
      <c r="A5" s="7" t="s">
        <v>77</v>
      </c>
      <c r="B5" s="11"/>
      <c r="C5" s="2"/>
      <c r="D5" s="3">
        <f t="shared" ref="D5:Q5" si="5">D4/D3</f>
        <v>0.23</v>
      </c>
      <c r="E5" s="3">
        <f t="shared" si="5"/>
        <v>0.23</v>
      </c>
      <c r="F5" s="3">
        <f t="shared" si="5"/>
        <v>0.23</v>
      </c>
      <c r="G5" s="3">
        <f t="shared" si="5"/>
        <v>0.23</v>
      </c>
      <c r="H5" s="3">
        <f t="shared" si="5"/>
        <v>0.23</v>
      </c>
      <c r="I5" s="19">
        <f t="shared" si="5"/>
        <v>0.23</v>
      </c>
      <c r="J5" s="3">
        <f t="shared" si="5"/>
        <v>0.23</v>
      </c>
      <c r="K5" s="3">
        <f t="shared" si="5"/>
        <v>0.23</v>
      </c>
      <c r="L5" s="3">
        <f t="shared" si="5"/>
        <v>0.23</v>
      </c>
      <c r="M5" s="3">
        <f t="shared" si="5"/>
        <v>0.23</v>
      </c>
      <c r="N5" s="3">
        <f t="shared" si="5"/>
        <v>0.23</v>
      </c>
      <c r="O5" s="3">
        <f t="shared" si="5"/>
        <v>0.23</v>
      </c>
      <c r="P5" s="19">
        <f t="shared" si="5"/>
        <v>0.23</v>
      </c>
      <c r="Q5" s="3">
        <f t="shared" si="5"/>
        <v>0.23</v>
      </c>
      <c r="R5" s="26">
        <v>0.23</v>
      </c>
      <c r="S5" s="2"/>
    </row>
    <row r="6" ht="32" customHeight="1" spans="1:21">
      <c r="A6" s="7" t="s">
        <v>79</v>
      </c>
      <c r="B6" s="12" t="s">
        <v>80</v>
      </c>
      <c r="C6" s="13"/>
      <c r="D6" s="13"/>
      <c r="E6" s="13"/>
      <c r="F6" s="2">
        <v>360000</v>
      </c>
      <c r="G6" s="13"/>
      <c r="H6" s="13"/>
      <c r="I6" s="17">
        <f t="shared" si="0"/>
        <v>360000</v>
      </c>
      <c r="J6" s="2">
        <f t="shared" ref="J6:O6" si="6">800000*0.1</f>
        <v>80000</v>
      </c>
      <c r="K6" s="2">
        <f t="shared" si="6"/>
        <v>80000</v>
      </c>
      <c r="L6" s="2">
        <f t="shared" si="6"/>
        <v>80000</v>
      </c>
      <c r="M6" s="2">
        <f t="shared" si="6"/>
        <v>80000</v>
      </c>
      <c r="N6" s="2">
        <f t="shared" si="6"/>
        <v>80000</v>
      </c>
      <c r="O6" s="2">
        <f t="shared" si="6"/>
        <v>80000</v>
      </c>
      <c r="P6" s="17">
        <f t="shared" si="1"/>
        <v>480000</v>
      </c>
      <c r="Q6" s="27">
        <f t="shared" si="2"/>
        <v>840000</v>
      </c>
      <c r="R6" s="25">
        <f>P3*(R5-R9-R11)+I6</f>
        <v>577357.555928155</v>
      </c>
      <c r="S6" s="28">
        <f>4200*(1+R7)</f>
        <v>4639.0882634515</v>
      </c>
      <c r="U6" s="25">
        <f>S3*(U5-U9-U11)+L6</f>
        <v>80000</v>
      </c>
    </row>
    <row r="7" ht="32" customHeight="1" spans="1:19">
      <c r="A7" s="7" t="s">
        <v>77</v>
      </c>
      <c r="B7" s="12"/>
      <c r="C7" s="13"/>
      <c r="D7" s="3">
        <f t="shared" ref="D7:R7" si="7">D6/D3</f>
        <v>0</v>
      </c>
      <c r="E7" s="3">
        <f t="shared" si="7"/>
        <v>0</v>
      </c>
      <c r="F7" s="3">
        <f t="shared" si="7"/>
        <v>0.72260544062884</v>
      </c>
      <c r="G7" s="3">
        <f t="shared" si="7"/>
        <v>0</v>
      </c>
      <c r="H7" s="3">
        <f t="shared" si="7"/>
        <v>0</v>
      </c>
      <c r="I7" s="19">
        <f t="shared" si="7"/>
        <v>0.142710818396951</v>
      </c>
      <c r="J7" s="3">
        <f t="shared" si="7"/>
        <v>0.16</v>
      </c>
      <c r="K7" s="3">
        <f t="shared" si="7"/>
        <v>0.16</v>
      </c>
      <c r="L7" s="3">
        <f t="shared" si="7"/>
        <v>0.16</v>
      </c>
      <c r="M7" s="3">
        <f t="shared" si="7"/>
        <v>0.16</v>
      </c>
      <c r="N7" s="3">
        <f t="shared" si="7"/>
        <v>0.16</v>
      </c>
      <c r="O7" s="3">
        <f t="shared" si="7"/>
        <v>0.16</v>
      </c>
      <c r="P7" s="19">
        <f t="shared" si="7"/>
        <v>0.16</v>
      </c>
      <c r="Q7" s="3">
        <f t="shared" si="7"/>
        <v>0.152102716572444</v>
      </c>
      <c r="R7" s="29">
        <f t="shared" si="7"/>
        <v>0.104544824631309</v>
      </c>
      <c r="S7" s="13"/>
    </row>
    <row r="8" ht="32" customHeight="1" spans="1:16384">
      <c r="A8" s="7" t="s">
        <v>85</v>
      </c>
      <c r="B8" s="14"/>
      <c r="C8" s="13"/>
      <c r="D8" s="13">
        <f t="shared" ref="D8:O8" si="8">D4-D6</f>
        <v>176545.7253</v>
      </c>
      <c r="E8" s="13">
        <f t="shared" si="8"/>
        <v>55580.2567</v>
      </c>
      <c r="F8" s="13">
        <f t="shared" si="8"/>
        <v>-245414.6463</v>
      </c>
      <c r="G8" s="13">
        <f t="shared" si="8"/>
        <v>118482.9406</v>
      </c>
      <c r="H8" s="13">
        <f t="shared" si="8"/>
        <v>115000</v>
      </c>
      <c r="I8" s="20">
        <f t="shared" si="8"/>
        <v>220194.2763</v>
      </c>
      <c r="J8" s="2">
        <f t="shared" si="8"/>
        <v>35000</v>
      </c>
      <c r="K8" s="2">
        <f t="shared" si="8"/>
        <v>35000</v>
      </c>
      <c r="L8" s="2">
        <f t="shared" si="8"/>
        <v>35000</v>
      </c>
      <c r="M8" s="2">
        <f t="shared" si="8"/>
        <v>35000</v>
      </c>
      <c r="N8" s="2">
        <f t="shared" si="8"/>
        <v>35000</v>
      </c>
      <c r="O8" s="2">
        <f t="shared" si="8"/>
        <v>35000</v>
      </c>
      <c r="P8" s="21">
        <f>SUM(J8:O8)</f>
        <v>210000</v>
      </c>
      <c r="Q8" s="27">
        <f>I8+P8</f>
        <v>430194.2763</v>
      </c>
      <c r="R8" s="25">
        <f>R3*R9</f>
        <v>552258.381</v>
      </c>
      <c r="S8" s="13"/>
      <c r="XFD8">
        <f>SUM(A8:XFC8)</f>
        <v>1842841.2099</v>
      </c>
    </row>
    <row r="9" ht="32" customHeight="1" spans="1:19">
      <c r="A9" s="7" t="s">
        <v>77</v>
      </c>
      <c r="B9" s="14"/>
      <c r="C9" s="13"/>
      <c r="D9" s="3">
        <f t="shared" ref="D9:Q9" si="9">D8/D3</f>
        <v>0.23</v>
      </c>
      <c r="E9" s="3">
        <f t="shared" si="9"/>
        <v>0.23</v>
      </c>
      <c r="F9" s="3">
        <f t="shared" si="9"/>
        <v>-0.49260544062884</v>
      </c>
      <c r="G9" s="3">
        <f t="shared" si="9"/>
        <v>0.23</v>
      </c>
      <c r="H9" s="3">
        <f t="shared" si="9"/>
        <v>0.23</v>
      </c>
      <c r="I9" s="19">
        <f t="shared" si="9"/>
        <v>0.0872891816030485</v>
      </c>
      <c r="J9" s="3">
        <f t="shared" si="9"/>
        <v>0.07</v>
      </c>
      <c r="K9" s="3">
        <f t="shared" si="9"/>
        <v>0.07</v>
      </c>
      <c r="L9" s="3">
        <f t="shared" si="9"/>
        <v>0.07</v>
      </c>
      <c r="M9" s="3">
        <f t="shared" si="9"/>
        <v>0.07</v>
      </c>
      <c r="N9" s="3">
        <f t="shared" si="9"/>
        <v>0.07</v>
      </c>
      <c r="O9" s="3">
        <f t="shared" si="9"/>
        <v>0.07</v>
      </c>
      <c r="P9" s="19">
        <f t="shared" si="9"/>
        <v>0.07</v>
      </c>
      <c r="Q9" s="30">
        <f t="shared" si="9"/>
        <v>0.0778972834275556</v>
      </c>
      <c r="R9" s="26">
        <v>0.1</v>
      </c>
      <c r="S9" s="13"/>
    </row>
    <row r="10" ht="32" customHeight="1" spans="1:19">
      <c r="A10" s="7" t="s">
        <v>88</v>
      </c>
      <c r="B10" s="14"/>
      <c r="C10" s="13"/>
      <c r="D10" s="3"/>
      <c r="E10" s="3"/>
      <c r="F10" s="3"/>
      <c r="G10" s="3"/>
      <c r="H10" s="3"/>
      <c r="I10" s="19"/>
      <c r="J10" s="3"/>
      <c r="K10" s="3"/>
      <c r="L10" s="3"/>
      <c r="M10" s="3"/>
      <c r="N10" s="3"/>
      <c r="O10" s="3"/>
      <c r="P10" s="19"/>
      <c r="Q10" s="31"/>
      <c r="R10" s="31">
        <f>4353572.45*0.073</f>
        <v>317810.78885</v>
      </c>
      <c r="S10" s="13"/>
    </row>
    <row r="11" ht="32" customHeight="1" spans="1:19">
      <c r="A11" s="7" t="s">
        <v>77</v>
      </c>
      <c r="B11" s="14"/>
      <c r="C11" s="13"/>
      <c r="D11" s="3"/>
      <c r="E11" s="3"/>
      <c r="F11" s="3"/>
      <c r="G11" s="3"/>
      <c r="H11" s="3"/>
      <c r="I11" s="19"/>
      <c r="J11" s="3"/>
      <c r="K11" s="3"/>
      <c r="L11" s="3"/>
      <c r="M11" s="3"/>
      <c r="N11" s="3"/>
      <c r="O11" s="3"/>
      <c r="P11" s="19"/>
      <c r="Q11" s="31"/>
      <c r="R11" s="19">
        <f>R10/R3</f>
        <v>0.0575474813572816</v>
      </c>
      <c r="S11" s="13"/>
    </row>
    <row r="12" ht="28" customHeight="1" spans="17:17">
      <c r="Q12" s="1">
        <v>26</v>
      </c>
    </row>
    <row r="13" ht="28" customHeight="1" spans="9:17">
      <c r="I13" s="22"/>
      <c r="J13" s="22"/>
      <c r="K13" s="22"/>
      <c r="L13" s="22"/>
      <c r="M13" s="22"/>
      <c r="N13" s="22"/>
      <c r="O13" s="22"/>
      <c r="Q13" s="32">
        <f>Q12*(1-Q9)</f>
        <v>23.9746706308836</v>
      </c>
    </row>
    <row r="14" spans="6:17">
      <c r="F14" t="s">
        <v>173</v>
      </c>
      <c r="H14">
        <v>3700</v>
      </c>
      <c r="J14" s="23">
        <f>26*0.07</f>
        <v>1.82</v>
      </c>
      <c r="Q14">
        <v>23.55</v>
      </c>
    </row>
    <row r="15" spans="2:17">
      <c r="B15" t="s">
        <v>174</v>
      </c>
      <c r="F15" t="s">
        <v>91</v>
      </c>
      <c r="H15">
        <f>4800</f>
        <v>4800</v>
      </c>
      <c r="J15" s="23">
        <f>J12-J14</f>
        <v>-1.82</v>
      </c>
      <c r="Q15" s="15">
        <f>Q14/Q12-1</f>
        <v>-0.0942307692307692</v>
      </c>
    </row>
    <row r="16" spans="2:11">
      <c r="B16" t="s">
        <v>175</v>
      </c>
      <c r="F16" t="s">
        <v>92</v>
      </c>
      <c r="H16" s="15">
        <f>(H14-H15)/H15</f>
        <v>-0.229166666666667</v>
      </c>
      <c r="J16">
        <v>20</v>
      </c>
      <c r="K16" s="15" t="e">
        <f>6/J12</f>
        <v>#DIV/0!</v>
      </c>
    </row>
  </sheetData>
  <mergeCells count="1">
    <mergeCell ref="A1:Q1"/>
  </mergeCells>
  <pageMargins left="0.7" right="0.7" top="0.75" bottom="0.75" header="0.3" footer="0.3"/>
  <pageSetup paperSize="9" orientation="portrait" horizontalDpi="200" verticalDpi="300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S11" sqref="S1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4"/>
  <sheetViews>
    <sheetView workbookViewId="0">
      <selection activeCell="S11" sqref="S11"/>
    </sheetView>
  </sheetViews>
  <sheetFormatPr defaultColWidth="8.88888888888889" defaultRowHeight="14.4" outlineLevelRow="3" outlineLevelCol="6"/>
  <cols>
    <col min="1" max="1" width="11.7777777777778" customWidth="1"/>
    <col min="2" max="2" width="11.6666666666667" customWidth="1"/>
    <col min="3" max="3" width="14.1111111111111" style="1"/>
    <col min="4" max="4" width="18.4444444444444" style="1" customWidth="1"/>
    <col min="5" max="5" width="15" style="1" customWidth="1"/>
    <col min="6" max="6" width="12" style="1" customWidth="1"/>
    <col min="7" max="7" width="38" customWidth="1"/>
  </cols>
  <sheetData>
    <row r="2" spans="1:7">
      <c r="A2" s="2" t="s">
        <v>67</v>
      </c>
      <c r="B2" s="2" t="s">
        <v>68</v>
      </c>
      <c r="C2" s="2" t="s">
        <v>176</v>
      </c>
      <c r="D2" s="2" t="s">
        <v>69</v>
      </c>
      <c r="E2" s="2" t="s">
        <v>177</v>
      </c>
      <c r="F2" s="2" t="s">
        <v>117</v>
      </c>
      <c r="G2" s="2" t="s">
        <v>14</v>
      </c>
    </row>
    <row r="3" spans="1:7">
      <c r="A3" s="2">
        <v>23</v>
      </c>
      <c r="B3" s="2">
        <v>26</v>
      </c>
      <c r="C3" s="3">
        <v>-0.115384615384615</v>
      </c>
      <c r="D3" s="2" t="s">
        <v>71</v>
      </c>
      <c r="E3" s="2" t="s">
        <v>72</v>
      </c>
      <c r="F3" s="2" t="s">
        <v>73</v>
      </c>
      <c r="G3" s="4" t="s">
        <v>74</v>
      </c>
    </row>
    <row r="4" spans="1:7">
      <c r="A4" s="2">
        <v>23</v>
      </c>
      <c r="B4" s="2">
        <v>26</v>
      </c>
      <c r="C4" s="3">
        <v>-0.115384615384615</v>
      </c>
      <c r="D4" s="3">
        <v>0.0413</v>
      </c>
      <c r="E4" s="3">
        <v>0.0342679050195044</v>
      </c>
      <c r="F4" s="3">
        <v>0.07</v>
      </c>
      <c r="G4" s="2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Z46"/>
  <sheetViews>
    <sheetView tabSelected="1" view="pageBreakPreview" zoomScale="80" zoomScaleNormal="100" topLeftCell="A6" workbookViewId="0">
      <selection activeCell="N10" sqref="N10"/>
    </sheetView>
  </sheetViews>
  <sheetFormatPr defaultColWidth="9" defaultRowHeight="15.6"/>
  <cols>
    <col min="1" max="1" width="5.44444444444444" style="156" customWidth="1"/>
    <col min="2" max="2" width="16.7777777777778" style="157" customWidth="1"/>
    <col min="3" max="3" width="20.2777777777778" style="156" customWidth="1"/>
    <col min="4" max="4" width="8.47222222222222" style="158" customWidth="1"/>
    <col min="5" max="5" width="4.77777777777778" style="159" customWidth="1"/>
    <col min="6" max="6" width="14.6666666666667" style="160" customWidth="1"/>
    <col min="7" max="7" width="14.4444444444444" style="160" customWidth="1"/>
    <col min="8" max="9" width="12.5555555555556" style="160" customWidth="1"/>
    <col min="10" max="10" width="59.7222222222222" style="160" customWidth="1"/>
    <col min="11" max="11" width="14.4444444444444" style="160" customWidth="1"/>
    <col min="12" max="12" width="7.91666666666667" style="161" customWidth="1"/>
    <col min="13" max="13" width="9.66666666666667" style="156"/>
    <col min="14" max="203" width="8.88888888888889" style="156"/>
    <col min="204" max="204" width="5" style="156" customWidth="1"/>
    <col min="205" max="205" width="15" style="156" customWidth="1"/>
    <col min="206" max="207" width="14.6666666666667" style="156" customWidth="1"/>
    <col min="208" max="208" width="6.22222222222222" style="156" customWidth="1"/>
    <col min="209" max="211" width="10.1111111111111" style="156" customWidth="1"/>
    <col min="212" max="212" width="10.4444444444444" style="156" customWidth="1"/>
    <col min="213" max="234" width="8.88888888888889" style="156"/>
    <col min="235" max="235" width="6.44444444444444" style="156" customWidth="1"/>
    <col min="236" max="236" width="12.2222222222222" style="156" customWidth="1"/>
    <col min="237" max="237" width="28.2222222222222" style="156" customWidth="1"/>
    <col min="238" max="238" width="13.7777777777778" style="156" customWidth="1"/>
    <col min="239" max="239" width="5.66666666666667" style="156" customWidth="1"/>
    <col min="240" max="241" width="9.33333333333333" style="156" customWidth="1"/>
    <col min="242" max="242" width="13.1111111111111" style="156" customWidth="1"/>
    <col min="243" max="459" width="8.88888888888889" style="156"/>
    <col min="460" max="460" width="5" style="156" customWidth="1"/>
    <col min="461" max="461" width="15" style="156" customWidth="1"/>
    <col min="462" max="463" width="14.6666666666667" style="156" customWidth="1"/>
    <col min="464" max="464" width="6.22222222222222" style="156" customWidth="1"/>
    <col min="465" max="467" width="10.1111111111111" style="156" customWidth="1"/>
    <col min="468" max="468" width="10.4444444444444" style="156" customWidth="1"/>
    <col min="469" max="490" width="8.88888888888889" style="156"/>
    <col min="491" max="491" width="6.44444444444444" style="156" customWidth="1"/>
    <col min="492" max="492" width="12.2222222222222" style="156" customWidth="1"/>
    <col min="493" max="493" width="28.2222222222222" style="156" customWidth="1"/>
    <col min="494" max="494" width="13.7777777777778" style="156" customWidth="1"/>
    <col min="495" max="495" width="5.66666666666667" style="156" customWidth="1"/>
    <col min="496" max="497" width="9.33333333333333" style="156" customWidth="1"/>
    <col min="498" max="498" width="13.1111111111111" style="156" customWidth="1"/>
    <col min="499" max="715" width="8.88888888888889" style="156"/>
    <col min="716" max="716" width="5" style="156" customWidth="1"/>
    <col min="717" max="717" width="15" style="156" customWidth="1"/>
    <col min="718" max="719" width="14.6666666666667" style="156" customWidth="1"/>
    <col min="720" max="720" width="6.22222222222222" style="156" customWidth="1"/>
    <col min="721" max="723" width="10.1111111111111" style="156" customWidth="1"/>
    <col min="724" max="724" width="10.4444444444444" style="156" customWidth="1"/>
    <col min="725" max="746" width="8.88888888888889" style="156"/>
    <col min="747" max="747" width="6.44444444444444" style="156" customWidth="1"/>
    <col min="748" max="748" width="12.2222222222222" style="156" customWidth="1"/>
    <col min="749" max="749" width="28.2222222222222" style="156" customWidth="1"/>
    <col min="750" max="750" width="13.7777777777778" style="156" customWidth="1"/>
    <col min="751" max="751" width="5.66666666666667" style="156" customWidth="1"/>
    <col min="752" max="753" width="9.33333333333333" style="156" customWidth="1"/>
    <col min="754" max="754" width="13.1111111111111" style="156" customWidth="1"/>
    <col min="755" max="971" width="8.88888888888889" style="156"/>
    <col min="972" max="972" width="5" style="156" customWidth="1"/>
    <col min="973" max="973" width="15" style="156" customWidth="1"/>
    <col min="974" max="975" width="14.6666666666667" style="156" customWidth="1"/>
    <col min="976" max="976" width="6.22222222222222" style="156" customWidth="1"/>
    <col min="977" max="979" width="10.1111111111111" style="156" customWidth="1"/>
    <col min="980" max="980" width="10.4444444444444" style="156" customWidth="1"/>
    <col min="981" max="1002" width="8.88888888888889" style="156"/>
    <col min="1003" max="1003" width="6.44444444444444" style="156" customWidth="1"/>
    <col min="1004" max="1004" width="12.2222222222222" style="156" customWidth="1"/>
    <col min="1005" max="1005" width="28.2222222222222" style="156" customWidth="1"/>
    <col min="1006" max="1006" width="13.7777777777778" style="156" customWidth="1"/>
    <col min="1007" max="1007" width="5.66666666666667" style="156" customWidth="1"/>
    <col min="1008" max="1009" width="9.33333333333333" style="156" customWidth="1"/>
    <col min="1010" max="1010" width="13.1111111111111" style="156" customWidth="1"/>
    <col min="1011" max="1227" width="8.88888888888889" style="156"/>
    <col min="1228" max="1228" width="5" style="156" customWidth="1"/>
    <col min="1229" max="1229" width="15" style="156" customWidth="1"/>
    <col min="1230" max="1231" width="14.6666666666667" style="156" customWidth="1"/>
    <col min="1232" max="1232" width="6.22222222222222" style="156" customWidth="1"/>
    <col min="1233" max="1235" width="10.1111111111111" style="156" customWidth="1"/>
    <col min="1236" max="1236" width="10.4444444444444" style="156" customWidth="1"/>
    <col min="1237" max="1258" width="8.88888888888889" style="156"/>
    <col min="1259" max="1259" width="6.44444444444444" style="156" customWidth="1"/>
    <col min="1260" max="1260" width="12.2222222222222" style="156" customWidth="1"/>
    <col min="1261" max="1261" width="28.2222222222222" style="156" customWidth="1"/>
    <col min="1262" max="1262" width="13.7777777777778" style="156" customWidth="1"/>
    <col min="1263" max="1263" width="5.66666666666667" style="156" customWidth="1"/>
    <col min="1264" max="1265" width="9.33333333333333" style="156" customWidth="1"/>
    <col min="1266" max="1266" width="13.1111111111111" style="156" customWidth="1"/>
    <col min="1267" max="1483" width="8.88888888888889" style="156"/>
    <col min="1484" max="1484" width="5" style="156" customWidth="1"/>
    <col min="1485" max="1485" width="15" style="156" customWidth="1"/>
    <col min="1486" max="1487" width="14.6666666666667" style="156" customWidth="1"/>
    <col min="1488" max="1488" width="6.22222222222222" style="156" customWidth="1"/>
    <col min="1489" max="1491" width="10.1111111111111" style="156" customWidth="1"/>
    <col min="1492" max="1492" width="10.4444444444444" style="156" customWidth="1"/>
    <col min="1493" max="1514" width="8.88888888888889" style="156"/>
    <col min="1515" max="1515" width="6.44444444444444" style="156" customWidth="1"/>
    <col min="1516" max="1516" width="12.2222222222222" style="156" customWidth="1"/>
    <col min="1517" max="1517" width="28.2222222222222" style="156" customWidth="1"/>
    <col min="1518" max="1518" width="13.7777777777778" style="156" customWidth="1"/>
    <col min="1519" max="1519" width="5.66666666666667" style="156" customWidth="1"/>
    <col min="1520" max="1521" width="9.33333333333333" style="156" customWidth="1"/>
    <col min="1522" max="1522" width="13.1111111111111" style="156" customWidth="1"/>
    <col min="1523" max="1739" width="8.88888888888889" style="156"/>
    <col min="1740" max="1740" width="5" style="156" customWidth="1"/>
    <col min="1741" max="1741" width="15" style="156" customWidth="1"/>
    <col min="1742" max="1743" width="14.6666666666667" style="156" customWidth="1"/>
    <col min="1744" max="1744" width="6.22222222222222" style="156" customWidth="1"/>
    <col min="1745" max="1747" width="10.1111111111111" style="156" customWidth="1"/>
    <col min="1748" max="1748" width="10.4444444444444" style="156" customWidth="1"/>
    <col min="1749" max="1770" width="8.88888888888889" style="156"/>
    <col min="1771" max="1771" width="6.44444444444444" style="156" customWidth="1"/>
    <col min="1772" max="1772" width="12.2222222222222" style="156" customWidth="1"/>
    <col min="1773" max="1773" width="28.2222222222222" style="156" customWidth="1"/>
    <col min="1774" max="1774" width="13.7777777777778" style="156" customWidth="1"/>
    <col min="1775" max="1775" width="5.66666666666667" style="156" customWidth="1"/>
    <col min="1776" max="1777" width="9.33333333333333" style="156" customWidth="1"/>
    <col min="1778" max="1778" width="13.1111111111111" style="156" customWidth="1"/>
    <col min="1779" max="1995" width="8.88888888888889" style="156"/>
    <col min="1996" max="1996" width="5" style="156" customWidth="1"/>
    <col min="1997" max="1997" width="15" style="156" customWidth="1"/>
    <col min="1998" max="1999" width="14.6666666666667" style="156" customWidth="1"/>
    <col min="2000" max="2000" width="6.22222222222222" style="156" customWidth="1"/>
    <col min="2001" max="2003" width="10.1111111111111" style="156" customWidth="1"/>
    <col min="2004" max="2004" width="10.4444444444444" style="156" customWidth="1"/>
    <col min="2005" max="2026" width="8.88888888888889" style="156"/>
    <col min="2027" max="2027" width="6.44444444444444" style="156" customWidth="1"/>
    <col min="2028" max="2028" width="12.2222222222222" style="156" customWidth="1"/>
    <col min="2029" max="2029" width="28.2222222222222" style="156" customWidth="1"/>
    <col min="2030" max="2030" width="13.7777777777778" style="156" customWidth="1"/>
    <col min="2031" max="2031" width="5.66666666666667" style="156" customWidth="1"/>
    <col min="2032" max="2033" width="9.33333333333333" style="156" customWidth="1"/>
    <col min="2034" max="2034" width="13.1111111111111" style="156" customWidth="1"/>
    <col min="2035" max="2251" width="8.88888888888889" style="156"/>
    <col min="2252" max="2252" width="5" style="156" customWidth="1"/>
    <col min="2253" max="2253" width="15" style="156" customWidth="1"/>
    <col min="2254" max="2255" width="14.6666666666667" style="156" customWidth="1"/>
    <col min="2256" max="2256" width="6.22222222222222" style="156" customWidth="1"/>
    <col min="2257" max="2259" width="10.1111111111111" style="156" customWidth="1"/>
    <col min="2260" max="2260" width="10.4444444444444" style="156" customWidth="1"/>
    <col min="2261" max="2282" width="8.88888888888889" style="156"/>
    <col min="2283" max="2283" width="6.44444444444444" style="156" customWidth="1"/>
    <col min="2284" max="2284" width="12.2222222222222" style="156" customWidth="1"/>
    <col min="2285" max="2285" width="28.2222222222222" style="156" customWidth="1"/>
    <col min="2286" max="2286" width="13.7777777777778" style="156" customWidth="1"/>
    <col min="2287" max="2287" width="5.66666666666667" style="156" customWidth="1"/>
    <col min="2288" max="2289" width="9.33333333333333" style="156" customWidth="1"/>
    <col min="2290" max="2290" width="13.1111111111111" style="156" customWidth="1"/>
    <col min="2291" max="2507" width="8.88888888888889" style="156"/>
    <col min="2508" max="2508" width="5" style="156" customWidth="1"/>
    <col min="2509" max="2509" width="15" style="156" customWidth="1"/>
    <col min="2510" max="2511" width="14.6666666666667" style="156" customWidth="1"/>
    <col min="2512" max="2512" width="6.22222222222222" style="156" customWidth="1"/>
    <col min="2513" max="2515" width="10.1111111111111" style="156" customWidth="1"/>
    <col min="2516" max="2516" width="10.4444444444444" style="156" customWidth="1"/>
    <col min="2517" max="2538" width="8.88888888888889" style="156"/>
    <col min="2539" max="2539" width="6.44444444444444" style="156" customWidth="1"/>
    <col min="2540" max="2540" width="12.2222222222222" style="156" customWidth="1"/>
    <col min="2541" max="2541" width="28.2222222222222" style="156" customWidth="1"/>
    <col min="2542" max="2542" width="13.7777777777778" style="156" customWidth="1"/>
    <col min="2543" max="2543" width="5.66666666666667" style="156" customWidth="1"/>
    <col min="2544" max="2545" width="9.33333333333333" style="156" customWidth="1"/>
    <col min="2546" max="2546" width="13.1111111111111" style="156" customWidth="1"/>
    <col min="2547" max="2763" width="8.88888888888889" style="156"/>
    <col min="2764" max="2764" width="5" style="156" customWidth="1"/>
    <col min="2765" max="2765" width="15" style="156" customWidth="1"/>
    <col min="2766" max="2767" width="14.6666666666667" style="156" customWidth="1"/>
    <col min="2768" max="2768" width="6.22222222222222" style="156" customWidth="1"/>
    <col min="2769" max="2771" width="10.1111111111111" style="156" customWidth="1"/>
    <col min="2772" max="2772" width="10.4444444444444" style="156" customWidth="1"/>
    <col min="2773" max="2794" width="8.88888888888889" style="156"/>
    <col min="2795" max="2795" width="6.44444444444444" style="156" customWidth="1"/>
    <col min="2796" max="2796" width="12.2222222222222" style="156" customWidth="1"/>
    <col min="2797" max="2797" width="28.2222222222222" style="156" customWidth="1"/>
    <col min="2798" max="2798" width="13.7777777777778" style="156" customWidth="1"/>
    <col min="2799" max="2799" width="5.66666666666667" style="156" customWidth="1"/>
    <col min="2800" max="2801" width="9.33333333333333" style="156" customWidth="1"/>
    <col min="2802" max="2802" width="13.1111111111111" style="156" customWidth="1"/>
    <col min="2803" max="3019" width="8.88888888888889" style="156"/>
    <col min="3020" max="3020" width="5" style="156" customWidth="1"/>
    <col min="3021" max="3021" width="15" style="156" customWidth="1"/>
    <col min="3022" max="3023" width="14.6666666666667" style="156" customWidth="1"/>
    <col min="3024" max="3024" width="6.22222222222222" style="156" customWidth="1"/>
    <col min="3025" max="3027" width="10.1111111111111" style="156" customWidth="1"/>
    <col min="3028" max="3028" width="10.4444444444444" style="156" customWidth="1"/>
    <col min="3029" max="3050" width="8.88888888888889" style="156"/>
    <col min="3051" max="3051" width="6.44444444444444" style="156" customWidth="1"/>
    <col min="3052" max="3052" width="12.2222222222222" style="156" customWidth="1"/>
    <col min="3053" max="3053" width="28.2222222222222" style="156" customWidth="1"/>
    <col min="3054" max="3054" width="13.7777777777778" style="156" customWidth="1"/>
    <col min="3055" max="3055" width="5.66666666666667" style="156" customWidth="1"/>
    <col min="3056" max="3057" width="9.33333333333333" style="156" customWidth="1"/>
    <col min="3058" max="3058" width="13.1111111111111" style="156" customWidth="1"/>
    <col min="3059" max="3275" width="8.88888888888889" style="156"/>
    <col min="3276" max="3276" width="5" style="156" customWidth="1"/>
    <col min="3277" max="3277" width="15" style="156" customWidth="1"/>
    <col min="3278" max="3279" width="14.6666666666667" style="156" customWidth="1"/>
    <col min="3280" max="3280" width="6.22222222222222" style="156" customWidth="1"/>
    <col min="3281" max="3283" width="10.1111111111111" style="156" customWidth="1"/>
    <col min="3284" max="3284" width="10.4444444444444" style="156" customWidth="1"/>
    <col min="3285" max="3306" width="8.88888888888889" style="156"/>
    <col min="3307" max="3307" width="6.44444444444444" style="156" customWidth="1"/>
    <col min="3308" max="3308" width="12.2222222222222" style="156" customWidth="1"/>
    <col min="3309" max="3309" width="28.2222222222222" style="156" customWidth="1"/>
    <col min="3310" max="3310" width="13.7777777777778" style="156" customWidth="1"/>
    <col min="3311" max="3311" width="5.66666666666667" style="156" customWidth="1"/>
    <col min="3312" max="3313" width="9.33333333333333" style="156" customWidth="1"/>
    <col min="3314" max="3314" width="13.1111111111111" style="156" customWidth="1"/>
    <col min="3315" max="3531" width="8.88888888888889" style="156"/>
    <col min="3532" max="3532" width="5" style="156" customWidth="1"/>
    <col min="3533" max="3533" width="15" style="156" customWidth="1"/>
    <col min="3534" max="3535" width="14.6666666666667" style="156" customWidth="1"/>
    <col min="3536" max="3536" width="6.22222222222222" style="156" customWidth="1"/>
    <col min="3537" max="3539" width="10.1111111111111" style="156" customWidth="1"/>
    <col min="3540" max="3540" width="10.4444444444444" style="156" customWidth="1"/>
    <col min="3541" max="3562" width="8.88888888888889" style="156"/>
    <col min="3563" max="3563" width="6.44444444444444" style="156" customWidth="1"/>
    <col min="3564" max="3564" width="12.2222222222222" style="156" customWidth="1"/>
    <col min="3565" max="3565" width="28.2222222222222" style="156" customWidth="1"/>
    <col min="3566" max="3566" width="13.7777777777778" style="156" customWidth="1"/>
    <col min="3567" max="3567" width="5.66666666666667" style="156" customWidth="1"/>
    <col min="3568" max="3569" width="9.33333333333333" style="156" customWidth="1"/>
    <col min="3570" max="3570" width="13.1111111111111" style="156" customWidth="1"/>
    <col min="3571" max="3787" width="8.88888888888889" style="156"/>
    <col min="3788" max="3788" width="5" style="156" customWidth="1"/>
    <col min="3789" max="3789" width="15" style="156" customWidth="1"/>
    <col min="3790" max="3791" width="14.6666666666667" style="156" customWidth="1"/>
    <col min="3792" max="3792" width="6.22222222222222" style="156" customWidth="1"/>
    <col min="3793" max="3795" width="10.1111111111111" style="156" customWidth="1"/>
    <col min="3796" max="3796" width="10.4444444444444" style="156" customWidth="1"/>
    <col min="3797" max="3818" width="8.88888888888889" style="156"/>
    <col min="3819" max="3819" width="6.44444444444444" style="156" customWidth="1"/>
    <col min="3820" max="3820" width="12.2222222222222" style="156" customWidth="1"/>
    <col min="3821" max="3821" width="28.2222222222222" style="156" customWidth="1"/>
    <col min="3822" max="3822" width="13.7777777777778" style="156" customWidth="1"/>
    <col min="3823" max="3823" width="5.66666666666667" style="156" customWidth="1"/>
    <col min="3824" max="3825" width="9.33333333333333" style="156" customWidth="1"/>
    <col min="3826" max="3826" width="13.1111111111111" style="156" customWidth="1"/>
    <col min="3827" max="4043" width="8.88888888888889" style="156"/>
    <col min="4044" max="4044" width="5" style="156" customWidth="1"/>
    <col min="4045" max="4045" width="15" style="156" customWidth="1"/>
    <col min="4046" max="4047" width="14.6666666666667" style="156" customWidth="1"/>
    <col min="4048" max="4048" width="6.22222222222222" style="156" customWidth="1"/>
    <col min="4049" max="4051" width="10.1111111111111" style="156" customWidth="1"/>
    <col min="4052" max="4052" width="10.4444444444444" style="156" customWidth="1"/>
    <col min="4053" max="4074" width="8.88888888888889" style="156"/>
    <col min="4075" max="4075" width="6.44444444444444" style="156" customWidth="1"/>
    <col min="4076" max="4076" width="12.2222222222222" style="156" customWidth="1"/>
    <col min="4077" max="4077" width="28.2222222222222" style="156" customWidth="1"/>
    <col min="4078" max="4078" width="13.7777777777778" style="156" customWidth="1"/>
    <col min="4079" max="4079" width="5.66666666666667" style="156" customWidth="1"/>
    <col min="4080" max="4081" width="9.33333333333333" style="156" customWidth="1"/>
    <col min="4082" max="4082" width="13.1111111111111" style="156" customWidth="1"/>
    <col min="4083" max="4299" width="8.88888888888889" style="156"/>
    <col min="4300" max="4300" width="5" style="156" customWidth="1"/>
    <col min="4301" max="4301" width="15" style="156" customWidth="1"/>
    <col min="4302" max="4303" width="14.6666666666667" style="156" customWidth="1"/>
    <col min="4304" max="4304" width="6.22222222222222" style="156" customWidth="1"/>
    <col min="4305" max="4307" width="10.1111111111111" style="156" customWidth="1"/>
    <col min="4308" max="4308" width="10.4444444444444" style="156" customWidth="1"/>
    <col min="4309" max="4330" width="8.88888888888889" style="156"/>
    <col min="4331" max="4331" width="6.44444444444444" style="156" customWidth="1"/>
    <col min="4332" max="4332" width="12.2222222222222" style="156" customWidth="1"/>
    <col min="4333" max="4333" width="28.2222222222222" style="156" customWidth="1"/>
    <col min="4334" max="4334" width="13.7777777777778" style="156" customWidth="1"/>
    <col min="4335" max="4335" width="5.66666666666667" style="156" customWidth="1"/>
    <col min="4336" max="4337" width="9.33333333333333" style="156" customWidth="1"/>
    <col min="4338" max="4338" width="13.1111111111111" style="156" customWidth="1"/>
    <col min="4339" max="4555" width="8.88888888888889" style="156"/>
    <col min="4556" max="4556" width="5" style="156" customWidth="1"/>
    <col min="4557" max="4557" width="15" style="156" customWidth="1"/>
    <col min="4558" max="4559" width="14.6666666666667" style="156" customWidth="1"/>
    <col min="4560" max="4560" width="6.22222222222222" style="156" customWidth="1"/>
    <col min="4561" max="4563" width="10.1111111111111" style="156" customWidth="1"/>
    <col min="4564" max="4564" width="10.4444444444444" style="156" customWidth="1"/>
    <col min="4565" max="4586" width="8.88888888888889" style="156"/>
    <col min="4587" max="4587" width="6.44444444444444" style="156" customWidth="1"/>
    <col min="4588" max="4588" width="12.2222222222222" style="156" customWidth="1"/>
    <col min="4589" max="4589" width="28.2222222222222" style="156" customWidth="1"/>
    <col min="4590" max="4590" width="13.7777777777778" style="156" customWidth="1"/>
    <col min="4591" max="4591" width="5.66666666666667" style="156" customWidth="1"/>
    <col min="4592" max="4593" width="9.33333333333333" style="156" customWidth="1"/>
    <col min="4594" max="4594" width="13.1111111111111" style="156" customWidth="1"/>
    <col min="4595" max="4811" width="8.88888888888889" style="156"/>
    <col min="4812" max="4812" width="5" style="156" customWidth="1"/>
    <col min="4813" max="4813" width="15" style="156" customWidth="1"/>
    <col min="4814" max="4815" width="14.6666666666667" style="156" customWidth="1"/>
    <col min="4816" max="4816" width="6.22222222222222" style="156" customWidth="1"/>
    <col min="4817" max="4819" width="10.1111111111111" style="156" customWidth="1"/>
    <col min="4820" max="4820" width="10.4444444444444" style="156" customWidth="1"/>
    <col min="4821" max="4842" width="8.88888888888889" style="156"/>
    <col min="4843" max="4843" width="6.44444444444444" style="156" customWidth="1"/>
    <col min="4844" max="4844" width="12.2222222222222" style="156" customWidth="1"/>
    <col min="4845" max="4845" width="28.2222222222222" style="156" customWidth="1"/>
    <col min="4846" max="4846" width="13.7777777777778" style="156" customWidth="1"/>
    <col min="4847" max="4847" width="5.66666666666667" style="156" customWidth="1"/>
    <col min="4848" max="4849" width="9.33333333333333" style="156" customWidth="1"/>
    <col min="4850" max="4850" width="13.1111111111111" style="156" customWidth="1"/>
    <col min="4851" max="5067" width="8.88888888888889" style="156"/>
    <col min="5068" max="5068" width="5" style="156" customWidth="1"/>
    <col min="5069" max="5069" width="15" style="156" customWidth="1"/>
    <col min="5070" max="5071" width="14.6666666666667" style="156" customWidth="1"/>
    <col min="5072" max="5072" width="6.22222222222222" style="156" customWidth="1"/>
    <col min="5073" max="5075" width="10.1111111111111" style="156" customWidth="1"/>
    <col min="5076" max="5076" width="10.4444444444444" style="156" customWidth="1"/>
    <col min="5077" max="5098" width="8.88888888888889" style="156"/>
    <col min="5099" max="5099" width="6.44444444444444" style="156" customWidth="1"/>
    <col min="5100" max="5100" width="12.2222222222222" style="156" customWidth="1"/>
    <col min="5101" max="5101" width="28.2222222222222" style="156" customWidth="1"/>
    <col min="5102" max="5102" width="13.7777777777778" style="156" customWidth="1"/>
    <col min="5103" max="5103" width="5.66666666666667" style="156" customWidth="1"/>
    <col min="5104" max="5105" width="9.33333333333333" style="156" customWidth="1"/>
    <col min="5106" max="5106" width="13.1111111111111" style="156" customWidth="1"/>
    <col min="5107" max="5323" width="8.88888888888889" style="156"/>
    <col min="5324" max="5324" width="5" style="156" customWidth="1"/>
    <col min="5325" max="5325" width="15" style="156" customWidth="1"/>
    <col min="5326" max="5327" width="14.6666666666667" style="156" customWidth="1"/>
    <col min="5328" max="5328" width="6.22222222222222" style="156" customWidth="1"/>
    <col min="5329" max="5331" width="10.1111111111111" style="156" customWidth="1"/>
    <col min="5332" max="5332" width="10.4444444444444" style="156" customWidth="1"/>
    <col min="5333" max="5354" width="8.88888888888889" style="156"/>
    <col min="5355" max="5355" width="6.44444444444444" style="156" customWidth="1"/>
    <col min="5356" max="5356" width="12.2222222222222" style="156" customWidth="1"/>
    <col min="5357" max="5357" width="28.2222222222222" style="156" customWidth="1"/>
    <col min="5358" max="5358" width="13.7777777777778" style="156" customWidth="1"/>
    <col min="5359" max="5359" width="5.66666666666667" style="156" customWidth="1"/>
    <col min="5360" max="5361" width="9.33333333333333" style="156" customWidth="1"/>
    <col min="5362" max="5362" width="13.1111111111111" style="156" customWidth="1"/>
    <col min="5363" max="5579" width="8.88888888888889" style="156"/>
    <col min="5580" max="5580" width="5" style="156" customWidth="1"/>
    <col min="5581" max="5581" width="15" style="156" customWidth="1"/>
    <col min="5582" max="5583" width="14.6666666666667" style="156" customWidth="1"/>
    <col min="5584" max="5584" width="6.22222222222222" style="156" customWidth="1"/>
    <col min="5585" max="5587" width="10.1111111111111" style="156" customWidth="1"/>
    <col min="5588" max="5588" width="10.4444444444444" style="156" customWidth="1"/>
    <col min="5589" max="5610" width="8.88888888888889" style="156"/>
    <col min="5611" max="5611" width="6.44444444444444" style="156" customWidth="1"/>
    <col min="5612" max="5612" width="12.2222222222222" style="156" customWidth="1"/>
    <col min="5613" max="5613" width="28.2222222222222" style="156" customWidth="1"/>
    <col min="5614" max="5614" width="13.7777777777778" style="156" customWidth="1"/>
    <col min="5615" max="5615" width="5.66666666666667" style="156" customWidth="1"/>
    <col min="5616" max="5617" width="9.33333333333333" style="156" customWidth="1"/>
    <col min="5618" max="5618" width="13.1111111111111" style="156" customWidth="1"/>
    <col min="5619" max="5835" width="8.88888888888889" style="156"/>
    <col min="5836" max="5836" width="5" style="156" customWidth="1"/>
    <col min="5837" max="5837" width="15" style="156" customWidth="1"/>
    <col min="5838" max="5839" width="14.6666666666667" style="156" customWidth="1"/>
    <col min="5840" max="5840" width="6.22222222222222" style="156" customWidth="1"/>
    <col min="5841" max="5843" width="10.1111111111111" style="156" customWidth="1"/>
    <col min="5844" max="5844" width="10.4444444444444" style="156" customWidth="1"/>
    <col min="5845" max="5866" width="8.88888888888889" style="156"/>
    <col min="5867" max="5867" width="6.44444444444444" style="156" customWidth="1"/>
    <col min="5868" max="5868" width="12.2222222222222" style="156" customWidth="1"/>
    <col min="5869" max="5869" width="28.2222222222222" style="156" customWidth="1"/>
    <col min="5870" max="5870" width="13.7777777777778" style="156" customWidth="1"/>
    <col min="5871" max="5871" width="5.66666666666667" style="156" customWidth="1"/>
    <col min="5872" max="5873" width="9.33333333333333" style="156" customWidth="1"/>
    <col min="5874" max="5874" width="13.1111111111111" style="156" customWidth="1"/>
    <col min="5875" max="6091" width="8.88888888888889" style="156"/>
    <col min="6092" max="6092" width="5" style="156" customWidth="1"/>
    <col min="6093" max="6093" width="15" style="156" customWidth="1"/>
    <col min="6094" max="6095" width="14.6666666666667" style="156" customWidth="1"/>
    <col min="6096" max="6096" width="6.22222222222222" style="156" customWidth="1"/>
    <col min="6097" max="6099" width="10.1111111111111" style="156" customWidth="1"/>
    <col min="6100" max="6100" width="10.4444444444444" style="156" customWidth="1"/>
    <col min="6101" max="6122" width="8.88888888888889" style="156"/>
    <col min="6123" max="6123" width="6.44444444444444" style="156" customWidth="1"/>
    <col min="6124" max="6124" width="12.2222222222222" style="156" customWidth="1"/>
    <col min="6125" max="6125" width="28.2222222222222" style="156" customWidth="1"/>
    <col min="6126" max="6126" width="13.7777777777778" style="156" customWidth="1"/>
    <col min="6127" max="6127" width="5.66666666666667" style="156" customWidth="1"/>
    <col min="6128" max="6129" width="9.33333333333333" style="156" customWidth="1"/>
    <col min="6130" max="6130" width="13.1111111111111" style="156" customWidth="1"/>
    <col min="6131" max="6347" width="8.88888888888889" style="156"/>
    <col min="6348" max="6348" width="5" style="156" customWidth="1"/>
    <col min="6349" max="6349" width="15" style="156" customWidth="1"/>
    <col min="6350" max="6351" width="14.6666666666667" style="156" customWidth="1"/>
    <col min="6352" max="6352" width="6.22222222222222" style="156" customWidth="1"/>
    <col min="6353" max="6355" width="10.1111111111111" style="156" customWidth="1"/>
    <col min="6356" max="6356" width="10.4444444444444" style="156" customWidth="1"/>
    <col min="6357" max="6378" width="8.88888888888889" style="156"/>
    <col min="6379" max="6379" width="6.44444444444444" style="156" customWidth="1"/>
    <col min="6380" max="6380" width="12.2222222222222" style="156" customWidth="1"/>
    <col min="6381" max="6381" width="28.2222222222222" style="156" customWidth="1"/>
    <col min="6382" max="6382" width="13.7777777777778" style="156" customWidth="1"/>
    <col min="6383" max="6383" width="5.66666666666667" style="156" customWidth="1"/>
    <col min="6384" max="6385" width="9.33333333333333" style="156" customWidth="1"/>
    <col min="6386" max="6386" width="13.1111111111111" style="156" customWidth="1"/>
    <col min="6387" max="6603" width="8.88888888888889" style="156"/>
    <col min="6604" max="6604" width="5" style="156" customWidth="1"/>
    <col min="6605" max="6605" width="15" style="156" customWidth="1"/>
    <col min="6606" max="6607" width="14.6666666666667" style="156" customWidth="1"/>
    <col min="6608" max="6608" width="6.22222222222222" style="156" customWidth="1"/>
    <col min="6609" max="6611" width="10.1111111111111" style="156" customWidth="1"/>
    <col min="6612" max="6612" width="10.4444444444444" style="156" customWidth="1"/>
    <col min="6613" max="6634" width="8.88888888888889" style="156"/>
    <col min="6635" max="6635" width="6.44444444444444" style="156" customWidth="1"/>
    <col min="6636" max="6636" width="12.2222222222222" style="156" customWidth="1"/>
    <col min="6637" max="6637" width="28.2222222222222" style="156" customWidth="1"/>
    <col min="6638" max="6638" width="13.7777777777778" style="156" customWidth="1"/>
    <col min="6639" max="6639" width="5.66666666666667" style="156" customWidth="1"/>
    <col min="6640" max="6641" width="9.33333333333333" style="156" customWidth="1"/>
    <col min="6642" max="6642" width="13.1111111111111" style="156" customWidth="1"/>
    <col min="6643" max="6859" width="8.88888888888889" style="156"/>
    <col min="6860" max="6860" width="5" style="156" customWidth="1"/>
    <col min="6861" max="6861" width="15" style="156" customWidth="1"/>
    <col min="6862" max="6863" width="14.6666666666667" style="156" customWidth="1"/>
    <col min="6864" max="6864" width="6.22222222222222" style="156" customWidth="1"/>
    <col min="6865" max="6867" width="10.1111111111111" style="156" customWidth="1"/>
    <col min="6868" max="6868" width="10.4444444444444" style="156" customWidth="1"/>
    <col min="6869" max="6890" width="8.88888888888889" style="156"/>
    <col min="6891" max="6891" width="6.44444444444444" style="156" customWidth="1"/>
    <col min="6892" max="6892" width="12.2222222222222" style="156" customWidth="1"/>
    <col min="6893" max="6893" width="28.2222222222222" style="156" customWidth="1"/>
    <col min="6894" max="6894" width="13.7777777777778" style="156" customWidth="1"/>
    <col min="6895" max="6895" width="5.66666666666667" style="156" customWidth="1"/>
    <col min="6896" max="6897" width="9.33333333333333" style="156" customWidth="1"/>
    <col min="6898" max="6898" width="13.1111111111111" style="156" customWidth="1"/>
    <col min="6899" max="7115" width="8.88888888888889" style="156"/>
    <col min="7116" max="7116" width="5" style="156" customWidth="1"/>
    <col min="7117" max="7117" width="15" style="156" customWidth="1"/>
    <col min="7118" max="7119" width="14.6666666666667" style="156" customWidth="1"/>
    <col min="7120" max="7120" width="6.22222222222222" style="156" customWidth="1"/>
    <col min="7121" max="7123" width="10.1111111111111" style="156" customWidth="1"/>
    <col min="7124" max="7124" width="10.4444444444444" style="156" customWidth="1"/>
    <col min="7125" max="7146" width="8.88888888888889" style="156"/>
    <col min="7147" max="7147" width="6.44444444444444" style="156" customWidth="1"/>
    <col min="7148" max="7148" width="12.2222222222222" style="156" customWidth="1"/>
    <col min="7149" max="7149" width="28.2222222222222" style="156" customWidth="1"/>
    <col min="7150" max="7150" width="13.7777777777778" style="156" customWidth="1"/>
    <col min="7151" max="7151" width="5.66666666666667" style="156" customWidth="1"/>
    <col min="7152" max="7153" width="9.33333333333333" style="156" customWidth="1"/>
    <col min="7154" max="7154" width="13.1111111111111" style="156" customWidth="1"/>
    <col min="7155" max="7371" width="8.88888888888889" style="156"/>
    <col min="7372" max="7372" width="5" style="156" customWidth="1"/>
    <col min="7373" max="7373" width="15" style="156" customWidth="1"/>
    <col min="7374" max="7375" width="14.6666666666667" style="156" customWidth="1"/>
    <col min="7376" max="7376" width="6.22222222222222" style="156" customWidth="1"/>
    <col min="7377" max="7379" width="10.1111111111111" style="156" customWidth="1"/>
    <col min="7380" max="7380" width="10.4444444444444" style="156" customWidth="1"/>
    <col min="7381" max="7402" width="8.88888888888889" style="156"/>
    <col min="7403" max="7403" width="6.44444444444444" style="156" customWidth="1"/>
    <col min="7404" max="7404" width="12.2222222222222" style="156" customWidth="1"/>
    <col min="7405" max="7405" width="28.2222222222222" style="156" customWidth="1"/>
    <col min="7406" max="7406" width="13.7777777777778" style="156" customWidth="1"/>
    <col min="7407" max="7407" width="5.66666666666667" style="156" customWidth="1"/>
    <col min="7408" max="7409" width="9.33333333333333" style="156" customWidth="1"/>
    <col min="7410" max="7410" width="13.1111111111111" style="156" customWidth="1"/>
    <col min="7411" max="7627" width="8.88888888888889" style="156"/>
    <col min="7628" max="7628" width="5" style="156" customWidth="1"/>
    <col min="7629" max="7629" width="15" style="156" customWidth="1"/>
    <col min="7630" max="7631" width="14.6666666666667" style="156" customWidth="1"/>
    <col min="7632" max="7632" width="6.22222222222222" style="156" customWidth="1"/>
    <col min="7633" max="7635" width="10.1111111111111" style="156" customWidth="1"/>
    <col min="7636" max="7636" width="10.4444444444444" style="156" customWidth="1"/>
    <col min="7637" max="7658" width="8.88888888888889" style="156"/>
    <col min="7659" max="7659" width="6.44444444444444" style="156" customWidth="1"/>
    <col min="7660" max="7660" width="12.2222222222222" style="156" customWidth="1"/>
    <col min="7661" max="7661" width="28.2222222222222" style="156" customWidth="1"/>
    <col min="7662" max="7662" width="13.7777777777778" style="156" customWidth="1"/>
    <col min="7663" max="7663" width="5.66666666666667" style="156" customWidth="1"/>
    <col min="7664" max="7665" width="9.33333333333333" style="156" customWidth="1"/>
    <col min="7666" max="7666" width="13.1111111111111" style="156" customWidth="1"/>
    <col min="7667" max="7883" width="8.88888888888889" style="156"/>
    <col min="7884" max="7884" width="5" style="156" customWidth="1"/>
    <col min="7885" max="7885" width="15" style="156" customWidth="1"/>
    <col min="7886" max="7887" width="14.6666666666667" style="156" customWidth="1"/>
    <col min="7888" max="7888" width="6.22222222222222" style="156" customWidth="1"/>
    <col min="7889" max="7891" width="10.1111111111111" style="156" customWidth="1"/>
    <col min="7892" max="7892" width="10.4444444444444" style="156" customWidth="1"/>
    <col min="7893" max="7914" width="8.88888888888889" style="156"/>
    <col min="7915" max="7915" width="6.44444444444444" style="156" customWidth="1"/>
    <col min="7916" max="7916" width="12.2222222222222" style="156" customWidth="1"/>
    <col min="7917" max="7917" width="28.2222222222222" style="156" customWidth="1"/>
    <col min="7918" max="7918" width="13.7777777777778" style="156" customWidth="1"/>
    <col min="7919" max="7919" width="5.66666666666667" style="156" customWidth="1"/>
    <col min="7920" max="7921" width="9.33333333333333" style="156" customWidth="1"/>
    <col min="7922" max="7922" width="13.1111111111111" style="156" customWidth="1"/>
    <col min="7923" max="8139" width="8.88888888888889" style="156"/>
    <col min="8140" max="8140" width="5" style="156" customWidth="1"/>
    <col min="8141" max="8141" width="15" style="156" customWidth="1"/>
    <col min="8142" max="8143" width="14.6666666666667" style="156" customWidth="1"/>
    <col min="8144" max="8144" width="6.22222222222222" style="156" customWidth="1"/>
    <col min="8145" max="8147" width="10.1111111111111" style="156" customWidth="1"/>
    <col min="8148" max="8148" width="10.4444444444444" style="156" customWidth="1"/>
    <col min="8149" max="8170" width="8.88888888888889" style="156"/>
    <col min="8171" max="8171" width="6.44444444444444" style="156" customWidth="1"/>
    <col min="8172" max="8172" width="12.2222222222222" style="156" customWidth="1"/>
    <col min="8173" max="8173" width="28.2222222222222" style="156" customWidth="1"/>
    <col min="8174" max="8174" width="13.7777777777778" style="156" customWidth="1"/>
    <col min="8175" max="8175" width="5.66666666666667" style="156" customWidth="1"/>
    <col min="8176" max="8177" width="9.33333333333333" style="156" customWidth="1"/>
    <col min="8178" max="8178" width="13.1111111111111" style="156" customWidth="1"/>
    <col min="8179" max="8395" width="8.88888888888889" style="156"/>
    <col min="8396" max="8396" width="5" style="156" customWidth="1"/>
    <col min="8397" max="8397" width="15" style="156" customWidth="1"/>
    <col min="8398" max="8399" width="14.6666666666667" style="156" customWidth="1"/>
    <col min="8400" max="8400" width="6.22222222222222" style="156" customWidth="1"/>
    <col min="8401" max="8403" width="10.1111111111111" style="156" customWidth="1"/>
    <col min="8404" max="8404" width="10.4444444444444" style="156" customWidth="1"/>
    <col min="8405" max="8426" width="8.88888888888889" style="156"/>
    <col min="8427" max="8427" width="6.44444444444444" style="156" customWidth="1"/>
    <col min="8428" max="8428" width="12.2222222222222" style="156" customWidth="1"/>
    <col min="8429" max="8429" width="28.2222222222222" style="156" customWidth="1"/>
    <col min="8430" max="8430" width="13.7777777777778" style="156" customWidth="1"/>
    <col min="8431" max="8431" width="5.66666666666667" style="156" customWidth="1"/>
    <col min="8432" max="8433" width="9.33333333333333" style="156" customWidth="1"/>
    <col min="8434" max="8434" width="13.1111111111111" style="156" customWidth="1"/>
    <col min="8435" max="8651" width="8.88888888888889" style="156"/>
    <col min="8652" max="8652" width="5" style="156" customWidth="1"/>
    <col min="8653" max="8653" width="15" style="156" customWidth="1"/>
    <col min="8654" max="8655" width="14.6666666666667" style="156" customWidth="1"/>
    <col min="8656" max="8656" width="6.22222222222222" style="156" customWidth="1"/>
    <col min="8657" max="8659" width="10.1111111111111" style="156" customWidth="1"/>
    <col min="8660" max="8660" width="10.4444444444444" style="156" customWidth="1"/>
    <col min="8661" max="8682" width="8.88888888888889" style="156"/>
    <col min="8683" max="8683" width="6.44444444444444" style="156" customWidth="1"/>
    <col min="8684" max="8684" width="12.2222222222222" style="156" customWidth="1"/>
    <col min="8685" max="8685" width="28.2222222222222" style="156" customWidth="1"/>
    <col min="8686" max="8686" width="13.7777777777778" style="156" customWidth="1"/>
    <col min="8687" max="8687" width="5.66666666666667" style="156" customWidth="1"/>
    <col min="8688" max="8689" width="9.33333333333333" style="156" customWidth="1"/>
    <col min="8690" max="8690" width="13.1111111111111" style="156" customWidth="1"/>
    <col min="8691" max="8907" width="8.88888888888889" style="156"/>
    <col min="8908" max="8908" width="5" style="156" customWidth="1"/>
    <col min="8909" max="8909" width="15" style="156" customWidth="1"/>
    <col min="8910" max="8911" width="14.6666666666667" style="156" customWidth="1"/>
    <col min="8912" max="8912" width="6.22222222222222" style="156" customWidth="1"/>
    <col min="8913" max="8915" width="10.1111111111111" style="156" customWidth="1"/>
    <col min="8916" max="8916" width="10.4444444444444" style="156" customWidth="1"/>
    <col min="8917" max="8938" width="8.88888888888889" style="156"/>
    <col min="8939" max="8939" width="6.44444444444444" style="156" customWidth="1"/>
    <col min="8940" max="8940" width="12.2222222222222" style="156" customWidth="1"/>
    <col min="8941" max="8941" width="28.2222222222222" style="156" customWidth="1"/>
    <col min="8942" max="8942" width="13.7777777777778" style="156" customWidth="1"/>
    <col min="8943" max="8943" width="5.66666666666667" style="156" customWidth="1"/>
    <col min="8944" max="8945" width="9.33333333333333" style="156" customWidth="1"/>
    <col min="8946" max="8946" width="13.1111111111111" style="156" customWidth="1"/>
    <col min="8947" max="9163" width="8.88888888888889" style="156"/>
    <col min="9164" max="9164" width="5" style="156" customWidth="1"/>
    <col min="9165" max="9165" width="15" style="156" customWidth="1"/>
    <col min="9166" max="9167" width="14.6666666666667" style="156" customWidth="1"/>
    <col min="9168" max="9168" width="6.22222222222222" style="156" customWidth="1"/>
    <col min="9169" max="9171" width="10.1111111111111" style="156" customWidth="1"/>
    <col min="9172" max="9172" width="10.4444444444444" style="156" customWidth="1"/>
    <col min="9173" max="9194" width="8.88888888888889" style="156"/>
    <col min="9195" max="9195" width="6.44444444444444" style="156" customWidth="1"/>
    <col min="9196" max="9196" width="12.2222222222222" style="156" customWidth="1"/>
    <col min="9197" max="9197" width="28.2222222222222" style="156" customWidth="1"/>
    <col min="9198" max="9198" width="13.7777777777778" style="156" customWidth="1"/>
    <col min="9199" max="9199" width="5.66666666666667" style="156" customWidth="1"/>
    <col min="9200" max="9201" width="9.33333333333333" style="156" customWidth="1"/>
    <col min="9202" max="9202" width="13.1111111111111" style="156" customWidth="1"/>
    <col min="9203" max="9419" width="8.88888888888889" style="156"/>
    <col min="9420" max="9420" width="5" style="156" customWidth="1"/>
    <col min="9421" max="9421" width="15" style="156" customWidth="1"/>
    <col min="9422" max="9423" width="14.6666666666667" style="156" customWidth="1"/>
    <col min="9424" max="9424" width="6.22222222222222" style="156" customWidth="1"/>
    <col min="9425" max="9427" width="10.1111111111111" style="156" customWidth="1"/>
    <col min="9428" max="9428" width="10.4444444444444" style="156" customWidth="1"/>
    <col min="9429" max="9450" width="8.88888888888889" style="156"/>
    <col min="9451" max="9451" width="6.44444444444444" style="156" customWidth="1"/>
    <col min="9452" max="9452" width="12.2222222222222" style="156" customWidth="1"/>
    <col min="9453" max="9453" width="28.2222222222222" style="156" customWidth="1"/>
    <col min="9454" max="9454" width="13.7777777777778" style="156" customWidth="1"/>
    <col min="9455" max="9455" width="5.66666666666667" style="156" customWidth="1"/>
    <col min="9456" max="9457" width="9.33333333333333" style="156" customWidth="1"/>
    <col min="9458" max="9458" width="13.1111111111111" style="156" customWidth="1"/>
    <col min="9459" max="9675" width="8.88888888888889" style="156"/>
    <col min="9676" max="9676" width="5" style="156" customWidth="1"/>
    <col min="9677" max="9677" width="15" style="156" customWidth="1"/>
    <col min="9678" max="9679" width="14.6666666666667" style="156" customWidth="1"/>
    <col min="9680" max="9680" width="6.22222222222222" style="156" customWidth="1"/>
    <col min="9681" max="9683" width="10.1111111111111" style="156" customWidth="1"/>
    <col min="9684" max="9684" width="10.4444444444444" style="156" customWidth="1"/>
    <col min="9685" max="9706" width="8.88888888888889" style="156"/>
    <col min="9707" max="9707" width="6.44444444444444" style="156" customWidth="1"/>
    <col min="9708" max="9708" width="12.2222222222222" style="156" customWidth="1"/>
    <col min="9709" max="9709" width="28.2222222222222" style="156" customWidth="1"/>
    <col min="9710" max="9710" width="13.7777777777778" style="156" customWidth="1"/>
    <col min="9711" max="9711" width="5.66666666666667" style="156" customWidth="1"/>
    <col min="9712" max="9713" width="9.33333333333333" style="156" customWidth="1"/>
    <col min="9714" max="9714" width="13.1111111111111" style="156" customWidth="1"/>
    <col min="9715" max="9931" width="8.88888888888889" style="156"/>
    <col min="9932" max="9932" width="5" style="156" customWidth="1"/>
    <col min="9933" max="9933" width="15" style="156" customWidth="1"/>
    <col min="9934" max="9935" width="14.6666666666667" style="156" customWidth="1"/>
    <col min="9936" max="9936" width="6.22222222222222" style="156" customWidth="1"/>
    <col min="9937" max="9939" width="10.1111111111111" style="156" customWidth="1"/>
    <col min="9940" max="9940" width="10.4444444444444" style="156" customWidth="1"/>
    <col min="9941" max="9962" width="8.88888888888889" style="156"/>
    <col min="9963" max="9963" width="6.44444444444444" style="156" customWidth="1"/>
    <col min="9964" max="9964" width="12.2222222222222" style="156" customWidth="1"/>
    <col min="9965" max="9965" width="28.2222222222222" style="156" customWidth="1"/>
    <col min="9966" max="9966" width="13.7777777777778" style="156" customWidth="1"/>
    <col min="9967" max="9967" width="5.66666666666667" style="156" customWidth="1"/>
    <col min="9968" max="9969" width="9.33333333333333" style="156" customWidth="1"/>
    <col min="9970" max="9970" width="13.1111111111111" style="156" customWidth="1"/>
    <col min="9971" max="10187" width="8.88888888888889" style="156"/>
    <col min="10188" max="10188" width="5" style="156" customWidth="1"/>
    <col min="10189" max="10189" width="15" style="156" customWidth="1"/>
    <col min="10190" max="10191" width="14.6666666666667" style="156" customWidth="1"/>
    <col min="10192" max="10192" width="6.22222222222222" style="156" customWidth="1"/>
    <col min="10193" max="10195" width="10.1111111111111" style="156" customWidth="1"/>
    <col min="10196" max="10196" width="10.4444444444444" style="156" customWidth="1"/>
    <col min="10197" max="10218" width="8.88888888888889" style="156"/>
    <col min="10219" max="10219" width="6.44444444444444" style="156" customWidth="1"/>
    <col min="10220" max="10220" width="12.2222222222222" style="156" customWidth="1"/>
    <col min="10221" max="10221" width="28.2222222222222" style="156" customWidth="1"/>
    <col min="10222" max="10222" width="13.7777777777778" style="156" customWidth="1"/>
    <col min="10223" max="10223" width="5.66666666666667" style="156" customWidth="1"/>
    <col min="10224" max="10225" width="9.33333333333333" style="156" customWidth="1"/>
    <col min="10226" max="10226" width="13.1111111111111" style="156" customWidth="1"/>
    <col min="10227" max="10443" width="8.88888888888889" style="156"/>
    <col min="10444" max="10444" width="5" style="156" customWidth="1"/>
    <col min="10445" max="10445" width="15" style="156" customWidth="1"/>
    <col min="10446" max="10447" width="14.6666666666667" style="156" customWidth="1"/>
    <col min="10448" max="10448" width="6.22222222222222" style="156" customWidth="1"/>
    <col min="10449" max="10451" width="10.1111111111111" style="156" customWidth="1"/>
    <col min="10452" max="10452" width="10.4444444444444" style="156" customWidth="1"/>
    <col min="10453" max="10474" width="8.88888888888889" style="156"/>
    <col min="10475" max="10475" width="6.44444444444444" style="156" customWidth="1"/>
    <col min="10476" max="10476" width="12.2222222222222" style="156" customWidth="1"/>
    <col min="10477" max="10477" width="28.2222222222222" style="156" customWidth="1"/>
    <col min="10478" max="10478" width="13.7777777777778" style="156" customWidth="1"/>
    <col min="10479" max="10479" width="5.66666666666667" style="156" customWidth="1"/>
    <col min="10480" max="10481" width="9.33333333333333" style="156" customWidth="1"/>
    <col min="10482" max="10482" width="13.1111111111111" style="156" customWidth="1"/>
    <col min="10483" max="10699" width="8.88888888888889" style="156"/>
    <col min="10700" max="10700" width="5" style="156" customWidth="1"/>
    <col min="10701" max="10701" width="15" style="156" customWidth="1"/>
    <col min="10702" max="10703" width="14.6666666666667" style="156" customWidth="1"/>
    <col min="10704" max="10704" width="6.22222222222222" style="156" customWidth="1"/>
    <col min="10705" max="10707" width="10.1111111111111" style="156" customWidth="1"/>
    <col min="10708" max="10708" width="10.4444444444444" style="156" customWidth="1"/>
    <col min="10709" max="10730" width="8.88888888888889" style="156"/>
    <col min="10731" max="10731" width="6.44444444444444" style="156" customWidth="1"/>
    <col min="10732" max="10732" width="12.2222222222222" style="156" customWidth="1"/>
    <col min="10733" max="10733" width="28.2222222222222" style="156" customWidth="1"/>
    <col min="10734" max="10734" width="13.7777777777778" style="156" customWidth="1"/>
    <col min="10735" max="10735" width="5.66666666666667" style="156" customWidth="1"/>
    <col min="10736" max="10737" width="9.33333333333333" style="156" customWidth="1"/>
    <col min="10738" max="10738" width="13.1111111111111" style="156" customWidth="1"/>
    <col min="10739" max="10955" width="8.88888888888889" style="156"/>
    <col min="10956" max="10956" width="5" style="156" customWidth="1"/>
    <col min="10957" max="10957" width="15" style="156" customWidth="1"/>
    <col min="10958" max="10959" width="14.6666666666667" style="156" customWidth="1"/>
    <col min="10960" max="10960" width="6.22222222222222" style="156" customWidth="1"/>
    <col min="10961" max="10963" width="10.1111111111111" style="156" customWidth="1"/>
    <col min="10964" max="10964" width="10.4444444444444" style="156" customWidth="1"/>
    <col min="10965" max="10986" width="8.88888888888889" style="156"/>
    <col min="10987" max="10987" width="6.44444444444444" style="156" customWidth="1"/>
    <col min="10988" max="10988" width="12.2222222222222" style="156" customWidth="1"/>
    <col min="10989" max="10989" width="28.2222222222222" style="156" customWidth="1"/>
    <col min="10990" max="10990" width="13.7777777777778" style="156" customWidth="1"/>
    <col min="10991" max="10991" width="5.66666666666667" style="156" customWidth="1"/>
    <col min="10992" max="10993" width="9.33333333333333" style="156" customWidth="1"/>
    <col min="10994" max="10994" width="13.1111111111111" style="156" customWidth="1"/>
    <col min="10995" max="11211" width="8.88888888888889" style="156"/>
    <col min="11212" max="11212" width="5" style="156" customWidth="1"/>
    <col min="11213" max="11213" width="15" style="156" customWidth="1"/>
    <col min="11214" max="11215" width="14.6666666666667" style="156" customWidth="1"/>
    <col min="11216" max="11216" width="6.22222222222222" style="156" customWidth="1"/>
    <col min="11217" max="11219" width="10.1111111111111" style="156" customWidth="1"/>
    <col min="11220" max="11220" width="10.4444444444444" style="156" customWidth="1"/>
    <col min="11221" max="11242" width="8.88888888888889" style="156"/>
    <col min="11243" max="11243" width="6.44444444444444" style="156" customWidth="1"/>
    <col min="11244" max="11244" width="12.2222222222222" style="156" customWidth="1"/>
    <col min="11245" max="11245" width="28.2222222222222" style="156" customWidth="1"/>
    <col min="11246" max="11246" width="13.7777777777778" style="156" customWidth="1"/>
    <col min="11247" max="11247" width="5.66666666666667" style="156" customWidth="1"/>
    <col min="11248" max="11249" width="9.33333333333333" style="156" customWidth="1"/>
    <col min="11250" max="11250" width="13.1111111111111" style="156" customWidth="1"/>
    <col min="11251" max="11467" width="8.88888888888889" style="156"/>
    <col min="11468" max="11468" width="5" style="156" customWidth="1"/>
    <col min="11469" max="11469" width="15" style="156" customWidth="1"/>
    <col min="11470" max="11471" width="14.6666666666667" style="156" customWidth="1"/>
    <col min="11472" max="11472" width="6.22222222222222" style="156" customWidth="1"/>
    <col min="11473" max="11475" width="10.1111111111111" style="156" customWidth="1"/>
    <col min="11476" max="11476" width="10.4444444444444" style="156" customWidth="1"/>
    <col min="11477" max="11498" width="8.88888888888889" style="156"/>
    <col min="11499" max="11499" width="6.44444444444444" style="156" customWidth="1"/>
    <col min="11500" max="11500" width="12.2222222222222" style="156" customWidth="1"/>
    <col min="11501" max="11501" width="28.2222222222222" style="156" customWidth="1"/>
    <col min="11502" max="11502" width="13.7777777777778" style="156" customWidth="1"/>
    <col min="11503" max="11503" width="5.66666666666667" style="156" customWidth="1"/>
    <col min="11504" max="11505" width="9.33333333333333" style="156" customWidth="1"/>
    <col min="11506" max="11506" width="13.1111111111111" style="156" customWidth="1"/>
    <col min="11507" max="11723" width="8.88888888888889" style="156"/>
    <col min="11724" max="11724" width="5" style="156" customWidth="1"/>
    <col min="11725" max="11725" width="15" style="156" customWidth="1"/>
    <col min="11726" max="11727" width="14.6666666666667" style="156" customWidth="1"/>
    <col min="11728" max="11728" width="6.22222222222222" style="156" customWidth="1"/>
    <col min="11729" max="11731" width="10.1111111111111" style="156" customWidth="1"/>
    <col min="11732" max="11732" width="10.4444444444444" style="156" customWidth="1"/>
    <col min="11733" max="11754" width="8.88888888888889" style="156"/>
    <col min="11755" max="11755" width="6.44444444444444" style="156" customWidth="1"/>
    <col min="11756" max="11756" width="12.2222222222222" style="156" customWidth="1"/>
    <col min="11757" max="11757" width="28.2222222222222" style="156" customWidth="1"/>
    <col min="11758" max="11758" width="13.7777777777778" style="156" customWidth="1"/>
    <col min="11759" max="11759" width="5.66666666666667" style="156" customWidth="1"/>
    <col min="11760" max="11761" width="9.33333333333333" style="156" customWidth="1"/>
    <col min="11762" max="11762" width="13.1111111111111" style="156" customWidth="1"/>
    <col min="11763" max="11979" width="8.88888888888889" style="156"/>
    <col min="11980" max="11980" width="5" style="156" customWidth="1"/>
    <col min="11981" max="11981" width="15" style="156" customWidth="1"/>
    <col min="11982" max="11983" width="14.6666666666667" style="156" customWidth="1"/>
    <col min="11984" max="11984" width="6.22222222222222" style="156" customWidth="1"/>
    <col min="11985" max="11987" width="10.1111111111111" style="156" customWidth="1"/>
    <col min="11988" max="11988" width="10.4444444444444" style="156" customWidth="1"/>
    <col min="11989" max="12010" width="8.88888888888889" style="156"/>
    <col min="12011" max="12011" width="6.44444444444444" style="156" customWidth="1"/>
    <col min="12012" max="12012" width="12.2222222222222" style="156" customWidth="1"/>
    <col min="12013" max="12013" width="28.2222222222222" style="156" customWidth="1"/>
    <col min="12014" max="12014" width="13.7777777777778" style="156" customWidth="1"/>
    <col min="12015" max="12015" width="5.66666666666667" style="156" customWidth="1"/>
    <col min="12016" max="12017" width="9.33333333333333" style="156" customWidth="1"/>
    <col min="12018" max="12018" width="13.1111111111111" style="156" customWidth="1"/>
    <col min="12019" max="12235" width="8.88888888888889" style="156"/>
    <col min="12236" max="12236" width="5" style="156" customWidth="1"/>
    <col min="12237" max="12237" width="15" style="156" customWidth="1"/>
    <col min="12238" max="12239" width="14.6666666666667" style="156" customWidth="1"/>
    <col min="12240" max="12240" width="6.22222222222222" style="156" customWidth="1"/>
    <col min="12241" max="12243" width="10.1111111111111" style="156" customWidth="1"/>
    <col min="12244" max="12244" width="10.4444444444444" style="156" customWidth="1"/>
    <col min="12245" max="12266" width="8.88888888888889" style="156"/>
    <col min="12267" max="12267" width="6.44444444444444" style="156" customWidth="1"/>
    <col min="12268" max="12268" width="12.2222222222222" style="156" customWidth="1"/>
    <col min="12269" max="12269" width="28.2222222222222" style="156" customWidth="1"/>
    <col min="12270" max="12270" width="13.7777777777778" style="156" customWidth="1"/>
    <col min="12271" max="12271" width="5.66666666666667" style="156" customWidth="1"/>
    <col min="12272" max="12273" width="9.33333333333333" style="156" customWidth="1"/>
    <col min="12274" max="12274" width="13.1111111111111" style="156" customWidth="1"/>
    <col min="12275" max="12491" width="8.88888888888889" style="156"/>
    <col min="12492" max="12492" width="5" style="156" customWidth="1"/>
    <col min="12493" max="12493" width="15" style="156" customWidth="1"/>
    <col min="12494" max="12495" width="14.6666666666667" style="156" customWidth="1"/>
    <col min="12496" max="12496" width="6.22222222222222" style="156" customWidth="1"/>
    <col min="12497" max="12499" width="10.1111111111111" style="156" customWidth="1"/>
    <col min="12500" max="12500" width="10.4444444444444" style="156" customWidth="1"/>
    <col min="12501" max="12522" width="8.88888888888889" style="156"/>
    <col min="12523" max="12523" width="6.44444444444444" style="156" customWidth="1"/>
    <col min="12524" max="12524" width="12.2222222222222" style="156" customWidth="1"/>
    <col min="12525" max="12525" width="28.2222222222222" style="156" customWidth="1"/>
    <col min="12526" max="12526" width="13.7777777777778" style="156" customWidth="1"/>
    <col min="12527" max="12527" width="5.66666666666667" style="156" customWidth="1"/>
    <col min="12528" max="12529" width="9.33333333333333" style="156" customWidth="1"/>
    <col min="12530" max="12530" width="13.1111111111111" style="156" customWidth="1"/>
    <col min="12531" max="12747" width="8.88888888888889" style="156"/>
    <col min="12748" max="12748" width="5" style="156" customWidth="1"/>
    <col min="12749" max="12749" width="15" style="156" customWidth="1"/>
    <col min="12750" max="12751" width="14.6666666666667" style="156" customWidth="1"/>
    <col min="12752" max="12752" width="6.22222222222222" style="156" customWidth="1"/>
    <col min="12753" max="12755" width="10.1111111111111" style="156" customWidth="1"/>
    <col min="12756" max="12756" width="10.4444444444444" style="156" customWidth="1"/>
    <col min="12757" max="12778" width="8.88888888888889" style="156"/>
    <col min="12779" max="12779" width="6.44444444444444" style="156" customWidth="1"/>
    <col min="12780" max="12780" width="12.2222222222222" style="156" customWidth="1"/>
    <col min="12781" max="12781" width="28.2222222222222" style="156" customWidth="1"/>
    <col min="12782" max="12782" width="13.7777777777778" style="156" customWidth="1"/>
    <col min="12783" max="12783" width="5.66666666666667" style="156" customWidth="1"/>
    <col min="12784" max="12785" width="9.33333333333333" style="156" customWidth="1"/>
    <col min="12786" max="12786" width="13.1111111111111" style="156" customWidth="1"/>
    <col min="12787" max="13003" width="8.88888888888889" style="156"/>
    <col min="13004" max="13004" width="5" style="156" customWidth="1"/>
    <col min="13005" max="13005" width="15" style="156" customWidth="1"/>
    <col min="13006" max="13007" width="14.6666666666667" style="156" customWidth="1"/>
    <col min="13008" max="13008" width="6.22222222222222" style="156" customWidth="1"/>
    <col min="13009" max="13011" width="10.1111111111111" style="156" customWidth="1"/>
    <col min="13012" max="13012" width="10.4444444444444" style="156" customWidth="1"/>
    <col min="13013" max="13034" width="8.88888888888889" style="156"/>
    <col min="13035" max="13035" width="6.44444444444444" style="156" customWidth="1"/>
    <col min="13036" max="13036" width="12.2222222222222" style="156" customWidth="1"/>
    <col min="13037" max="13037" width="28.2222222222222" style="156" customWidth="1"/>
    <col min="13038" max="13038" width="13.7777777777778" style="156" customWidth="1"/>
    <col min="13039" max="13039" width="5.66666666666667" style="156" customWidth="1"/>
    <col min="13040" max="13041" width="9.33333333333333" style="156" customWidth="1"/>
    <col min="13042" max="13042" width="13.1111111111111" style="156" customWidth="1"/>
    <col min="13043" max="13259" width="8.88888888888889" style="156"/>
    <col min="13260" max="13260" width="5" style="156" customWidth="1"/>
    <col min="13261" max="13261" width="15" style="156" customWidth="1"/>
    <col min="13262" max="13263" width="14.6666666666667" style="156" customWidth="1"/>
    <col min="13264" max="13264" width="6.22222222222222" style="156" customWidth="1"/>
    <col min="13265" max="13267" width="10.1111111111111" style="156" customWidth="1"/>
    <col min="13268" max="13268" width="10.4444444444444" style="156" customWidth="1"/>
    <col min="13269" max="13290" width="8.88888888888889" style="156"/>
    <col min="13291" max="13291" width="6.44444444444444" style="156" customWidth="1"/>
    <col min="13292" max="13292" width="12.2222222222222" style="156" customWidth="1"/>
    <col min="13293" max="13293" width="28.2222222222222" style="156" customWidth="1"/>
    <col min="13294" max="13294" width="13.7777777777778" style="156" customWidth="1"/>
    <col min="13295" max="13295" width="5.66666666666667" style="156" customWidth="1"/>
    <col min="13296" max="13297" width="9.33333333333333" style="156" customWidth="1"/>
    <col min="13298" max="13298" width="13.1111111111111" style="156" customWidth="1"/>
    <col min="13299" max="13515" width="8.88888888888889" style="156"/>
    <col min="13516" max="13516" width="5" style="156" customWidth="1"/>
    <col min="13517" max="13517" width="15" style="156" customWidth="1"/>
    <col min="13518" max="13519" width="14.6666666666667" style="156" customWidth="1"/>
    <col min="13520" max="13520" width="6.22222222222222" style="156" customWidth="1"/>
    <col min="13521" max="13523" width="10.1111111111111" style="156" customWidth="1"/>
    <col min="13524" max="13524" width="10.4444444444444" style="156" customWidth="1"/>
    <col min="13525" max="13546" width="8.88888888888889" style="156"/>
    <col min="13547" max="13547" width="6.44444444444444" style="156" customWidth="1"/>
    <col min="13548" max="13548" width="12.2222222222222" style="156" customWidth="1"/>
    <col min="13549" max="13549" width="28.2222222222222" style="156" customWidth="1"/>
    <col min="13550" max="13550" width="13.7777777777778" style="156" customWidth="1"/>
    <col min="13551" max="13551" width="5.66666666666667" style="156" customWidth="1"/>
    <col min="13552" max="13553" width="9.33333333333333" style="156" customWidth="1"/>
    <col min="13554" max="13554" width="13.1111111111111" style="156" customWidth="1"/>
    <col min="13555" max="13771" width="8.88888888888889" style="156"/>
    <col min="13772" max="13772" width="5" style="156" customWidth="1"/>
    <col min="13773" max="13773" width="15" style="156" customWidth="1"/>
    <col min="13774" max="13775" width="14.6666666666667" style="156" customWidth="1"/>
    <col min="13776" max="13776" width="6.22222222222222" style="156" customWidth="1"/>
    <col min="13777" max="13779" width="10.1111111111111" style="156" customWidth="1"/>
    <col min="13780" max="13780" width="10.4444444444444" style="156" customWidth="1"/>
    <col min="13781" max="13802" width="8.88888888888889" style="156"/>
    <col min="13803" max="13803" width="6.44444444444444" style="156" customWidth="1"/>
    <col min="13804" max="13804" width="12.2222222222222" style="156" customWidth="1"/>
    <col min="13805" max="13805" width="28.2222222222222" style="156" customWidth="1"/>
    <col min="13806" max="13806" width="13.7777777777778" style="156" customWidth="1"/>
    <col min="13807" max="13807" width="5.66666666666667" style="156" customWidth="1"/>
    <col min="13808" max="13809" width="9.33333333333333" style="156" customWidth="1"/>
    <col min="13810" max="13810" width="13.1111111111111" style="156" customWidth="1"/>
    <col min="13811" max="14027" width="8.88888888888889" style="156"/>
    <col min="14028" max="14028" width="5" style="156" customWidth="1"/>
    <col min="14029" max="14029" width="15" style="156" customWidth="1"/>
    <col min="14030" max="14031" width="14.6666666666667" style="156" customWidth="1"/>
    <col min="14032" max="14032" width="6.22222222222222" style="156" customWidth="1"/>
    <col min="14033" max="14035" width="10.1111111111111" style="156" customWidth="1"/>
    <col min="14036" max="14036" width="10.4444444444444" style="156" customWidth="1"/>
    <col min="14037" max="14058" width="8.88888888888889" style="156"/>
    <col min="14059" max="14059" width="6.44444444444444" style="156" customWidth="1"/>
    <col min="14060" max="14060" width="12.2222222222222" style="156" customWidth="1"/>
    <col min="14061" max="14061" width="28.2222222222222" style="156" customWidth="1"/>
    <col min="14062" max="14062" width="13.7777777777778" style="156" customWidth="1"/>
    <col min="14063" max="14063" width="5.66666666666667" style="156" customWidth="1"/>
    <col min="14064" max="14065" width="9.33333333333333" style="156" customWidth="1"/>
    <col min="14066" max="14066" width="13.1111111111111" style="156" customWidth="1"/>
    <col min="14067" max="14283" width="8.88888888888889" style="156"/>
    <col min="14284" max="14284" width="5" style="156" customWidth="1"/>
    <col min="14285" max="14285" width="15" style="156" customWidth="1"/>
    <col min="14286" max="14287" width="14.6666666666667" style="156" customWidth="1"/>
    <col min="14288" max="14288" width="6.22222222222222" style="156" customWidth="1"/>
    <col min="14289" max="14291" width="10.1111111111111" style="156" customWidth="1"/>
    <col min="14292" max="14292" width="10.4444444444444" style="156" customWidth="1"/>
    <col min="14293" max="14314" width="8.88888888888889" style="156"/>
    <col min="14315" max="14315" width="6.44444444444444" style="156" customWidth="1"/>
    <col min="14316" max="14316" width="12.2222222222222" style="156" customWidth="1"/>
    <col min="14317" max="14317" width="28.2222222222222" style="156" customWidth="1"/>
    <col min="14318" max="14318" width="13.7777777777778" style="156" customWidth="1"/>
    <col min="14319" max="14319" width="5.66666666666667" style="156" customWidth="1"/>
    <col min="14320" max="14321" width="9.33333333333333" style="156" customWidth="1"/>
    <col min="14322" max="14322" width="13.1111111111111" style="156" customWidth="1"/>
    <col min="14323" max="14539" width="8.88888888888889" style="156"/>
    <col min="14540" max="14540" width="5" style="156" customWidth="1"/>
    <col min="14541" max="14541" width="15" style="156" customWidth="1"/>
    <col min="14542" max="14543" width="14.6666666666667" style="156" customWidth="1"/>
    <col min="14544" max="14544" width="6.22222222222222" style="156" customWidth="1"/>
    <col min="14545" max="14547" width="10.1111111111111" style="156" customWidth="1"/>
    <col min="14548" max="14548" width="10.4444444444444" style="156" customWidth="1"/>
    <col min="14549" max="14570" width="8.88888888888889" style="156"/>
    <col min="14571" max="14571" width="6.44444444444444" style="156" customWidth="1"/>
    <col min="14572" max="14572" width="12.2222222222222" style="156" customWidth="1"/>
    <col min="14573" max="14573" width="28.2222222222222" style="156" customWidth="1"/>
    <col min="14574" max="14574" width="13.7777777777778" style="156" customWidth="1"/>
    <col min="14575" max="14575" width="5.66666666666667" style="156" customWidth="1"/>
    <col min="14576" max="14577" width="9.33333333333333" style="156" customWidth="1"/>
    <col min="14578" max="14578" width="13.1111111111111" style="156" customWidth="1"/>
    <col min="14579" max="14795" width="8.88888888888889" style="156"/>
    <col min="14796" max="14796" width="5" style="156" customWidth="1"/>
    <col min="14797" max="14797" width="15" style="156" customWidth="1"/>
    <col min="14798" max="14799" width="14.6666666666667" style="156" customWidth="1"/>
    <col min="14800" max="14800" width="6.22222222222222" style="156" customWidth="1"/>
    <col min="14801" max="14803" width="10.1111111111111" style="156" customWidth="1"/>
    <col min="14804" max="14804" width="10.4444444444444" style="156" customWidth="1"/>
    <col min="14805" max="14826" width="8.88888888888889" style="156"/>
    <col min="14827" max="14827" width="6.44444444444444" style="156" customWidth="1"/>
    <col min="14828" max="14828" width="12.2222222222222" style="156" customWidth="1"/>
    <col min="14829" max="14829" width="28.2222222222222" style="156" customWidth="1"/>
    <col min="14830" max="14830" width="13.7777777777778" style="156" customWidth="1"/>
    <col min="14831" max="14831" width="5.66666666666667" style="156" customWidth="1"/>
    <col min="14832" max="14833" width="9.33333333333333" style="156" customWidth="1"/>
    <col min="14834" max="14834" width="13.1111111111111" style="156" customWidth="1"/>
    <col min="14835" max="15051" width="8.88888888888889" style="156"/>
    <col min="15052" max="15052" width="5" style="156" customWidth="1"/>
    <col min="15053" max="15053" width="15" style="156" customWidth="1"/>
    <col min="15054" max="15055" width="14.6666666666667" style="156" customWidth="1"/>
    <col min="15056" max="15056" width="6.22222222222222" style="156" customWidth="1"/>
    <col min="15057" max="15059" width="10.1111111111111" style="156" customWidth="1"/>
    <col min="15060" max="15060" width="10.4444444444444" style="156" customWidth="1"/>
    <col min="15061" max="15082" width="8.88888888888889" style="156"/>
    <col min="15083" max="15083" width="6.44444444444444" style="156" customWidth="1"/>
    <col min="15084" max="15084" width="12.2222222222222" style="156" customWidth="1"/>
    <col min="15085" max="15085" width="28.2222222222222" style="156" customWidth="1"/>
    <col min="15086" max="15086" width="13.7777777777778" style="156" customWidth="1"/>
    <col min="15087" max="15087" width="5.66666666666667" style="156" customWidth="1"/>
    <col min="15088" max="15089" width="9.33333333333333" style="156" customWidth="1"/>
    <col min="15090" max="15090" width="13.1111111111111" style="156" customWidth="1"/>
    <col min="15091" max="15307" width="8.88888888888889" style="156"/>
    <col min="15308" max="15308" width="5" style="156" customWidth="1"/>
    <col min="15309" max="15309" width="15" style="156" customWidth="1"/>
    <col min="15310" max="15311" width="14.6666666666667" style="156" customWidth="1"/>
    <col min="15312" max="15312" width="6.22222222222222" style="156" customWidth="1"/>
    <col min="15313" max="15315" width="10.1111111111111" style="156" customWidth="1"/>
    <col min="15316" max="15316" width="10.4444444444444" style="156" customWidth="1"/>
    <col min="15317" max="15338" width="8.88888888888889" style="156"/>
    <col min="15339" max="15339" width="6.44444444444444" style="156" customWidth="1"/>
    <col min="15340" max="15340" width="12.2222222222222" style="156" customWidth="1"/>
    <col min="15341" max="15341" width="28.2222222222222" style="156" customWidth="1"/>
    <col min="15342" max="15342" width="13.7777777777778" style="156" customWidth="1"/>
    <col min="15343" max="15343" width="5.66666666666667" style="156" customWidth="1"/>
    <col min="15344" max="15345" width="9.33333333333333" style="156" customWidth="1"/>
    <col min="15346" max="15346" width="13.1111111111111" style="156" customWidth="1"/>
    <col min="15347" max="15563" width="8.88888888888889" style="156"/>
    <col min="15564" max="15564" width="5" style="156" customWidth="1"/>
    <col min="15565" max="15565" width="15" style="156" customWidth="1"/>
    <col min="15566" max="15567" width="14.6666666666667" style="156" customWidth="1"/>
    <col min="15568" max="15568" width="6.22222222222222" style="156" customWidth="1"/>
    <col min="15569" max="15571" width="10.1111111111111" style="156" customWidth="1"/>
    <col min="15572" max="15572" width="10.4444444444444" style="156" customWidth="1"/>
    <col min="15573" max="15594" width="8.88888888888889" style="156"/>
    <col min="15595" max="15595" width="6.44444444444444" style="156" customWidth="1"/>
    <col min="15596" max="15596" width="12.2222222222222" style="156" customWidth="1"/>
    <col min="15597" max="15597" width="28.2222222222222" style="156" customWidth="1"/>
    <col min="15598" max="15598" width="13.7777777777778" style="156" customWidth="1"/>
    <col min="15599" max="15599" width="5.66666666666667" style="156" customWidth="1"/>
    <col min="15600" max="15601" width="9.33333333333333" style="156" customWidth="1"/>
    <col min="15602" max="15602" width="13.1111111111111" style="156" customWidth="1"/>
    <col min="15603" max="15819" width="8.88888888888889" style="156"/>
    <col min="15820" max="15820" width="5" style="156" customWidth="1"/>
    <col min="15821" max="15821" width="15" style="156" customWidth="1"/>
    <col min="15822" max="15823" width="14.6666666666667" style="156" customWidth="1"/>
    <col min="15824" max="15824" width="6.22222222222222" style="156" customWidth="1"/>
    <col min="15825" max="15827" width="10.1111111111111" style="156" customWidth="1"/>
    <col min="15828" max="15828" width="10.4444444444444" style="156" customWidth="1"/>
    <col min="15829" max="15850" width="8.88888888888889" style="156"/>
    <col min="15851" max="15851" width="6.44444444444444" style="156" customWidth="1"/>
    <col min="15852" max="15852" width="12.2222222222222" style="156" customWidth="1"/>
    <col min="15853" max="15853" width="28.2222222222222" style="156" customWidth="1"/>
    <col min="15854" max="15854" width="13.7777777777778" style="156" customWidth="1"/>
    <col min="15855" max="15855" width="5.66666666666667" style="156" customWidth="1"/>
    <col min="15856" max="15857" width="9.33333333333333" style="156" customWidth="1"/>
    <col min="15858" max="15858" width="13.1111111111111" style="156" customWidth="1"/>
    <col min="15859" max="16075" width="8.88888888888889" style="156"/>
    <col min="16076" max="16076" width="5" style="156" customWidth="1"/>
    <col min="16077" max="16077" width="15" style="156" customWidth="1"/>
    <col min="16078" max="16079" width="14.6666666666667" style="156" customWidth="1"/>
    <col min="16080" max="16080" width="6.22222222222222" style="156" customWidth="1"/>
    <col min="16081" max="16083" width="10.1111111111111" style="156" customWidth="1"/>
    <col min="16084" max="16084" width="10.4444444444444" style="156" customWidth="1"/>
    <col min="16085" max="16106" width="8.88888888888889" style="156"/>
    <col min="16107" max="16107" width="6.44444444444444" style="156" customWidth="1"/>
    <col min="16108" max="16108" width="12.2222222222222" style="156" customWidth="1"/>
    <col min="16109" max="16109" width="28.2222222222222" style="156" customWidth="1"/>
    <col min="16110" max="16110" width="13.7777777777778" style="156" customWidth="1"/>
    <col min="16111" max="16111" width="5.66666666666667" style="156" customWidth="1"/>
    <col min="16112" max="16113" width="9.33333333333333" style="156" customWidth="1"/>
    <col min="16114" max="16114" width="13.1111111111111" style="156" customWidth="1"/>
    <col min="16115" max="16331" width="8.88888888888889" style="156"/>
    <col min="16332" max="16332" width="5" style="156" customWidth="1"/>
    <col min="16333" max="16333" width="15" style="156" customWidth="1"/>
    <col min="16334" max="16335" width="14.6666666666667" style="156" customWidth="1"/>
    <col min="16336" max="16336" width="6.22222222222222" style="156" customWidth="1"/>
    <col min="16337" max="16339" width="10.1111111111111" style="156" customWidth="1"/>
    <col min="16340" max="16340" width="10.4444444444444" style="156" customWidth="1"/>
    <col min="16341" max="16384" width="8.88888888888889" style="156"/>
  </cols>
  <sheetData>
    <row r="1" ht="22.2" spans="1:37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</row>
    <row r="2" ht="16.5" customHeight="1" spans="1:37">
      <c r="A2" s="163" t="s">
        <v>1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</row>
    <row r="3" spans="1:37">
      <c r="A3" s="164" t="s">
        <v>41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</row>
    <row r="4" ht="21" customHeight="1" spans="1:37">
      <c r="A4" s="164" t="s">
        <v>3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</row>
    <row r="5" ht="31.5" customHeight="1" spans="1:37">
      <c r="A5" s="165" t="s">
        <v>4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</row>
    <row r="6" spans="1:37">
      <c r="A6" s="166" t="s">
        <v>5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</row>
    <row r="7" ht="33.6" customHeight="1" spans="1:37">
      <c r="A7" s="167" t="s">
        <v>6</v>
      </c>
      <c r="B7" s="168" t="s">
        <v>7</v>
      </c>
      <c r="C7" s="169" t="s">
        <v>8</v>
      </c>
      <c r="D7" s="169" t="s">
        <v>9</v>
      </c>
      <c r="E7" s="170" t="s">
        <v>10</v>
      </c>
      <c r="F7" s="171" t="s">
        <v>11</v>
      </c>
      <c r="G7" s="171" t="s">
        <v>11</v>
      </c>
      <c r="H7" s="172" t="s">
        <v>12</v>
      </c>
      <c r="I7" s="172"/>
      <c r="J7" s="172"/>
      <c r="K7" s="197" t="s">
        <v>13</v>
      </c>
      <c r="L7" s="198" t="s">
        <v>14</v>
      </c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</row>
    <row r="8" ht="30.6" customHeight="1" spans="1:37">
      <c r="A8" s="167"/>
      <c r="B8" s="168"/>
      <c r="C8" s="169"/>
      <c r="D8" s="169"/>
      <c r="E8" s="170"/>
      <c r="F8" s="173" t="s">
        <v>15</v>
      </c>
      <c r="G8" s="173" t="s">
        <v>16</v>
      </c>
      <c r="H8" s="174" t="s">
        <v>17</v>
      </c>
      <c r="I8" s="174" t="s">
        <v>18</v>
      </c>
      <c r="J8" s="174" t="s">
        <v>19</v>
      </c>
      <c r="K8" s="197" t="s">
        <v>16</v>
      </c>
      <c r="L8" s="198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</row>
    <row r="9" s="153" customFormat="1" ht="133" customHeight="1" spans="1:234">
      <c r="A9" s="175">
        <v>1</v>
      </c>
      <c r="B9" s="176" t="s">
        <v>20</v>
      </c>
      <c r="C9" s="177" t="s">
        <v>21</v>
      </c>
      <c r="D9" s="178"/>
      <c r="E9" s="179" t="s">
        <v>22</v>
      </c>
      <c r="F9" s="180">
        <v>26</v>
      </c>
      <c r="G9" s="180">
        <v>21.5</v>
      </c>
      <c r="H9" s="181">
        <f>245000+10000+22100</f>
        <v>277100</v>
      </c>
      <c r="I9" s="181">
        <f>245000*0.7/100000+10000/10000+22100/100000</f>
        <v>2.936</v>
      </c>
      <c r="J9" s="199" t="s">
        <v>23</v>
      </c>
      <c r="K9" s="180">
        <f t="shared" ref="K9:K11" si="0">G9+I9</f>
        <v>24.436</v>
      </c>
      <c r="L9" s="200"/>
      <c r="M9" s="154">
        <f>K9*1.13</f>
        <v>27.61268</v>
      </c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  <c r="BY9" s="154"/>
      <c r="BZ9" s="154"/>
      <c r="CA9" s="154"/>
      <c r="CB9" s="154"/>
      <c r="CC9" s="154"/>
      <c r="CD9" s="154"/>
      <c r="CE9" s="154"/>
      <c r="CF9" s="154"/>
      <c r="CG9" s="154"/>
      <c r="CH9" s="154"/>
      <c r="CI9" s="154"/>
      <c r="CJ9" s="154"/>
      <c r="CK9" s="154"/>
      <c r="CL9" s="154"/>
      <c r="CM9" s="154"/>
      <c r="CN9" s="154"/>
      <c r="CO9" s="154"/>
      <c r="CP9" s="154"/>
      <c r="CQ9" s="154"/>
      <c r="CR9" s="154"/>
      <c r="CS9" s="154"/>
      <c r="CT9" s="154"/>
      <c r="CU9" s="154"/>
      <c r="CV9" s="154"/>
      <c r="CW9" s="154"/>
      <c r="CX9" s="154"/>
      <c r="CY9" s="154"/>
      <c r="CZ9" s="154"/>
      <c r="DA9" s="154"/>
      <c r="DB9" s="154"/>
      <c r="DC9" s="154"/>
      <c r="DD9" s="154"/>
      <c r="DE9" s="154"/>
      <c r="DF9" s="154"/>
      <c r="DG9" s="154"/>
      <c r="DH9" s="154"/>
      <c r="DI9" s="154"/>
      <c r="DJ9" s="154"/>
      <c r="DK9" s="154"/>
      <c r="DL9" s="154"/>
      <c r="DM9" s="154"/>
      <c r="DN9" s="154"/>
      <c r="DO9" s="154"/>
      <c r="DP9" s="154"/>
      <c r="DQ9" s="154"/>
      <c r="DR9" s="154"/>
      <c r="DS9" s="154"/>
      <c r="DT9" s="154"/>
      <c r="DU9" s="154"/>
      <c r="DV9" s="154"/>
      <c r="DW9" s="154"/>
      <c r="DX9" s="154"/>
      <c r="DY9" s="154"/>
      <c r="DZ9" s="154"/>
      <c r="EA9" s="154"/>
      <c r="EB9" s="154"/>
      <c r="EC9" s="154"/>
      <c r="ED9" s="154"/>
      <c r="EE9" s="154"/>
      <c r="EF9" s="154"/>
      <c r="EG9" s="154"/>
      <c r="EH9" s="154"/>
      <c r="EI9" s="154"/>
      <c r="EJ9" s="154"/>
      <c r="EK9" s="154"/>
      <c r="EL9" s="154"/>
      <c r="EM9" s="154"/>
      <c r="EN9" s="154"/>
      <c r="EO9" s="154"/>
      <c r="EP9" s="154"/>
      <c r="EQ9" s="154"/>
      <c r="ER9" s="154"/>
      <c r="ES9" s="154"/>
      <c r="ET9" s="154"/>
      <c r="EU9" s="154"/>
      <c r="EV9" s="154"/>
      <c r="EW9" s="154"/>
      <c r="EX9" s="154"/>
      <c r="EY9" s="154"/>
      <c r="EZ9" s="154"/>
      <c r="FA9" s="154"/>
      <c r="FB9" s="154"/>
      <c r="FC9" s="154"/>
      <c r="FD9" s="154"/>
      <c r="FE9" s="154"/>
      <c r="FF9" s="154"/>
      <c r="FG9" s="154"/>
      <c r="FH9" s="154"/>
      <c r="FI9" s="154"/>
      <c r="FJ9" s="154"/>
      <c r="FK9" s="154"/>
      <c r="FL9" s="154"/>
      <c r="FM9" s="154"/>
      <c r="FN9" s="154"/>
      <c r="FO9" s="154"/>
      <c r="FP9" s="154"/>
      <c r="FQ9" s="154"/>
      <c r="FR9" s="154"/>
      <c r="FS9" s="154"/>
      <c r="FT9" s="154"/>
      <c r="FU9" s="154"/>
      <c r="FV9" s="154"/>
      <c r="FW9" s="154"/>
      <c r="FX9" s="154"/>
      <c r="FY9" s="154"/>
      <c r="FZ9" s="154"/>
      <c r="GA9" s="154"/>
      <c r="GB9" s="154"/>
      <c r="GC9" s="154"/>
      <c r="GD9" s="154"/>
      <c r="GE9" s="154"/>
      <c r="GF9" s="154"/>
      <c r="GG9" s="154"/>
      <c r="GH9" s="154"/>
      <c r="GI9" s="154"/>
      <c r="GJ9" s="154"/>
      <c r="GK9" s="154"/>
      <c r="GL9" s="154"/>
      <c r="GM9" s="154"/>
      <c r="GN9" s="154"/>
      <c r="GO9" s="154"/>
      <c r="GP9" s="154"/>
      <c r="GQ9" s="154"/>
      <c r="GR9" s="154"/>
      <c r="GS9" s="154"/>
      <c r="GT9" s="154"/>
      <c r="GU9" s="154"/>
      <c r="GV9" s="154"/>
      <c r="GW9" s="154"/>
      <c r="GX9" s="154"/>
      <c r="GY9" s="154"/>
      <c r="GZ9" s="154"/>
      <c r="HA9" s="154"/>
      <c r="HB9" s="154"/>
      <c r="HC9" s="154"/>
      <c r="HD9" s="154"/>
      <c r="HE9" s="154"/>
      <c r="HF9" s="154"/>
      <c r="HG9" s="154"/>
      <c r="HH9" s="154"/>
      <c r="HI9" s="154"/>
      <c r="HJ9" s="154"/>
      <c r="HK9" s="154"/>
      <c r="HL9" s="154"/>
      <c r="HM9" s="154"/>
      <c r="HN9" s="154"/>
      <c r="HO9" s="154"/>
      <c r="HP9" s="154"/>
      <c r="HQ9" s="154"/>
      <c r="HR9" s="154"/>
      <c r="HS9" s="154"/>
      <c r="HT9" s="154"/>
      <c r="HU9" s="154"/>
      <c r="HV9" s="154"/>
      <c r="HW9" s="154"/>
      <c r="HX9" s="154"/>
      <c r="HY9" s="154"/>
      <c r="HZ9" s="154"/>
    </row>
    <row r="10" s="153" customFormat="1" ht="100" customHeight="1" spans="1:234">
      <c r="A10" s="175">
        <v>2</v>
      </c>
      <c r="B10" s="176" t="s">
        <v>24</v>
      </c>
      <c r="C10" s="177" t="s">
        <v>25</v>
      </c>
      <c r="D10" s="178"/>
      <c r="E10" s="179" t="s">
        <v>22</v>
      </c>
      <c r="F10" s="180">
        <v>26</v>
      </c>
      <c r="G10" s="180">
        <v>21.5</v>
      </c>
      <c r="H10" s="182">
        <v>245000</v>
      </c>
      <c r="I10" s="181">
        <f>H10*0.7/2/100000</f>
        <v>0.8575</v>
      </c>
      <c r="J10" s="199" t="s">
        <v>26</v>
      </c>
      <c r="K10" s="180">
        <f t="shared" si="0"/>
        <v>22.3575</v>
      </c>
      <c r="L10" s="200"/>
      <c r="M10" s="154" t="s">
        <v>27</v>
      </c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4"/>
      <c r="FF10" s="154"/>
      <c r="FG10" s="154"/>
      <c r="FH10" s="154"/>
      <c r="FI10" s="154"/>
      <c r="FJ10" s="154"/>
      <c r="FK10" s="154"/>
      <c r="FL10" s="154"/>
      <c r="FM10" s="154"/>
      <c r="FN10" s="154"/>
      <c r="FO10" s="154"/>
      <c r="FP10" s="154"/>
      <c r="FQ10" s="154"/>
      <c r="FR10" s="154"/>
      <c r="FS10" s="154"/>
      <c r="FT10" s="154"/>
      <c r="FU10" s="154"/>
      <c r="FV10" s="154"/>
      <c r="FW10" s="154"/>
      <c r="FX10" s="154"/>
      <c r="FY10" s="154"/>
      <c r="FZ10" s="154"/>
      <c r="GA10" s="154"/>
      <c r="GB10" s="154"/>
      <c r="GC10" s="154"/>
      <c r="GD10" s="154"/>
      <c r="GE10" s="154"/>
      <c r="GF10" s="154"/>
      <c r="GG10" s="154"/>
      <c r="GH10" s="154"/>
      <c r="GI10" s="154"/>
      <c r="GJ10" s="154"/>
      <c r="GK10" s="154"/>
      <c r="GL10" s="154"/>
      <c r="GM10" s="154"/>
      <c r="GN10" s="154"/>
      <c r="GO10" s="154"/>
      <c r="GP10" s="154"/>
      <c r="GQ10" s="154"/>
      <c r="GR10" s="154"/>
      <c r="GS10" s="154"/>
      <c r="GT10" s="154"/>
      <c r="GU10" s="154"/>
      <c r="GV10" s="154"/>
      <c r="GW10" s="154"/>
      <c r="GX10" s="154"/>
      <c r="GY10" s="154"/>
      <c r="GZ10" s="154"/>
      <c r="HA10" s="154"/>
      <c r="HB10" s="154"/>
      <c r="HC10" s="154"/>
      <c r="HD10" s="154"/>
      <c r="HE10" s="154"/>
      <c r="HF10" s="154"/>
      <c r="HG10" s="154"/>
      <c r="HH10" s="154"/>
      <c r="HI10" s="154"/>
      <c r="HJ10" s="154"/>
      <c r="HK10" s="154"/>
      <c r="HL10" s="154"/>
      <c r="HM10" s="154"/>
      <c r="HN10" s="154"/>
      <c r="HO10" s="154"/>
      <c r="HP10" s="154"/>
      <c r="HQ10" s="154"/>
      <c r="HR10" s="154"/>
      <c r="HS10" s="154"/>
      <c r="HT10" s="154"/>
      <c r="HU10" s="154"/>
      <c r="HV10" s="154"/>
      <c r="HW10" s="154"/>
      <c r="HX10" s="154"/>
      <c r="HY10" s="154"/>
      <c r="HZ10" s="154"/>
    </row>
    <row r="11" s="153" customFormat="1" ht="141" customHeight="1" spans="1:234">
      <c r="A11" s="175">
        <v>3</v>
      </c>
      <c r="B11" s="176" t="s">
        <v>28</v>
      </c>
      <c r="C11" s="177" t="s">
        <v>29</v>
      </c>
      <c r="D11" s="178"/>
      <c r="E11" s="179" t="s">
        <v>22</v>
      </c>
      <c r="F11" s="180">
        <v>26</v>
      </c>
      <c r="G11" s="180">
        <v>21.5</v>
      </c>
      <c r="H11" s="183"/>
      <c r="I11" s="181">
        <f>H10*0.7/2/100000+10000/10000+17600/100000</f>
        <v>2.0335</v>
      </c>
      <c r="J11" s="199" t="s">
        <v>30</v>
      </c>
      <c r="K11" s="180">
        <f t="shared" si="0"/>
        <v>23.5335</v>
      </c>
      <c r="L11" s="200"/>
      <c r="M11" s="154">
        <f>K11*1.13</f>
        <v>26.592855</v>
      </c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  <c r="BI11" s="154"/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4"/>
      <c r="BU11" s="154"/>
      <c r="BV11" s="154"/>
      <c r="BW11" s="154"/>
      <c r="BX11" s="154"/>
      <c r="BY11" s="154"/>
      <c r="BZ11" s="154"/>
      <c r="CA11" s="154"/>
      <c r="CB11" s="154"/>
      <c r="CC11" s="154"/>
      <c r="CD11" s="154"/>
      <c r="CE11" s="154"/>
      <c r="CF11" s="154"/>
      <c r="CG11" s="154"/>
      <c r="CH11" s="154"/>
      <c r="CI11" s="154"/>
      <c r="CJ11" s="154"/>
      <c r="CK11" s="154"/>
      <c r="CL11" s="154"/>
      <c r="CM11" s="154"/>
      <c r="CN11" s="154"/>
      <c r="CO11" s="154"/>
      <c r="CP11" s="154"/>
      <c r="CQ11" s="154"/>
      <c r="CR11" s="154"/>
      <c r="CS11" s="154"/>
      <c r="CT11" s="154"/>
      <c r="CU11" s="154"/>
      <c r="CV11" s="154"/>
      <c r="CW11" s="154"/>
      <c r="CX11" s="154"/>
      <c r="CY11" s="154"/>
      <c r="CZ11" s="154"/>
      <c r="DA11" s="154"/>
      <c r="DB11" s="154"/>
      <c r="DC11" s="154"/>
      <c r="DD11" s="154"/>
      <c r="DE11" s="154"/>
      <c r="DF11" s="154"/>
      <c r="DG11" s="154"/>
      <c r="DH11" s="154"/>
      <c r="DI11" s="154"/>
      <c r="DJ11" s="154"/>
      <c r="DK11" s="154"/>
      <c r="DL11" s="154"/>
      <c r="DM11" s="154"/>
      <c r="DN11" s="154"/>
      <c r="DO11" s="154"/>
      <c r="DP11" s="154"/>
      <c r="DQ11" s="154"/>
      <c r="DR11" s="154"/>
      <c r="DS11" s="154"/>
      <c r="DT11" s="154"/>
      <c r="DU11" s="154"/>
      <c r="DV11" s="154"/>
      <c r="DW11" s="154"/>
      <c r="DX11" s="154"/>
      <c r="DY11" s="154"/>
      <c r="DZ11" s="154"/>
      <c r="EA11" s="154"/>
      <c r="EB11" s="154"/>
      <c r="EC11" s="154"/>
      <c r="ED11" s="154"/>
      <c r="EE11" s="154"/>
      <c r="EF11" s="154"/>
      <c r="EG11" s="154"/>
      <c r="EH11" s="154"/>
      <c r="EI11" s="154"/>
      <c r="EJ11" s="154"/>
      <c r="EK11" s="154"/>
      <c r="EL11" s="154"/>
      <c r="EM11" s="154"/>
      <c r="EN11" s="154"/>
      <c r="EO11" s="154"/>
      <c r="EP11" s="154"/>
      <c r="EQ11" s="154"/>
      <c r="ER11" s="154"/>
      <c r="ES11" s="154"/>
      <c r="ET11" s="154"/>
      <c r="EU11" s="154"/>
      <c r="EV11" s="154"/>
      <c r="EW11" s="154"/>
      <c r="EX11" s="154"/>
      <c r="EY11" s="154"/>
      <c r="EZ11" s="154"/>
      <c r="FA11" s="154"/>
      <c r="FB11" s="154"/>
      <c r="FC11" s="154"/>
      <c r="FD11" s="154"/>
      <c r="FE11" s="154"/>
      <c r="FF11" s="154"/>
      <c r="FG11" s="154"/>
      <c r="FH11" s="154"/>
      <c r="FI11" s="154"/>
      <c r="FJ11" s="154"/>
      <c r="FK11" s="154"/>
      <c r="FL11" s="154"/>
      <c r="FM11" s="154"/>
      <c r="FN11" s="154"/>
      <c r="FO11" s="154"/>
      <c r="FP11" s="154"/>
      <c r="FQ11" s="154"/>
      <c r="FR11" s="154"/>
      <c r="FS11" s="154"/>
      <c r="FT11" s="154"/>
      <c r="FU11" s="154"/>
      <c r="FV11" s="154"/>
      <c r="FW11" s="154"/>
      <c r="FX11" s="154"/>
      <c r="FY11" s="154"/>
      <c r="FZ11" s="154"/>
      <c r="GA11" s="154"/>
      <c r="GB11" s="154"/>
      <c r="GC11" s="154"/>
      <c r="GD11" s="154"/>
      <c r="GE11" s="154"/>
      <c r="GF11" s="154"/>
      <c r="GG11" s="154"/>
      <c r="GH11" s="154"/>
      <c r="GI11" s="154"/>
      <c r="GJ11" s="154"/>
      <c r="GK11" s="154"/>
      <c r="GL11" s="154"/>
      <c r="GM11" s="154"/>
      <c r="GN11" s="154"/>
      <c r="GO11" s="154"/>
      <c r="GP11" s="154"/>
      <c r="GQ11" s="154"/>
      <c r="GR11" s="154"/>
      <c r="GS11" s="154"/>
      <c r="GT11" s="154"/>
      <c r="GU11" s="154"/>
      <c r="GV11" s="154"/>
      <c r="GW11" s="154"/>
      <c r="GX11" s="154"/>
      <c r="GY11" s="154"/>
      <c r="GZ11" s="154"/>
      <c r="HA11" s="154"/>
      <c r="HB11" s="154"/>
      <c r="HC11" s="154"/>
      <c r="HD11" s="154"/>
      <c r="HE11" s="154"/>
      <c r="HF11" s="154"/>
      <c r="HG11" s="154"/>
      <c r="HH11" s="154"/>
      <c r="HI11" s="154"/>
      <c r="HJ11" s="154"/>
      <c r="HK11" s="154"/>
      <c r="HL11" s="154"/>
      <c r="HM11" s="154"/>
      <c r="HN11" s="154"/>
      <c r="HO11" s="154"/>
      <c r="HP11" s="154"/>
      <c r="HQ11" s="154"/>
      <c r="HR11" s="154"/>
      <c r="HS11" s="154"/>
      <c r="HT11" s="154"/>
      <c r="HU11" s="154"/>
      <c r="HV11" s="154"/>
      <c r="HW11" s="154"/>
      <c r="HX11" s="154"/>
      <c r="HY11" s="154"/>
      <c r="HZ11" s="154"/>
    </row>
    <row r="12" s="154" customFormat="1" ht="21" customHeight="1" spans="1:12">
      <c r="A12" s="184" t="s">
        <v>31</v>
      </c>
      <c r="B12" s="184"/>
      <c r="C12" s="184"/>
      <c r="D12" s="184"/>
      <c r="E12" s="184"/>
      <c r="F12" s="184"/>
      <c r="G12" s="184"/>
      <c r="H12" s="184"/>
      <c r="I12" s="184"/>
      <c r="J12" s="184"/>
      <c r="K12" s="184"/>
      <c r="L12" s="184"/>
    </row>
    <row r="13" s="154" customFormat="1" ht="21" customHeight="1" spans="1:12">
      <c r="A13" s="185" t="s">
        <v>32</v>
      </c>
      <c r="B13" s="185"/>
      <c r="C13" s="185"/>
      <c r="D13" s="185"/>
      <c r="E13" s="185"/>
      <c r="F13" s="185"/>
      <c r="G13" s="185"/>
      <c r="H13" s="185"/>
      <c r="I13" s="185"/>
      <c r="J13" s="185"/>
      <c r="K13" s="185"/>
      <c r="L13" s="185"/>
    </row>
    <row r="14" s="154" customFormat="1" ht="21" customHeight="1" spans="1:12">
      <c r="A14" s="185" t="s">
        <v>33</v>
      </c>
      <c r="B14" s="185"/>
      <c r="C14" s="185"/>
      <c r="D14" s="185"/>
      <c r="E14" s="185"/>
      <c r="F14" s="185"/>
      <c r="G14" s="185"/>
      <c r="H14" s="185"/>
      <c r="I14" s="185"/>
      <c r="J14" s="185"/>
      <c r="K14" s="185"/>
      <c r="L14" s="185"/>
    </row>
    <row r="15" s="154" customFormat="1" ht="21" customHeight="1" spans="1:12">
      <c r="A15" s="185" t="s">
        <v>34</v>
      </c>
      <c r="B15" s="185"/>
      <c r="C15" s="185"/>
      <c r="D15" s="185"/>
      <c r="E15" s="185"/>
      <c r="F15" s="185"/>
      <c r="G15" s="185"/>
      <c r="H15" s="185"/>
      <c r="I15" s="185"/>
      <c r="J15" s="185"/>
      <c r="K15" s="185"/>
      <c r="L15" s="185"/>
    </row>
    <row r="16" s="154" customFormat="1" ht="21" customHeight="1" spans="1:12">
      <c r="A16" s="185" t="s">
        <v>35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</row>
    <row r="17" s="154" customFormat="1" ht="28.2" customHeight="1" spans="1:12">
      <c r="A17" s="185" t="s">
        <v>36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</row>
    <row r="18" s="155" customFormat="1" spans="1:12">
      <c r="A18" s="186"/>
      <c r="B18" s="187"/>
      <c r="C18" s="186"/>
      <c r="D18" s="186"/>
      <c r="E18" s="186"/>
      <c r="F18" s="188"/>
      <c r="G18" s="188"/>
      <c r="H18" s="188"/>
      <c r="I18" s="188"/>
      <c r="J18" s="188"/>
      <c r="K18" s="188"/>
      <c r="L18" s="201"/>
    </row>
    <row r="19" s="155" customFormat="1" ht="19.2" customHeight="1" spans="1:12">
      <c r="A19" s="189" t="s">
        <v>37</v>
      </c>
      <c r="B19" s="190"/>
      <c r="C19" s="191"/>
      <c r="D19" s="192"/>
      <c r="E19" s="191"/>
      <c r="F19" s="193"/>
      <c r="G19" s="193"/>
      <c r="H19" s="192" t="s">
        <v>38</v>
      </c>
      <c r="I19" s="193"/>
      <c r="J19" s="193"/>
      <c r="K19" s="193"/>
      <c r="L19" s="202"/>
    </row>
    <row r="20" s="155" customFormat="1" ht="19.2" customHeight="1" spans="1:12">
      <c r="A20" s="189"/>
      <c r="B20" s="190"/>
      <c r="C20" s="191"/>
      <c r="D20" s="194"/>
      <c r="E20" s="191"/>
      <c r="F20" s="193"/>
      <c r="G20" s="193"/>
      <c r="H20" s="194"/>
      <c r="I20" s="193"/>
      <c r="J20" s="193"/>
      <c r="K20" s="193"/>
      <c r="L20" s="202"/>
    </row>
    <row r="21" s="154" customFormat="1" ht="19.2" customHeight="1" spans="1:8">
      <c r="A21" s="189" t="s">
        <v>39</v>
      </c>
      <c r="B21" s="190"/>
      <c r="C21" s="191"/>
      <c r="D21" s="189"/>
      <c r="E21" s="191"/>
      <c r="F21" s="193"/>
      <c r="G21" s="193"/>
      <c r="H21" s="189" t="s">
        <v>39</v>
      </c>
    </row>
    <row r="22" s="155" customFormat="1" ht="19.2" customHeight="1" spans="1:12">
      <c r="A22" s="189"/>
      <c r="B22" s="190"/>
      <c r="C22" s="191"/>
      <c r="D22" s="194"/>
      <c r="E22" s="191"/>
      <c r="F22" s="193"/>
      <c r="G22" s="193"/>
      <c r="H22" s="194"/>
      <c r="I22" s="193"/>
      <c r="J22" s="193"/>
      <c r="K22" s="193"/>
      <c r="L22" s="202"/>
    </row>
    <row r="23" s="155" customFormat="1" ht="19.2" customHeight="1" spans="1:12">
      <c r="A23" s="189" t="s">
        <v>40</v>
      </c>
      <c r="B23" s="189"/>
      <c r="C23" s="186"/>
      <c r="D23" s="189"/>
      <c r="E23" s="186"/>
      <c r="F23" s="193"/>
      <c r="G23" s="193"/>
      <c r="H23" s="189" t="s">
        <v>40</v>
      </c>
      <c r="I23" s="193"/>
      <c r="J23" s="193"/>
      <c r="K23" s="193"/>
      <c r="L23" s="202"/>
    </row>
    <row r="24" s="155" customFormat="1" ht="14.4" spans="2:12">
      <c r="B24" s="195"/>
      <c r="F24" s="193"/>
      <c r="G24" s="193"/>
      <c r="H24" s="193"/>
      <c r="I24" s="193"/>
      <c r="J24" s="193"/>
      <c r="K24" s="193"/>
      <c r="L24" s="202"/>
    </row>
    <row r="25" spans="2:2">
      <c r="B25" s="196"/>
    </row>
    <row r="26" spans="2:2">
      <c r="B26" s="196"/>
    </row>
    <row r="27" spans="2:2">
      <c r="B27" s="196"/>
    </row>
    <row r="28" spans="2:2">
      <c r="B28" s="196"/>
    </row>
    <row r="29" spans="2:2">
      <c r="B29" s="196"/>
    </row>
    <row r="30" spans="2:2">
      <c r="B30" s="196"/>
    </row>
    <row r="31" spans="2:2">
      <c r="B31" s="196"/>
    </row>
    <row r="32" spans="2:2">
      <c r="B32" s="196"/>
    </row>
    <row r="33" spans="2:2">
      <c r="B33" s="196"/>
    </row>
    <row r="34" spans="2:2">
      <c r="B34" s="196"/>
    </row>
    <row r="35" spans="2:2">
      <c r="B35" s="196"/>
    </row>
    <row r="36" spans="2:2">
      <c r="B36" s="196"/>
    </row>
    <row r="37" spans="2:2">
      <c r="B37" s="196"/>
    </row>
    <row r="38" spans="2:2">
      <c r="B38" s="196"/>
    </row>
    <row r="39" spans="2:2">
      <c r="B39" s="196"/>
    </row>
    <row r="40" spans="2:2">
      <c r="B40" s="196"/>
    </row>
    <row r="41" spans="2:2">
      <c r="B41" s="196"/>
    </row>
    <row r="42" spans="2:2">
      <c r="B42" s="196"/>
    </row>
    <row r="43" spans="2:2">
      <c r="B43" s="196"/>
    </row>
    <row r="44" spans="2:2">
      <c r="B44" s="196"/>
    </row>
    <row r="45" spans="2:2">
      <c r="B45" s="196"/>
    </row>
    <row r="46" spans="2:2">
      <c r="B46" s="196"/>
    </row>
  </sheetData>
  <autoFilter xmlns:etc="http://www.wps.cn/officeDocument/2017/etCustomData" ref="A8:XDQ23" etc:filterBottomFollowUsedRange="0">
    <extLst/>
  </autoFilter>
  <mergeCells count="20">
    <mergeCell ref="A1:L1"/>
    <mergeCell ref="A2:L2"/>
    <mergeCell ref="A3:L3"/>
    <mergeCell ref="A4:L4"/>
    <mergeCell ref="A5:L5"/>
    <mergeCell ref="A6:L6"/>
    <mergeCell ref="H7:J7"/>
    <mergeCell ref="A12:L12"/>
    <mergeCell ref="A13:L13"/>
    <mergeCell ref="A14:L14"/>
    <mergeCell ref="A15:L15"/>
    <mergeCell ref="A16:L16"/>
    <mergeCell ref="A17:L17"/>
    <mergeCell ref="A7:A8"/>
    <mergeCell ref="B7:B8"/>
    <mergeCell ref="C7:C8"/>
    <mergeCell ref="D7:D8"/>
    <mergeCell ref="E7:E8"/>
    <mergeCell ref="H10:H11"/>
    <mergeCell ref="L7:L8"/>
  </mergeCells>
  <conditionalFormatting sqref="B21">
    <cfRule type="duplicateValues" dxfId="0" priority="2"/>
  </conditionalFormatting>
  <conditionalFormatting sqref="B1:B11 B24:B1048576">
    <cfRule type="duplicateValues" dxfId="0" priority="4"/>
  </conditionalFormatting>
  <conditionalFormatting sqref="D1:D11 D24:D1048576">
    <cfRule type="duplicateValues" dxfId="0" priority="5"/>
  </conditionalFormatting>
  <conditionalFormatting sqref="D18:D20 D22:D23">
    <cfRule type="duplicateValues" dxfId="0" priority="3"/>
  </conditionalFormatting>
  <conditionalFormatting sqref="H19:H20 H22:H23">
    <cfRule type="duplicateValues" dxfId="0" priority="1"/>
  </conditionalFormatting>
  <printOptions horizontalCentered="1" verticalCentered="1"/>
  <pageMargins left="0.196850393700787" right="0.196850393700787" top="0.196850393700787" bottom="0.196850393700787" header="0.354330708661417" footer="0.15748031496063"/>
  <pageSetup paperSize="9" scale="73" orientation="landscape"/>
  <headerFooter>
    <oddFooter>&amp;C第 &amp;P 页，共 &amp;N 页</oddFooter>
  </headerFooter>
  <rowBreaks count="1" manualBreakCount="1">
    <brk id="23" max="16383" man="1"/>
  </rowBreaks>
  <colBreaks count="1" manualBreakCount="1">
    <brk id="12" max="2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4"/>
  <sheetViews>
    <sheetView zoomScale="70" zoomScaleNormal="70" workbookViewId="0">
      <selection activeCell="S11" sqref="S11"/>
    </sheetView>
  </sheetViews>
  <sheetFormatPr defaultColWidth="9" defaultRowHeight="14.4"/>
  <cols>
    <col min="1" max="1" width="19.0462962962963" customWidth="1"/>
    <col min="2" max="2" width="10.8333333333333" hidden="1" customWidth="1"/>
    <col min="3" max="3" width="8.01851851851852" hidden="1" customWidth="1"/>
    <col min="4" max="8" width="14.7592592592593" hidden="1" customWidth="1"/>
    <col min="9" max="9" width="12.4444444444444" customWidth="1"/>
    <col min="10" max="15" width="12.4444444444444" hidden="1" customWidth="1"/>
    <col min="16" max="16" width="12.4444444444444" customWidth="1"/>
    <col min="17" max="17" width="14.1111111111111"/>
    <col min="18" max="18" width="30.1574074074074" customWidth="1"/>
    <col min="19" max="19" width="25.712962962963" customWidth="1"/>
    <col min="20" max="20" width="63.962962962963" customWidth="1"/>
    <col min="21" max="21" width="14.2777777777778" style="1" customWidth="1"/>
    <col min="22" max="22" width="41.5277777777778" hidden="1" customWidth="1"/>
    <col min="23" max="23" width="14.2777777777778" customWidth="1"/>
    <col min="24" max="24" width="20.787037037037" customWidth="1"/>
    <col min="25" max="25" width="17.6111111111111" customWidth="1"/>
    <col min="26" max="26" width="19.3518518518519" customWidth="1"/>
    <col min="27" max="27" width="15.3888888888889" customWidth="1"/>
    <col min="28" max="28" width="14.1111111111111"/>
    <col min="29" max="29" width="19.6759259259259" customWidth="1"/>
    <col min="30" max="30" width="14.3333333333333"/>
    <col min="31" max="31" width="14.1296296296296" customWidth="1"/>
    <col min="32" max="32" width="14.75" customWidth="1"/>
    <col min="16384" max="16384" width="12.8888888888889"/>
  </cols>
  <sheetData>
    <row r="1" ht="28" customHeight="1" spans="1:20">
      <c r="A1" s="66" t="s">
        <v>42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2" ht="34" customHeight="1" spans="1:34">
      <c r="A2" s="6" t="s">
        <v>43</v>
      </c>
      <c r="B2" s="6" t="s">
        <v>44</v>
      </c>
      <c r="C2" s="6" t="s">
        <v>45</v>
      </c>
      <c r="D2" s="6" t="s">
        <v>46</v>
      </c>
      <c r="E2" s="6" t="s">
        <v>47</v>
      </c>
      <c r="F2" s="6" t="s">
        <v>48</v>
      </c>
      <c r="G2" s="6" t="s">
        <v>49</v>
      </c>
      <c r="H2" s="6" t="s">
        <v>50</v>
      </c>
      <c r="I2" s="16" t="s">
        <v>51</v>
      </c>
      <c r="J2" s="6" t="s">
        <v>52</v>
      </c>
      <c r="K2" s="6" t="s">
        <v>53</v>
      </c>
      <c r="L2" s="6" t="s">
        <v>54</v>
      </c>
      <c r="M2" s="6" t="s">
        <v>55</v>
      </c>
      <c r="N2" s="6" t="s">
        <v>56</v>
      </c>
      <c r="O2" s="6" t="s">
        <v>57</v>
      </c>
      <c r="P2" s="16" t="s">
        <v>58</v>
      </c>
      <c r="Q2" s="136" t="s">
        <v>59</v>
      </c>
      <c r="R2" s="2" t="s">
        <v>60</v>
      </c>
      <c r="S2" s="2" t="s">
        <v>61</v>
      </c>
      <c r="T2" s="24" t="s">
        <v>14</v>
      </c>
      <c r="W2" s="2" t="s">
        <v>62</v>
      </c>
      <c r="X2" s="24" t="s">
        <v>63</v>
      </c>
      <c r="Y2" s="24" t="s">
        <v>64</v>
      </c>
      <c r="Z2" s="2" t="s">
        <v>65</v>
      </c>
      <c r="AA2" s="2" t="s">
        <v>66</v>
      </c>
      <c r="AE2" s="1" t="s">
        <v>67</v>
      </c>
      <c r="AF2" s="1" t="s">
        <v>68</v>
      </c>
      <c r="AH2" t="s">
        <v>69</v>
      </c>
    </row>
    <row r="3" s="1" customFormat="1" ht="41" customHeight="1" spans="1:37">
      <c r="A3" s="6" t="s">
        <v>70</v>
      </c>
      <c r="B3" s="6"/>
      <c r="C3" s="2"/>
      <c r="D3" s="8">
        <v>767590.11</v>
      </c>
      <c r="E3" s="8">
        <v>241653.29</v>
      </c>
      <c r="F3" s="9">
        <v>498197.19</v>
      </c>
      <c r="G3" s="10">
        <v>515143.22</v>
      </c>
      <c r="H3" s="2">
        <v>500000</v>
      </c>
      <c r="I3" s="17">
        <f>SUM(C3:H3)</f>
        <v>2522583.81</v>
      </c>
      <c r="J3" s="2">
        <v>500000</v>
      </c>
      <c r="K3" s="2">
        <v>500000</v>
      </c>
      <c r="L3" s="2">
        <v>500000</v>
      </c>
      <c r="M3" s="2">
        <v>500000</v>
      </c>
      <c r="N3" s="2">
        <v>500000</v>
      </c>
      <c r="O3" s="2">
        <v>500000</v>
      </c>
      <c r="P3" s="17">
        <f>SUM(J3:O3)</f>
        <v>3000000</v>
      </c>
      <c r="Q3" s="137">
        <f>I3+P3</f>
        <v>5522583.81</v>
      </c>
      <c r="R3" s="2">
        <f>Q3</f>
        <v>5522583.81</v>
      </c>
      <c r="S3" s="2">
        <v>5522583.81</v>
      </c>
      <c r="T3" s="2"/>
      <c r="W3" s="138">
        <v>0.23</v>
      </c>
      <c r="X3" s="139">
        <f>(I6+R6)/R3</f>
        <v>0.136098855586826</v>
      </c>
      <c r="Y3" s="150">
        <f>R9</f>
        <v>0.076</v>
      </c>
      <c r="Z3" s="3">
        <f>S10/S3</f>
        <v>0.017901144413174</v>
      </c>
      <c r="AA3" s="3">
        <f>X3+Y3+Z3</f>
        <v>0.23</v>
      </c>
      <c r="AE3">
        <v>23</v>
      </c>
      <c r="AF3">
        <v>26</v>
      </c>
      <c r="AG3" s="106">
        <f>(AE3-AF3)/AF3</f>
        <v>-0.115384615384615</v>
      </c>
      <c r="AH3" t="s">
        <v>71</v>
      </c>
      <c r="AI3" t="s">
        <v>72</v>
      </c>
      <c r="AJ3" t="s">
        <v>73</v>
      </c>
      <c r="AK3" t="s">
        <v>74</v>
      </c>
    </row>
    <row r="4" s="1" customFormat="1" ht="41" customHeight="1" spans="1:37">
      <c r="A4" s="6" t="s">
        <v>75</v>
      </c>
      <c r="B4" s="11"/>
      <c r="C4" s="2"/>
      <c r="D4" s="2">
        <f>D3*0.23</f>
        <v>176545.7253</v>
      </c>
      <c r="E4" s="2">
        <f t="shared" ref="E4:O4" si="0">E3*0.23</f>
        <v>55580.2567</v>
      </c>
      <c r="F4" s="2">
        <f t="shared" si="0"/>
        <v>114585.3537</v>
      </c>
      <c r="G4" s="2">
        <f t="shared" si="0"/>
        <v>118482.9406</v>
      </c>
      <c r="H4" s="2">
        <f t="shared" si="0"/>
        <v>115000</v>
      </c>
      <c r="I4" s="18">
        <f>SUM(C4:H4)</f>
        <v>580194.2763</v>
      </c>
      <c r="J4" s="2">
        <f t="shared" si="0"/>
        <v>115000</v>
      </c>
      <c r="K4" s="2">
        <f t="shared" si="0"/>
        <v>115000</v>
      </c>
      <c r="L4" s="2">
        <f t="shared" si="0"/>
        <v>115000</v>
      </c>
      <c r="M4" s="2">
        <f t="shared" si="0"/>
        <v>115000</v>
      </c>
      <c r="N4" s="2">
        <f t="shared" si="0"/>
        <v>115000</v>
      </c>
      <c r="O4" s="2">
        <f t="shared" si="0"/>
        <v>115000</v>
      </c>
      <c r="P4" s="17">
        <f>SUM(J4:O4)</f>
        <v>690000</v>
      </c>
      <c r="Q4" s="137">
        <f>I4+P4</f>
        <v>1270194.2763</v>
      </c>
      <c r="R4" s="25">
        <f>Q4</f>
        <v>1270194.2763</v>
      </c>
      <c r="S4" s="25">
        <v>1270194.2763</v>
      </c>
      <c r="T4" s="2"/>
      <c r="U4" s="1">
        <f>4200/1.13</f>
        <v>3716.81415929204</v>
      </c>
      <c r="V4" s="1">
        <f>(U4-4600)/U4</f>
        <v>-0.237619047619048</v>
      </c>
      <c r="W4" s="2" t="s">
        <v>62</v>
      </c>
      <c r="X4" s="24" t="s">
        <v>63</v>
      </c>
      <c r="Y4" s="24" t="s">
        <v>76</v>
      </c>
      <c r="Z4" s="2" t="s">
        <v>65</v>
      </c>
      <c r="AA4" s="2" t="s">
        <v>66</v>
      </c>
      <c r="AE4">
        <v>23</v>
      </c>
      <c r="AF4">
        <v>26</v>
      </c>
      <c r="AG4" s="106">
        <f>(AE4-AF4)/AF4</f>
        <v>-0.115384615384615</v>
      </c>
      <c r="AH4" s="107">
        <v>0.0413</v>
      </c>
      <c r="AI4" s="108">
        <f>189247.377463333/S3</f>
        <v>0.0342679050195044</v>
      </c>
      <c r="AJ4" s="107">
        <v>0.07</v>
      </c>
      <c r="AK4"/>
    </row>
    <row r="5" s="1" customFormat="1" ht="41" customHeight="1" spans="1:27">
      <c r="A5" s="6" t="s">
        <v>77</v>
      </c>
      <c r="B5" s="11"/>
      <c r="C5" s="2"/>
      <c r="D5" s="3">
        <f>D4/D3</f>
        <v>0.23</v>
      </c>
      <c r="E5" s="3">
        <f t="shared" ref="E5:R5" si="1">E4/E3</f>
        <v>0.23</v>
      </c>
      <c r="F5" s="3">
        <f t="shared" si="1"/>
        <v>0.23</v>
      </c>
      <c r="G5" s="3">
        <f t="shared" si="1"/>
        <v>0.23</v>
      </c>
      <c r="H5" s="3">
        <f t="shared" si="1"/>
        <v>0.23</v>
      </c>
      <c r="I5" s="19">
        <f t="shared" si="1"/>
        <v>0.23</v>
      </c>
      <c r="J5" s="3">
        <f t="shared" si="1"/>
        <v>0.23</v>
      </c>
      <c r="K5" s="3">
        <f t="shared" si="1"/>
        <v>0.23</v>
      </c>
      <c r="L5" s="3">
        <f t="shared" si="1"/>
        <v>0.23</v>
      </c>
      <c r="M5" s="3">
        <f t="shared" si="1"/>
        <v>0.23</v>
      </c>
      <c r="N5" s="3">
        <f t="shared" si="1"/>
        <v>0.23</v>
      </c>
      <c r="O5" s="3">
        <f t="shared" si="1"/>
        <v>0.23</v>
      </c>
      <c r="P5" s="19">
        <f t="shared" si="1"/>
        <v>0.23</v>
      </c>
      <c r="Q5" s="140">
        <f t="shared" si="1"/>
        <v>0.23</v>
      </c>
      <c r="R5" s="143">
        <v>0.23</v>
      </c>
      <c r="S5" s="143">
        <v>0.23</v>
      </c>
      <c r="T5" s="4" t="s">
        <v>78</v>
      </c>
      <c r="U5" s="93">
        <f>(U6-4110)/4110</f>
        <v>0.12983776319749</v>
      </c>
      <c r="W5" s="138">
        <v>0.23</v>
      </c>
      <c r="X5" s="139">
        <f>(I6+S6)/S3</f>
        <v>0.170813832517163</v>
      </c>
      <c r="Y5" s="150">
        <f>S9</f>
        <v>0.0412850230696635</v>
      </c>
      <c r="Z5" s="3">
        <f>S11</f>
        <v>0.017901144413174</v>
      </c>
      <c r="AA5" s="3">
        <f>X5+Y5+Z5</f>
        <v>0.23</v>
      </c>
    </row>
    <row r="6" ht="67" customHeight="1" spans="1:29">
      <c r="A6" s="6" t="s">
        <v>79</v>
      </c>
      <c r="B6" s="12" t="s">
        <v>80</v>
      </c>
      <c r="C6" s="13"/>
      <c r="D6" s="13"/>
      <c r="E6" s="13"/>
      <c r="F6" s="2">
        <v>360000</v>
      </c>
      <c r="G6" s="13"/>
      <c r="H6" s="13"/>
      <c r="I6" s="17">
        <f>SUM(C6:H6)</f>
        <v>360000</v>
      </c>
      <c r="J6" s="2">
        <f t="shared" ref="J6:O6" si="2">800000*0.1</f>
        <v>80000</v>
      </c>
      <c r="K6" s="2">
        <f t="shared" si="2"/>
        <v>80000</v>
      </c>
      <c r="L6" s="2">
        <f t="shared" si="2"/>
        <v>80000</v>
      </c>
      <c r="M6" s="2">
        <f t="shared" si="2"/>
        <v>80000</v>
      </c>
      <c r="N6" s="2">
        <f t="shared" si="2"/>
        <v>80000</v>
      </c>
      <c r="O6" s="2">
        <f t="shared" si="2"/>
        <v>80000</v>
      </c>
      <c r="P6" s="17">
        <f>SUM(J6:O6)</f>
        <v>480000</v>
      </c>
      <c r="Q6" s="137">
        <f>I6+P6</f>
        <v>840000</v>
      </c>
      <c r="R6" s="25">
        <f>R4-R8-R10-I6</f>
        <v>391617.336423333</v>
      </c>
      <c r="S6" s="25">
        <f>S4-S8-S10-I6</f>
        <v>583333.705983333</v>
      </c>
      <c r="T6" s="142" t="s">
        <v>81</v>
      </c>
      <c r="U6" s="1">
        <f>4200*(1+S7)</f>
        <v>4643.63320674168</v>
      </c>
      <c r="W6" s="2" t="s">
        <v>62</v>
      </c>
      <c r="X6" s="24" t="s">
        <v>63</v>
      </c>
      <c r="Y6" s="24" t="s">
        <v>64</v>
      </c>
      <c r="Z6" s="2" t="s">
        <v>82</v>
      </c>
      <c r="AA6" s="2" t="s">
        <v>66</v>
      </c>
      <c r="AC6" s="15">
        <f>360000/S3</f>
        <v>0.0651868785310476</v>
      </c>
    </row>
    <row r="7" ht="62" customHeight="1" spans="1:29">
      <c r="A7" s="6" t="s">
        <v>77</v>
      </c>
      <c r="B7" s="12"/>
      <c r="C7" s="13"/>
      <c r="D7" s="3">
        <f>D6/D3</f>
        <v>0</v>
      </c>
      <c r="E7" s="3">
        <f t="shared" ref="E7:S7" si="3">E6/E3</f>
        <v>0</v>
      </c>
      <c r="F7" s="3">
        <f t="shared" si="3"/>
        <v>0.72260544062884</v>
      </c>
      <c r="G7" s="3">
        <f t="shared" si="3"/>
        <v>0</v>
      </c>
      <c r="H7" s="3">
        <f t="shared" si="3"/>
        <v>0</v>
      </c>
      <c r="I7" s="19">
        <f t="shared" si="3"/>
        <v>0.142710818396951</v>
      </c>
      <c r="J7" s="3">
        <f t="shared" si="3"/>
        <v>0.16</v>
      </c>
      <c r="K7" s="3">
        <f t="shared" si="3"/>
        <v>0.16</v>
      </c>
      <c r="L7" s="3">
        <f t="shared" si="3"/>
        <v>0.16</v>
      </c>
      <c r="M7" s="3">
        <f t="shared" si="3"/>
        <v>0.16</v>
      </c>
      <c r="N7" s="3">
        <f t="shared" si="3"/>
        <v>0.16</v>
      </c>
      <c r="O7" s="3">
        <f t="shared" si="3"/>
        <v>0.16</v>
      </c>
      <c r="P7" s="19">
        <f t="shared" si="3"/>
        <v>0.16</v>
      </c>
      <c r="Q7" s="140">
        <f t="shared" si="3"/>
        <v>0.152102716572444</v>
      </c>
      <c r="R7" s="143">
        <f t="shared" si="3"/>
        <v>0.0709119770557784</v>
      </c>
      <c r="S7" s="143">
        <f t="shared" si="3"/>
        <v>0.105626953986115</v>
      </c>
      <c r="T7" s="144" t="s">
        <v>83</v>
      </c>
      <c r="U7" s="145">
        <f>4200*(1+R7)</f>
        <v>4497.83030363427</v>
      </c>
      <c r="V7" s="146" t="s">
        <v>84</v>
      </c>
      <c r="W7" s="3">
        <v>0.23</v>
      </c>
      <c r="X7" s="115">
        <f>W7-Y7-Z7</f>
        <v>0.116663327366809</v>
      </c>
      <c r="Y7" s="150">
        <f>R9</f>
        <v>0.076</v>
      </c>
      <c r="Z7" s="151">
        <f>X10</f>
        <v>0.0373366726331915</v>
      </c>
      <c r="AA7" s="3">
        <f>SUM(X7:Z7)</f>
        <v>0.23</v>
      </c>
      <c r="AC7" s="15">
        <f>W7-Z7-Y7</f>
        <v>0.116663327366809</v>
      </c>
    </row>
    <row r="8" ht="41" customHeight="1" spans="1:16384">
      <c r="A8" s="6" t="s">
        <v>85</v>
      </c>
      <c r="B8" s="14"/>
      <c r="C8" s="13"/>
      <c r="D8" s="13">
        <f>D4-D6</f>
        <v>176545.7253</v>
      </c>
      <c r="E8" s="13">
        <f t="shared" ref="E8:O8" si="4">E4-E6</f>
        <v>55580.2567</v>
      </c>
      <c r="F8" s="13">
        <f t="shared" si="4"/>
        <v>-245414.6463</v>
      </c>
      <c r="G8" s="13">
        <f t="shared" si="4"/>
        <v>118482.9406</v>
      </c>
      <c r="H8" s="2">
        <f t="shared" si="4"/>
        <v>115000</v>
      </c>
      <c r="I8" s="18">
        <f t="shared" si="4"/>
        <v>220194.2763</v>
      </c>
      <c r="J8" s="2">
        <f t="shared" si="4"/>
        <v>35000</v>
      </c>
      <c r="K8" s="2">
        <f t="shared" si="4"/>
        <v>35000</v>
      </c>
      <c r="L8" s="2">
        <f t="shared" si="4"/>
        <v>35000</v>
      </c>
      <c r="M8" s="2">
        <f t="shared" si="4"/>
        <v>35000</v>
      </c>
      <c r="N8" s="2">
        <f t="shared" si="4"/>
        <v>35000</v>
      </c>
      <c r="O8" s="2">
        <f t="shared" si="4"/>
        <v>35000</v>
      </c>
      <c r="P8" s="17">
        <f>SUM(J8:O8)</f>
        <v>210000</v>
      </c>
      <c r="Q8" s="137">
        <f>I8+P8</f>
        <v>430194.2763</v>
      </c>
      <c r="R8" s="25">
        <f>R3*10%*0.76</f>
        <v>419716.36956</v>
      </c>
      <c r="S8" s="25">
        <f>P3*0.1*0.76</f>
        <v>228000</v>
      </c>
      <c r="T8" s="94" t="s">
        <v>86</v>
      </c>
      <c r="U8" s="95">
        <f>(U7-4110)/4110</f>
        <v>0.0943626042905765</v>
      </c>
      <c r="W8" s="2" t="s">
        <v>62</v>
      </c>
      <c r="X8" s="24" t="s">
        <v>63</v>
      </c>
      <c r="Y8" s="24" t="s">
        <v>76</v>
      </c>
      <c r="Z8" s="2" t="s">
        <v>82</v>
      </c>
      <c r="AA8" s="2" t="s">
        <v>66</v>
      </c>
      <c r="XFD8">
        <f>SUM(A8:XFC8)</f>
        <v>1938299.2928226</v>
      </c>
    </row>
    <row r="9" ht="41" customHeight="1" spans="1:27">
      <c r="A9" s="6" t="s">
        <v>77</v>
      </c>
      <c r="B9" s="14"/>
      <c r="C9" s="13"/>
      <c r="D9" s="3">
        <f>D8/D3</f>
        <v>0.23</v>
      </c>
      <c r="E9" s="3">
        <f t="shared" ref="E9:S9" si="5">E8/E3</f>
        <v>0.23</v>
      </c>
      <c r="F9" s="3">
        <f t="shared" si="5"/>
        <v>-0.49260544062884</v>
      </c>
      <c r="G9" s="3">
        <f t="shared" si="5"/>
        <v>0.23</v>
      </c>
      <c r="H9" s="3">
        <f t="shared" si="5"/>
        <v>0.23</v>
      </c>
      <c r="I9" s="19">
        <f t="shared" si="5"/>
        <v>0.0872891816030485</v>
      </c>
      <c r="J9" s="3">
        <f t="shared" si="5"/>
        <v>0.07</v>
      </c>
      <c r="K9" s="3">
        <f t="shared" si="5"/>
        <v>0.07</v>
      </c>
      <c r="L9" s="3">
        <f t="shared" si="5"/>
        <v>0.07</v>
      </c>
      <c r="M9" s="3">
        <f t="shared" si="5"/>
        <v>0.07</v>
      </c>
      <c r="N9" s="3">
        <f t="shared" si="5"/>
        <v>0.07</v>
      </c>
      <c r="O9" s="3">
        <f t="shared" si="5"/>
        <v>0.07</v>
      </c>
      <c r="P9" s="19">
        <f t="shared" si="5"/>
        <v>0.07</v>
      </c>
      <c r="Q9" s="140">
        <f t="shared" si="5"/>
        <v>0.0778972834275556</v>
      </c>
      <c r="R9" s="143">
        <f t="shared" si="5"/>
        <v>0.076</v>
      </c>
      <c r="S9" s="143">
        <f t="shared" si="5"/>
        <v>0.0412850230696635</v>
      </c>
      <c r="T9" s="94" t="s">
        <v>87</v>
      </c>
      <c r="U9" s="1">
        <f>P3*0.1*0.76</f>
        <v>228000</v>
      </c>
      <c r="W9" s="3">
        <v>0.23</v>
      </c>
      <c r="X9" s="115">
        <f>W9-Y9-Z9</f>
        <v>0.151378304297145</v>
      </c>
      <c r="Y9" s="152">
        <f>S9</f>
        <v>0.0412850230696635</v>
      </c>
      <c r="Z9" s="151">
        <f>X10</f>
        <v>0.0373366726331915</v>
      </c>
      <c r="AA9" s="3">
        <f>SUM(X9:Z9)</f>
        <v>0.23</v>
      </c>
    </row>
    <row r="10" ht="64" customHeight="1" spans="1:24">
      <c r="A10" s="6" t="s">
        <v>88</v>
      </c>
      <c r="B10" s="14"/>
      <c r="C10" s="13"/>
      <c r="D10" s="3"/>
      <c r="E10" s="3"/>
      <c r="F10" s="3"/>
      <c r="G10" s="3"/>
      <c r="H10" s="3"/>
      <c r="I10" s="19"/>
      <c r="J10" s="3"/>
      <c r="K10" s="3"/>
      <c r="L10" s="3"/>
      <c r="M10" s="3"/>
      <c r="N10" s="3"/>
      <c r="O10" s="3"/>
      <c r="P10" s="19"/>
      <c r="Q10" s="148"/>
      <c r="R10" s="31">
        <v>98860.5703166666</v>
      </c>
      <c r="S10" s="31">
        <v>98860.5703166666</v>
      </c>
      <c r="T10" s="149" t="s">
        <v>89</v>
      </c>
      <c r="U10" s="93">
        <f>U9/R3</f>
        <v>0.0412850230696635</v>
      </c>
      <c r="W10">
        <v>206194.903803333</v>
      </c>
      <c r="X10" s="93">
        <f>W10/S3</f>
        <v>0.0373366726331915</v>
      </c>
    </row>
    <row r="11" ht="41" customHeight="1" spans="1:20">
      <c r="A11" s="6" t="s">
        <v>77</v>
      </c>
      <c r="B11" s="14"/>
      <c r="C11" s="13"/>
      <c r="D11" s="3"/>
      <c r="E11" s="3"/>
      <c r="F11" s="3"/>
      <c r="G11" s="3"/>
      <c r="H11" s="3"/>
      <c r="I11" s="19"/>
      <c r="J11" s="3"/>
      <c r="K11" s="3"/>
      <c r="L11" s="3"/>
      <c r="M11" s="3"/>
      <c r="N11" s="3"/>
      <c r="O11" s="3"/>
      <c r="P11" s="19"/>
      <c r="Q11" s="148"/>
      <c r="R11" s="143">
        <f>R10/R3</f>
        <v>0.017901144413174</v>
      </c>
      <c r="S11" s="143">
        <f>S10/S3</f>
        <v>0.017901144413174</v>
      </c>
      <c r="T11" s="13"/>
    </row>
    <row r="12" ht="28" customHeight="1" spans="17:19">
      <c r="Q12" s="1"/>
      <c r="R12" s="95">
        <f>R7+R9+R11+I6/R3</f>
        <v>0.23</v>
      </c>
      <c r="S12" s="95">
        <f>S7+S9+S11+I6/S3</f>
        <v>0.23</v>
      </c>
    </row>
    <row r="13" ht="28" customHeight="1" spans="9:19">
      <c r="I13" s="22"/>
      <c r="J13" s="22"/>
      <c r="K13" s="22"/>
      <c r="L13" s="22"/>
      <c r="M13" s="22"/>
      <c r="N13" s="22"/>
      <c r="O13" s="22"/>
      <c r="Q13" s="32"/>
      <c r="R13" s="93">
        <f>R8/R3</f>
        <v>0.076</v>
      </c>
      <c r="S13" s="106"/>
    </row>
    <row r="14" spans="2:20">
      <c r="B14">
        <v>440</v>
      </c>
      <c r="I14" t="s">
        <v>90</v>
      </c>
      <c r="K14">
        <v>3700</v>
      </c>
      <c r="M14" s="23">
        <f>26*0.07</f>
        <v>1.82</v>
      </c>
      <c r="T14">
        <v>3407</v>
      </c>
    </row>
    <row r="15" spans="9:20">
      <c r="I15" t="s">
        <v>91</v>
      </c>
      <c r="K15">
        <f>4800</f>
        <v>4800</v>
      </c>
      <c r="M15" s="23">
        <f>J12-M14</f>
        <v>-1.82</v>
      </c>
      <c r="Q15" s="15"/>
      <c r="T15">
        <v>4600</v>
      </c>
    </row>
    <row r="16" spans="9:20">
      <c r="I16" t="s">
        <v>92</v>
      </c>
      <c r="K16" s="15">
        <f>(K14-K15)/K15</f>
        <v>-0.229166666666667</v>
      </c>
      <c r="M16">
        <v>20</v>
      </c>
      <c r="T16">
        <f>(T14-T15)/T14</f>
        <v>-0.350161432345172</v>
      </c>
    </row>
    <row r="18" spans="9:9">
      <c r="I18" t="s">
        <v>93</v>
      </c>
    </row>
    <row r="19" spans="9:10">
      <c r="I19" t="s">
        <v>94</v>
      </c>
      <c r="J19" s="135">
        <v>0.17</v>
      </c>
    </row>
    <row r="20" spans="20:20">
      <c r="T20" t="s">
        <v>95</v>
      </c>
    </row>
    <row r="22" spans="20:20">
      <c r="T22" s="95">
        <f>153/202</f>
        <v>0.757425742574257</v>
      </c>
    </row>
    <row r="44" spans="1:1">
      <c r="A44" t="s">
        <v>96</v>
      </c>
    </row>
  </sheetData>
  <mergeCells count="1">
    <mergeCell ref="A1:T1"/>
  </mergeCells>
  <pageMargins left="0.7" right="0.7" top="0.75" bottom="0.75" header="0.3" footer="0.3"/>
  <pageSetup paperSize="9" orientation="portrait" horizontalDpi="200" verticalDpi="3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4"/>
  <sheetViews>
    <sheetView zoomScale="70" zoomScaleNormal="70" topLeftCell="Q1" workbookViewId="0">
      <selection activeCell="W8" sqref="W8:AA9"/>
    </sheetView>
  </sheetViews>
  <sheetFormatPr defaultColWidth="9" defaultRowHeight="14.4"/>
  <cols>
    <col min="1" max="1" width="19.0462962962963" customWidth="1"/>
    <col min="2" max="2" width="14.2777777777778" hidden="1" customWidth="1"/>
    <col min="3" max="3" width="8.01851851851852" hidden="1" customWidth="1"/>
    <col min="4" max="8" width="14.7592592592593" hidden="1" customWidth="1"/>
    <col min="9" max="16" width="12.4444444444444" customWidth="1"/>
    <col min="17" max="17" width="14.1111111111111"/>
    <col min="18" max="18" width="30.1574074074074" customWidth="1"/>
    <col min="19" max="19" width="25.712962962963" customWidth="1"/>
    <col min="20" max="20" width="63.962962962963" customWidth="1"/>
    <col min="21" max="21" width="14.2777777777778" style="1" customWidth="1"/>
    <col min="22" max="22" width="41.5277777777778" hidden="1" customWidth="1"/>
    <col min="23" max="23" width="14.2777777777778" customWidth="1"/>
    <col min="24" max="24" width="20.787037037037" customWidth="1"/>
    <col min="25" max="25" width="17.6111111111111" customWidth="1"/>
    <col min="26" max="26" width="19.3518518518519" customWidth="1"/>
    <col min="27" max="27" width="15.3888888888889" customWidth="1"/>
    <col min="28" max="28" width="14.1111111111111"/>
    <col min="29" max="29" width="19.6759259259259" customWidth="1"/>
    <col min="30" max="30" width="14.3333333333333"/>
    <col min="31" max="31" width="14.1296296296296" customWidth="1"/>
    <col min="32" max="32" width="14.75" customWidth="1"/>
    <col min="16384" max="16384" width="12.8888888888889"/>
  </cols>
  <sheetData>
    <row r="1" ht="28" customHeight="1" spans="1:20">
      <c r="A1" s="66" t="s">
        <v>42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2" ht="34" customHeight="1" spans="1:34">
      <c r="A2" s="6" t="s">
        <v>43</v>
      </c>
      <c r="B2" s="6" t="s">
        <v>44</v>
      </c>
      <c r="C2" s="6" t="s">
        <v>45</v>
      </c>
      <c r="D2" s="6" t="s">
        <v>46</v>
      </c>
      <c r="E2" s="6" t="s">
        <v>47</v>
      </c>
      <c r="F2" s="6" t="s">
        <v>48</v>
      </c>
      <c r="G2" s="6" t="s">
        <v>49</v>
      </c>
      <c r="H2" s="6" t="s">
        <v>50</v>
      </c>
      <c r="I2" s="16" t="s">
        <v>51</v>
      </c>
      <c r="J2" s="6" t="s">
        <v>52</v>
      </c>
      <c r="K2" s="6" t="s">
        <v>53</v>
      </c>
      <c r="L2" s="6" t="s">
        <v>54</v>
      </c>
      <c r="M2" s="6" t="s">
        <v>55</v>
      </c>
      <c r="N2" s="6" t="s">
        <v>56</v>
      </c>
      <c r="O2" s="6" t="s">
        <v>57</v>
      </c>
      <c r="P2" s="16" t="s">
        <v>58</v>
      </c>
      <c r="Q2" s="136" t="s">
        <v>59</v>
      </c>
      <c r="R2" s="2" t="s">
        <v>60</v>
      </c>
      <c r="S2" s="2" t="s">
        <v>61</v>
      </c>
      <c r="T2" s="24" t="s">
        <v>14</v>
      </c>
      <c r="W2" s="2" t="s">
        <v>62</v>
      </c>
      <c r="X2" s="24" t="s">
        <v>63</v>
      </c>
      <c r="Y2" s="24" t="s">
        <v>64</v>
      </c>
      <c r="Z2" s="2" t="s">
        <v>65</v>
      </c>
      <c r="AA2" s="2" t="s">
        <v>66</v>
      </c>
      <c r="AE2" s="1" t="s">
        <v>67</v>
      </c>
      <c r="AF2" s="1" t="s">
        <v>68</v>
      </c>
      <c r="AH2" t="s">
        <v>69</v>
      </c>
    </row>
    <row r="3" s="1" customFormat="1" ht="41" customHeight="1" spans="1:37">
      <c r="A3" s="6" t="s">
        <v>70</v>
      </c>
      <c r="B3" s="6"/>
      <c r="C3" s="2"/>
      <c r="D3" s="8">
        <v>767590.11</v>
      </c>
      <c r="E3" s="8">
        <v>241653.29</v>
      </c>
      <c r="F3" s="9">
        <v>498197.19</v>
      </c>
      <c r="G3" s="10">
        <v>515143.22</v>
      </c>
      <c r="H3" s="2">
        <v>500000</v>
      </c>
      <c r="I3" s="17">
        <f t="shared" ref="I3:I6" si="0">SUM(C3:H3)</f>
        <v>2522583.81</v>
      </c>
      <c r="J3" s="2">
        <v>500000</v>
      </c>
      <c r="K3" s="2">
        <v>500000</v>
      </c>
      <c r="L3" s="2">
        <v>500000</v>
      </c>
      <c r="M3" s="2">
        <v>500000</v>
      </c>
      <c r="N3" s="2">
        <v>500000</v>
      </c>
      <c r="O3" s="2">
        <v>500000</v>
      </c>
      <c r="P3" s="17">
        <f t="shared" ref="P3:P6" si="1">SUM(J3:O3)</f>
        <v>3000000</v>
      </c>
      <c r="Q3" s="137">
        <f>I3+P3</f>
        <v>5522583.81</v>
      </c>
      <c r="R3" s="2">
        <f>Q3</f>
        <v>5522583.81</v>
      </c>
      <c r="S3" s="2">
        <v>5522583.81</v>
      </c>
      <c r="T3" s="2"/>
      <c r="W3" s="138">
        <v>0.23</v>
      </c>
      <c r="X3" s="139">
        <f>(I6+R6)/R3</f>
        <v>0.0491386557149718</v>
      </c>
      <c r="Y3" s="150">
        <f>R9</f>
        <v>0.114</v>
      </c>
      <c r="Z3" s="3">
        <f>S10/S3</f>
        <v>0.0342679050195045</v>
      </c>
      <c r="AA3" s="3">
        <f>X3+Y3+Z3</f>
        <v>0.197406560734476</v>
      </c>
      <c r="AE3">
        <v>23</v>
      </c>
      <c r="AF3">
        <v>26</v>
      </c>
      <c r="AG3" s="106">
        <f>(AE3-AF3)/AF3</f>
        <v>-0.115384615384615</v>
      </c>
      <c r="AH3" t="s">
        <v>71</v>
      </c>
      <c r="AI3" t="s">
        <v>72</v>
      </c>
      <c r="AJ3" t="s">
        <v>73</v>
      </c>
      <c r="AK3" t="s">
        <v>74</v>
      </c>
    </row>
    <row r="4" s="1" customFormat="1" ht="41" customHeight="1" spans="1:37">
      <c r="A4" s="6" t="s">
        <v>75</v>
      </c>
      <c r="B4" s="11"/>
      <c r="C4" s="2"/>
      <c r="D4" s="2">
        <f t="shared" ref="D4:H4" si="2">D3*0.23</f>
        <v>176545.7253</v>
      </c>
      <c r="E4" s="2">
        <f t="shared" si="2"/>
        <v>55580.2567</v>
      </c>
      <c r="F4" s="2">
        <f t="shared" si="2"/>
        <v>114585.3537</v>
      </c>
      <c r="G4" s="2">
        <f t="shared" si="2"/>
        <v>118482.9406</v>
      </c>
      <c r="H4" s="2">
        <f t="shared" si="2"/>
        <v>115000</v>
      </c>
      <c r="I4" s="18">
        <f t="shared" si="0"/>
        <v>580194.2763</v>
      </c>
      <c r="J4" s="2">
        <f t="shared" ref="J4:O4" si="3">J3*0.17</f>
        <v>85000</v>
      </c>
      <c r="K4" s="2">
        <f t="shared" si="3"/>
        <v>85000</v>
      </c>
      <c r="L4" s="2">
        <f t="shared" si="3"/>
        <v>85000</v>
      </c>
      <c r="M4" s="2">
        <f t="shared" si="3"/>
        <v>85000</v>
      </c>
      <c r="N4" s="2">
        <f t="shared" si="3"/>
        <v>85000</v>
      </c>
      <c r="O4" s="2">
        <f t="shared" si="3"/>
        <v>85000</v>
      </c>
      <c r="P4" s="17">
        <f t="shared" si="1"/>
        <v>510000</v>
      </c>
      <c r="Q4" s="137">
        <f>I4+P4</f>
        <v>1090194.2763</v>
      </c>
      <c r="R4" s="25">
        <f>Q4</f>
        <v>1090194.2763</v>
      </c>
      <c r="S4" s="25">
        <f>Q4</f>
        <v>1090194.2763</v>
      </c>
      <c r="T4" s="2"/>
      <c r="U4" s="1">
        <f>4200/1.13</f>
        <v>3716.81415929204</v>
      </c>
      <c r="V4" s="1">
        <f>(U4-4600)/U4</f>
        <v>-0.237619047619048</v>
      </c>
      <c r="W4" s="2" t="s">
        <v>62</v>
      </c>
      <c r="X4" s="24" t="s">
        <v>63</v>
      </c>
      <c r="Y4" s="24" t="s">
        <v>76</v>
      </c>
      <c r="Z4" s="2" t="s">
        <v>65</v>
      </c>
      <c r="AA4" s="2" t="s">
        <v>66</v>
      </c>
      <c r="AE4">
        <v>23</v>
      </c>
      <c r="AF4">
        <v>26</v>
      </c>
      <c r="AG4" s="106">
        <f>(AE4-AF4)/AF4</f>
        <v>-0.115384615384615</v>
      </c>
      <c r="AH4" s="107">
        <v>0.0413</v>
      </c>
      <c r="AI4" s="108">
        <f>189247.377463333/S3</f>
        <v>0.0342679050195044</v>
      </c>
      <c r="AJ4" s="107">
        <v>0.07</v>
      </c>
      <c r="AK4"/>
    </row>
    <row r="5" s="1" customFormat="1" ht="41" customHeight="1" spans="1:27">
      <c r="A5" s="6" t="s">
        <v>77</v>
      </c>
      <c r="B5" s="11"/>
      <c r="C5" s="2"/>
      <c r="D5" s="3">
        <f t="shared" ref="D5:Q5" si="4">D4/D3</f>
        <v>0.23</v>
      </c>
      <c r="E5" s="3">
        <f t="shared" si="4"/>
        <v>0.23</v>
      </c>
      <c r="F5" s="3">
        <f t="shared" si="4"/>
        <v>0.23</v>
      </c>
      <c r="G5" s="3">
        <f t="shared" si="4"/>
        <v>0.23</v>
      </c>
      <c r="H5" s="3">
        <f t="shared" si="4"/>
        <v>0.23</v>
      </c>
      <c r="I5" s="19">
        <f t="shared" si="4"/>
        <v>0.23</v>
      </c>
      <c r="J5" s="3">
        <f t="shared" si="4"/>
        <v>0.17</v>
      </c>
      <c r="K5" s="3">
        <f t="shared" si="4"/>
        <v>0.17</v>
      </c>
      <c r="L5" s="3">
        <f t="shared" si="4"/>
        <v>0.17</v>
      </c>
      <c r="M5" s="3">
        <f t="shared" si="4"/>
        <v>0.17</v>
      </c>
      <c r="N5" s="3">
        <f t="shared" si="4"/>
        <v>0.17</v>
      </c>
      <c r="O5" s="3">
        <f t="shared" si="4"/>
        <v>0.17</v>
      </c>
      <c r="P5" s="19">
        <f t="shared" si="4"/>
        <v>0.17</v>
      </c>
      <c r="Q5" s="140">
        <f t="shared" ref="Q5:S5" si="5">Q4/Q3</f>
        <v>0.197406560734476</v>
      </c>
      <c r="R5" s="141">
        <f t="shared" si="5"/>
        <v>0.197406560734476</v>
      </c>
      <c r="S5" s="141">
        <f t="shared" si="5"/>
        <v>0.197406560734476</v>
      </c>
      <c r="T5" s="4" t="s">
        <v>78</v>
      </c>
      <c r="U5" s="93">
        <f>(U6-4110)/4110</f>
        <v>0.0587109048256939</v>
      </c>
      <c r="W5" s="138">
        <v>0.23</v>
      </c>
      <c r="X5" s="139">
        <f>(I6+S6)/S3</f>
        <v>0.101211121110477</v>
      </c>
      <c r="Y5" s="150">
        <f>S9</f>
        <v>0.0619275346044952</v>
      </c>
      <c r="Z5" s="3">
        <f>S11</f>
        <v>0.0342679050195045</v>
      </c>
      <c r="AA5" s="3">
        <f>X5+Y5+Z5</f>
        <v>0.197406560734476</v>
      </c>
    </row>
    <row r="6" ht="67" customHeight="1" spans="1:29">
      <c r="A6" s="6" t="s">
        <v>79</v>
      </c>
      <c r="B6" s="12" t="s">
        <v>80</v>
      </c>
      <c r="C6" s="13"/>
      <c r="D6" s="13"/>
      <c r="E6" s="13"/>
      <c r="F6" s="2">
        <v>360000</v>
      </c>
      <c r="G6" s="13"/>
      <c r="H6" s="13"/>
      <c r="I6" s="17">
        <f t="shared" si="0"/>
        <v>360000</v>
      </c>
      <c r="J6" s="2">
        <f t="shared" ref="J6:O6" si="6">800000*0.1</f>
        <v>80000</v>
      </c>
      <c r="K6" s="2">
        <f t="shared" si="6"/>
        <v>80000</v>
      </c>
      <c r="L6" s="2">
        <f t="shared" si="6"/>
        <v>80000</v>
      </c>
      <c r="M6" s="2">
        <f t="shared" si="6"/>
        <v>80000</v>
      </c>
      <c r="N6" s="2">
        <f t="shared" si="6"/>
        <v>80000</v>
      </c>
      <c r="O6" s="2">
        <f t="shared" si="6"/>
        <v>80000</v>
      </c>
      <c r="P6" s="17">
        <f t="shared" si="1"/>
        <v>480000</v>
      </c>
      <c r="Q6" s="137">
        <f>I6+P6</f>
        <v>840000</v>
      </c>
      <c r="R6" s="25">
        <f>R4-R8-R10-I6</f>
        <v>-88627.655503333</v>
      </c>
      <c r="S6" s="25">
        <f>S4-S8-S10-I6</f>
        <v>198946.898836667</v>
      </c>
      <c r="T6" s="142" t="s">
        <v>81</v>
      </c>
      <c r="U6" s="1">
        <f>4200*(1+S7)</f>
        <v>4351.3018188336</v>
      </c>
      <c r="W6" s="2" t="s">
        <v>62</v>
      </c>
      <c r="X6" s="24" t="s">
        <v>63</v>
      </c>
      <c r="Y6" s="24" t="s">
        <v>64</v>
      </c>
      <c r="Z6" s="2" t="s">
        <v>82</v>
      </c>
      <c r="AA6" s="2" t="s">
        <v>66</v>
      </c>
      <c r="AC6" s="15">
        <f>360000/S3</f>
        <v>0.0651868785310476</v>
      </c>
    </row>
    <row r="7" ht="111" customHeight="1" spans="1:29">
      <c r="A7" s="6" t="s">
        <v>77</v>
      </c>
      <c r="B7" s="12"/>
      <c r="C7" s="13"/>
      <c r="D7" s="3">
        <f t="shared" ref="D7:S7" si="7">D6/D3</f>
        <v>0</v>
      </c>
      <c r="E7" s="3">
        <f t="shared" si="7"/>
        <v>0</v>
      </c>
      <c r="F7" s="3">
        <f t="shared" si="7"/>
        <v>0.72260544062884</v>
      </c>
      <c r="G7" s="3">
        <f t="shared" si="7"/>
        <v>0</v>
      </c>
      <c r="H7" s="3">
        <f t="shared" si="7"/>
        <v>0</v>
      </c>
      <c r="I7" s="19">
        <f t="shared" si="7"/>
        <v>0.142710818396951</v>
      </c>
      <c r="J7" s="3">
        <f t="shared" si="7"/>
        <v>0.16</v>
      </c>
      <c r="K7" s="3">
        <f t="shared" si="7"/>
        <v>0.16</v>
      </c>
      <c r="L7" s="3">
        <f t="shared" si="7"/>
        <v>0.16</v>
      </c>
      <c r="M7" s="3">
        <f t="shared" si="7"/>
        <v>0.16</v>
      </c>
      <c r="N7" s="3">
        <f t="shared" si="7"/>
        <v>0.16</v>
      </c>
      <c r="O7" s="3">
        <f t="shared" si="7"/>
        <v>0.16</v>
      </c>
      <c r="P7" s="19">
        <f t="shared" si="7"/>
        <v>0.16</v>
      </c>
      <c r="Q7" s="140">
        <f t="shared" si="7"/>
        <v>0.152102716572444</v>
      </c>
      <c r="R7" s="143">
        <f t="shared" si="7"/>
        <v>-0.0160482228160758</v>
      </c>
      <c r="S7" s="143">
        <f t="shared" si="7"/>
        <v>0.036024242579429</v>
      </c>
      <c r="T7" s="144" t="s">
        <v>97</v>
      </c>
      <c r="U7" s="145">
        <f>4200*(1+R7)</f>
        <v>4132.59746417248</v>
      </c>
      <c r="V7" s="146" t="s">
        <v>84</v>
      </c>
      <c r="W7" s="3">
        <v>0.23</v>
      </c>
      <c r="X7" s="115">
        <f>W7-Y7-Z7</f>
        <v>0.0786633273668086</v>
      </c>
      <c r="Y7" s="150">
        <f>R9</f>
        <v>0.114</v>
      </c>
      <c r="Z7" s="151">
        <f>X10</f>
        <v>0.0373366726331914</v>
      </c>
      <c r="AA7" s="3">
        <f>SUM(X7:Z7)</f>
        <v>0.23</v>
      </c>
      <c r="AC7" s="15">
        <f>W7-Z7-Y7</f>
        <v>0.0786633273668086</v>
      </c>
    </row>
    <row r="8" ht="41" customHeight="1" spans="1:16384">
      <c r="A8" s="6" t="s">
        <v>85</v>
      </c>
      <c r="B8" s="14"/>
      <c r="C8" s="13"/>
      <c r="D8" s="13">
        <f t="shared" ref="D8:O8" si="8">D4-D6</f>
        <v>176545.7253</v>
      </c>
      <c r="E8" s="13">
        <f t="shared" si="8"/>
        <v>55580.2567</v>
      </c>
      <c r="F8" s="13">
        <f t="shared" si="8"/>
        <v>-245414.6463</v>
      </c>
      <c r="G8" s="13">
        <f t="shared" si="8"/>
        <v>118482.9406</v>
      </c>
      <c r="H8" s="2">
        <f t="shared" si="8"/>
        <v>115000</v>
      </c>
      <c r="I8" s="18">
        <f t="shared" si="8"/>
        <v>220194.2763</v>
      </c>
      <c r="J8" s="2">
        <f t="shared" si="8"/>
        <v>5000</v>
      </c>
      <c r="K8" s="2">
        <f t="shared" si="8"/>
        <v>5000</v>
      </c>
      <c r="L8" s="2">
        <f t="shared" si="8"/>
        <v>5000</v>
      </c>
      <c r="M8" s="2">
        <f t="shared" si="8"/>
        <v>5000</v>
      </c>
      <c r="N8" s="2">
        <f t="shared" si="8"/>
        <v>5000</v>
      </c>
      <c r="O8" s="2">
        <f t="shared" si="8"/>
        <v>5000</v>
      </c>
      <c r="P8" s="17">
        <f>SUM(J8:O8)</f>
        <v>30000</v>
      </c>
      <c r="Q8" s="137">
        <f>I8+P8</f>
        <v>250194.2763</v>
      </c>
      <c r="R8" s="25">
        <f>R3*15%*0.76</f>
        <v>629574.55434</v>
      </c>
      <c r="S8" s="25">
        <f>P3*0.15*0.76</f>
        <v>342000</v>
      </c>
      <c r="T8" s="94" t="s">
        <v>98</v>
      </c>
      <c r="U8" s="95">
        <f>(U7-4110)/4110</f>
        <v>0.00549816646532397</v>
      </c>
      <c r="W8" s="2" t="s">
        <v>62</v>
      </c>
      <c r="X8" s="24" t="s">
        <v>63</v>
      </c>
      <c r="Y8" s="24" t="s">
        <v>76</v>
      </c>
      <c r="Z8" s="2" t="s">
        <v>82</v>
      </c>
      <c r="AA8" s="2" t="s">
        <v>66</v>
      </c>
      <c r="XFD8">
        <f>SUM(A8:XFC8)</f>
        <v>1722157.38873817</v>
      </c>
    </row>
    <row r="9" ht="41" customHeight="1" spans="1:27">
      <c r="A9" s="6" t="s">
        <v>77</v>
      </c>
      <c r="B9" s="14"/>
      <c r="C9" s="13"/>
      <c r="D9" s="3">
        <f t="shared" ref="D9:S9" si="9">D8/D3</f>
        <v>0.23</v>
      </c>
      <c r="E9" s="3">
        <f t="shared" si="9"/>
        <v>0.23</v>
      </c>
      <c r="F9" s="3">
        <f t="shared" si="9"/>
        <v>-0.49260544062884</v>
      </c>
      <c r="G9" s="3">
        <f t="shared" si="9"/>
        <v>0.23</v>
      </c>
      <c r="H9" s="3">
        <f t="shared" si="9"/>
        <v>0.23</v>
      </c>
      <c r="I9" s="19">
        <f t="shared" si="9"/>
        <v>0.0872891816030485</v>
      </c>
      <c r="J9" s="3">
        <f t="shared" si="9"/>
        <v>0.01</v>
      </c>
      <c r="K9" s="3">
        <f t="shared" si="9"/>
        <v>0.01</v>
      </c>
      <c r="L9" s="3">
        <f t="shared" si="9"/>
        <v>0.01</v>
      </c>
      <c r="M9" s="3">
        <f t="shared" si="9"/>
        <v>0.01</v>
      </c>
      <c r="N9" s="3">
        <f t="shared" si="9"/>
        <v>0.01</v>
      </c>
      <c r="O9" s="3">
        <f t="shared" si="9"/>
        <v>0.01</v>
      </c>
      <c r="P9" s="19">
        <f t="shared" si="9"/>
        <v>0.01</v>
      </c>
      <c r="Q9" s="140">
        <f t="shared" si="9"/>
        <v>0.0453038441620318</v>
      </c>
      <c r="R9" s="143">
        <f t="shared" si="9"/>
        <v>0.114</v>
      </c>
      <c r="S9" s="143">
        <f t="shared" si="9"/>
        <v>0.0619275346044952</v>
      </c>
      <c r="T9" s="94" t="s">
        <v>87</v>
      </c>
      <c r="U9" s="1">
        <f>P3*0.1*0.76</f>
        <v>228000</v>
      </c>
      <c r="W9" s="147">
        <v>0.23</v>
      </c>
      <c r="X9" s="115">
        <f>W9-Y9-Z9</f>
        <v>0.130735792762313</v>
      </c>
      <c r="Y9" s="152">
        <f>S9</f>
        <v>0.0619275346044952</v>
      </c>
      <c r="Z9" s="151">
        <f>X10</f>
        <v>0.0373366726331914</v>
      </c>
      <c r="AA9" s="3">
        <f>SUM(X9:Z9)</f>
        <v>0.23</v>
      </c>
    </row>
    <row r="10" ht="64" customHeight="1" spans="1:24">
      <c r="A10" s="6" t="s">
        <v>88</v>
      </c>
      <c r="B10" s="14"/>
      <c r="C10" s="13"/>
      <c r="D10" s="3"/>
      <c r="E10" s="3"/>
      <c r="F10" s="3"/>
      <c r="G10" s="3"/>
      <c r="H10" s="3"/>
      <c r="I10" s="19"/>
      <c r="J10" s="3"/>
      <c r="K10" s="3"/>
      <c r="L10" s="3"/>
      <c r="M10" s="3"/>
      <c r="N10" s="3"/>
      <c r="O10" s="3"/>
      <c r="P10" s="19"/>
      <c r="Q10" s="148"/>
      <c r="R10" s="31">
        <v>189247.377463333</v>
      </c>
      <c r="S10" s="31">
        <v>189247.377463333</v>
      </c>
      <c r="T10" s="149" t="s">
        <v>99</v>
      </c>
      <c r="U10" s="93">
        <f>U9/R3</f>
        <v>0.0412850230696635</v>
      </c>
      <c r="W10">
        <v>206194.903803333</v>
      </c>
      <c r="X10" s="93">
        <f>W10/S3</f>
        <v>0.0373366726331914</v>
      </c>
    </row>
    <row r="11" ht="41" customHeight="1" spans="1:26">
      <c r="A11" s="6" t="s">
        <v>77</v>
      </c>
      <c r="B11" s="14"/>
      <c r="C11" s="13"/>
      <c r="D11" s="3"/>
      <c r="E11" s="3"/>
      <c r="F11" s="3"/>
      <c r="G11" s="3"/>
      <c r="H11" s="3"/>
      <c r="I11" s="19"/>
      <c r="J11" s="3"/>
      <c r="K11" s="3"/>
      <c r="L11" s="3"/>
      <c r="M11" s="3"/>
      <c r="N11" s="3"/>
      <c r="O11" s="3"/>
      <c r="P11" s="19"/>
      <c r="Q11" s="148"/>
      <c r="R11" s="143">
        <f>R10/R3</f>
        <v>0.0342679050195045</v>
      </c>
      <c r="S11" s="143">
        <f>S10/S3</f>
        <v>0.0342679050195045</v>
      </c>
      <c r="T11" s="13"/>
      <c r="W11" s="22">
        <f>4600*1.036</f>
        <v>4765.6</v>
      </c>
      <c r="X11">
        <v>22</v>
      </c>
      <c r="Y11">
        <v>26</v>
      </c>
      <c r="Z11" s="15">
        <f>(X11-Y11)/Y11</f>
        <v>-0.153846153846154</v>
      </c>
    </row>
    <row r="12" ht="28" customHeight="1" spans="17:19">
      <c r="Q12" s="1"/>
      <c r="R12" s="95">
        <f>R7+R9+R11+I6/R3</f>
        <v>0.197406560734476</v>
      </c>
      <c r="S12" s="95">
        <f>S7+S9+S11+I6/S3</f>
        <v>0.197406560734476</v>
      </c>
    </row>
    <row r="13" ht="28" customHeight="1" spans="9:19">
      <c r="I13" s="22" t="s">
        <v>51</v>
      </c>
      <c r="J13" s="22"/>
      <c r="K13" s="22"/>
      <c r="L13" s="22"/>
      <c r="M13" s="22"/>
      <c r="N13" s="22"/>
      <c r="O13" s="22"/>
      <c r="P13" t="s">
        <v>100</v>
      </c>
      <c r="Q13" s="32"/>
      <c r="R13" s="93">
        <f>R8/R3</f>
        <v>0.114</v>
      </c>
      <c r="S13" s="106"/>
    </row>
    <row r="14" spans="1:20">
      <c r="A14" t="s">
        <v>90</v>
      </c>
      <c r="B14">
        <v>440</v>
      </c>
      <c r="I14">
        <v>3700</v>
      </c>
      <c r="M14" s="23"/>
      <c r="P14">
        <v>4000</v>
      </c>
      <c r="T14">
        <v>3407</v>
      </c>
    </row>
    <row r="15" spans="1:20">
      <c r="A15" t="s">
        <v>91</v>
      </c>
      <c r="I15">
        <v>4800</v>
      </c>
      <c r="M15" s="23"/>
      <c r="P15">
        <v>4800</v>
      </c>
      <c r="Q15" s="15"/>
      <c r="T15">
        <v>4600</v>
      </c>
    </row>
    <row r="16" spans="1:20">
      <c r="A16" t="s">
        <v>92</v>
      </c>
      <c r="I16" s="15">
        <f>(I14-I15)/I15</f>
        <v>-0.229166666666667</v>
      </c>
      <c r="J16" s="15" t="e">
        <f>(J14-J15)/J14</f>
        <v>#DIV/0!</v>
      </c>
      <c r="K16" s="15"/>
      <c r="L16" s="15"/>
      <c r="M16" s="15"/>
      <c r="N16" s="15"/>
      <c r="O16" s="15"/>
      <c r="P16" s="15">
        <f>(P14-P15)/P15</f>
        <v>-0.166666666666667</v>
      </c>
      <c r="T16">
        <f>(T14-T15)/T14</f>
        <v>-0.350161432345172</v>
      </c>
    </row>
    <row r="18" spans="1:1">
      <c r="A18" t="s">
        <v>93</v>
      </c>
    </row>
    <row r="19" spans="1:10">
      <c r="A19" t="s">
        <v>94</v>
      </c>
      <c r="J19" s="135">
        <v>0.17</v>
      </c>
    </row>
    <row r="20" spans="20:20">
      <c r="T20" t="s">
        <v>95</v>
      </c>
    </row>
    <row r="22" spans="20:20">
      <c r="T22" s="95">
        <f>153/202</f>
        <v>0.757425742574257</v>
      </c>
    </row>
    <row r="44" spans="1:1">
      <c r="A44" t="s">
        <v>96</v>
      </c>
    </row>
  </sheetData>
  <mergeCells count="1">
    <mergeCell ref="A1:T1"/>
  </mergeCells>
  <pageMargins left="0.7" right="0.7" top="0.75" bottom="0.75" header="0.3" footer="0.3"/>
  <pageSetup paperSize="9" orientation="portrait" horizontalDpi="200" verticalDpi="3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7"/>
  <sheetViews>
    <sheetView zoomScale="90" zoomScaleNormal="90" workbookViewId="0">
      <selection activeCell="C10" sqref="C10"/>
    </sheetView>
  </sheetViews>
  <sheetFormatPr defaultColWidth="8.88888888888889" defaultRowHeight="14.4"/>
  <cols>
    <col min="1" max="1" width="9.77777777777778" customWidth="1"/>
    <col min="2" max="2" width="13.1111111111111" customWidth="1"/>
    <col min="3" max="3" width="17.5555555555556" customWidth="1"/>
    <col min="4" max="4" width="10.6111111111111" customWidth="1"/>
    <col min="5" max="5" width="12.8888888888889" customWidth="1"/>
    <col min="6" max="6" width="14.5555555555556" customWidth="1"/>
    <col min="7" max="7" width="10.2222222222222" customWidth="1"/>
    <col min="8" max="9" width="14" customWidth="1"/>
    <col min="10" max="11" width="14.4444444444444" customWidth="1"/>
    <col min="12" max="12" width="7.44444444444444" customWidth="1"/>
    <col min="13" max="13" width="13.4444444444444" customWidth="1"/>
    <col min="14" max="14" width="11.6666666666667" customWidth="1"/>
    <col min="16" max="16" width="12.8888888888889"/>
    <col min="17" max="17" width="14.3333333333333" customWidth="1"/>
    <col min="18" max="18" width="12.8888888888889"/>
  </cols>
  <sheetData>
    <row r="1" ht="21" customHeight="1" spans="1:18">
      <c r="A1" s="6" t="s">
        <v>43</v>
      </c>
      <c r="B1" s="6" t="s">
        <v>70</v>
      </c>
      <c r="C1" s="71" t="s">
        <v>101</v>
      </c>
      <c r="D1" s="109"/>
      <c r="E1" s="67" t="s">
        <v>102</v>
      </c>
      <c r="F1" s="68"/>
      <c r="G1" s="68"/>
      <c r="H1" s="6" t="s">
        <v>103</v>
      </c>
      <c r="I1" s="6"/>
      <c r="J1" s="67" t="s">
        <v>104</v>
      </c>
      <c r="K1" s="67" t="s">
        <v>105</v>
      </c>
      <c r="L1" s="68"/>
      <c r="M1" s="117" t="s">
        <v>106</v>
      </c>
      <c r="N1" s="117" t="s">
        <v>107</v>
      </c>
      <c r="O1" s="117" t="s">
        <v>108</v>
      </c>
      <c r="P1" s="117" t="s">
        <v>109</v>
      </c>
      <c r="Q1" s="117" t="s">
        <v>110</v>
      </c>
      <c r="R1" s="117" t="s">
        <v>111</v>
      </c>
    </row>
    <row r="2" ht="35" customHeight="1" spans="1:18">
      <c r="A2" s="6"/>
      <c r="B2" s="6"/>
      <c r="C2" s="79" t="s">
        <v>75</v>
      </c>
      <c r="D2" s="79"/>
      <c r="E2" s="82" t="s">
        <v>112</v>
      </c>
      <c r="F2" s="82" t="s">
        <v>113</v>
      </c>
      <c r="G2" s="82" t="s">
        <v>114</v>
      </c>
      <c r="H2" s="82" t="s">
        <v>115</v>
      </c>
      <c r="I2" s="82"/>
      <c r="J2" s="69"/>
      <c r="K2" s="69"/>
      <c r="L2" s="68"/>
      <c r="M2" s="117"/>
      <c r="N2" s="117"/>
      <c r="O2" s="117"/>
      <c r="P2" s="117"/>
      <c r="Q2" s="117"/>
      <c r="R2" s="117"/>
    </row>
    <row r="3" hidden="1" spans="1:18">
      <c r="A3" s="6" t="s">
        <v>45</v>
      </c>
      <c r="B3" s="110"/>
      <c r="C3" s="110"/>
      <c r="D3" s="110"/>
      <c r="E3" s="2"/>
      <c r="F3" s="2"/>
      <c r="G3" s="2"/>
      <c r="H3" s="2"/>
      <c r="I3" s="2"/>
      <c r="J3" s="13"/>
      <c r="K3" s="13"/>
      <c r="L3" s="118"/>
      <c r="M3" s="119"/>
      <c r="N3" s="119"/>
      <c r="O3" s="119"/>
      <c r="P3" s="119"/>
      <c r="Q3" s="119"/>
      <c r="R3" s="119"/>
    </row>
    <row r="4" hidden="1" spans="1:18">
      <c r="A4" s="6" t="s">
        <v>46</v>
      </c>
      <c r="B4" s="111">
        <v>767590.11</v>
      </c>
      <c r="C4" s="110">
        <f t="shared" ref="C4:C8" si="0">B4*0.3</f>
        <v>230277.033</v>
      </c>
      <c r="D4" s="110"/>
      <c r="E4" s="3"/>
      <c r="F4" s="2"/>
      <c r="G4" s="2"/>
      <c r="H4" s="2"/>
      <c r="I4" s="2"/>
      <c r="J4" s="13"/>
      <c r="K4" s="13"/>
      <c r="L4" s="118"/>
      <c r="M4" s="119"/>
      <c r="N4" s="119"/>
      <c r="O4" s="119"/>
      <c r="P4" s="119"/>
      <c r="Q4" s="119"/>
      <c r="R4" s="119"/>
    </row>
    <row r="5" hidden="1" spans="1:18">
      <c r="A5" s="6" t="s">
        <v>47</v>
      </c>
      <c r="B5" s="111">
        <v>241653.29</v>
      </c>
      <c r="C5" s="110">
        <f t="shared" si="0"/>
        <v>72495.987</v>
      </c>
      <c r="D5" s="110"/>
      <c r="E5" s="3"/>
      <c r="F5" s="2"/>
      <c r="G5" s="2"/>
      <c r="H5" s="2"/>
      <c r="I5" s="2"/>
      <c r="J5" s="13"/>
      <c r="K5" s="13"/>
      <c r="L5" s="118"/>
      <c r="M5" s="119"/>
      <c r="N5" s="119"/>
      <c r="O5" s="119"/>
      <c r="P5" s="119"/>
      <c r="Q5" s="119"/>
      <c r="R5" s="119"/>
    </row>
    <row r="6" hidden="1" spans="1:18">
      <c r="A6" s="6" t="s">
        <v>48</v>
      </c>
      <c r="B6" s="112">
        <v>498197.19</v>
      </c>
      <c r="C6" s="110">
        <f t="shared" si="0"/>
        <v>149459.157</v>
      </c>
      <c r="D6" s="110"/>
      <c r="E6" s="3"/>
      <c r="F6" s="2"/>
      <c r="G6" s="2"/>
      <c r="H6" s="2"/>
      <c r="I6" s="2"/>
      <c r="J6" s="13"/>
      <c r="K6" s="13"/>
      <c r="L6" s="118"/>
      <c r="M6" s="119"/>
      <c r="N6" s="119"/>
      <c r="O6" s="119"/>
      <c r="P6" s="119"/>
      <c r="Q6" s="119"/>
      <c r="R6" s="119"/>
    </row>
    <row r="7" hidden="1" spans="1:18">
      <c r="A7" s="6" t="s">
        <v>49</v>
      </c>
      <c r="B7" s="113">
        <v>515143.22</v>
      </c>
      <c r="C7" s="110">
        <f t="shared" si="0"/>
        <v>154542.966</v>
      </c>
      <c r="D7" s="110"/>
      <c r="E7" s="3"/>
      <c r="F7" s="2"/>
      <c r="G7" s="2"/>
      <c r="H7" s="2"/>
      <c r="I7" s="2"/>
      <c r="J7" s="13"/>
      <c r="K7" s="13"/>
      <c r="L7" s="118"/>
      <c r="M7" s="119"/>
      <c r="N7" s="119"/>
      <c r="O7" s="119"/>
      <c r="P7" s="119"/>
      <c r="Q7" s="119"/>
      <c r="R7" s="119"/>
    </row>
    <row r="8" hidden="1" spans="1:18">
      <c r="A8" s="6" t="s">
        <v>50</v>
      </c>
      <c r="B8" s="110">
        <v>500000</v>
      </c>
      <c r="C8" s="110">
        <f t="shared" si="0"/>
        <v>150000</v>
      </c>
      <c r="D8" s="110"/>
      <c r="E8" s="3"/>
      <c r="F8" s="2"/>
      <c r="G8" s="2"/>
      <c r="H8" s="2"/>
      <c r="I8" s="2"/>
      <c r="J8" s="13"/>
      <c r="K8" s="13"/>
      <c r="L8" s="118"/>
      <c r="M8" s="119"/>
      <c r="N8" s="119"/>
      <c r="O8" s="119"/>
      <c r="P8" s="119"/>
      <c r="Q8" s="119"/>
      <c r="R8" s="119"/>
    </row>
    <row r="9" ht="38" customHeight="1" spans="1:18">
      <c r="A9" s="16" t="s">
        <v>51</v>
      </c>
      <c r="B9" s="114">
        <f>SUM(B3:B8)</f>
        <v>2522583.81</v>
      </c>
      <c r="C9" s="114">
        <f>SUM(C3:C8)</f>
        <v>756775.143</v>
      </c>
      <c r="D9" s="114"/>
      <c r="E9" s="74">
        <v>1623724.8432</v>
      </c>
      <c r="F9" s="18"/>
      <c r="G9" s="19"/>
      <c r="H9" s="74">
        <f>189247.37/2</f>
        <v>94623.685</v>
      </c>
      <c r="I9" s="74"/>
      <c r="J9" s="17">
        <v>360000</v>
      </c>
      <c r="K9" s="17">
        <f>C9-F9-H9-J9</f>
        <v>302151.458</v>
      </c>
      <c r="L9" s="120"/>
      <c r="M9" s="121">
        <f>K17/5</f>
        <v>102089.374798837</v>
      </c>
      <c r="N9" s="122">
        <f>4000*1.13</f>
        <v>4520</v>
      </c>
      <c r="O9" s="122">
        <v>800000</v>
      </c>
      <c r="P9" s="122">
        <f>O9/N9</f>
        <v>176.991150442478</v>
      </c>
      <c r="Q9" s="129">
        <f>K17/5/P9</f>
        <v>576.804967613431</v>
      </c>
      <c r="R9" s="130">
        <f>Q9/N9</f>
        <v>0.127611718498547</v>
      </c>
    </row>
    <row r="10" s="65" customFormat="1" ht="38" customHeight="1" spans="1:18">
      <c r="A10" s="16" t="s">
        <v>52</v>
      </c>
      <c r="B10" s="114">
        <v>500000</v>
      </c>
      <c r="C10" s="114">
        <f t="shared" ref="C10:C15" si="1">B10*0.2</f>
        <v>100000</v>
      </c>
      <c r="D10" s="114"/>
      <c r="E10" s="19"/>
      <c r="F10" s="17"/>
      <c r="G10" s="18"/>
      <c r="H10" s="19"/>
      <c r="I10" s="19"/>
      <c r="J10" s="17"/>
      <c r="K10" s="17">
        <f t="shared" ref="K10:K16" si="2">C10-F10-H10-J10</f>
        <v>100000</v>
      </c>
      <c r="L10" s="120"/>
      <c r="M10" s="123"/>
      <c r="N10" s="124"/>
      <c r="O10" s="124"/>
      <c r="P10" s="124"/>
      <c r="Q10" s="131"/>
      <c r="R10" s="132"/>
    </row>
    <row r="11" s="65" customFormat="1" ht="38" customHeight="1" spans="1:18">
      <c r="A11" s="16" t="s">
        <v>53</v>
      </c>
      <c r="B11" s="114">
        <v>500000</v>
      </c>
      <c r="C11" s="114">
        <f t="shared" si="1"/>
        <v>100000</v>
      </c>
      <c r="D11" s="114"/>
      <c r="E11" s="19"/>
      <c r="F11" s="17"/>
      <c r="G11" s="18"/>
      <c r="H11" s="19"/>
      <c r="I11" s="19"/>
      <c r="J11" s="17"/>
      <c r="K11" s="17">
        <f t="shared" si="2"/>
        <v>100000</v>
      </c>
      <c r="L11" s="120"/>
      <c r="M11" s="123"/>
      <c r="N11" s="124"/>
      <c r="O11" s="124"/>
      <c r="P11" s="124"/>
      <c r="Q11" s="131"/>
      <c r="R11" s="132"/>
    </row>
    <row r="12" s="65" customFormat="1" ht="38" customHeight="1" spans="1:18">
      <c r="A12" s="16" t="s">
        <v>54</v>
      </c>
      <c r="B12" s="114">
        <v>500000</v>
      </c>
      <c r="C12" s="114">
        <f t="shared" si="1"/>
        <v>100000</v>
      </c>
      <c r="D12" s="114"/>
      <c r="E12" s="19"/>
      <c r="F12" s="17"/>
      <c r="G12" s="18"/>
      <c r="H12" s="19"/>
      <c r="I12" s="19"/>
      <c r="J12" s="17"/>
      <c r="K12" s="17">
        <f t="shared" si="2"/>
        <v>100000</v>
      </c>
      <c r="L12" s="120"/>
      <c r="M12" s="123"/>
      <c r="N12" s="124"/>
      <c r="O12" s="124"/>
      <c r="P12" s="124"/>
      <c r="Q12" s="131"/>
      <c r="R12" s="132"/>
    </row>
    <row r="13" s="65" customFormat="1" ht="38" customHeight="1" spans="1:18">
      <c r="A13" s="16" t="s">
        <v>55</v>
      </c>
      <c r="B13" s="114">
        <v>500000</v>
      </c>
      <c r="C13" s="114">
        <f t="shared" si="1"/>
        <v>100000</v>
      </c>
      <c r="D13" s="114"/>
      <c r="E13" s="19"/>
      <c r="F13" s="74"/>
      <c r="G13" s="18"/>
      <c r="H13" s="19"/>
      <c r="I13" s="19"/>
      <c r="J13" s="17"/>
      <c r="K13" s="17">
        <f t="shared" si="2"/>
        <v>100000</v>
      </c>
      <c r="L13" s="120"/>
      <c r="M13" s="123"/>
      <c r="N13" s="124"/>
      <c r="O13" s="124"/>
      <c r="P13" s="124"/>
      <c r="Q13" s="131"/>
      <c r="R13" s="132"/>
    </row>
    <row r="14" s="65" customFormat="1" ht="38" customHeight="1" spans="1:18">
      <c r="A14" s="16" t="s">
        <v>56</v>
      </c>
      <c r="B14" s="114">
        <v>500000</v>
      </c>
      <c r="C14" s="114">
        <f t="shared" si="1"/>
        <v>100000</v>
      </c>
      <c r="D14" s="114"/>
      <c r="E14" s="19"/>
      <c r="F14" s="17"/>
      <c r="G14" s="18"/>
      <c r="H14" s="19"/>
      <c r="I14" s="19"/>
      <c r="J14" s="17"/>
      <c r="K14" s="17">
        <f t="shared" si="2"/>
        <v>100000</v>
      </c>
      <c r="L14" s="120"/>
      <c r="M14" s="123"/>
      <c r="N14" s="124"/>
      <c r="O14" s="124"/>
      <c r="P14" s="124"/>
      <c r="Q14" s="131"/>
      <c r="R14" s="132"/>
    </row>
    <row r="15" s="65" customFormat="1" ht="38" customHeight="1" spans="1:18">
      <c r="A15" s="16" t="s">
        <v>57</v>
      </c>
      <c r="B15" s="114">
        <v>500000</v>
      </c>
      <c r="C15" s="114">
        <f t="shared" si="1"/>
        <v>100000</v>
      </c>
      <c r="D15" s="114"/>
      <c r="E15" s="19"/>
      <c r="F15" s="17"/>
      <c r="G15" s="18"/>
      <c r="H15" s="19"/>
      <c r="I15" s="19"/>
      <c r="J15" s="17"/>
      <c r="K15" s="17">
        <f t="shared" si="2"/>
        <v>100000</v>
      </c>
      <c r="L15" s="120"/>
      <c r="M15" s="123"/>
      <c r="N15" s="124"/>
      <c r="O15" s="124"/>
      <c r="P15" s="124"/>
      <c r="Q15" s="131"/>
      <c r="R15" s="132"/>
    </row>
    <row r="16" ht="38" customHeight="1" spans="1:18">
      <c r="A16" s="16" t="s">
        <v>58</v>
      </c>
      <c r="B16" s="114">
        <f>SUM(B10:B15)</f>
        <v>3000000</v>
      </c>
      <c r="C16" s="114">
        <f>SUM(C10:C15)</f>
        <v>600000</v>
      </c>
      <c r="D16" s="114"/>
      <c r="E16" s="74">
        <f>B16*(E9/B9)</f>
        <v>1931025.84353778</v>
      </c>
      <c r="F16" s="17">
        <f>E16*G16</f>
        <v>297080.899005813</v>
      </c>
      <c r="G16" s="29">
        <f>1-22/26</f>
        <v>0.153846153846154</v>
      </c>
      <c r="H16" s="74">
        <f>189247.37/2</f>
        <v>94623.685</v>
      </c>
      <c r="I16" s="74"/>
      <c r="J16" s="17"/>
      <c r="K16" s="17">
        <f t="shared" si="2"/>
        <v>208295.415994187</v>
      </c>
      <c r="L16" s="120"/>
      <c r="M16" s="123"/>
      <c r="N16" s="124"/>
      <c r="O16" s="124"/>
      <c r="P16" s="124"/>
      <c r="Q16" s="131"/>
      <c r="R16" s="132"/>
    </row>
    <row r="17" ht="38" customHeight="1" spans="1:18">
      <c r="A17" s="2" t="s">
        <v>66</v>
      </c>
      <c r="B17" s="2">
        <f>B9+B16</f>
        <v>5522583.81</v>
      </c>
      <c r="C17" s="27">
        <f>C9+C16</f>
        <v>1356775.143</v>
      </c>
      <c r="D17" s="115">
        <f>C17/B17</f>
        <v>0.245677601224127</v>
      </c>
      <c r="E17" s="2">
        <f>E9+E16</f>
        <v>3554750.68673778</v>
      </c>
      <c r="F17" s="27">
        <f>F9+F16</f>
        <v>297080.899005813</v>
      </c>
      <c r="G17" s="115">
        <f>F17/C17</f>
        <v>0.21896104195197</v>
      </c>
      <c r="H17" s="27">
        <f>H9+H16</f>
        <v>189247.37</v>
      </c>
      <c r="I17" s="115">
        <f>H17/C17</f>
        <v>0.139483223123878</v>
      </c>
      <c r="J17" s="27">
        <f>J9+J16</f>
        <v>360000</v>
      </c>
      <c r="K17" s="125">
        <f>K9+K16</f>
        <v>510446.873994187</v>
      </c>
      <c r="L17" s="126"/>
      <c r="M17" s="127"/>
      <c r="N17" s="128"/>
      <c r="O17" s="128"/>
      <c r="P17" s="128"/>
      <c r="Q17" s="133"/>
      <c r="R17" s="134"/>
    </row>
    <row r="19" spans="13:14">
      <c r="M19">
        <v>4200</v>
      </c>
      <c r="N19">
        <f>4200/1.13</f>
        <v>3716.81415929204</v>
      </c>
    </row>
    <row r="20" spans="13:14">
      <c r="M20">
        <v>4520</v>
      </c>
      <c r="N20">
        <f>M20/1.13</f>
        <v>4000</v>
      </c>
    </row>
    <row r="25" spans="5:10">
      <c r="E25" s="1" t="s">
        <v>101</v>
      </c>
      <c r="F25" s="1" t="s">
        <v>116</v>
      </c>
      <c r="G25" s="1" t="s">
        <v>117</v>
      </c>
      <c r="H25" s="1" t="s">
        <v>118</v>
      </c>
      <c r="I25" s="1"/>
      <c r="J25" s="1"/>
    </row>
    <row r="26" spans="5:10">
      <c r="E26" s="107">
        <v>0.3</v>
      </c>
      <c r="F26" s="107">
        <v>0.22</v>
      </c>
      <c r="G26" s="116">
        <v>0.1</v>
      </c>
      <c r="H26" s="107">
        <v>0.05</v>
      </c>
      <c r="I26" s="107"/>
      <c r="J26" s="95">
        <f>SUM(F26:H26)</f>
        <v>0.37</v>
      </c>
    </row>
    <row r="27" spans="7:7">
      <c r="G27" s="1">
        <v>36</v>
      </c>
    </row>
  </sheetData>
  <mergeCells count="17">
    <mergeCell ref="E1:G1"/>
    <mergeCell ref="A1:A2"/>
    <mergeCell ref="B1:B2"/>
    <mergeCell ref="J1:J2"/>
    <mergeCell ref="K1:K2"/>
    <mergeCell ref="M1:M2"/>
    <mergeCell ref="M9:M17"/>
    <mergeCell ref="N1:N2"/>
    <mergeCell ref="N9:N17"/>
    <mergeCell ref="O1:O2"/>
    <mergeCell ref="O9:O17"/>
    <mergeCell ref="P1:P2"/>
    <mergeCell ref="P9:P17"/>
    <mergeCell ref="Q1:Q2"/>
    <mergeCell ref="Q9:Q17"/>
    <mergeCell ref="R1:R2"/>
    <mergeCell ref="R9:R17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7"/>
  <sheetViews>
    <sheetView zoomScale="70" zoomScaleNormal="70" workbookViewId="0">
      <selection activeCell="R8" sqref="R8"/>
    </sheetView>
  </sheetViews>
  <sheetFormatPr defaultColWidth="9" defaultRowHeight="14.4"/>
  <cols>
    <col min="1" max="1" width="16.9814814814815" customWidth="1"/>
    <col min="2" max="2" width="28.5648148148148" customWidth="1"/>
    <col min="3" max="3" width="8.01851851851852" hidden="1" customWidth="1"/>
    <col min="4" max="8" width="14.7592592592593" hidden="1" customWidth="1"/>
    <col min="9" max="9" width="16.3518518518519" customWidth="1"/>
    <col min="10" max="15" width="12.4444444444444" hidden="1" customWidth="1"/>
    <col min="16" max="16" width="21.8981481481481" customWidth="1"/>
    <col min="17" max="17" width="21.8981481481481" style="64" customWidth="1"/>
    <col min="18" max="18" width="30.6296296296296" customWidth="1"/>
    <col min="19" max="19" width="22.7777777777778" style="1" customWidth="1"/>
    <col min="20" max="20" width="41.5277777777778" hidden="1" customWidth="1"/>
    <col min="21" max="21" width="14.2777777777778" customWidth="1"/>
    <col min="22" max="22" width="20.787037037037" style="65" customWidth="1"/>
    <col min="23" max="23" width="17.6111111111111" customWidth="1"/>
    <col min="24" max="24" width="19.3518518518519" customWidth="1"/>
    <col min="25" max="25" width="15.3888888888889" customWidth="1"/>
    <col min="26" max="26" width="14.1111111111111"/>
    <col min="27" max="27" width="19.6759259259259" customWidth="1"/>
    <col min="28" max="28" width="14.3333333333333"/>
    <col min="29" max="29" width="14.1296296296296" customWidth="1"/>
    <col min="30" max="30" width="14.75" customWidth="1"/>
    <col min="16382" max="16382" width="12.8888888888889"/>
  </cols>
  <sheetData>
    <row r="1" ht="28" customHeight="1" spans="1:18">
      <c r="A1" s="66" t="s">
        <v>119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80"/>
      <c r="R1" s="66"/>
    </row>
    <row r="2" ht="34" customHeight="1" spans="1:32">
      <c r="A2" s="6" t="s">
        <v>43</v>
      </c>
      <c r="B2" s="6" t="s">
        <v>43</v>
      </c>
      <c r="C2" s="6" t="s">
        <v>45</v>
      </c>
      <c r="D2" s="6" t="s">
        <v>46</v>
      </c>
      <c r="E2" s="6" t="s">
        <v>47</v>
      </c>
      <c r="F2" s="6" t="s">
        <v>48</v>
      </c>
      <c r="G2" s="6" t="s">
        <v>49</v>
      </c>
      <c r="H2" s="6" t="s">
        <v>50</v>
      </c>
      <c r="I2" s="16" t="s">
        <v>51</v>
      </c>
      <c r="J2" s="16" t="s">
        <v>52</v>
      </c>
      <c r="K2" s="16" t="s">
        <v>53</v>
      </c>
      <c r="L2" s="16" t="s">
        <v>54</v>
      </c>
      <c r="M2" s="16" t="s">
        <v>55</v>
      </c>
      <c r="N2" s="16" t="s">
        <v>56</v>
      </c>
      <c r="O2" s="16" t="s">
        <v>57</v>
      </c>
      <c r="P2" s="16" t="s">
        <v>58</v>
      </c>
      <c r="Q2" s="81" t="s">
        <v>59</v>
      </c>
      <c r="R2" s="82" t="s">
        <v>14</v>
      </c>
      <c r="S2" s="1" t="s">
        <v>120</v>
      </c>
      <c r="U2" s="83"/>
      <c r="V2" s="84"/>
      <c r="W2" s="85"/>
      <c r="X2" s="83"/>
      <c r="Y2" s="83"/>
      <c r="AC2" s="1" t="s">
        <v>67</v>
      </c>
      <c r="AD2" s="1" t="s">
        <v>68</v>
      </c>
      <c r="AF2" t="s">
        <v>69</v>
      </c>
    </row>
    <row r="3" s="1" customFormat="1" ht="41" customHeight="1" spans="1:35">
      <c r="A3" s="6" t="s">
        <v>101</v>
      </c>
      <c r="B3" s="7" t="s">
        <v>70</v>
      </c>
      <c r="C3" s="2"/>
      <c r="D3" s="8">
        <v>767590.11</v>
      </c>
      <c r="E3" s="8">
        <v>241653.29</v>
      </c>
      <c r="F3" s="9">
        <v>498197.19</v>
      </c>
      <c r="G3" s="10">
        <v>515143.22</v>
      </c>
      <c r="H3" s="2">
        <v>500000</v>
      </c>
      <c r="I3" s="17">
        <f>SUM(C3:H3)</f>
        <v>2522583.81</v>
      </c>
      <c r="J3" s="17">
        <v>500000</v>
      </c>
      <c r="K3" s="17">
        <v>500000</v>
      </c>
      <c r="L3" s="17">
        <v>500000</v>
      </c>
      <c r="M3" s="17">
        <v>500000</v>
      </c>
      <c r="N3" s="17">
        <v>500000</v>
      </c>
      <c r="O3" s="17">
        <v>500000</v>
      </c>
      <c r="P3" s="17">
        <f>SUM(J3:O3)</f>
        <v>3000000</v>
      </c>
      <c r="Q3" s="86">
        <f>I3+P3</f>
        <v>5522583.81</v>
      </c>
      <c r="R3" s="2"/>
      <c r="U3" s="87"/>
      <c r="V3" s="88"/>
      <c r="W3" s="89"/>
      <c r="X3" s="90"/>
      <c r="Y3" s="90"/>
      <c r="AC3">
        <v>23</v>
      </c>
      <c r="AD3">
        <v>26</v>
      </c>
      <c r="AE3" s="106">
        <f>(AC3-AD3)/AD3</f>
        <v>-0.115384615384615</v>
      </c>
      <c r="AF3" t="s">
        <v>71</v>
      </c>
      <c r="AG3" t="s">
        <v>72</v>
      </c>
      <c r="AH3" t="s">
        <v>73</v>
      </c>
      <c r="AI3" t="s">
        <v>74</v>
      </c>
    </row>
    <row r="4" s="1" customFormat="1" ht="41" customHeight="1" spans="1:35">
      <c r="A4" s="6"/>
      <c r="B4" s="7" t="s">
        <v>75</v>
      </c>
      <c r="C4" s="2"/>
      <c r="D4" s="2">
        <f>D3*0.3</f>
        <v>230277.033</v>
      </c>
      <c r="E4" s="2">
        <f>E3*0.3</f>
        <v>72495.987</v>
      </c>
      <c r="F4" s="2">
        <f>F3*0.3</f>
        <v>149459.157</v>
      </c>
      <c r="G4" s="2">
        <f>G3*0.3</f>
        <v>154542.966</v>
      </c>
      <c r="H4" s="2">
        <f>H3*0.3</f>
        <v>150000</v>
      </c>
      <c r="I4" s="18">
        <f>SUM(C4:H4)</f>
        <v>756775.143</v>
      </c>
      <c r="J4" s="17">
        <f t="shared" ref="J4:O4" si="0">J3*0.2</f>
        <v>100000</v>
      </c>
      <c r="K4" s="17">
        <f t="shared" si="0"/>
        <v>100000</v>
      </c>
      <c r="L4" s="17">
        <f t="shared" si="0"/>
        <v>100000</v>
      </c>
      <c r="M4" s="17">
        <f t="shared" si="0"/>
        <v>100000</v>
      </c>
      <c r="N4" s="17">
        <f t="shared" si="0"/>
        <v>100000</v>
      </c>
      <c r="O4" s="17">
        <f t="shared" si="0"/>
        <v>100000</v>
      </c>
      <c r="P4" s="17">
        <f>SUM(J4:O4)</f>
        <v>600000</v>
      </c>
      <c r="Q4" s="91">
        <f>I4+P4</f>
        <v>1356775.143</v>
      </c>
      <c r="R4" s="2"/>
      <c r="S4" s="1"/>
      <c r="T4" s="1"/>
      <c r="U4" s="83"/>
      <c r="V4" s="84"/>
      <c r="W4" s="85"/>
      <c r="X4" s="83"/>
      <c r="Y4" s="83"/>
      <c r="AC4">
        <v>23</v>
      </c>
      <c r="AD4">
        <v>26</v>
      </c>
      <c r="AE4" s="106">
        <f>(AC4-AD4)/AD4</f>
        <v>-0.115384615384615</v>
      </c>
      <c r="AF4" s="107">
        <v>0.0413</v>
      </c>
      <c r="AG4" s="108" t="e">
        <f>189247.377463333/#REF!</f>
        <v>#REF!</v>
      </c>
      <c r="AH4" s="107">
        <v>0.07</v>
      </c>
      <c r="AI4"/>
    </row>
    <row r="5" s="1" customFormat="1" ht="41" customHeight="1" spans="1:25">
      <c r="A5" s="6"/>
      <c r="B5" s="7" t="s">
        <v>77</v>
      </c>
      <c r="C5" s="2"/>
      <c r="D5" s="3">
        <f t="shared" ref="D5:S5" si="1">D4/D3</f>
        <v>0.3</v>
      </c>
      <c r="E5" s="3">
        <f t="shared" si="1"/>
        <v>0.3</v>
      </c>
      <c r="F5" s="3">
        <f t="shared" si="1"/>
        <v>0.3</v>
      </c>
      <c r="G5" s="3">
        <f t="shared" si="1"/>
        <v>0.3</v>
      </c>
      <c r="H5" s="3">
        <f t="shared" si="1"/>
        <v>0.3</v>
      </c>
      <c r="I5" s="19">
        <f t="shared" si="1"/>
        <v>0.3</v>
      </c>
      <c r="J5" s="19">
        <f t="shared" si="1"/>
        <v>0.2</v>
      </c>
      <c r="K5" s="19">
        <f t="shared" si="1"/>
        <v>0.2</v>
      </c>
      <c r="L5" s="19">
        <f t="shared" si="1"/>
        <v>0.2</v>
      </c>
      <c r="M5" s="19">
        <f t="shared" si="1"/>
        <v>0.2</v>
      </c>
      <c r="N5" s="19">
        <f t="shared" si="1"/>
        <v>0.2</v>
      </c>
      <c r="O5" s="19">
        <f t="shared" si="1"/>
        <v>0.2</v>
      </c>
      <c r="P5" s="19">
        <f t="shared" si="1"/>
        <v>0.2</v>
      </c>
      <c r="Q5" s="92">
        <f t="shared" si="1"/>
        <v>0.245677601224127</v>
      </c>
      <c r="R5" s="4"/>
      <c r="S5" s="93"/>
      <c r="U5" s="87"/>
      <c r="V5" s="88"/>
      <c r="W5" s="89"/>
      <c r="X5" s="90"/>
      <c r="Y5" s="90"/>
    </row>
    <row r="6" ht="41" customHeight="1" spans="1:25">
      <c r="A6" s="67" t="s">
        <v>102</v>
      </c>
      <c r="B6" s="12" t="s">
        <v>112</v>
      </c>
      <c r="C6" s="13"/>
      <c r="D6" s="3"/>
      <c r="E6" s="3"/>
      <c r="F6" s="3"/>
      <c r="G6" s="3"/>
      <c r="H6" s="3"/>
      <c r="I6" s="74">
        <v>1484189.46</v>
      </c>
      <c r="J6" s="19"/>
      <c r="K6" s="19"/>
      <c r="L6" s="19"/>
      <c r="M6" s="19"/>
      <c r="N6" s="19"/>
      <c r="O6" s="19"/>
      <c r="P6" s="74">
        <f>P3*(I6/I3)</f>
        <v>1765082.43743941</v>
      </c>
      <c r="Q6" s="86">
        <f>I6+P6</f>
        <v>3249271.89743941</v>
      </c>
      <c r="R6" s="94"/>
      <c r="S6" s="95"/>
      <c r="U6" s="90"/>
      <c r="V6" s="96"/>
      <c r="W6" s="97"/>
      <c r="X6" s="98"/>
      <c r="Y6" s="90"/>
    </row>
    <row r="7" ht="46" customHeight="1" spans="1:18">
      <c r="A7" s="68"/>
      <c r="B7" s="14" t="s">
        <v>121</v>
      </c>
      <c r="C7" s="13"/>
      <c r="D7" s="13"/>
      <c r="E7" s="13"/>
      <c r="F7" s="13"/>
      <c r="G7" s="13"/>
      <c r="H7" s="13"/>
      <c r="I7" s="19"/>
      <c r="J7" s="75"/>
      <c r="K7" s="75"/>
      <c r="L7" s="75"/>
      <c r="M7" s="75"/>
      <c r="N7" s="75"/>
      <c r="O7" s="75"/>
      <c r="P7" s="19">
        <f>1-21.5/26</f>
        <v>0.173076923076923</v>
      </c>
      <c r="Q7" s="99">
        <f>P7</f>
        <v>0.173076923076923</v>
      </c>
      <c r="R7" s="13" t="s">
        <v>122</v>
      </c>
    </row>
    <row r="8" ht="46" customHeight="1" spans="1:19">
      <c r="A8" s="68"/>
      <c r="B8" s="14" t="s">
        <v>113</v>
      </c>
      <c r="C8" s="13"/>
      <c r="D8" s="13"/>
      <c r="E8" s="13"/>
      <c r="F8" s="13"/>
      <c r="G8" s="13"/>
      <c r="H8" s="13"/>
      <c r="I8" s="75"/>
      <c r="J8" s="76"/>
      <c r="K8" s="76"/>
      <c r="L8" s="76"/>
      <c r="M8" s="77"/>
      <c r="N8" s="76"/>
      <c r="O8" s="76"/>
      <c r="P8" s="17">
        <f>P6*P7</f>
        <v>305495.037249129</v>
      </c>
      <c r="Q8" s="91">
        <f>I8+P8</f>
        <v>305495.037249129</v>
      </c>
      <c r="R8" s="13" t="s">
        <v>123</v>
      </c>
      <c r="S8" s="95">
        <f>Q8/Q4</f>
        <v>0.225162613588012</v>
      </c>
    </row>
    <row r="9" ht="46" customHeight="1" spans="1:21">
      <c r="A9" s="69"/>
      <c r="B9" s="14" t="s">
        <v>124</v>
      </c>
      <c r="C9" s="13"/>
      <c r="D9" s="13"/>
      <c r="E9" s="13"/>
      <c r="F9" s="13"/>
      <c r="G9" s="13"/>
      <c r="H9" s="13"/>
      <c r="I9" s="75">
        <f>I4-I8</f>
        <v>756775.143</v>
      </c>
      <c r="J9" s="76"/>
      <c r="K9" s="76"/>
      <c r="L9" s="76"/>
      <c r="M9" s="77"/>
      <c r="N9" s="76"/>
      <c r="O9" s="76"/>
      <c r="P9" s="18">
        <f>P4-P8</f>
        <v>294504.962750871</v>
      </c>
      <c r="Q9" s="86">
        <f>I9+P9</f>
        <v>1051280.10575087</v>
      </c>
      <c r="R9" s="13"/>
      <c r="U9" s="15">
        <f>I6/I3</f>
        <v>0.588360812479804</v>
      </c>
    </row>
    <row r="10" ht="46" customHeight="1" spans="1:19">
      <c r="A10" s="6" t="s">
        <v>103</v>
      </c>
      <c r="B10" s="14" t="s">
        <v>115</v>
      </c>
      <c r="C10" s="13"/>
      <c r="D10" s="13"/>
      <c r="E10" s="13"/>
      <c r="F10" s="13"/>
      <c r="G10" s="13"/>
      <c r="H10" s="13"/>
      <c r="I10" s="74"/>
      <c r="J10" s="78"/>
      <c r="K10" s="78"/>
      <c r="L10" s="78"/>
      <c r="M10" s="78"/>
      <c r="N10" s="78"/>
      <c r="O10" s="78"/>
      <c r="P10" s="78"/>
      <c r="Q10" s="100">
        <v>189247.377463333</v>
      </c>
      <c r="R10" s="13"/>
      <c r="S10" s="95">
        <f>Q10/Q4</f>
        <v>0.139483228624666</v>
      </c>
    </row>
    <row r="11" ht="29" customHeight="1" spans="1:19">
      <c r="A11" s="70" t="s">
        <v>104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9"/>
      <c r="Q11" s="101">
        <v>360000</v>
      </c>
      <c r="R11" s="13"/>
      <c r="S11" s="95">
        <f>Q11/Q4</f>
        <v>0.265335049700273</v>
      </c>
    </row>
    <row r="12" ht="29" customHeight="1" spans="1:19">
      <c r="A12" s="70" t="s">
        <v>125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9"/>
      <c r="Q12" s="101">
        <f>Q4-Q8-Q10-Q11</f>
        <v>502032.728287538</v>
      </c>
      <c r="R12" s="13"/>
      <c r="S12" s="95">
        <f>Q12/Q4</f>
        <v>0.370019108087049</v>
      </c>
    </row>
    <row r="13" ht="27" customHeight="1" spans="1:18">
      <c r="A13" s="70" t="s">
        <v>106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9"/>
      <c r="Q13" s="102">
        <f>Q12/5</f>
        <v>100406.545657508</v>
      </c>
      <c r="R13" s="3"/>
    </row>
    <row r="14" ht="30" customHeight="1" spans="1:18">
      <c r="A14" s="72" t="s">
        <v>126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103"/>
      <c r="R14" s="72"/>
    </row>
    <row r="15" ht="25" customHeight="1" spans="1:18">
      <c r="A15" s="6" t="s">
        <v>127</v>
      </c>
      <c r="B15" s="73" t="s">
        <v>107</v>
      </c>
      <c r="C15" s="73"/>
      <c r="D15" s="73"/>
      <c r="E15" s="73"/>
      <c r="F15" s="73"/>
      <c r="G15" s="73"/>
      <c r="H15" s="73"/>
      <c r="I15" s="73" t="s">
        <v>108</v>
      </c>
      <c r="J15" s="73"/>
      <c r="K15" s="73"/>
      <c r="L15" s="73"/>
      <c r="M15" s="73"/>
      <c r="N15" s="73"/>
      <c r="O15" s="73"/>
      <c r="P15" s="73" t="s">
        <v>128</v>
      </c>
      <c r="Q15" s="104" t="s">
        <v>129</v>
      </c>
      <c r="R15" s="105" t="s">
        <v>130</v>
      </c>
    </row>
    <row r="16" ht="25" customHeight="1" spans="1:18">
      <c r="A16" s="2">
        <v>440</v>
      </c>
      <c r="B16" s="2">
        <v>4000</v>
      </c>
      <c r="C16" s="2"/>
      <c r="D16" s="2"/>
      <c r="E16" s="2"/>
      <c r="F16" s="2"/>
      <c r="G16" s="2"/>
      <c r="H16" s="2"/>
      <c r="I16" s="2">
        <v>800000</v>
      </c>
      <c r="J16" s="2"/>
      <c r="K16" s="2"/>
      <c r="L16" s="2"/>
      <c r="M16" s="2"/>
      <c r="N16" s="2"/>
      <c r="O16" s="2"/>
      <c r="P16" s="2">
        <f>I16/B16</f>
        <v>200</v>
      </c>
      <c r="Q16" s="102">
        <f>Q13/P16</f>
        <v>502.032728287538</v>
      </c>
      <c r="R16" s="3">
        <f>Q16/B16</f>
        <v>0.125508182071885</v>
      </c>
    </row>
    <row r="18" spans="18:18">
      <c r="R18" s="1">
        <f>B16*(1+R16)</f>
        <v>4502.03272828754</v>
      </c>
    </row>
    <row r="37" spans="2:2">
      <c r="B37" t="s">
        <v>96</v>
      </c>
    </row>
  </sheetData>
  <mergeCells count="7">
    <mergeCell ref="A1:R1"/>
    <mergeCell ref="A11:P11"/>
    <mergeCell ref="A12:P12"/>
    <mergeCell ref="A13:P13"/>
    <mergeCell ref="A14:R14"/>
    <mergeCell ref="A3:A5"/>
    <mergeCell ref="A6:A9"/>
  </mergeCells>
  <pageMargins left="0.7" right="0.7" top="0.75" bottom="0.75" header="0.3" footer="0.3"/>
  <pageSetup paperSize="9" orientation="portrait" horizontalDpi="200" verticalDpi="3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workbookViewId="0">
      <selection activeCell="A8" sqref="A8"/>
    </sheetView>
  </sheetViews>
  <sheetFormatPr defaultColWidth="8.88888888888889" defaultRowHeight="14.4"/>
  <cols>
    <col min="1" max="1" width="12.8888888888889" style="39" customWidth="1"/>
    <col min="2" max="2" width="24.1111111111111" style="39" customWidth="1"/>
    <col min="3" max="3" width="10.4444444444444" style="39" customWidth="1"/>
    <col min="4" max="4" width="14.7777777777778" style="39" customWidth="1"/>
    <col min="5" max="5" width="13.2222222222222" style="39" customWidth="1"/>
    <col min="6" max="6" width="10.6666666666667" style="39" hidden="1" customWidth="1"/>
    <col min="7" max="7" width="13.5555555555556" style="39" hidden="1" customWidth="1"/>
    <col min="8" max="8" width="11.4444444444444" style="39" customWidth="1"/>
    <col min="9" max="9" width="10" style="39" customWidth="1"/>
    <col min="10" max="10" width="13.3333333333333" style="39" customWidth="1"/>
    <col min="11" max="11" width="10" style="39" customWidth="1"/>
    <col min="12" max="12" width="29.7777777777778" style="40" customWidth="1"/>
    <col min="13" max="13" width="11.7777777777778" style="39"/>
    <col min="14" max="14" width="14.1111111111111" style="39"/>
    <col min="15" max="16384" width="8.88888888888889" style="39"/>
  </cols>
  <sheetData>
    <row r="1" spans="1:12">
      <c r="A1" s="41" t="s">
        <v>131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="38" customFormat="1" ht="30" customHeight="1" spans="1:12">
      <c r="A2" s="42" t="s">
        <v>132</v>
      </c>
      <c r="B2" s="43" t="s">
        <v>133</v>
      </c>
      <c r="C2" s="43" t="s">
        <v>134</v>
      </c>
      <c r="D2" s="43" t="s">
        <v>135</v>
      </c>
      <c r="E2" s="44" t="s">
        <v>136</v>
      </c>
      <c r="F2" s="44" t="s">
        <v>137</v>
      </c>
      <c r="G2" s="43" t="s">
        <v>138</v>
      </c>
      <c r="H2" s="43" t="s">
        <v>139</v>
      </c>
      <c r="I2" s="43" t="s">
        <v>140</v>
      </c>
      <c r="J2" s="43" t="s">
        <v>141</v>
      </c>
      <c r="K2" s="43" t="s">
        <v>140</v>
      </c>
      <c r="L2" s="43" t="s">
        <v>14</v>
      </c>
    </row>
    <row r="3" spans="1:12">
      <c r="A3" s="45" t="s">
        <v>142</v>
      </c>
      <c r="B3" s="46" t="str">
        <f>VLOOKUP(A3,[1]数据!L:N,3,0)</f>
        <v>滑轨右连接板2（福田）</v>
      </c>
      <c r="C3" s="47" t="s">
        <v>143</v>
      </c>
      <c r="D3" s="46">
        <v>24500</v>
      </c>
      <c r="E3" s="48">
        <v>6.2</v>
      </c>
      <c r="F3" s="48">
        <f t="shared" ref="F3:F11" si="0">E3*1.13</f>
        <v>7.006</v>
      </c>
      <c r="G3" s="48">
        <f t="shared" ref="G3:G11" si="1">D3*F3</f>
        <v>171647</v>
      </c>
      <c r="H3" s="46">
        <f>E3*0.7</f>
        <v>4.34</v>
      </c>
      <c r="I3" s="56">
        <f>(E3-H3)/H3</f>
        <v>0.428571428571429</v>
      </c>
      <c r="J3" s="57">
        <v>6.2</v>
      </c>
      <c r="K3" s="56">
        <f>(J3-H3)/H3</f>
        <v>0.428571428571429</v>
      </c>
      <c r="L3" s="58" t="s">
        <v>144</v>
      </c>
    </row>
    <row r="4" spans="1:12">
      <c r="A4" s="49" t="s">
        <v>145</v>
      </c>
      <c r="B4" s="46" t="str">
        <f>VLOOKUP(A4,[1]数据!L:N,3,0)</f>
        <v>调角器右连接板</v>
      </c>
      <c r="C4" s="47" t="s">
        <v>143</v>
      </c>
      <c r="D4" s="46">
        <v>23188</v>
      </c>
      <c r="E4" s="48">
        <v>8.2</v>
      </c>
      <c r="F4" s="48">
        <f t="shared" si="0"/>
        <v>9.266</v>
      </c>
      <c r="G4" s="48">
        <f t="shared" si="1"/>
        <v>214860.008</v>
      </c>
      <c r="H4" s="46">
        <f t="shared" ref="H4:H11" si="2">E4*0.7</f>
        <v>5.74</v>
      </c>
      <c r="I4" s="56">
        <f t="shared" ref="I4:I11" si="3">(E4-H4)/H4</f>
        <v>0.428571428571429</v>
      </c>
      <c r="J4" s="57">
        <v>8.2</v>
      </c>
      <c r="K4" s="56">
        <f t="shared" ref="K4:K11" si="4">(J4-H4)/H4</f>
        <v>0.428571428571428</v>
      </c>
      <c r="L4" s="58" t="s">
        <v>144</v>
      </c>
    </row>
    <row r="5" spans="1:12">
      <c r="A5" s="45" t="s">
        <v>146</v>
      </c>
      <c r="B5" s="46" t="str">
        <f>VLOOKUP(A5,[1]数据!L:N,3,0)</f>
        <v>调角器左连接板</v>
      </c>
      <c r="C5" s="47" t="s">
        <v>143</v>
      </c>
      <c r="D5" s="46">
        <v>21990</v>
      </c>
      <c r="E5" s="48">
        <v>4.5</v>
      </c>
      <c r="F5" s="48">
        <f t="shared" si="0"/>
        <v>5.085</v>
      </c>
      <c r="G5" s="48">
        <f t="shared" si="1"/>
        <v>111819.15</v>
      </c>
      <c r="H5" s="46">
        <f t="shared" si="2"/>
        <v>3.15</v>
      </c>
      <c r="I5" s="56">
        <f t="shared" si="3"/>
        <v>0.428571428571429</v>
      </c>
      <c r="J5" s="57">
        <v>4.5</v>
      </c>
      <c r="K5" s="56">
        <f t="shared" si="4"/>
        <v>0.428571428571429</v>
      </c>
      <c r="L5" s="58" t="s">
        <v>144</v>
      </c>
    </row>
    <row r="6" spans="1:12">
      <c r="A6" s="49" t="s">
        <v>147</v>
      </c>
      <c r="B6" s="46" t="str">
        <f>VLOOKUP(A6,[1]数据!L:N,3,0)</f>
        <v>座垫后端固定钣金</v>
      </c>
      <c r="C6" s="47" t="s">
        <v>143</v>
      </c>
      <c r="D6" s="46">
        <v>44949</v>
      </c>
      <c r="E6" s="48">
        <v>0.6</v>
      </c>
      <c r="F6" s="48">
        <f t="shared" si="0"/>
        <v>0.678</v>
      </c>
      <c r="G6" s="48">
        <f t="shared" si="1"/>
        <v>30475.422</v>
      </c>
      <c r="H6" s="46">
        <f t="shared" si="2"/>
        <v>0.42</v>
      </c>
      <c r="I6" s="56">
        <f t="shared" si="3"/>
        <v>0.428571428571429</v>
      </c>
      <c r="J6" s="57">
        <v>0.6</v>
      </c>
      <c r="K6" s="56">
        <f t="shared" si="4"/>
        <v>0.428571428571429</v>
      </c>
      <c r="L6" s="58" t="s">
        <v>144</v>
      </c>
    </row>
    <row r="7" spans="1:12">
      <c r="A7" s="45" t="s">
        <v>148</v>
      </c>
      <c r="B7" s="46" t="str">
        <f>VLOOKUP(A7,[1]数据!L:N,3,0)</f>
        <v>左侧大护板固定钣金</v>
      </c>
      <c r="C7" s="47" t="s">
        <v>143</v>
      </c>
      <c r="D7" s="46">
        <v>23000</v>
      </c>
      <c r="E7" s="48">
        <v>1.1</v>
      </c>
      <c r="F7" s="48">
        <f t="shared" si="0"/>
        <v>1.243</v>
      </c>
      <c r="G7" s="48">
        <f t="shared" si="1"/>
        <v>28589</v>
      </c>
      <c r="H7" s="46">
        <f t="shared" si="2"/>
        <v>0.77</v>
      </c>
      <c r="I7" s="56">
        <f t="shared" si="3"/>
        <v>0.428571428571429</v>
      </c>
      <c r="J7" s="57">
        <v>1.1</v>
      </c>
      <c r="K7" s="56">
        <f t="shared" si="4"/>
        <v>0.428571428571429</v>
      </c>
      <c r="L7" s="58" t="s">
        <v>144</v>
      </c>
    </row>
    <row r="8" spans="1:15">
      <c r="A8" s="50" t="s">
        <v>28</v>
      </c>
      <c r="B8" s="51" t="str">
        <f>VLOOKUP(A8,[1]数据!L:N,3,0)</f>
        <v>减震器下底板</v>
      </c>
      <c r="C8" s="52" t="s">
        <v>143</v>
      </c>
      <c r="D8" s="51">
        <v>24522</v>
      </c>
      <c r="E8" s="53">
        <v>26</v>
      </c>
      <c r="F8" s="53">
        <f t="shared" si="0"/>
        <v>29.38</v>
      </c>
      <c r="G8" s="53">
        <f t="shared" si="1"/>
        <v>720456.36</v>
      </c>
      <c r="H8" s="54">
        <v>20</v>
      </c>
      <c r="I8" s="59">
        <f t="shared" si="3"/>
        <v>0.3</v>
      </c>
      <c r="J8" s="60">
        <v>21.5</v>
      </c>
      <c r="K8" s="59">
        <f t="shared" si="4"/>
        <v>0.075</v>
      </c>
      <c r="L8" s="61" t="s">
        <v>149</v>
      </c>
      <c r="M8" s="39">
        <f>G8+G9</f>
        <v>1484189.46</v>
      </c>
      <c r="N8" s="62">
        <f>(J8-E8)/E8</f>
        <v>-0.173076923076923</v>
      </c>
      <c r="O8" s="39">
        <f>J8-H8</f>
        <v>1.5</v>
      </c>
    </row>
    <row r="9" spans="1:15">
      <c r="A9" s="50" t="s">
        <v>20</v>
      </c>
      <c r="B9" s="51" t="str">
        <f>VLOOKUP(A9,[1]数据!L:N,3,0)</f>
        <v>减震器上盖板</v>
      </c>
      <c r="C9" s="52" t="s">
        <v>150</v>
      </c>
      <c r="D9" s="51">
        <v>25995</v>
      </c>
      <c r="E9" s="53">
        <v>26</v>
      </c>
      <c r="F9" s="53">
        <f t="shared" si="0"/>
        <v>29.38</v>
      </c>
      <c r="G9" s="53">
        <f t="shared" si="1"/>
        <v>763733.1</v>
      </c>
      <c r="H9" s="51">
        <v>20.94</v>
      </c>
      <c r="I9" s="59">
        <f t="shared" si="3"/>
        <v>0.241642788920726</v>
      </c>
      <c r="J9" s="60">
        <v>21.5</v>
      </c>
      <c r="K9" s="59">
        <f t="shared" si="4"/>
        <v>0.0267430754536771</v>
      </c>
      <c r="L9" s="61" t="s">
        <v>149</v>
      </c>
      <c r="N9" s="62">
        <f>(J9-E9)/E9</f>
        <v>-0.173076923076923</v>
      </c>
      <c r="O9" s="39">
        <f>J9-H9</f>
        <v>0.559999999999999</v>
      </c>
    </row>
    <row r="10" spans="1:12">
      <c r="A10" s="49" t="s">
        <v>151</v>
      </c>
      <c r="B10" s="46" t="s">
        <v>152</v>
      </c>
      <c r="C10" s="47" t="s">
        <v>153</v>
      </c>
      <c r="D10" s="46">
        <v>230</v>
      </c>
      <c r="E10" s="48">
        <v>80.87</v>
      </c>
      <c r="F10" s="48">
        <f t="shared" si="0"/>
        <v>91.3831</v>
      </c>
      <c r="G10" s="48">
        <f t="shared" si="1"/>
        <v>21018.113</v>
      </c>
      <c r="H10" s="48">
        <v>27.895192284736</v>
      </c>
      <c r="I10" s="56">
        <f t="shared" si="3"/>
        <v>1.89906587395174</v>
      </c>
      <c r="J10" s="57">
        <v>80.87</v>
      </c>
      <c r="K10" s="56">
        <f t="shared" si="4"/>
        <v>1.89906587395174</v>
      </c>
      <c r="L10" s="58" t="s">
        <v>144</v>
      </c>
    </row>
    <row r="11" spans="1:12">
      <c r="A11" s="49" t="s">
        <v>154</v>
      </c>
      <c r="B11" s="46" t="str">
        <f>VLOOKUP(A11,[1]数据!L:N,3,0)</f>
        <v>副司机座椅底支架上板</v>
      </c>
      <c r="C11" s="47" t="s">
        <v>155</v>
      </c>
      <c r="D11" s="46">
        <v>400</v>
      </c>
      <c r="E11" s="48">
        <v>52.2</v>
      </c>
      <c r="F11" s="48">
        <f t="shared" si="0"/>
        <v>58.986</v>
      </c>
      <c r="G11" s="48">
        <f t="shared" si="1"/>
        <v>23594.4</v>
      </c>
      <c r="H11" s="46">
        <f t="shared" si="2"/>
        <v>36.54</v>
      </c>
      <c r="I11" s="56">
        <f t="shared" si="3"/>
        <v>0.428571428571429</v>
      </c>
      <c r="J11" s="57">
        <v>52.2</v>
      </c>
      <c r="K11" s="56">
        <f t="shared" si="4"/>
        <v>0.428571428571429</v>
      </c>
      <c r="L11" s="58" t="s">
        <v>144</v>
      </c>
    </row>
    <row r="12" spans="1:12">
      <c r="A12" s="46" t="s">
        <v>156</v>
      </c>
      <c r="B12" s="46" t="s">
        <v>157</v>
      </c>
      <c r="C12" s="47" t="s">
        <v>153</v>
      </c>
      <c r="D12" s="46"/>
      <c r="E12" s="46"/>
      <c r="F12" s="46"/>
      <c r="G12" s="46"/>
      <c r="H12" s="46"/>
      <c r="I12" s="46"/>
      <c r="J12" s="46"/>
      <c r="K12" s="46"/>
      <c r="L12" s="63" t="s">
        <v>27</v>
      </c>
    </row>
    <row r="13" spans="1:12">
      <c r="A13" s="46" t="s">
        <v>158</v>
      </c>
      <c r="B13" s="46" t="s">
        <v>159</v>
      </c>
      <c r="C13" s="47" t="s">
        <v>153</v>
      </c>
      <c r="D13" s="46"/>
      <c r="E13" s="46"/>
      <c r="F13" s="46"/>
      <c r="G13" s="46"/>
      <c r="H13" s="46"/>
      <c r="I13" s="46"/>
      <c r="J13" s="46"/>
      <c r="K13" s="46"/>
      <c r="L13" s="63" t="s">
        <v>27</v>
      </c>
    </row>
    <row r="14" spans="7:7">
      <c r="G14" s="39">
        <f>SUM(G3:G11)</f>
        <v>2086192.553</v>
      </c>
    </row>
    <row r="15" spans="6:7">
      <c r="F15" s="39" t="s">
        <v>160</v>
      </c>
      <c r="G15" s="55">
        <f>(G8+G9)/G14</f>
        <v>0.711434549924788</v>
      </c>
    </row>
  </sheetData>
  <mergeCells count="1">
    <mergeCell ref="A1:L1"/>
  </mergeCells>
  <conditionalFormatting sqref="A2:A14 F15 A16:A1048576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S11" sqref="S11"/>
    </sheetView>
  </sheetViews>
  <sheetFormatPr defaultColWidth="9" defaultRowHeight="14.4" outlineLevelRow="4" outlineLevelCol="6"/>
  <cols>
    <col min="2" max="2" width="19.6666666666667" customWidth="1"/>
    <col min="5" max="5" width="12.4444444444444" customWidth="1"/>
    <col min="6" max="6" width="10.6666666666667" customWidth="1"/>
    <col min="7" max="7" width="12.7777777777778" customWidth="1"/>
  </cols>
  <sheetData>
    <row r="1" spans="1:7">
      <c r="A1" s="2" t="s">
        <v>6</v>
      </c>
      <c r="B1" s="2" t="s">
        <v>133</v>
      </c>
      <c r="C1" s="2" t="s">
        <v>161</v>
      </c>
      <c r="D1" s="2" t="s">
        <v>162</v>
      </c>
      <c r="E1" s="2" t="s">
        <v>163</v>
      </c>
      <c r="F1" s="2" t="s">
        <v>164</v>
      </c>
      <c r="G1" s="2" t="s">
        <v>138</v>
      </c>
    </row>
    <row r="2" spans="1:7">
      <c r="A2" s="2">
        <v>1</v>
      </c>
      <c r="B2" s="2" t="s">
        <v>165</v>
      </c>
      <c r="C2" s="2" t="s">
        <v>166</v>
      </c>
      <c r="D2" s="2">
        <v>1</v>
      </c>
      <c r="E2" s="36">
        <v>5000</v>
      </c>
      <c r="F2" s="2">
        <f>E2*0.13</f>
        <v>650</v>
      </c>
      <c r="G2" s="25">
        <f>E2+F2</f>
        <v>5650</v>
      </c>
    </row>
    <row r="3" spans="1:7">
      <c r="A3" s="2">
        <v>2</v>
      </c>
      <c r="B3" s="2" t="s">
        <v>167</v>
      </c>
      <c r="C3" s="2" t="s">
        <v>166</v>
      </c>
      <c r="D3" s="2">
        <v>1</v>
      </c>
      <c r="E3" s="36">
        <v>5000</v>
      </c>
      <c r="F3" s="2">
        <f>E3*0.13</f>
        <v>650</v>
      </c>
      <c r="G3" s="25">
        <f>E3+F3</f>
        <v>5650</v>
      </c>
    </row>
    <row r="4" spans="1:7">
      <c r="A4" s="2" t="s">
        <v>168</v>
      </c>
      <c r="B4" s="2"/>
      <c r="C4" s="2"/>
      <c r="D4" s="2"/>
      <c r="E4" s="2"/>
      <c r="F4" s="2"/>
      <c r="G4" s="37">
        <f>SUM(G2:G3)</f>
        <v>11300</v>
      </c>
    </row>
    <row r="5" spans="1:7">
      <c r="A5" s="2" t="s">
        <v>169</v>
      </c>
      <c r="B5" s="2"/>
      <c r="C5" s="2"/>
      <c r="D5" s="2"/>
      <c r="E5" s="2"/>
      <c r="F5" s="2"/>
      <c r="G5" s="2"/>
    </row>
  </sheetData>
  <mergeCells count="2">
    <mergeCell ref="A4:F4"/>
    <mergeCell ref="A5:G5"/>
  </mergeCells>
  <pageMargins left="0.7" right="0.7" top="0.75" bottom="0.75" header="0.3" footer="0.3"/>
  <pageSetup paperSize="9" orientation="portrait" horizontalDpi="2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workbookViewId="0">
      <selection activeCell="S11" sqref="S11"/>
    </sheetView>
  </sheetViews>
  <sheetFormatPr defaultColWidth="9" defaultRowHeight="14.4" outlineLevelRow="4"/>
  <cols>
    <col min="2" max="2" width="7.11111111111111" customWidth="1"/>
    <col min="3" max="6" width="12.4444444444444" customWidth="1"/>
    <col min="7" max="7" width="9.77777777777778" customWidth="1"/>
    <col min="8" max="8" width="11.6666666666667" customWidth="1"/>
    <col min="16" max="16" width="11.7777777777778"/>
  </cols>
  <sheetData>
    <row r="1" spans="2:14">
      <c r="B1" t="s">
        <v>45</v>
      </c>
      <c r="C1" t="s">
        <v>46</v>
      </c>
      <c r="D1" t="s">
        <v>47</v>
      </c>
      <c r="E1" t="s">
        <v>48</v>
      </c>
      <c r="F1" t="s">
        <v>49</v>
      </c>
      <c r="G1" t="s">
        <v>50</v>
      </c>
      <c r="H1" t="s">
        <v>51</v>
      </c>
      <c r="I1" t="s">
        <v>52</v>
      </c>
      <c r="J1" t="s">
        <v>53</v>
      </c>
      <c r="K1" t="s">
        <v>54</v>
      </c>
      <c r="L1" t="s">
        <v>55</v>
      </c>
      <c r="M1" t="s">
        <v>56</v>
      </c>
      <c r="N1" t="s">
        <v>57</v>
      </c>
    </row>
    <row r="2" spans="1:16">
      <c r="A2" t="s">
        <v>170</v>
      </c>
      <c r="C2" s="33">
        <v>767590.11</v>
      </c>
      <c r="D2" s="34">
        <v>241653.29</v>
      </c>
      <c r="E2" s="35">
        <v>498197.19</v>
      </c>
      <c r="F2" s="34">
        <v>515143.22</v>
      </c>
      <c r="G2">
        <v>500000</v>
      </c>
      <c r="H2" t="e">
        <f>#REF!*0.23</f>
        <v>#REF!</v>
      </c>
      <c r="I2">
        <f t="shared" ref="I2:N2" si="0">800000*0.1</f>
        <v>80000</v>
      </c>
      <c r="J2">
        <f t="shared" si="0"/>
        <v>80000</v>
      </c>
      <c r="K2">
        <f t="shared" si="0"/>
        <v>80000</v>
      </c>
      <c r="L2">
        <f t="shared" si="0"/>
        <v>80000</v>
      </c>
      <c r="M2">
        <f t="shared" si="0"/>
        <v>80000</v>
      </c>
      <c r="N2">
        <f t="shared" si="0"/>
        <v>80000</v>
      </c>
      <c r="O2">
        <f>SUM(I2:N2)</f>
        <v>480000</v>
      </c>
      <c r="P2" t="e">
        <f>H2+O2</f>
        <v>#REF!</v>
      </c>
    </row>
    <row r="3" spans="16:16">
      <c r="P3">
        <v>3000000</v>
      </c>
    </row>
    <row r="4" spans="16:16">
      <c r="P4" s="15" t="e">
        <f>P2/O5</f>
        <v>#REF!</v>
      </c>
    </row>
    <row r="5" spans="1:15">
      <c r="A5" t="s">
        <v>70</v>
      </c>
      <c r="H5">
        <f>400000*6</f>
        <v>2400000</v>
      </c>
      <c r="I5">
        <v>400000</v>
      </c>
      <c r="J5">
        <v>400000</v>
      </c>
      <c r="K5">
        <v>400000</v>
      </c>
      <c r="L5">
        <v>400000</v>
      </c>
      <c r="M5">
        <v>400000</v>
      </c>
      <c r="N5">
        <v>400000</v>
      </c>
      <c r="O5">
        <f>SUM(H5:N5)</f>
        <v>4800000</v>
      </c>
    </row>
  </sheetData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河北利达</vt:lpstr>
      <vt:lpstr>河北利达 (2)</vt:lpstr>
      <vt:lpstr>利达降本目标-第一版</vt:lpstr>
      <vt:lpstr>利达降本目标-第二版 (2)</vt:lpstr>
      <vt:lpstr>利达降本目标-第三版汇总</vt:lpstr>
      <vt:lpstr>利达降本目标-第三版 (3)</vt:lpstr>
      <vt:lpstr>上下盖板供货额</vt:lpstr>
      <vt:lpstr>Sheet1</vt:lpstr>
      <vt:lpstr>Sheet2</vt:lpstr>
      <vt:lpstr>Sheet2 (3)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吴英格</cp:lastModifiedBy>
  <dcterms:created xsi:type="dcterms:W3CDTF">2006-09-13T11:21:00Z</dcterms:created>
  <dcterms:modified xsi:type="dcterms:W3CDTF">2025-08-17T01:12:36Z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ED66507250964C48B4E652DE96C01166_13</vt:lpwstr>
  </property>
  <property fmtid="{D5CDD505-2E9C-101B-9397-08002B2CF9AE}" pid="3" name="KSOProductBuildVer">
    <vt:lpwstr>2052-12.1.0.21915</vt:lpwstr>
  </property>
</Properties>
</file>