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hrc\Desktop\J6G新能源管梁副驾项目\"/>
    </mc:Choice>
  </mc:AlternateContent>
  <bookViews>
    <workbookView xWindow="0" yWindow="0" windowWidth="20745" windowHeight="10200" tabRatio="862" activeTab="2"/>
  </bookViews>
  <sheets>
    <sheet name="假设条件" sheetId="34" r:id="rId1"/>
    <sheet name="现金" sheetId="36" state="hidden" r:id="rId2"/>
    <sheet name="损益表" sheetId="56" r:id="rId3"/>
    <sheet name="2025年" sheetId="61" r:id="rId4"/>
    <sheet name="2026年" sheetId="43" r:id="rId5"/>
    <sheet name="2027年" sheetId="57" r:id="rId6"/>
    <sheet name="2028年" sheetId="58" r:id="rId7"/>
    <sheet name="2029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  <externalReference r:id="rId15"/>
  </externalReferences>
  <definedNames>
    <definedName name="_xlnm.Print_Area" localSheetId="4">'2026年'!$A$1:$H$48</definedName>
    <definedName name="_xlnm.Print_Area" localSheetId="5">'2027年'!$A$1:$H$48</definedName>
    <definedName name="_xlnm.Print_Area" localSheetId="6">'2028年'!$A$1:$H$48</definedName>
    <definedName name="_xlnm.Print_Area" localSheetId="8">项目投资!$A$1:$C$35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56" l="1"/>
  <c r="H25" i="59"/>
  <c r="G25" i="59"/>
  <c r="F25" i="59"/>
  <c r="E25" i="59"/>
  <c r="D25" i="59"/>
  <c r="C25" i="59"/>
  <c r="H25" i="58"/>
  <c r="G25" i="58"/>
  <c r="F25" i="58"/>
  <c r="E25" i="58"/>
  <c r="D25" i="58"/>
  <c r="C25" i="58"/>
  <c r="H25" i="57"/>
  <c r="G25" i="57"/>
  <c r="F25" i="57"/>
  <c r="E25" i="57"/>
  <c r="D25" i="57"/>
  <c r="C25" i="57"/>
  <c r="H25" i="43"/>
  <c r="G25" i="43"/>
  <c r="F25" i="43"/>
  <c r="E25" i="43"/>
  <c r="D25" i="43"/>
  <c r="C25" i="43"/>
  <c r="D25" i="61"/>
  <c r="E25" i="61"/>
  <c r="F25" i="61"/>
  <c r="G25" i="61"/>
  <c r="H25" i="61"/>
  <c r="C25" i="61"/>
  <c r="C18" i="55" l="1"/>
  <c r="C19" i="55" s="1"/>
  <c r="C20" i="55" s="1"/>
  <c r="D18" i="55"/>
  <c r="E18" i="55"/>
  <c r="F18" i="55"/>
  <c r="G18" i="55"/>
  <c r="E31" i="59" l="1"/>
  <c r="F31" i="59"/>
  <c r="G31" i="59"/>
  <c r="E31" i="58"/>
  <c r="F31" i="58"/>
  <c r="G31" i="58"/>
  <c r="E31" i="57"/>
  <c r="F31" i="57"/>
  <c r="G31" i="57"/>
  <c r="E7" i="43"/>
  <c r="E8" i="43"/>
  <c r="E9" i="43"/>
  <c r="E32" i="43" s="1"/>
  <c r="D31" i="43"/>
  <c r="E31" i="43"/>
  <c r="F31" i="43"/>
  <c r="G31" i="43"/>
  <c r="H8" i="61"/>
  <c r="I52" i="50"/>
  <c r="I39" i="50"/>
  <c r="I26" i="50"/>
  <c r="E31" i="61"/>
  <c r="F31" i="61"/>
  <c r="G31" i="61"/>
  <c r="F3" i="59"/>
  <c r="G3" i="59"/>
  <c r="G5" i="59"/>
  <c r="E6" i="59"/>
  <c r="E7" i="59" s="1"/>
  <c r="F6" i="59"/>
  <c r="F7" i="59" s="1"/>
  <c r="G6" i="59"/>
  <c r="G7" i="59" s="1"/>
  <c r="F3" i="58"/>
  <c r="G3" i="58"/>
  <c r="G5" i="58"/>
  <c r="E6" i="58"/>
  <c r="E7" i="58" s="1"/>
  <c r="F6" i="58"/>
  <c r="F7" i="58" s="1"/>
  <c r="G6" i="58"/>
  <c r="G7" i="58" s="1"/>
  <c r="F3" i="57"/>
  <c r="G3" i="57"/>
  <c r="G5" i="57"/>
  <c r="E6" i="57"/>
  <c r="E7" i="57" s="1"/>
  <c r="F6" i="57"/>
  <c r="F7" i="57" s="1"/>
  <c r="G6" i="57"/>
  <c r="G7" i="57" s="1"/>
  <c r="F3" i="43"/>
  <c r="G3" i="43"/>
  <c r="G5" i="43"/>
  <c r="E6" i="43"/>
  <c r="F6" i="43"/>
  <c r="F7" i="43" s="1"/>
  <c r="G6" i="43"/>
  <c r="G7" i="43" s="1"/>
  <c r="G8" i="43" s="1"/>
  <c r="G9" i="43" s="1"/>
  <c r="G32" i="43" s="1"/>
  <c r="F4" i="53"/>
  <c r="G4" i="53"/>
  <c r="H4" i="53"/>
  <c r="F5" i="53"/>
  <c r="G5" i="53"/>
  <c r="H5" i="53"/>
  <c r="F9" i="61"/>
  <c r="F32" i="61" s="1"/>
  <c r="D3" i="61"/>
  <c r="E3" i="61"/>
  <c r="E3" i="59" s="1"/>
  <c r="F3" i="61"/>
  <c r="G3" i="61"/>
  <c r="D4" i="61"/>
  <c r="E4" i="61"/>
  <c r="E4" i="59" s="1"/>
  <c r="F4" i="61"/>
  <c r="F4" i="59" s="1"/>
  <c r="G4" i="61"/>
  <c r="G4" i="59" s="1"/>
  <c r="D5" i="61"/>
  <c r="E5" i="61"/>
  <c r="E5" i="59" s="1"/>
  <c r="F5" i="61"/>
  <c r="F5" i="59" s="1"/>
  <c r="G5" i="61"/>
  <c r="D6" i="61"/>
  <c r="E6" i="61"/>
  <c r="E7" i="61" s="1"/>
  <c r="E9" i="61" s="1"/>
  <c r="E32" i="61" s="1"/>
  <c r="F6" i="61"/>
  <c r="F7" i="61" s="1"/>
  <c r="G6" i="61"/>
  <c r="G7" i="61" s="1"/>
  <c r="G9" i="61" s="1"/>
  <c r="G32" i="61" s="1"/>
  <c r="E8" i="57" l="1"/>
  <c r="E9" i="57"/>
  <c r="E32" i="57" s="1"/>
  <c r="E8" i="58"/>
  <c r="E9" i="58" s="1"/>
  <c r="E32" i="58" s="1"/>
  <c r="E8" i="59"/>
  <c r="E9" i="59"/>
  <c r="E32" i="59" s="1"/>
  <c r="G8" i="57"/>
  <c r="G9" i="57"/>
  <c r="G32" i="57" s="1"/>
  <c r="G8" i="58"/>
  <c r="G9" i="58" s="1"/>
  <c r="G32" i="58" s="1"/>
  <c r="G8" i="59"/>
  <c r="G9" i="59"/>
  <c r="G32" i="59" s="1"/>
  <c r="F8" i="43"/>
  <c r="F9" i="43"/>
  <c r="F32" i="43" s="1"/>
  <c r="F8" i="57"/>
  <c r="F9" i="57" s="1"/>
  <c r="F32" i="57" s="1"/>
  <c r="F8" i="58"/>
  <c r="F9" i="58"/>
  <c r="F32" i="58" s="1"/>
  <c r="F8" i="59"/>
  <c r="F9" i="59"/>
  <c r="F32" i="59" s="1"/>
  <c r="G4" i="43"/>
  <c r="G4" i="57"/>
  <c r="G4" i="58"/>
  <c r="F5" i="43"/>
  <c r="F4" i="43"/>
  <c r="F5" i="57"/>
  <c r="F4" i="57"/>
  <c r="F5" i="58"/>
  <c r="F4" i="58"/>
  <c r="E5" i="43"/>
  <c r="E4" i="43"/>
  <c r="E3" i="43"/>
  <c r="E5" i="57"/>
  <c r="E4" i="57"/>
  <c r="E3" i="57"/>
  <c r="E5" i="58"/>
  <c r="E4" i="58"/>
  <c r="E3" i="58"/>
  <c r="D28" i="56"/>
  <c r="E28" i="56"/>
  <c r="F28" i="56"/>
  <c r="G28" i="56"/>
  <c r="C28" i="56"/>
  <c r="D4" i="53"/>
  <c r="E4" i="53"/>
  <c r="D5" i="53"/>
  <c r="E5" i="53"/>
  <c r="C2" i="59"/>
  <c r="C2" i="58"/>
  <c r="C2" i="57"/>
  <c r="C2" i="43"/>
  <c r="C3" i="61"/>
  <c r="D3" i="59"/>
  <c r="C4" i="61"/>
  <c r="C5" i="61"/>
  <c r="D5" i="59"/>
  <c r="C3" i="57" l="1"/>
  <c r="C3" i="59"/>
  <c r="C3" i="43"/>
  <c r="C3" i="58"/>
  <c r="D3" i="58"/>
  <c r="D3" i="57"/>
  <c r="D3" i="43"/>
  <c r="D4" i="43"/>
  <c r="D4" i="57"/>
  <c r="D4" i="58"/>
  <c r="D4" i="59"/>
  <c r="D5" i="57"/>
  <c r="D5" i="58"/>
  <c r="D5" i="43"/>
  <c r="C5" i="43"/>
  <c r="C5" i="59"/>
  <c r="C5" i="58"/>
  <c r="C5" i="57"/>
  <c r="C4" i="43"/>
  <c r="C4" i="57"/>
  <c r="C4" i="58"/>
  <c r="C4" i="59"/>
  <c r="C53" i="50"/>
  <c r="C40" i="50"/>
  <c r="C27" i="50"/>
  <c r="C14" i="50"/>
  <c r="H55" i="50"/>
  <c r="H56" i="50"/>
  <c r="H57" i="50"/>
  <c r="H59" i="50"/>
  <c r="H60" i="50"/>
  <c r="H61" i="50"/>
  <c r="H62" i="50"/>
  <c r="H42" i="50"/>
  <c r="H43" i="50"/>
  <c r="H44" i="50"/>
  <c r="H46" i="50"/>
  <c r="H47" i="50"/>
  <c r="H48" i="50"/>
  <c r="H49" i="50"/>
  <c r="H29" i="50"/>
  <c r="H30" i="50"/>
  <c r="H31" i="50"/>
  <c r="H33" i="50"/>
  <c r="H34" i="50"/>
  <c r="H35" i="50"/>
  <c r="H36" i="50"/>
  <c r="H16" i="50"/>
  <c r="H17" i="50"/>
  <c r="H18" i="50"/>
  <c r="H20" i="50"/>
  <c r="H21" i="50"/>
  <c r="H22" i="50"/>
  <c r="H23" i="50"/>
  <c r="I54" i="50"/>
  <c r="I41" i="50"/>
  <c r="I28" i="50"/>
  <c r="I15" i="50"/>
  <c r="I13" i="50"/>
  <c r="H7" i="50"/>
  <c r="H58" i="50" s="1"/>
  <c r="I3" i="50"/>
  <c r="E4" i="50" s="1"/>
  <c r="I1" i="50"/>
  <c r="H24" i="53"/>
  <c r="G24" i="53"/>
  <c r="F19" i="55" s="1"/>
  <c r="F20" i="55" s="1"/>
  <c r="F24" i="53"/>
  <c r="E24" i="53"/>
  <c r="E25" i="53" s="1"/>
  <c r="D33" i="43" s="1"/>
  <c r="D24" i="53"/>
  <c r="D25" i="53" s="1"/>
  <c r="G16" i="55"/>
  <c r="F16" i="55"/>
  <c r="E16" i="55"/>
  <c r="D16" i="55"/>
  <c r="C16" i="55"/>
  <c r="H15" i="55"/>
  <c r="H14" i="55"/>
  <c r="H13" i="55"/>
  <c r="H12" i="55"/>
  <c r="H11" i="55"/>
  <c r="H10" i="55"/>
  <c r="H9" i="55"/>
  <c r="H8" i="55"/>
  <c r="K7" i="55"/>
  <c r="J7" i="55"/>
  <c r="J8" i="55" s="1"/>
  <c r="G22" i="51"/>
  <c r="J22" i="51" s="1"/>
  <c r="B9" i="51"/>
  <c r="B27" i="51" s="1"/>
  <c r="D27" i="51" s="1"/>
  <c r="H21" i="61" s="1"/>
  <c r="B8" i="51"/>
  <c r="B26" i="51" s="1"/>
  <c r="D26" i="51" s="1"/>
  <c r="H18" i="61" s="1"/>
  <c r="B7" i="51"/>
  <c r="B5" i="51"/>
  <c r="D31" i="59"/>
  <c r="C31" i="59"/>
  <c r="D6" i="59"/>
  <c r="C6" i="59"/>
  <c r="D31" i="58"/>
  <c r="C31" i="58"/>
  <c r="D6" i="58"/>
  <c r="C6" i="58"/>
  <c r="H6" i="58" s="1"/>
  <c r="D31" i="57"/>
  <c r="C31" i="57"/>
  <c r="D6" i="57"/>
  <c r="C6" i="57"/>
  <c r="H6" i="57" s="1"/>
  <c r="C31" i="43"/>
  <c r="D6" i="43"/>
  <c r="C6" i="43"/>
  <c r="H6" i="43" s="1"/>
  <c r="D31" i="61"/>
  <c r="C31" i="61"/>
  <c r="C6" i="61"/>
  <c r="H61" i="56"/>
  <c r="D61" i="56"/>
  <c r="H16" i="56"/>
  <c r="C6" i="56"/>
  <c r="R23" i="36"/>
  <c r="M16" i="36"/>
  <c r="L15" i="36"/>
  <c r="K15" i="36"/>
  <c r="J15" i="36"/>
  <c r="I15" i="36"/>
  <c r="H15" i="36"/>
  <c r="G15" i="36"/>
  <c r="F15" i="36"/>
  <c r="E15" i="36"/>
  <c r="D15" i="36"/>
  <c r="C15" i="36"/>
  <c r="M15" i="36" s="1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M12" i="36" s="1"/>
  <c r="L11" i="36"/>
  <c r="K11" i="36"/>
  <c r="J11" i="36"/>
  <c r="J10" i="36" s="1"/>
  <c r="I11" i="36"/>
  <c r="H11" i="36"/>
  <c r="G11" i="36"/>
  <c r="G10" i="36" s="1"/>
  <c r="F11" i="36"/>
  <c r="E11" i="36"/>
  <c r="D11" i="36"/>
  <c r="D10" i="36" s="1"/>
  <c r="D17" i="36" s="1"/>
  <c r="D19" i="36" s="1"/>
  <c r="C11" i="36"/>
  <c r="M9" i="36"/>
  <c r="M8" i="36"/>
  <c r="L7" i="36"/>
  <c r="K7" i="36"/>
  <c r="J7" i="36"/>
  <c r="I7" i="36"/>
  <c r="H7" i="36"/>
  <c r="G7" i="36"/>
  <c r="F7" i="36"/>
  <c r="E7" i="36"/>
  <c r="M6" i="36"/>
  <c r="L6" i="36"/>
  <c r="K6" i="36"/>
  <c r="J6" i="36"/>
  <c r="I6" i="36"/>
  <c r="H6" i="36"/>
  <c r="G6" i="36"/>
  <c r="F6" i="36"/>
  <c r="E6" i="36"/>
  <c r="L5" i="36"/>
  <c r="K5" i="36"/>
  <c r="J5" i="36"/>
  <c r="I5" i="36"/>
  <c r="H5" i="36"/>
  <c r="G5" i="36"/>
  <c r="F5" i="36"/>
  <c r="E5" i="36"/>
  <c r="D5" i="36"/>
  <c r="C5" i="36"/>
  <c r="L4" i="36"/>
  <c r="K4" i="36"/>
  <c r="J4" i="36"/>
  <c r="I4" i="36"/>
  <c r="H4" i="36"/>
  <c r="G4" i="36"/>
  <c r="F4" i="36"/>
  <c r="E4" i="36"/>
  <c r="D4" i="36"/>
  <c r="H6" i="59" l="1"/>
  <c r="H6" i="61"/>
  <c r="C4" i="56" s="1"/>
  <c r="E26" i="53"/>
  <c r="G19" i="55"/>
  <c r="G20" i="55" s="1"/>
  <c r="G33" i="61"/>
  <c r="H25" i="53"/>
  <c r="G33" i="43" s="1"/>
  <c r="E33" i="61"/>
  <c r="F25" i="53"/>
  <c r="E33" i="43" s="1"/>
  <c r="C33" i="43"/>
  <c r="D26" i="53"/>
  <c r="G25" i="53"/>
  <c r="F33" i="43" s="1"/>
  <c r="F33" i="61"/>
  <c r="E57" i="50"/>
  <c r="G37" i="61" s="1"/>
  <c r="E60" i="50"/>
  <c r="G44" i="61" s="1"/>
  <c r="E55" i="50"/>
  <c r="G36" i="61" s="1"/>
  <c r="E59" i="50"/>
  <c r="G45" i="61" s="1"/>
  <c r="E56" i="50"/>
  <c r="G43" i="61" s="1"/>
  <c r="E61" i="50"/>
  <c r="G38" i="61" s="1"/>
  <c r="E58" i="50"/>
  <c r="E62" i="50"/>
  <c r="G47" i="61" s="1"/>
  <c r="E30" i="50"/>
  <c r="E43" i="61" s="1"/>
  <c r="E31" i="50"/>
  <c r="E37" i="61" s="1"/>
  <c r="E34" i="50"/>
  <c r="E44" i="61" s="1"/>
  <c r="E29" i="50"/>
  <c r="E36" i="61" s="1"/>
  <c r="E35" i="50"/>
  <c r="E38" i="61" s="1"/>
  <c r="E33" i="50"/>
  <c r="E45" i="61" s="1"/>
  <c r="E36" i="50"/>
  <c r="E47" i="61" s="1"/>
  <c r="E48" i="50"/>
  <c r="F38" i="61" s="1"/>
  <c r="E43" i="50"/>
  <c r="F43" i="61" s="1"/>
  <c r="E47" i="50"/>
  <c r="F44" i="61" s="1"/>
  <c r="E44" i="50"/>
  <c r="F37" i="61" s="1"/>
  <c r="E49" i="50"/>
  <c r="F47" i="61" s="1"/>
  <c r="E42" i="50"/>
  <c r="F36" i="61" s="1"/>
  <c r="E46" i="50"/>
  <c r="F45" i="61" s="1"/>
  <c r="D33" i="61"/>
  <c r="J9" i="55"/>
  <c r="K8" i="55"/>
  <c r="E6" i="50"/>
  <c r="E5" i="50"/>
  <c r="J17" i="36"/>
  <c r="J19" i="36" s="1"/>
  <c r="E10" i="36"/>
  <c r="H10" i="36"/>
  <c r="H17" i="36" s="1"/>
  <c r="H19" i="36" s="1"/>
  <c r="M11" i="36"/>
  <c r="F10" i="36"/>
  <c r="F17" i="36" s="1"/>
  <c r="F19" i="36" s="1"/>
  <c r="I10" i="36"/>
  <c r="I17" i="36" s="1"/>
  <c r="I19" i="36" s="1"/>
  <c r="L10" i="36"/>
  <c r="L17" i="36" s="1"/>
  <c r="L19" i="36" s="1"/>
  <c r="M13" i="36"/>
  <c r="E20" i="50"/>
  <c r="D45" i="61" s="1"/>
  <c r="H45" i="50"/>
  <c r="E45" i="50" s="1"/>
  <c r="H32" i="50"/>
  <c r="E32" i="50" s="1"/>
  <c r="H19" i="50"/>
  <c r="E19" i="50" s="1"/>
  <c r="E22" i="50"/>
  <c r="D38" i="61" s="1"/>
  <c r="D34" i="61"/>
  <c r="D19" i="55"/>
  <c r="D20" i="55" s="1"/>
  <c r="F4" i="56"/>
  <c r="H16" i="55"/>
  <c r="C33" i="61"/>
  <c r="M14" i="36"/>
  <c r="G17" i="36"/>
  <c r="G19" i="36" s="1"/>
  <c r="M7" i="36"/>
  <c r="K10" i="36"/>
  <c r="E17" i="36"/>
  <c r="E19" i="36" s="1"/>
  <c r="K17" i="36"/>
  <c r="K19" i="36" s="1"/>
  <c r="M5" i="36"/>
  <c r="C10" i="36"/>
  <c r="E19" i="55"/>
  <c r="E20" i="55" s="1"/>
  <c r="E11" i="50"/>
  <c r="E8" i="50"/>
  <c r="C45" i="61" s="1"/>
  <c r="G4" i="56"/>
  <c r="C37" i="61"/>
  <c r="E10" i="50"/>
  <c r="C38" i="61" s="1"/>
  <c r="E7" i="50"/>
  <c r="E16" i="50"/>
  <c r="E21" i="50"/>
  <c r="E17" i="50"/>
  <c r="E18" i="50"/>
  <c r="E9" i="50"/>
  <c r="E23" i="50"/>
  <c r="D37" i="61"/>
  <c r="C58" i="56"/>
  <c r="L26" i="51"/>
  <c r="C57" i="56"/>
  <c r="B10" i="51"/>
  <c r="C7" i="61"/>
  <c r="H7" i="61" s="1"/>
  <c r="D7" i="61"/>
  <c r="D9" i="61" s="1"/>
  <c r="D32" i="61" s="1"/>
  <c r="C10" i="61"/>
  <c r="D10" i="61"/>
  <c r="D7" i="59"/>
  <c r="C7" i="59"/>
  <c r="H7" i="59" s="1"/>
  <c r="C7" i="58"/>
  <c r="H7" i="58" s="1"/>
  <c r="D7" i="58"/>
  <c r="E4" i="56"/>
  <c r="C7" i="57"/>
  <c r="H7" i="57" s="1"/>
  <c r="D7" i="57"/>
  <c r="D4" i="56"/>
  <c r="D7" i="43"/>
  <c r="D10" i="43"/>
  <c r="C7" i="43"/>
  <c r="D27" i="53" l="1"/>
  <c r="C33" i="57"/>
  <c r="E27" i="53"/>
  <c r="D33" i="57"/>
  <c r="D10" i="57" s="1"/>
  <c r="H7" i="43"/>
  <c r="H4" i="56"/>
  <c r="C10" i="43"/>
  <c r="E10" i="61"/>
  <c r="E34" i="61"/>
  <c r="E40" i="61" s="1"/>
  <c r="F10" i="61"/>
  <c r="F34" i="61"/>
  <c r="H26" i="53"/>
  <c r="G33" i="57" s="1"/>
  <c r="G26" i="53"/>
  <c r="F33" i="57" s="1"/>
  <c r="F26" i="53"/>
  <c r="E33" i="57" s="1"/>
  <c r="G34" i="61"/>
  <c r="G40" i="61" s="1"/>
  <c r="G10" i="61"/>
  <c r="F45" i="57"/>
  <c r="F20" i="57" s="1"/>
  <c r="F45" i="59"/>
  <c r="F20" i="59" s="1"/>
  <c r="F45" i="43"/>
  <c r="F20" i="43" s="1"/>
  <c r="F45" i="58"/>
  <c r="F20" i="58" s="1"/>
  <c r="F20" i="61"/>
  <c r="F37" i="59"/>
  <c r="F12" i="59" s="1"/>
  <c r="F37" i="58"/>
  <c r="F12" i="58" s="1"/>
  <c r="F12" i="61"/>
  <c r="F37" i="57"/>
  <c r="F12" i="57" s="1"/>
  <c r="F37" i="43"/>
  <c r="F12" i="43" s="1"/>
  <c r="F13" i="61"/>
  <c r="F38" i="59"/>
  <c r="F13" i="59" s="1"/>
  <c r="F38" i="58"/>
  <c r="F13" i="58" s="1"/>
  <c r="F38" i="57"/>
  <c r="F13" i="57" s="1"/>
  <c r="F38" i="43"/>
  <c r="F13" i="43" s="1"/>
  <c r="E45" i="59"/>
  <c r="E20" i="59" s="1"/>
  <c r="E45" i="43"/>
  <c r="E20" i="43" s="1"/>
  <c r="E45" i="58"/>
  <c r="E20" i="58" s="1"/>
  <c r="E20" i="61"/>
  <c r="E45" i="57"/>
  <c r="E20" i="57" s="1"/>
  <c r="E36" i="57"/>
  <c r="E36" i="59"/>
  <c r="E36" i="58"/>
  <c r="E11" i="61"/>
  <c r="E36" i="43"/>
  <c r="E43" i="59"/>
  <c r="E43" i="43"/>
  <c r="E43" i="58"/>
  <c r="E43" i="57"/>
  <c r="G13" i="61"/>
  <c r="G38" i="59"/>
  <c r="G13" i="59" s="1"/>
  <c r="G38" i="58"/>
  <c r="G13" i="58" s="1"/>
  <c r="G38" i="43"/>
  <c r="G13" i="43" s="1"/>
  <c r="G38" i="57"/>
  <c r="G36" i="59"/>
  <c r="G36" i="58"/>
  <c r="G36" i="43"/>
  <c r="G11" i="61"/>
  <c r="G36" i="57"/>
  <c r="G11" i="57" s="1"/>
  <c r="H19" i="55"/>
  <c r="H20" i="55" s="1"/>
  <c r="F36" i="57"/>
  <c r="F36" i="43"/>
  <c r="F36" i="59"/>
  <c r="F36" i="58"/>
  <c r="F11" i="61"/>
  <c r="F40" i="61"/>
  <c r="F44" i="57"/>
  <c r="F19" i="57" s="1"/>
  <c r="F44" i="58"/>
  <c r="F19" i="58" s="1"/>
  <c r="F44" i="59"/>
  <c r="F19" i="59" s="1"/>
  <c r="F44" i="43"/>
  <c r="F19" i="43" s="1"/>
  <c r="F19" i="61"/>
  <c r="E38" i="57"/>
  <c r="E13" i="57" s="1"/>
  <c r="E38" i="43"/>
  <c r="E13" i="43" s="1"/>
  <c r="E13" i="61"/>
  <c r="E38" i="59"/>
  <c r="E13" i="59" s="1"/>
  <c r="E38" i="58"/>
  <c r="E13" i="58" s="1"/>
  <c r="E44" i="59"/>
  <c r="E19" i="59" s="1"/>
  <c r="E44" i="43"/>
  <c r="E19" i="43" s="1"/>
  <c r="E44" i="57"/>
  <c r="E19" i="57" s="1"/>
  <c r="E19" i="61"/>
  <c r="E44" i="58"/>
  <c r="E19" i="58" s="1"/>
  <c r="G47" i="58"/>
  <c r="G22" i="58" s="1"/>
  <c r="G47" i="57"/>
  <c r="G22" i="57" s="1"/>
  <c r="G47" i="59"/>
  <c r="G22" i="59" s="1"/>
  <c r="G47" i="43"/>
  <c r="G22" i="43" s="1"/>
  <c r="G22" i="61"/>
  <c r="G43" i="58"/>
  <c r="G43" i="59"/>
  <c r="G43" i="43"/>
  <c r="G43" i="57"/>
  <c r="G44" i="58"/>
  <c r="G19" i="58" s="1"/>
  <c r="G44" i="59"/>
  <c r="G19" i="59" s="1"/>
  <c r="G44" i="43"/>
  <c r="G19" i="43" s="1"/>
  <c r="G19" i="61"/>
  <c r="G44" i="57"/>
  <c r="G19" i="57" s="1"/>
  <c r="F47" i="59"/>
  <c r="F22" i="59" s="1"/>
  <c r="F47" i="43"/>
  <c r="F22" i="43" s="1"/>
  <c r="F47" i="58"/>
  <c r="F22" i="58" s="1"/>
  <c r="F22" i="61"/>
  <c r="F47" i="57"/>
  <c r="F22" i="57" s="1"/>
  <c r="F43" i="57"/>
  <c r="F43" i="59"/>
  <c r="F43" i="43"/>
  <c r="F43" i="58"/>
  <c r="E22" i="61"/>
  <c r="E47" i="59"/>
  <c r="E22" i="59" s="1"/>
  <c r="E47" i="57"/>
  <c r="E22" i="57" s="1"/>
  <c r="E47" i="43"/>
  <c r="E22" i="43" s="1"/>
  <c r="E47" i="58"/>
  <c r="E22" i="58" s="1"/>
  <c r="E37" i="57"/>
  <c r="E12" i="57" s="1"/>
  <c r="E37" i="59"/>
  <c r="E12" i="59" s="1"/>
  <c r="E37" i="58"/>
  <c r="E12" i="58" s="1"/>
  <c r="E37" i="43"/>
  <c r="E12" i="43" s="1"/>
  <c r="E12" i="61"/>
  <c r="G45" i="58"/>
  <c r="G20" i="58" s="1"/>
  <c r="G45" i="57"/>
  <c r="G20" i="57" s="1"/>
  <c r="G20" i="61"/>
  <c r="G45" i="59"/>
  <c r="G20" i="59" s="1"/>
  <c r="G45" i="43"/>
  <c r="G20" i="43" s="1"/>
  <c r="G37" i="59"/>
  <c r="G12" i="59" s="1"/>
  <c r="G37" i="58"/>
  <c r="G12" i="58" s="1"/>
  <c r="G37" i="43"/>
  <c r="G12" i="43" s="1"/>
  <c r="G37" i="57"/>
  <c r="G12" i="57" s="1"/>
  <c r="G12" i="61"/>
  <c r="J10" i="55"/>
  <c r="K9" i="55"/>
  <c r="C13" i="61"/>
  <c r="C38" i="59"/>
  <c r="C13" i="59" s="1"/>
  <c r="C38" i="58"/>
  <c r="C13" i="58" s="1"/>
  <c r="C38" i="57"/>
  <c r="C13" i="57" s="1"/>
  <c r="C38" i="43"/>
  <c r="C13" i="43" s="1"/>
  <c r="C12" i="61"/>
  <c r="C37" i="59"/>
  <c r="C12" i="59" s="1"/>
  <c r="C37" i="58"/>
  <c r="C12" i="58" s="1"/>
  <c r="C37" i="57"/>
  <c r="C12" i="57" s="1"/>
  <c r="C37" i="43"/>
  <c r="C12" i="43" s="1"/>
  <c r="D13" i="61"/>
  <c r="D38" i="59"/>
  <c r="D13" i="59" s="1"/>
  <c r="D38" i="58"/>
  <c r="D13" i="58" s="1"/>
  <c r="D38" i="57"/>
  <c r="D13" i="57" s="1"/>
  <c r="D38" i="43"/>
  <c r="D13" i="43" s="1"/>
  <c r="D12" i="61"/>
  <c r="D37" i="59"/>
  <c r="D12" i="59" s="1"/>
  <c r="D37" i="58"/>
  <c r="D12" i="58" s="1"/>
  <c r="D37" i="57"/>
  <c r="D12" i="57" s="1"/>
  <c r="D37" i="43"/>
  <c r="D12" i="43" s="1"/>
  <c r="C20" i="61"/>
  <c r="C45" i="59"/>
  <c r="C20" i="59" s="1"/>
  <c r="C45" i="58"/>
  <c r="C20" i="58" s="1"/>
  <c r="C45" i="57"/>
  <c r="C20" i="57" s="1"/>
  <c r="C45" i="43"/>
  <c r="C20" i="43" s="1"/>
  <c r="D20" i="61"/>
  <c r="D45" i="59"/>
  <c r="D20" i="59" s="1"/>
  <c r="D45" i="58"/>
  <c r="D20" i="58" s="1"/>
  <c r="D45" i="57"/>
  <c r="D20" i="57" s="1"/>
  <c r="D45" i="43"/>
  <c r="D20" i="43" s="1"/>
  <c r="H18" i="55"/>
  <c r="C10" i="57"/>
  <c r="C17" i="36"/>
  <c r="M10" i="36"/>
  <c r="C47" i="61"/>
  <c r="D47" i="61"/>
  <c r="D43" i="61"/>
  <c r="C44" i="61"/>
  <c r="D44" i="61"/>
  <c r="C43" i="61"/>
  <c r="D36" i="61"/>
  <c r="C56" i="56"/>
  <c r="E26" i="51"/>
  <c r="H18" i="43" s="1"/>
  <c r="D28" i="51"/>
  <c r="E27" i="51"/>
  <c r="H21" i="43" s="1"/>
  <c r="C5" i="56"/>
  <c r="C9" i="61"/>
  <c r="G5" i="56"/>
  <c r="C8" i="58"/>
  <c r="F5" i="56"/>
  <c r="D8" i="58"/>
  <c r="D9" i="58" s="1"/>
  <c r="D32" i="58" s="1"/>
  <c r="E5" i="56"/>
  <c r="C8" i="57"/>
  <c r="D8" i="57"/>
  <c r="D9" i="57" s="1"/>
  <c r="D32" i="57" s="1"/>
  <c r="D34" i="57" s="1"/>
  <c r="C8" i="43"/>
  <c r="D5" i="56"/>
  <c r="D8" i="43"/>
  <c r="D9" i="43" s="1"/>
  <c r="D32" i="43" s="1"/>
  <c r="D34" i="43" s="1"/>
  <c r="D28" i="53" l="1"/>
  <c r="C33" i="59" s="1"/>
  <c r="C10" i="59" s="1"/>
  <c r="C33" i="58"/>
  <c r="C10" i="58" s="1"/>
  <c r="E28" i="53"/>
  <c r="D33" i="59" s="1"/>
  <c r="D33" i="58"/>
  <c r="H8" i="43"/>
  <c r="H8" i="58"/>
  <c r="H9" i="58" s="1"/>
  <c r="C9" i="57"/>
  <c r="H8" i="57"/>
  <c r="C32" i="61"/>
  <c r="C34" i="61" s="1"/>
  <c r="H9" i="61"/>
  <c r="C7" i="56" s="1"/>
  <c r="E18" i="43"/>
  <c r="F18" i="43"/>
  <c r="F17" i="43" s="1"/>
  <c r="G18" i="43"/>
  <c r="G17" i="43" s="1"/>
  <c r="E21" i="43"/>
  <c r="E46" i="43" s="1"/>
  <c r="F21" i="43"/>
  <c r="F46" i="43" s="1"/>
  <c r="G21" i="43"/>
  <c r="G46" i="43" s="1"/>
  <c r="E17" i="43"/>
  <c r="H20" i="59"/>
  <c r="G18" i="56" s="1"/>
  <c r="G44" i="56" s="1"/>
  <c r="H10" i="61"/>
  <c r="C8" i="56" s="1"/>
  <c r="C31" i="56" s="1"/>
  <c r="F27" i="53"/>
  <c r="F10" i="57"/>
  <c r="F34" i="57"/>
  <c r="F40" i="57" s="1"/>
  <c r="H27" i="53"/>
  <c r="H13" i="61"/>
  <c r="C11" i="56" s="1"/>
  <c r="C37" i="56" s="1"/>
  <c r="E34" i="57"/>
  <c r="E40" i="57" s="1"/>
  <c r="E10" i="57"/>
  <c r="G27" i="53"/>
  <c r="G10" i="43"/>
  <c r="G34" i="43"/>
  <c r="G40" i="43" s="1"/>
  <c r="H12" i="57"/>
  <c r="E10" i="56" s="1"/>
  <c r="E36" i="56" s="1"/>
  <c r="H12" i="59"/>
  <c r="G10" i="56" s="1"/>
  <c r="G36" i="56" s="1"/>
  <c r="H13" i="43"/>
  <c r="E10" i="43"/>
  <c r="E34" i="43"/>
  <c r="E40" i="43" s="1"/>
  <c r="F10" i="43"/>
  <c r="F34" i="43"/>
  <c r="F40" i="43" s="1"/>
  <c r="F48" i="43" s="1"/>
  <c r="G10" i="57"/>
  <c r="G34" i="57"/>
  <c r="G40" i="57" s="1"/>
  <c r="H12" i="58"/>
  <c r="F11" i="43"/>
  <c r="F14" i="43" s="1"/>
  <c r="F15" i="43" s="1"/>
  <c r="F16" i="43" s="1"/>
  <c r="G14" i="61"/>
  <c r="G15" i="61" s="1"/>
  <c r="G16" i="61" s="1"/>
  <c r="G11" i="59"/>
  <c r="G14" i="59" s="1"/>
  <c r="E11" i="58"/>
  <c r="F14" i="61"/>
  <c r="F15" i="61" s="1"/>
  <c r="F16" i="61" s="1"/>
  <c r="E14" i="61"/>
  <c r="E15" i="61" s="1"/>
  <c r="E16" i="61" s="1"/>
  <c r="H12" i="61"/>
  <c r="C10" i="56" s="1"/>
  <c r="C36" i="56" s="1"/>
  <c r="H13" i="58"/>
  <c r="F11" i="56" s="1"/>
  <c r="F37" i="56" s="1"/>
  <c r="F11" i="58"/>
  <c r="F14" i="58" s="1"/>
  <c r="F11" i="57"/>
  <c r="G11" i="43"/>
  <c r="G14" i="43" s="1"/>
  <c r="G13" i="57"/>
  <c r="H13" i="57" s="1"/>
  <c r="E11" i="56" s="1"/>
  <c r="E37" i="56" s="1"/>
  <c r="E11" i="43"/>
  <c r="E11" i="59"/>
  <c r="H20" i="61"/>
  <c r="C18" i="56" s="1"/>
  <c r="C44" i="56" s="1"/>
  <c r="H20" i="58"/>
  <c r="F18" i="56" s="1"/>
  <c r="F44" i="56" s="1"/>
  <c r="H20" i="57"/>
  <c r="E18" i="56" s="1"/>
  <c r="E44" i="56" s="1"/>
  <c r="H12" i="43"/>
  <c r="D10" i="56" s="1"/>
  <c r="D36" i="56" s="1"/>
  <c r="H13" i="59"/>
  <c r="G11" i="56" s="1"/>
  <c r="G37" i="56" s="1"/>
  <c r="F11" i="59"/>
  <c r="F14" i="59" s="1"/>
  <c r="G11" i="58"/>
  <c r="G14" i="58" s="1"/>
  <c r="E11" i="57"/>
  <c r="E14" i="57" s="1"/>
  <c r="H20" i="43"/>
  <c r="D18" i="56" s="1"/>
  <c r="D44" i="56" s="1"/>
  <c r="D6" i="56"/>
  <c r="D7" i="56" s="1"/>
  <c r="J11" i="55"/>
  <c r="K10" i="55"/>
  <c r="D11" i="56"/>
  <c r="D37" i="56" s="1"/>
  <c r="D11" i="61"/>
  <c r="D14" i="61" s="1"/>
  <c r="D15" i="61" s="1"/>
  <c r="D16" i="61" s="1"/>
  <c r="D36" i="59"/>
  <c r="D36" i="58"/>
  <c r="D11" i="58" s="1"/>
  <c r="D14" i="58" s="1"/>
  <c r="D36" i="57"/>
  <c r="D11" i="57" s="1"/>
  <c r="D14" i="57" s="1"/>
  <c r="D15" i="57" s="1"/>
  <c r="D16" i="57" s="1"/>
  <c r="D36" i="43"/>
  <c r="D11" i="43" s="1"/>
  <c r="D14" i="43" s="1"/>
  <c r="D15" i="43" s="1"/>
  <c r="D16" i="43" s="1"/>
  <c r="C43" i="58"/>
  <c r="C43" i="57"/>
  <c r="C43" i="59"/>
  <c r="C43" i="43"/>
  <c r="D43" i="59"/>
  <c r="D43" i="43"/>
  <c r="D43" i="58"/>
  <c r="D43" i="57"/>
  <c r="D19" i="61"/>
  <c r="D44" i="58"/>
  <c r="D19" i="58" s="1"/>
  <c r="D44" i="57"/>
  <c r="D19" i="57" s="1"/>
  <c r="D44" i="59"/>
  <c r="D19" i="59" s="1"/>
  <c r="D44" i="43"/>
  <c r="D19" i="43" s="1"/>
  <c r="C19" i="61"/>
  <c r="H19" i="61" s="1"/>
  <c r="C44" i="57"/>
  <c r="C19" i="57" s="1"/>
  <c r="C44" i="59"/>
  <c r="C19" i="59" s="1"/>
  <c r="H19" i="59" s="1"/>
  <c r="C44" i="43"/>
  <c r="C19" i="43" s="1"/>
  <c r="H19" i="43" s="1"/>
  <c r="C44" i="58"/>
  <c r="C19" i="58" s="1"/>
  <c r="C22" i="61"/>
  <c r="H22" i="61" s="1"/>
  <c r="C47" i="59"/>
  <c r="C22" i="59" s="1"/>
  <c r="H22" i="59" s="1"/>
  <c r="C47" i="57"/>
  <c r="C22" i="57" s="1"/>
  <c r="C47" i="58"/>
  <c r="C22" i="58" s="1"/>
  <c r="C47" i="43"/>
  <c r="C22" i="43" s="1"/>
  <c r="D22" i="61"/>
  <c r="D47" i="59"/>
  <c r="D22" i="59" s="1"/>
  <c r="D47" i="43"/>
  <c r="D22" i="43" s="1"/>
  <c r="D47" i="57"/>
  <c r="D22" i="57" s="1"/>
  <c r="D47" i="58"/>
  <c r="D22" i="58" s="1"/>
  <c r="E23" i="36"/>
  <c r="C18" i="36"/>
  <c r="D18" i="36" s="1"/>
  <c r="E18" i="36" s="1"/>
  <c r="F18" i="36" s="1"/>
  <c r="G18" i="36" s="1"/>
  <c r="H18" i="36" s="1"/>
  <c r="M17" i="36"/>
  <c r="E22" i="36"/>
  <c r="C19" i="36"/>
  <c r="D34" i="58"/>
  <c r="D40" i="58" s="1"/>
  <c r="D10" i="58"/>
  <c r="D10" i="59"/>
  <c r="F6" i="56"/>
  <c r="D40" i="61"/>
  <c r="D18" i="43"/>
  <c r="C18" i="43"/>
  <c r="F26" i="51"/>
  <c r="H18" i="57" s="1"/>
  <c r="F27" i="51"/>
  <c r="H21" i="57" s="1"/>
  <c r="E28" i="51"/>
  <c r="C21" i="43"/>
  <c r="D21" i="43"/>
  <c r="D19" i="56"/>
  <c r="D45" i="56" s="1"/>
  <c r="C9" i="58"/>
  <c r="C32" i="58" s="1"/>
  <c r="C34" i="58" s="1"/>
  <c r="E6" i="56"/>
  <c r="H5" i="56"/>
  <c r="C9" i="43"/>
  <c r="H28" i="53" l="1"/>
  <c r="G33" i="59" s="1"/>
  <c r="G33" i="58"/>
  <c r="F28" i="53"/>
  <c r="E33" i="59" s="1"/>
  <c r="E33" i="58"/>
  <c r="G28" i="53"/>
  <c r="F33" i="59" s="1"/>
  <c r="F33" i="58"/>
  <c r="H22" i="43"/>
  <c r="H22" i="58"/>
  <c r="H22" i="57"/>
  <c r="E20" i="56" s="1"/>
  <c r="E52" i="56" s="1"/>
  <c r="G48" i="43"/>
  <c r="F23" i="43"/>
  <c r="H9" i="43"/>
  <c r="C32" i="43"/>
  <c r="C34" i="43" s="1"/>
  <c r="G23" i="43"/>
  <c r="G24" i="43" s="1"/>
  <c r="G26" i="43" s="1"/>
  <c r="G27" i="43" s="1"/>
  <c r="H9" i="57"/>
  <c r="E7" i="56" s="1"/>
  <c r="E30" i="56" s="1"/>
  <c r="C32" i="57"/>
  <c r="C34" i="57" s="1"/>
  <c r="E15" i="57"/>
  <c r="H10" i="57"/>
  <c r="E8" i="56" s="1"/>
  <c r="E31" i="56" s="1"/>
  <c r="G15" i="43"/>
  <c r="G16" i="43" s="1"/>
  <c r="H10" i="43"/>
  <c r="D8" i="56" s="1"/>
  <c r="D31" i="56" s="1"/>
  <c r="E18" i="57"/>
  <c r="E17" i="57" s="1"/>
  <c r="G18" i="57"/>
  <c r="G17" i="57" s="1"/>
  <c r="F18" i="57"/>
  <c r="F17" i="57" s="1"/>
  <c r="E23" i="43"/>
  <c r="E48" i="43"/>
  <c r="F21" i="57"/>
  <c r="G21" i="57"/>
  <c r="E21" i="57"/>
  <c r="C20" i="56"/>
  <c r="C46" i="56" s="1"/>
  <c r="H19" i="57"/>
  <c r="E17" i="56" s="1"/>
  <c r="E43" i="56" s="1"/>
  <c r="D17" i="43"/>
  <c r="H19" i="58"/>
  <c r="F17" i="56" s="1"/>
  <c r="F43" i="56" s="1"/>
  <c r="G17" i="56"/>
  <c r="G43" i="56" s="1"/>
  <c r="D40" i="43"/>
  <c r="F24" i="43"/>
  <c r="F26" i="43" s="1"/>
  <c r="F27" i="43" s="1"/>
  <c r="G10" i="58"/>
  <c r="G15" i="58" s="1"/>
  <c r="G34" i="58"/>
  <c r="G40" i="58" s="1"/>
  <c r="E34" i="58"/>
  <c r="E40" i="58" s="1"/>
  <c r="E10" i="58"/>
  <c r="F34" i="58"/>
  <c r="F40" i="58" s="1"/>
  <c r="F10" i="58"/>
  <c r="F15" i="58" s="1"/>
  <c r="F16" i="58" s="1"/>
  <c r="G34" i="59"/>
  <c r="G40" i="59" s="1"/>
  <c r="G10" i="59"/>
  <c r="G15" i="59" s="1"/>
  <c r="E10" i="59"/>
  <c r="E34" i="59"/>
  <c r="E40" i="59" s="1"/>
  <c r="C17" i="56"/>
  <c r="C43" i="56" s="1"/>
  <c r="F10" i="59"/>
  <c r="F15" i="59" s="1"/>
  <c r="F34" i="59"/>
  <c r="F40" i="59" s="1"/>
  <c r="E14" i="59"/>
  <c r="D20" i="56"/>
  <c r="D46" i="56" s="1"/>
  <c r="D17" i="56"/>
  <c r="D43" i="56" s="1"/>
  <c r="G14" i="57"/>
  <c r="G15" i="57" s="1"/>
  <c r="G16" i="57" s="1"/>
  <c r="E14" i="58"/>
  <c r="F10" i="56"/>
  <c r="F36" i="56" s="1"/>
  <c r="E16" i="57"/>
  <c r="E14" i="43"/>
  <c r="E15" i="43" s="1"/>
  <c r="F14" i="57"/>
  <c r="F15" i="57" s="1"/>
  <c r="F16" i="57" s="1"/>
  <c r="H18" i="56"/>
  <c r="H44" i="56" s="1"/>
  <c r="D8" i="59"/>
  <c r="D9" i="59" s="1"/>
  <c r="D32" i="59" s="1"/>
  <c r="D34" i="59" s="1"/>
  <c r="D40" i="59" s="1"/>
  <c r="C8" i="59"/>
  <c r="H8" i="59" s="1"/>
  <c r="H9" i="59" s="1"/>
  <c r="J12" i="55"/>
  <c r="K12" i="55" s="1"/>
  <c r="K11" i="55"/>
  <c r="D40" i="57"/>
  <c r="G20" i="56"/>
  <c r="G46" i="56" s="1"/>
  <c r="C17" i="43"/>
  <c r="D11" i="59"/>
  <c r="D14" i="59" s="1"/>
  <c r="D15" i="59" s="1"/>
  <c r="D16" i="59" s="1"/>
  <c r="F20" i="56"/>
  <c r="F46" i="56" s="1"/>
  <c r="H11" i="56"/>
  <c r="H37" i="56" s="1"/>
  <c r="C20" i="36"/>
  <c r="D20" i="36" s="1"/>
  <c r="E20" i="36" s="1"/>
  <c r="F20" i="36" s="1"/>
  <c r="G20" i="36" s="1"/>
  <c r="H20" i="36" s="1"/>
  <c r="M19" i="36"/>
  <c r="I23" i="36"/>
  <c r="I22" i="36"/>
  <c r="E24" i="36"/>
  <c r="I18" i="36"/>
  <c r="J18" i="36" s="1"/>
  <c r="K18" i="36" s="1"/>
  <c r="L18" i="36" s="1"/>
  <c r="D15" i="58"/>
  <c r="D16" i="58" s="1"/>
  <c r="G26" i="51"/>
  <c r="C18" i="57"/>
  <c r="C17" i="57" s="1"/>
  <c r="D18" i="57"/>
  <c r="D17" i="57" s="1"/>
  <c r="D46" i="43"/>
  <c r="D23" i="43"/>
  <c r="D24" i="43" s="1"/>
  <c r="C46" i="43"/>
  <c r="E19" i="56"/>
  <c r="E45" i="56" s="1"/>
  <c r="D21" i="57"/>
  <c r="C21" i="57"/>
  <c r="G27" i="51"/>
  <c r="H21" i="58" s="1"/>
  <c r="F28" i="51"/>
  <c r="C30" i="56"/>
  <c r="C32" i="56" s="1"/>
  <c r="C33" i="56" s="1"/>
  <c r="C50" i="56"/>
  <c r="F7" i="56"/>
  <c r="E50" i="56"/>
  <c r="D30" i="56"/>
  <c r="D51" i="56"/>
  <c r="D50" i="56"/>
  <c r="E32" i="56" l="1"/>
  <c r="E33" i="56" s="1"/>
  <c r="D48" i="56"/>
  <c r="H17" i="43"/>
  <c r="H23" i="43" s="1"/>
  <c r="E15" i="59"/>
  <c r="E16" i="59" s="1"/>
  <c r="D32" i="56"/>
  <c r="D33" i="56" s="1"/>
  <c r="C52" i="56"/>
  <c r="H10" i="58"/>
  <c r="F8" i="56" s="1"/>
  <c r="G21" i="58"/>
  <c r="E21" i="58"/>
  <c r="F21" i="58"/>
  <c r="H26" i="51"/>
  <c r="H18" i="59" s="1"/>
  <c r="C18" i="59" s="1"/>
  <c r="C17" i="59" s="1"/>
  <c r="H18" i="58"/>
  <c r="D18" i="58" s="1"/>
  <c r="D17" i="58" s="1"/>
  <c r="G46" i="57"/>
  <c r="G48" i="57" s="1"/>
  <c r="G23" i="57"/>
  <c r="F46" i="57"/>
  <c r="F48" i="57" s="1"/>
  <c r="F23" i="57"/>
  <c r="E46" i="57"/>
  <c r="E48" i="57" s="1"/>
  <c r="E23" i="57"/>
  <c r="E24" i="57" s="1"/>
  <c r="E26" i="57" s="1"/>
  <c r="E27" i="57" s="1"/>
  <c r="C48" i="56"/>
  <c r="D48" i="43"/>
  <c r="H17" i="57"/>
  <c r="D52" i="56"/>
  <c r="G16" i="59"/>
  <c r="F16" i="59"/>
  <c r="G16" i="58"/>
  <c r="H10" i="59"/>
  <c r="G8" i="56" s="1"/>
  <c r="G31" i="56" s="1"/>
  <c r="E15" i="58"/>
  <c r="E16" i="58" s="1"/>
  <c r="F24" i="57"/>
  <c r="F26" i="57" s="1"/>
  <c r="F27" i="57" s="1"/>
  <c r="H10" i="56"/>
  <c r="H36" i="56" s="1"/>
  <c r="E16" i="43"/>
  <c r="E24" i="43"/>
  <c r="E26" i="43" s="1"/>
  <c r="E27" i="43" s="1"/>
  <c r="G24" i="57"/>
  <c r="G26" i="57" s="1"/>
  <c r="G27" i="57" s="1"/>
  <c r="C23" i="43"/>
  <c r="G6" i="56"/>
  <c r="H6" i="56" s="1"/>
  <c r="C9" i="59"/>
  <c r="E48" i="56"/>
  <c r="H17" i="56"/>
  <c r="H43" i="56" s="1"/>
  <c r="E46" i="56"/>
  <c r="H20" i="56"/>
  <c r="H46" i="56" s="1"/>
  <c r="D26" i="43"/>
  <c r="D27" i="43" s="1"/>
  <c r="I20" i="36"/>
  <c r="J20" i="36" s="1"/>
  <c r="K20" i="36" s="1"/>
  <c r="L20" i="36" s="1"/>
  <c r="I24" i="36"/>
  <c r="E51" i="56"/>
  <c r="D15" i="56"/>
  <c r="D18" i="59"/>
  <c r="D17" i="59" s="1"/>
  <c r="C18" i="58"/>
  <c r="C17" i="58" s="1"/>
  <c r="F19" i="56"/>
  <c r="D21" i="58"/>
  <c r="C21" i="58"/>
  <c r="C46" i="57"/>
  <c r="C23" i="57"/>
  <c r="G28" i="51"/>
  <c r="H27" i="51"/>
  <c r="H21" i="59" s="1"/>
  <c r="D21" i="59" s="1"/>
  <c r="D46" i="57"/>
  <c r="D48" i="57" s="1"/>
  <c r="D23" i="57"/>
  <c r="D24" i="57" s="1"/>
  <c r="F30" i="56"/>
  <c r="F48" i="56"/>
  <c r="F52" i="56"/>
  <c r="F50" i="56"/>
  <c r="K26" i="51" l="1"/>
  <c r="G7" i="56"/>
  <c r="G52" i="56" s="1"/>
  <c r="C32" i="59"/>
  <c r="C34" i="59" s="1"/>
  <c r="C21" i="59"/>
  <c r="C46" i="59" s="1"/>
  <c r="F46" i="58"/>
  <c r="F48" i="58" s="1"/>
  <c r="G18" i="58"/>
  <c r="G17" i="58" s="1"/>
  <c r="G23" i="58" s="1"/>
  <c r="G24" i="58" s="1"/>
  <c r="G26" i="58" s="1"/>
  <c r="G27" i="58" s="1"/>
  <c r="E18" i="58"/>
  <c r="E17" i="58" s="1"/>
  <c r="F18" i="58"/>
  <c r="F17" i="58" s="1"/>
  <c r="F23" i="58" s="1"/>
  <c r="F24" i="58" s="1"/>
  <c r="F26" i="58" s="1"/>
  <c r="F27" i="58" s="1"/>
  <c r="E46" i="58"/>
  <c r="E48" i="58" s="1"/>
  <c r="E23" i="58"/>
  <c r="G21" i="59"/>
  <c r="E21" i="59"/>
  <c r="F21" i="59"/>
  <c r="G19" i="56"/>
  <c r="G51" i="56" s="1"/>
  <c r="G18" i="59"/>
  <c r="G17" i="59" s="1"/>
  <c r="E18" i="59"/>
  <c r="E17" i="59" s="1"/>
  <c r="F18" i="59"/>
  <c r="F17" i="59" s="1"/>
  <c r="G46" i="58"/>
  <c r="G48" i="58" s="1"/>
  <c r="E24" i="58"/>
  <c r="E26" i="58" s="1"/>
  <c r="E27" i="58" s="1"/>
  <c r="F31" i="56"/>
  <c r="F32" i="56" s="1"/>
  <c r="F33" i="56" s="1"/>
  <c r="H8" i="56"/>
  <c r="H31" i="56" s="1"/>
  <c r="H23" i="57"/>
  <c r="G50" i="56"/>
  <c r="G30" i="56"/>
  <c r="G32" i="56" s="1"/>
  <c r="G33" i="56" s="1"/>
  <c r="G48" i="56"/>
  <c r="H7" i="56"/>
  <c r="H52" i="56" s="1"/>
  <c r="F51" i="56"/>
  <c r="E15" i="56"/>
  <c r="D42" i="56"/>
  <c r="D21" i="56"/>
  <c r="H28" i="51"/>
  <c r="D46" i="58"/>
  <c r="D48" i="58" s="1"/>
  <c r="D23" i="58"/>
  <c r="D24" i="58" s="1"/>
  <c r="G45" i="56"/>
  <c r="F45" i="56"/>
  <c r="D46" i="59"/>
  <c r="D48" i="59" s="1"/>
  <c r="D23" i="59"/>
  <c r="D24" i="59" s="1"/>
  <c r="D26" i="57"/>
  <c r="D27" i="57" s="1"/>
  <c r="C46" i="58"/>
  <c r="C23" i="58"/>
  <c r="H17" i="59" l="1"/>
  <c r="C23" i="59"/>
  <c r="H50" i="56"/>
  <c r="H17" i="58"/>
  <c r="G46" i="59"/>
  <c r="G48" i="59" s="1"/>
  <c r="G23" i="59"/>
  <c r="G24" i="59" s="1"/>
  <c r="G26" i="59" s="1"/>
  <c r="G27" i="59" s="1"/>
  <c r="F46" i="59"/>
  <c r="F48" i="59" s="1"/>
  <c r="F23" i="59"/>
  <c r="F24" i="59" s="1"/>
  <c r="F26" i="59" s="1"/>
  <c r="F27" i="59" s="1"/>
  <c r="E46" i="59"/>
  <c r="E48" i="59" s="1"/>
  <c r="E23" i="59"/>
  <c r="E24" i="59" s="1"/>
  <c r="E26" i="59" s="1"/>
  <c r="E27" i="59" s="1"/>
  <c r="H48" i="56"/>
  <c r="H30" i="56"/>
  <c r="H32" i="56" s="1"/>
  <c r="H33" i="56" s="1"/>
  <c r="D26" i="58"/>
  <c r="D27" i="58" s="1"/>
  <c r="F15" i="56"/>
  <c r="H23" i="58"/>
  <c r="E42" i="56"/>
  <c r="E21" i="56"/>
  <c r="G15" i="56"/>
  <c r="H23" i="59"/>
  <c r="D26" i="59"/>
  <c r="D27" i="59" s="1"/>
  <c r="I28" i="51"/>
  <c r="F42" i="56" l="1"/>
  <c r="F21" i="56"/>
  <c r="G42" i="56"/>
  <c r="G21" i="56"/>
  <c r="J28" i="51"/>
  <c r="K27" i="51"/>
  <c r="K28" i="51" s="1"/>
  <c r="C36" i="61" l="1"/>
  <c r="C40" i="61" l="1"/>
  <c r="C36" i="59"/>
  <c r="C11" i="59" s="1"/>
  <c r="C36" i="58"/>
  <c r="C11" i="58" s="1"/>
  <c r="H11" i="58" s="1"/>
  <c r="H14" i="58" s="1"/>
  <c r="H15" i="58" s="1"/>
  <c r="H16" i="58" s="1"/>
  <c r="C36" i="57"/>
  <c r="C40" i="57" s="1"/>
  <c r="C48" i="57" s="1"/>
  <c r="C36" i="43"/>
  <c r="C11" i="43"/>
  <c r="C11" i="61"/>
  <c r="C11" i="57"/>
  <c r="H11" i="57" s="1"/>
  <c r="H14" i="57" s="1"/>
  <c r="H15" i="57" s="1"/>
  <c r="C40" i="59"/>
  <c r="C48" i="59" s="1"/>
  <c r="H11" i="43" l="1"/>
  <c r="H14" i="43" s="1"/>
  <c r="H15" i="43" s="1"/>
  <c r="C40" i="43"/>
  <c r="C48" i="43" s="1"/>
  <c r="C14" i="59"/>
  <c r="C15" i="59" s="1"/>
  <c r="C16" i="59" s="1"/>
  <c r="H11" i="59"/>
  <c r="H14" i="59" s="1"/>
  <c r="H15" i="59" s="1"/>
  <c r="C14" i="61"/>
  <c r="C15" i="61" s="1"/>
  <c r="H11" i="61"/>
  <c r="H14" i="61" s="1"/>
  <c r="H15" i="61" s="1"/>
  <c r="C40" i="58"/>
  <c r="C48" i="58" s="1"/>
  <c r="C14" i="43"/>
  <c r="C15" i="43" s="1"/>
  <c r="C16" i="43" s="1"/>
  <c r="F9" i="56"/>
  <c r="C14" i="58"/>
  <c r="C14" i="57"/>
  <c r="E9" i="56"/>
  <c r="C9" i="56" l="1"/>
  <c r="G9" i="56"/>
  <c r="G12" i="56" s="1"/>
  <c r="D9" i="56"/>
  <c r="H9" i="56" s="1"/>
  <c r="H35" i="56" s="1"/>
  <c r="C24" i="59"/>
  <c r="G35" i="56"/>
  <c r="G49" i="56"/>
  <c r="H24" i="43"/>
  <c r="C24" i="43"/>
  <c r="C12" i="56"/>
  <c r="C35" i="56"/>
  <c r="C15" i="57"/>
  <c r="C15" i="58"/>
  <c r="C16" i="58" s="1"/>
  <c r="C16" i="61"/>
  <c r="F35" i="56"/>
  <c r="F49" i="56"/>
  <c r="F12" i="56"/>
  <c r="G13" i="56"/>
  <c r="H16" i="59"/>
  <c r="H24" i="59"/>
  <c r="D13" i="56"/>
  <c r="E35" i="56"/>
  <c r="E49" i="56"/>
  <c r="E12" i="56"/>
  <c r="C26" i="59" l="1"/>
  <c r="C27" i="59" s="1"/>
  <c r="D49" i="56"/>
  <c r="D12" i="56"/>
  <c r="D35" i="56"/>
  <c r="H26" i="59"/>
  <c r="H27" i="59" s="1"/>
  <c r="H26" i="43"/>
  <c r="H27" i="43" s="1"/>
  <c r="C26" i="43"/>
  <c r="C27" i="43" s="1"/>
  <c r="H16" i="43"/>
  <c r="H12" i="56"/>
  <c r="G22" i="56"/>
  <c r="G54" i="56" s="1"/>
  <c r="D22" i="56"/>
  <c r="D54" i="56" s="1"/>
  <c r="C24" i="57"/>
  <c r="C16" i="57"/>
  <c r="H16" i="61"/>
  <c r="C13" i="56"/>
  <c r="C14" i="56" s="1"/>
  <c r="D14" i="56"/>
  <c r="D39" i="56"/>
  <c r="D40" i="56" s="1"/>
  <c r="G14" i="56"/>
  <c r="G39" i="56"/>
  <c r="G40" i="56" s="1"/>
  <c r="C24" i="58"/>
  <c r="G23" i="56" l="1"/>
  <c r="D23" i="56"/>
  <c r="C26" i="57"/>
  <c r="C27" i="57" s="1"/>
  <c r="G24" i="56"/>
  <c r="G25" i="56" s="1"/>
  <c r="D24" i="56"/>
  <c r="D25" i="56" s="1"/>
  <c r="H24" i="58"/>
  <c r="F13" i="56"/>
  <c r="C26" i="58"/>
  <c r="C27" i="58" s="1"/>
  <c r="C39" i="56"/>
  <c r="H16" i="57"/>
  <c r="H24" i="57"/>
  <c r="E13" i="56"/>
  <c r="H26" i="58" l="1"/>
  <c r="H27" i="58" s="1"/>
  <c r="H26" i="57"/>
  <c r="H27" i="57" s="1"/>
  <c r="E14" i="56"/>
  <c r="E39" i="56"/>
  <c r="E40" i="56" s="1"/>
  <c r="H13" i="56"/>
  <c r="F14" i="56"/>
  <c r="F39" i="56"/>
  <c r="F40" i="56" s="1"/>
  <c r="E22" i="56"/>
  <c r="E54" i="56" s="1"/>
  <c r="F22" i="56"/>
  <c r="F54" i="56" s="1"/>
  <c r="G53" i="56"/>
  <c r="G60" i="56"/>
  <c r="G59" i="56" s="1"/>
  <c r="D60" i="56"/>
  <c r="D59" i="56" s="1"/>
  <c r="D53" i="56"/>
  <c r="F23" i="56" l="1"/>
  <c r="E23" i="56"/>
  <c r="H14" i="56"/>
  <c r="H39" i="56"/>
  <c r="F24" i="56"/>
  <c r="F25" i="56" s="1"/>
  <c r="E24" i="56"/>
  <c r="E25" i="56" s="1"/>
  <c r="E53" i="56" l="1"/>
  <c r="E60" i="56"/>
  <c r="E59" i="56" s="1"/>
  <c r="F53" i="56"/>
  <c r="F60" i="56"/>
  <c r="F59" i="56" s="1"/>
  <c r="F21" i="61" l="1"/>
  <c r="F46" i="61" s="1"/>
  <c r="F48" i="61" s="1"/>
  <c r="G21" i="61"/>
  <c r="G46" i="61" s="1"/>
  <c r="G48" i="61" s="1"/>
  <c r="E21" i="61"/>
  <c r="E46" i="61" s="1"/>
  <c r="E48" i="61" s="1"/>
  <c r="D21" i="61"/>
  <c r="D46" i="61" s="1"/>
  <c r="D48" i="61" s="1"/>
  <c r="C21" i="61"/>
  <c r="C46" i="61" s="1"/>
  <c r="C48" i="61" s="1"/>
  <c r="C19" i="56"/>
  <c r="C45" i="56" s="1"/>
  <c r="H19" i="56" l="1"/>
  <c r="H51" i="56" s="1"/>
  <c r="H45" i="56"/>
  <c r="C51" i="56"/>
  <c r="G18" i="61"/>
  <c r="G17" i="61" s="1"/>
  <c r="G23" i="61" s="1"/>
  <c r="G24" i="61" s="1"/>
  <c r="D18" i="61"/>
  <c r="D17" i="61" s="1"/>
  <c r="D23" i="61" s="1"/>
  <c r="D24" i="61" s="1"/>
  <c r="F18" i="61"/>
  <c r="F17" i="61" s="1"/>
  <c r="F23" i="61" s="1"/>
  <c r="F24" i="61" s="1"/>
  <c r="E18" i="61"/>
  <c r="E17" i="61" s="1"/>
  <c r="C18" i="61"/>
  <c r="C17" i="61" s="1"/>
  <c r="E23" i="61" l="1"/>
  <c r="E24" i="61" s="1"/>
  <c r="E26" i="61" s="1"/>
  <c r="E27" i="61" s="1"/>
  <c r="H17" i="61"/>
  <c r="F26" i="61"/>
  <c r="F27" i="61" s="1"/>
  <c r="G26" i="61"/>
  <c r="G27" i="61" s="1"/>
  <c r="C23" i="61"/>
  <c r="C24" i="61" s="1"/>
  <c r="D26" i="61"/>
  <c r="D27" i="61" s="1"/>
  <c r="C15" i="56" l="1"/>
  <c r="H23" i="61"/>
  <c r="H24" i="61" s="1"/>
  <c r="C26" i="61"/>
  <c r="H26" i="61" l="1"/>
  <c r="H27" i="61" s="1"/>
  <c r="C27" i="61"/>
  <c r="C22" i="56"/>
  <c r="C23" i="56"/>
  <c r="C42" i="56"/>
  <c r="C49" i="56"/>
  <c r="C21" i="56"/>
  <c r="C40" i="56" s="1"/>
  <c r="H15" i="56"/>
  <c r="H22" i="56" l="1"/>
  <c r="C54" i="56"/>
  <c r="H42" i="56"/>
  <c r="H21" i="56"/>
  <c r="H40" i="56" s="1"/>
  <c r="H49" i="56"/>
  <c r="C24" i="56"/>
  <c r="C25" i="56" s="1"/>
  <c r="C53" i="56" l="1"/>
  <c r="C60" i="56"/>
  <c r="C59" i="56" s="1"/>
  <c r="H54" i="56"/>
  <c r="H24" i="56"/>
  <c r="H25" i="56" s="1"/>
  <c r="H53" i="56" l="1"/>
  <c r="H60" i="56"/>
  <c r="H59" i="56" s="1"/>
</calcChain>
</file>

<file path=xl/comments1.xml><?xml version="1.0" encoding="utf-8"?>
<comments xmlns="http://schemas.openxmlformats.org/spreadsheetml/2006/main">
  <authors>
    <author>作者</author>
  </authors>
  <commentList>
    <comment ref="I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ghrc</author>
  </authors>
  <commentList>
    <comment ref="H11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按河北</t>
        </r>
      </text>
    </comment>
  </commentList>
</comments>
</file>

<file path=xl/sharedStrings.xml><?xml version="1.0" encoding="utf-8"?>
<sst xmlns="http://schemas.openxmlformats.org/spreadsheetml/2006/main" count="1238" uniqueCount="304">
  <si>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</si>
  <si>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</si>
  <si>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</si>
  <si>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</si>
  <si>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</si>
  <si>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</si>
  <si>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</si>
  <si>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</si>
  <si>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</si>
  <si>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变动费用</t>
  </si>
  <si>
    <t>固定费用</t>
  </si>
  <si>
    <t>预测工厂产能满足客户订单。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</si>
  <si>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</si>
  <si>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</si>
  <si>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</si>
  <si>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</si>
  <si>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</si>
  <si>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</si>
  <si>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</si>
  <si>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</si>
  <si>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</si>
  <si>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</si>
  <si>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</si>
  <si>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</si>
  <si>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</si>
  <si>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</si>
  <si>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</si>
  <si>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</si>
  <si>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</si>
  <si>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</si>
  <si>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</si>
  <si>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</si>
  <si>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</si>
  <si>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</si>
  <si>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</si>
  <si>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</si>
  <si>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</si>
  <si>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</si>
  <si>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</si>
  <si>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</si>
  <si>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</si>
  <si>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</si>
  <si>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</si>
  <si>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</si>
  <si>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</si>
  <si>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</si>
  <si>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</si>
  <si>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2025年</t>
  </si>
  <si>
    <t>2026年</t>
  </si>
  <si>
    <t>2027年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</si>
  <si>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</si>
  <si>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</si>
  <si>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</si>
  <si>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</si>
  <si>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</si>
  <si>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</si>
  <si>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</si>
  <si>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</si>
  <si>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</si>
  <si>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</si>
  <si>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</si>
  <si>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</si>
  <si>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</si>
  <si>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</si>
  <si>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</si>
  <si>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</si>
  <si>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</si>
  <si>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</si>
  <si>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</si>
  <si>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</si>
  <si>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</si>
  <si>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</si>
  <si>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</si>
  <si>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</si>
  <si>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</si>
  <si>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</si>
  <si>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</si>
  <si>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</si>
  <si>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</si>
  <si>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</si>
  <si>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</si>
  <si>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</si>
  <si>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</si>
  <si>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</si>
  <si>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</si>
  <si>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</si>
  <si>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</si>
  <si>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</si>
  <si>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</si>
  <si>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</si>
  <si>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</si>
  <si>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</si>
  <si>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</si>
  <si>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</si>
  <si>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</si>
  <si>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</si>
  <si>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</si>
  <si>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</si>
  <si>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</si>
  <si>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</si>
  <si>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</si>
  <si>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</si>
  <si>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</si>
  <si>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</si>
  <si>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</si>
  <si>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</si>
  <si>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</si>
  <si>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</si>
  <si>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</si>
  <si>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</si>
  <si>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</si>
  <si>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</si>
  <si>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</si>
  <si>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</si>
  <si>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</si>
  <si>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</si>
  <si>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</si>
  <si>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</si>
  <si>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</si>
  <si>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</si>
  <si>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</si>
  <si>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</si>
  <si>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</si>
  <si>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</si>
  <si>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</si>
  <si>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</si>
  <si>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</si>
  <si>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</si>
  <si>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</si>
  <si>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</si>
  <si>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</si>
  <si>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</si>
  <si>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</si>
  <si>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</si>
  <si>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</si>
  <si>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</si>
  <si>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</si>
  <si>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</si>
  <si>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</si>
  <si>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</si>
  <si>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</si>
  <si>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</si>
  <si>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</si>
  <si>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</si>
  <si>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</si>
  <si>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</si>
  <si>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</si>
  <si>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</si>
  <si>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</si>
  <si>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</si>
  <si>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</si>
  <si>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</si>
  <si>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</si>
  <si>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</si>
  <si>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</si>
  <si>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</si>
  <si>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</si>
  <si>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</si>
  <si>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</si>
  <si>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</si>
  <si>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</si>
  <si>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</si>
  <si>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</si>
  <si>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</si>
  <si>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</si>
  <si>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</si>
  <si>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</si>
  <si>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</si>
  <si>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</si>
  <si>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</si>
  <si>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</si>
  <si>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</si>
  <si>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</si>
  <si>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</si>
  <si>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</si>
  <si>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</si>
  <si>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</si>
  <si>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</si>
  <si>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</si>
  <si>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</si>
  <si>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</si>
  <si>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</si>
  <si>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</si>
  <si>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</si>
  <si>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2028年</t>
  </si>
  <si>
    <t>2029年</t>
  </si>
  <si>
    <t>2030年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</si>
  <si>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</si>
  <si>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</si>
  <si>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</si>
  <si>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</si>
  <si>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</si>
  <si>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</si>
  <si>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</si>
  <si>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</si>
  <si>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 xml:space="preserve">销售价格
（元，未税）  </t>
  </si>
  <si>
    <t>销量（件）</t>
  </si>
  <si>
    <t>原材料成本</t>
  </si>
  <si>
    <t>附加值率</t>
  </si>
  <si>
    <t>预估原材料成本（单位：元，未税）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</si>
  <si>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</si>
  <si>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</si>
  <si>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</si>
  <si>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</si>
  <si>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</si>
  <si>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</si>
  <si>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</si>
  <si>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</si>
  <si>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</si>
  <si>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</si>
  <si>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</si>
  <si>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</si>
  <si>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</si>
  <si>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</si>
  <si>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</si>
  <si>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</si>
  <si>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</si>
  <si>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</si>
  <si>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</si>
  <si>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</si>
  <si>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</si>
  <si>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项    目</t>
  </si>
  <si>
    <t>内容</t>
  </si>
  <si>
    <t>说明</t>
  </si>
  <si>
    <t>生产地点</t>
  </si>
  <si>
    <t>客户地点</t>
  </si>
  <si>
    <t>送货地点</t>
  </si>
  <si>
    <t>客户付款方式</t>
  </si>
  <si>
    <t>承兑</t>
  </si>
  <si>
    <t>喷涂件生产地点</t>
  </si>
  <si>
    <t>委外加工</t>
  </si>
  <si>
    <t>物流包装信息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</si>
  <si>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</si>
  <si>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</si>
  <si>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</si>
  <si>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</si>
  <si>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</si>
  <si>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</si>
  <si>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</si>
  <si>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</si>
  <si>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</si>
  <si>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</si>
  <si>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三包周期</t>
  </si>
  <si>
    <t>涂红色处为必填项</t>
  </si>
  <si>
    <t>单位：元、%、未税</t>
  </si>
  <si>
    <t>科目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</si>
  <si>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</si>
  <si>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</si>
  <si>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</si>
  <si>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</si>
  <si>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</si>
  <si>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</si>
  <si>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</si>
  <si>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</si>
  <si>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</si>
  <si>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</si>
  <si>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</si>
  <si>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</si>
  <si>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</si>
  <si>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 xml:space="preserve">座椅项目研发费用预算表 </t>
    <phoneticPr fontId="45" type="noConversion"/>
  </si>
  <si>
    <r>
      <rPr>
        <sz val="11"/>
        <color theme="1"/>
        <rFont val="宋体"/>
        <family val="3"/>
        <charset val="134"/>
        <scheme val="minor"/>
      </rPr>
      <t>2024</t>
    </r>
    <r>
      <rPr>
        <sz val="11"/>
        <color theme="1"/>
        <rFont val="宋体"/>
        <family val="3"/>
        <charset val="134"/>
        <scheme val="minor"/>
      </rPr>
      <t>占收入比率</t>
    </r>
    <phoneticPr fontId="45" type="noConversion"/>
  </si>
  <si>
    <t>2031年</t>
  </si>
  <si>
    <t xml:space="preserve">2029年  </t>
    <phoneticPr fontId="45" type="noConversion"/>
  </si>
  <si>
    <t xml:space="preserve">2028年  </t>
    <phoneticPr fontId="45" type="noConversion"/>
  </si>
  <si>
    <t xml:space="preserve">2027年  </t>
    <phoneticPr fontId="45" type="noConversion"/>
  </si>
  <si>
    <t xml:space="preserve">2026年  </t>
    <phoneticPr fontId="45" type="noConversion"/>
  </si>
  <si>
    <t xml:space="preserve">2025年  </t>
    <phoneticPr fontId="45" type="noConversion"/>
  </si>
  <si>
    <r>
      <t>2025</t>
    </r>
    <r>
      <rPr>
        <b/>
        <sz val="10"/>
        <rFont val="宋体"/>
        <family val="3"/>
        <charset val="134"/>
      </rPr>
      <t>年</t>
    </r>
    <phoneticPr fontId="45" type="noConversion"/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</si>
  <si>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</si>
  <si>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</si>
  <si>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r>
      <t>2028年</t>
    </r>
    <r>
      <rPr>
        <b/>
        <sz val="10"/>
        <rFont val="宋体"/>
        <family val="3"/>
        <charset val="134"/>
      </rPr>
      <t/>
    </r>
  </si>
  <si>
    <r>
      <t>2029年</t>
    </r>
    <r>
      <rPr>
        <b/>
        <sz val="10"/>
        <rFont val="宋体"/>
        <family val="3"/>
        <charset val="134"/>
      </rPr>
      <t/>
    </r>
  </si>
  <si>
    <t>单位：未税、元</t>
    <phoneticPr fontId="45" type="noConversion"/>
  </si>
  <si>
    <t>直接材料</t>
    <phoneticPr fontId="45" type="noConversion"/>
  </si>
  <si>
    <t>2025年</t>
    <phoneticPr fontId="45" type="noConversion"/>
  </si>
  <si>
    <t>单件边际贡献</t>
    <phoneticPr fontId="45" type="noConversion"/>
  </si>
  <si>
    <t>单台材料成本为未税价格，骨架、底支架自制。</t>
    <phoneticPr fontId="45" type="noConversion"/>
  </si>
  <si>
    <t>西安数据</t>
    <phoneticPr fontId="45" type="noConversion"/>
  </si>
  <si>
    <t>长春工厂平均值</t>
    <phoneticPr fontId="45" type="noConversion"/>
  </si>
  <si>
    <t>变动费用参考长春工厂2024年实际暂估。</t>
    <phoneticPr fontId="45" type="noConversion"/>
  </si>
  <si>
    <t>财务费用按综合数据。</t>
    <phoneticPr fontId="45" type="noConversion"/>
  </si>
  <si>
    <t>一汽解放汽车有限公司</t>
    <phoneticPr fontId="45" type="noConversion"/>
  </si>
  <si>
    <t>长春</t>
  </si>
  <si>
    <t>前座总成</t>
  </si>
  <si>
    <t>供应商年降：       年3 %</t>
    <phoneticPr fontId="45" type="noConversion"/>
  </si>
  <si>
    <t>现汇或承兑的比例</t>
  </si>
  <si>
    <t>河北</t>
  </si>
  <si>
    <t>否</t>
  </si>
  <si>
    <t>无</t>
  </si>
  <si>
    <t>是</t>
  </si>
  <si>
    <t>短途物流车</t>
  </si>
  <si>
    <t>24个月</t>
  </si>
  <si>
    <t>账面</t>
    <phoneticPr fontId="45" type="noConversion"/>
  </si>
  <si>
    <t>含前期房租200万</t>
    <phoneticPr fontId="45" type="noConversion"/>
  </si>
  <si>
    <t>J6G新能源管梁副驾项目投资收益分析</t>
    <phoneticPr fontId="45" type="noConversion"/>
  </si>
  <si>
    <t>J6G新能源管梁副驾项目</t>
    <phoneticPr fontId="45" type="noConversion"/>
  </si>
  <si>
    <t>6900010UH13J/A</t>
  </si>
  <si>
    <t>管梁副驾带安全带</t>
  </si>
  <si>
    <r>
      <t>S</t>
    </r>
    <r>
      <rPr>
        <sz val="11"/>
        <color theme="1"/>
        <rFont val="宋体"/>
        <family val="3"/>
        <charset val="134"/>
        <scheme val="minor"/>
      </rPr>
      <t>OP</t>
    </r>
    <phoneticPr fontId="45" type="noConversion"/>
  </si>
  <si>
    <t>摊销</t>
    <phoneticPr fontId="45" type="noConversion"/>
  </si>
  <si>
    <t>模具工程师王召学</t>
  </si>
  <si>
    <t>研发费用按照产品生命周期或产销量摊销。</t>
    <phoneticPr fontId="45" type="noConversion"/>
  </si>
  <si>
    <t>所得税(税率25%）</t>
    <phoneticPr fontId="45" type="noConversion"/>
  </si>
  <si>
    <t>所得税25%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</si>
</sst>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#,##0.00_ "/>
    <numFmt numFmtId="177" formatCode="_ * #,##0_ ;_ * \-#,##0_ ;_ * &quot;-&quot;??_ ;_ @_ "/>
    <numFmt numFmtId="178" formatCode="0.0%"/>
    <numFmt numFmtId="179" formatCode="0_ "/>
    <numFmt numFmtId="180" formatCode="0.00_ "/>
    <numFmt numFmtId="181" formatCode="&quot;$&quot;#,##0.00_);[Red]\(&quot;$&quot;#,##0.00\)"/>
  </numFmts>
  <fonts count="54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FF0000"/>
      <name val="微软雅黑"/>
      <family val="2"/>
      <charset val="134"/>
    </font>
    <font>
      <sz val="16"/>
      <color theme="1"/>
      <name val="微软雅黑"/>
      <family val="2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6"/>
      <color theme="1"/>
      <name val="微软雅黑"/>
      <family val="2"/>
      <charset val="134"/>
    </font>
    <font>
      <b/>
      <sz val="16"/>
      <color theme="1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43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36" fillId="0" borderId="0"/>
    <xf numFmtId="0" fontId="37" fillId="0" borderId="2" applyNumberFormat="0" applyFill="0" applyBorder="0" applyAlignment="0" applyProtection="0">
      <alignment vertical="center"/>
    </xf>
    <xf numFmtId="0" fontId="44" fillId="0" borderId="0">
      <alignment vertical="center"/>
    </xf>
    <xf numFmtId="0" fontId="38" fillId="0" borderId="0"/>
    <xf numFmtId="0" fontId="39" fillId="0" borderId="0"/>
    <xf numFmtId="1" fontId="40" fillId="0" borderId="2" applyBorder="0"/>
    <xf numFmtId="43" fontId="41" fillId="0" borderId="0" applyFont="0" applyFill="0" applyBorder="0" applyAlignment="0" applyProtection="0">
      <alignment vertical="center"/>
    </xf>
    <xf numFmtId="0" fontId="38" fillId="0" borderId="0"/>
    <xf numFmtId="0" fontId="38" fillId="0" borderId="0"/>
  </cellStyleXfs>
  <cellXfs count="26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2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2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3" fontId="10" fillId="4" borderId="2" xfId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horizontal="center" vertical="center" wrapText="1"/>
    </xf>
    <xf numFmtId="43" fontId="5" fillId="5" borderId="0" xfId="1" applyFont="1" applyFill="1" applyAlignment="1">
      <alignment horizontal="center" vertical="center" wrapText="1"/>
    </xf>
    <xf numFmtId="43" fontId="5" fillId="5" borderId="2" xfId="1" applyFont="1" applyFill="1" applyBorder="1" applyAlignment="1">
      <alignment vertical="center" wrapText="1"/>
    </xf>
    <xf numFmtId="43" fontId="10" fillId="0" borderId="2" xfId="1" applyFont="1" applyBorder="1" applyAlignment="1">
      <alignment vertical="center" wrapText="1"/>
    </xf>
    <xf numFmtId="43" fontId="5" fillId="0" borderId="0" xfId="0" applyNumberFormat="1" applyFont="1" applyAlignment="1">
      <alignment horizontal="center" vertical="center" wrapText="1"/>
    </xf>
    <xf numFmtId="43" fontId="2" fillId="0" borderId="0" xfId="0" applyNumberFormat="1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177" fontId="2" fillId="0" borderId="0" xfId="1" applyNumberFormat="1" applyFont="1" applyFill="1">
      <alignment vertical="center"/>
    </xf>
    <xf numFmtId="0" fontId="11" fillId="0" borderId="0" xfId="0" applyFont="1" applyFill="1" applyAlignment="1">
      <alignment vertical="center"/>
    </xf>
    <xf numFmtId="10" fontId="2" fillId="0" borderId="0" xfId="0" applyNumberFormat="1" applyFont="1" applyFill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177" fontId="12" fillId="0" borderId="2" xfId="1" applyNumberFormat="1" applyFont="1" applyFill="1" applyBorder="1" applyAlignment="1">
      <alignment horizontal="center" vertical="center" wrapText="1" readingOrder="1"/>
    </xf>
    <xf numFmtId="176" fontId="12" fillId="0" borderId="2" xfId="0" applyNumberFormat="1" applyFont="1" applyFill="1" applyBorder="1" applyAlignment="1">
      <alignment horizontal="center" vertical="center" wrapText="1" readingOrder="1"/>
    </xf>
    <xf numFmtId="0" fontId="12" fillId="0" borderId="2" xfId="0" applyFont="1" applyFill="1" applyBorder="1" applyAlignment="1">
      <alignment horizontal="center" vertical="center" wrapText="1" readingOrder="1"/>
    </xf>
    <xf numFmtId="43" fontId="2" fillId="0" borderId="0" xfId="1" applyFont="1" applyFill="1">
      <alignment vertical="center"/>
    </xf>
    <xf numFmtId="0" fontId="13" fillId="0" borderId="0" xfId="0" applyFont="1" applyBorder="1" applyAlignment="1">
      <alignment horizontal="center" vertical="center" wrapText="1"/>
    </xf>
    <xf numFmtId="43" fontId="0" fillId="0" borderId="0" xfId="1" applyFont="1">
      <alignment vertical="center"/>
    </xf>
    <xf numFmtId="179" fontId="15" fillId="7" borderId="2" xfId="7" applyNumberFormat="1" applyFont="1" applyFill="1" applyBorder="1" applyAlignment="1">
      <alignment horizontal="center" vertical="center" wrapText="1"/>
    </xf>
    <xf numFmtId="43" fontId="15" fillId="7" borderId="2" xfId="1" applyFont="1" applyFill="1" applyBorder="1" applyAlignment="1">
      <alignment horizontal="center" vertical="center" wrapText="1"/>
    </xf>
    <xf numFmtId="0" fontId="15" fillId="7" borderId="2" xfId="3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9" fontId="16" fillId="0" borderId="2" xfId="7" applyNumberFormat="1" applyFont="1" applyFill="1" applyBorder="1" applyAlignment="1">
      <alignment horizontal="left" vertical="center"/>
    </xf>
    <xf numFmtId="43" fontId="16" fillId="4" borderId="2" xfId="1" applyFont="1" applyFill="1" applyBorder="1" applyAlignment="1">
      <alignment horizontal="center" vertical="center"/>
    </xf>
    <xf numFmtId="0" fontId="17" fillId="6" borderId="2" xfId="3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3" fillId="3" borderId="2" xfId="1" applyFont="1" applyFill="1" applyBorder="1" applyAlignment="1" applyProtection="1">
      <alignment horizontal="center" vertical="center"/>
    </xf>
    <xf numFmtId="0" fontId="18" fillId="6" borderId="2" xfId="3" applyNumberFormat="1" applyFont="1" applyFill="1" applyBorder="1" applyAlignment="1" applyProtection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0" fontId="0" fillId="8" borderId="2" xfId="0" applyFill="1" applyBorder="1">
      <alignment vertical="center"/>
    </xf>
    <xf numFmtId="179" fontId="16" fillId="0" borderId="3" xfId="7" applyNumberFormat="1" applyFont="1" applyFill="1" applyBorder="1" applyAlignment="1">
      <alignment horizontal="center" vertical="center"/>
    </xf>
    <xf numFmtId="179" fontId="16" fillId="0" borderId="3" xfId="7" applyNumberFormat="1" applyFont="1" applyFill="1" applyBorder="1" applyAlignment="1">
      <alignment horizontal="left" vertical="center" wrapText="1"/>
    </xf>
    <xf numFmtId="0" fontId="17" fillId="6" borderId="2" xfId="3" applyNumberFormat="1" applyFont="1" applyFill="1" applyBorder="1" applyAlignment="1" applyProtection="1">
      <alignment horizontal="center" vertical="center" wrapText="1"/>
    </xf>
    <xf numFmtId="43" fontId="16" fillId="3" borderId="2" xfId="1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readingOrder="1"/>
    </xf>
    <xf numFmtId="43" fontId="9" fillId="0" borderId="2" xfId="0" applyNumberFormat="1" applyFont="1" applyBorder="1">
      <alignment vertical="center"/>
    </xf>
    <xf numFmtId="43" fontId="9" fillId="0" borderId="2" xfId="1" applyNumberFormat="1" applyFont="1" applyBorder="1">
      <alignment vertical="center"/>
    </xf>
    <xf numFmtId="43" fontId="9" fillId="0" borderId="2" xfId="1" applyFont="1" applyBorder="1">
      <alignment vertical="center"/>
    </xf>
    <xf numFmtId="0" fontId="2" fillId="0" borderId="6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20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43" fontId="20" fillId="0" borderId="0" xfId="1" applyFont="1" applyFill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>
      <alignment vertical="center"/>
    </xf>
    <xf numFmtId="0" fontId="26" fillId="0" borderId="2" xfId="0" applyFon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 wrapText="1" readingOrder="1"/>
    </xf>
    <xf numFmtId="43" fontId="20" fillId="0" borderId="2" xfId="1" applyFont="1" applyFill="1" applyBorder="1" applyAlignment="1">
      <alignment horizontal="center" vertical="center"/>
    </xf>
    <xf numFmtId="43" fontId="20" fillId="0" borderId="0" xfId="0" applyNumberFormat="1" applyFont="1" applyFill="1">
      <alignment vertical="center"/>
    </xf>
    <xf numFmtId="0" fontId="26" fillId="0" borderId="2" xfId="0" applyFont="1" applyFill="1" applyBorder="1">
      <alignment vertical="center"/>
    </xf>
    <xf numFmtId="10" fontId="20" fillId="0" borderId="2" xfId="2" applyNumberFormat="1" applyFont="1" applyFill="1" applyBorder="1" applyAlignment="1">
      <alignment horizontal="center" vertical="center"/>
    </xf>
    <xf numFmtId="10" fontId="20" fillId="0" borderId="0" xfId="0" applyNumberFormat="1" applyFont="1" applyFill="1">
      <alignment vertical="center"/>
    </xf>
    <xf numFmtId="0" fontId="21" fillId="0" borderId="2" xfId="0" applyFont="1" applyFill="1" applyBorder="1">
      <alignment vertical="center"/>
    </xf>
    <xf numFmtId="43" fontId="21" fillId="0" borderId="2" xfId="1" applyFont="1" applyFill="1" applyBorder="1">
      <alignment vertical="center"/>
    </xf>
    <xf numFmtId="0" fontId="28" fillId="0" borderId="0" xfId="0" applyFont="1" applyFill="1">
      <alignment vertical="center"/>
    </xf>
    <xf numFmtId="43" fontId="20" fillId="0" borderId="2" xfId="1" applyFont="1" applyFill="1" applyBorder="1">
      <alignment vertical="center"/>
    </xf>
    <xf numFmtId="0" fontId="22" fillId="0" borderId="2" xfId="0" applyFont="1" applyFill="1" applyBorder="1">
      <alignment vertical="center"/>
    </xf>
    <xf numFmtId="180" fontId="20" fillId="0" borderId="0" xfId="0" applyNumberFormat="1" applyFont="1" applyFill="1">
      <alignment vertical="center"/>
    </xf>
    <xf numFmtId="10" fontId="20" fillId="0" borderId="2" xfId="2" applyNumberFormat="1" applyFont="1" applyFill="1" applyBorder="1">
      <alignment vertical="center"/>
    </xf>
    <xf numFmtId="43" fontId="21" fillId="0" borderId="2" xfId="1" applyFont="1" applyFill="1" applyBorder="1" applyAlignment="1">
      <alignment horizontal="center" vertical="center"/>
    </xf>
    <xf numFmtId="43" fontId="20" fillId="0" borderId="2" xfId="0" applyNumberFormat="1" applyFont="1" applyFill="1" applyBorder="1">
      <alignment vertical="center"/>
    </xf>
    <xf numFmtId="43" fontId="22" fillId="0" borderId="2" xfId="1" applyFont="1" applyFill="1" applyBorder="1">
      <alignment vertical="center"/>
    </xf>
    <xf numFmtId="43" fontId="20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12" fillId="4" borderId="2" xfId="0" applyFont="1" applyFill="1" applyBorder="1" applyAlignment="1">
      <alignment horizontal="center" vertical="center" wrapText="1" readingOrder="1"/>
    </xf>
    <xf numFmtId="0" fontId="22" fillId="0" borderId="0" xfId="0" applyFont="1">
      <alignment vertical="center"/>
    </xf>
    <xf numFmtId="0" fontId="20" fillId="0" borderId="0" xfId="0" applyFont="1" applyBorder="1">
      <alignment vertical="center"/>
    </xf>
    <xf numFmtId="0" fontId="20" fillId="0" borderId="0" xfId="0" applyFont="1">
      <alignment vertical="center"/>
    </xf>
    <xf numFmtId="43" fontId="20" fillId="0" borderId="0" xfId="1" applyFont="1">
      <alignment vertical="center"/>
    </xf>
    <xf numFmtId="43" fontId="29" fillId="0" borderId="2" xfId="1" applyFont="1" applyFill="1" applyBorder="1" applyAlignment="1">
      <alignment horizontal="center" vertical="center" wrapText="1"/>
    </xf>
    <xf numFmtId="177" fontId="20" fillId="0" borderId="2" xfId="1" applyNumberFormat="1" applyFont="1" applyFill="1" applyBorder="1" applyAlignment="1">
      <alignment horizontal="center" vertical="center"/>
    </xf>
    <xf numFmtId="177" fontId="22" fillId="0" borderId="2" xfId="1" applyNumberFormat="1" applyFont="1" applyFill="1" applyBorder="1" applyAlignment="1">
      <alignment horizontal="center" vertical="center"/>
    </xf>
    <xf numFmtId="0" fontId="30" fillId="0" borderId="2" xfId="0" applyFont="1" applyFill="1" applyBorder="1">
      <alignment vertical="center"/>
    </xf>
    <xf numFmtId="0" fontId="20" fillId="0" borderId="2" xfId="0" applyFont="1" applyBorder="1">
      <alignment vertical="center"/>
    </xf>
    <xf numFmtId="10" fontId="22" fillId="0" borderId="2" xfId="2" applyNumberFormat="1" applyFont="1" applyBorder="1" applyAlignment="1">
      <alignment vertical="center"/>
    </xf>
    <xf numFmtId="177" fontId="22" fillId="0" borderId="2" xfId="1" applyNumberFormat="1" applyFont="1" applyBorder="1" applyAlignment="1">
      <alignment horizontal="center" vertical="center"/>
    </xf>
    <xf numFmtId="177" fontId="20" fillId="0" borderId="2" xfId="1" applyNumberFormat="1" applyFont="1" applyFill="1" applyBorder="1">
      <alignment vertical="center"/>
    </xf>
    <xf numFmtId="177" fontId="20" fillId="0" borderId="2" xfId="1" applyNumberFormat="1" applyFont="1" applyBorder="1" applyAlignment="1">
      <alignment horizontal="center" vertical="center"/>
    </xf>
    <xf numFmtId="10" fontId="20" fillId="0" borderId="2" xfId="2" applyNumberFormat="1" applyFont="1" applyBorder="1">
      <alignment vertical="center"/>
    </xf>
    <xf numFmtId="10" fontId="20" fillId="0" borderId="0" xfId="2" applyNumberFormat="1" applyFont="1" applyBorder="1">
      <alignment vertical="center"/>
    </xf>
    <xf numFmtId="43" fontId="20" fillId="0" borderId="0" xfId="1" applyFont="1" applyBorder="1">
      <alignment vertical="center"/>
    </xf>
    <xf numFmtId="0" fontId="26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43" fontId="20" fillId="0" borderId="2" xfId="1" applyFont="1" applyBorder="1">
      <alignment vertical="center"/>
    </xf>
    <xf numFmtId="177" fontId="20" fillId="0" borderId="2" xfId="1" applyNumberFormat="1" applyFont="1" applyBorder="1">
      <alignment vertical="center"/>
    </xf>
    <xf numFmtId="43" fontId="24" fillId="0" borderId="2" xfId="1" applyFont="1" applyFill="1" applyBorder="1" applyAlignment="1">
      <alignment horizontal="center" vertical="center" wrapText="1"/>
    </xf>
    <xf numFmtId="0" fontId="22" fillId="0" borderId="2" xfId="0" applyFont="1" applyBorder="1">
      <alignment vertical="center"/>
    </xf>
    <xf numFmtId="0" fontId="30" fillId="0" borderId="2" xfId="0" applyFont="1" applyBorder="1">
      <alignment vertical="center"/>
    </xf>
    <xf numFmtId="0" fontId="20" fillId="0" borderId="6" xfId="0" applyFont="1" applyBorder="1">
      <alignment vertical="center"/>
    </xf>
    <xf numFmtId="1" fontId="16" fillId="6" borderId="0" xfId="3" applyNumberFormat="1" applyFont="1" applyFill="1" applyProtection="1"/>
    <xf numFmtId="0" fontId="16" fillId="6" borderId="0" xfId="3" applyFont="1" applyFill="1" applyProtection="1"/>
    <xf numFmtId="0" fontId="31" fillId="6" borderId="0" xfId="3" applyFont="1" applyFill="1" applyAlignment="1" applyProtection="1">
      <alignment horizontal="centerContinuous"/>
    </xf>
    <xf numFmtId="0" fontId="16" fillId="6" borderId="0" xfId="3" applyFont="1" applyFill="1" applyAlignment="1">
      <alignment horizontal="centerContinuous"/>
    </xf>
    <xf numFmtId="0" fontId="16" fillId="6" borderId="0" xfId="3" applyFont="1" applyFill="1" applyAlignment="1" applyProtection="1">
      <alignment horizontal="centerContinuous"/>
    </xf>
    <xf numFmtId="9" fontId="16" fillId="6" borderId="0" xfId="3" applyNumberFormat="1" applyFont="1" applyFill="1" applyProtection="1"/>
    <xf numFmtId="0" fontId="16" fillId="6" borderId="6" xfId="3" applyFont="1" applyFill="1" applyBorder="1" applyAlignment="1" applyProtection="1">
      <alignment horizontal="center"/>
    </xf>
    <xf numFmtId="0" fontId="18" fillId="6" borderId="2" xfId="3" applyFont="1" applyFill="1" applyBorder="1" applyAlignment="1" applyProtection="1">
      <alignment horizontal="center"/>
    </xf>
    <xf numFmtId="0" fontId="18" fillId="6" borderId="4" xfId="3" applyFont="1" applyFill="1" applyBorder="1" applyAlignment="1" applyProtection="1">
      <alignment horizontal="center"/>
    </xf>
    <xf numFmtId="1" fontId="18" fillId="6" borderId="4" xfId="8" applyFont="1" applyFill="1" applyBorder="1"/>
    <xf numFmtId="1" fontId="16" fillId="6" borderId="4" xfId="8" applyFont="1" applyFill="1" applyBorder="1"/>
    <xf numFmtId="0" fontId="16" fillId="6" borderId="7" xfId="3" applyFont="1" applyFill="1" applyBorder="1" applyProtection="1"/>
    <xf numFmtId="0" fontId="16" fillId="6" borderId="2" xfId="3" applyFont="1" applyFill="1" applyBorder="1" applyAlignment="1" applyProtection="1">
      <alignment horizontal="center"/>
    </xf>
    <xf numFmtId="0" fontId="16" fillId="6" borderId="2" xfId="3" applyFont="1" applyFill="1" applyBorder="1" applyAlignment="1" applyProtection="1">
      <alignment horizontal="left"/>
    </xf>
    <xf numFmtId="0" fontId="16" fillId="9" borderId="2" xfId="3" applyFont="1" applyFill="1" applyBorder="1" applyProtection="1"/>
    <xf numFmtId="177" fontId="16" fillId="9" borderId="2" xfId="1" applyNumberFormat="1" applyFont="1" applyFill="1" applyBorder="1" applyAlignment="1" applyProtection="1"/>
    <xf numFmtId="0" fontId="16" fillId="6" borderId="2" xfId="3" applyFont="1" applyFill="1" applyBorder="1" applyProtection="1"/>
    <xf numFmtId="177" fontId="16" fillId="6" borderId="2" xfId="1" applyNumberFormat="1" applyFont="1" applyFill="1" applyBorder="1" applyAlignment="1" applyProtection="1"/>
    <xf numFmtId="0" fontId="16" fillId="6" borderId="2" xfId="3" applyNumberFormat="1" applyFont="1" applyFill="1" applyBorder="1" applyAlignment="1" applyProtection="1">
      <alignment horizontal="left"/>
    </xf>
    <xf numFmtId="1" fontId="16" fillId="6" borderId="2" xfId="3" applyNumberFormat="1" applyFont="1" applyFill="1" applyBorder="1" applyProtection="1"/>
    <xf numFmtId="1" fontId="16" fillId="6" borderId="2" xfId="3" applyNumberFormat="1" applyFont="1" applyFill="1" applyBorder="1" applyAlignment="1" applyProtection="1">
      <alignment horizontal="left"/>
    </xf>
    <xf numFmtId="0" fontId="16" fillId="6" borderId="8" xfId="3" applyFont="1" applyFill="1" applyBorder="1" applyProtection="1"/>
    <xf numFmtId="0" fontId="16" fillId="6" borderId="11" xfId="3" applyFont="1" applyFill="1" applyBorder="1" applyProtection="1"/>
    <xf numFmtId="0" fontId="16" fillId="6" borderId="12" xfId="3" applyFont="1" applyFill="1" applyBorder="1" applyProtection="1"/>
    <xf numFmtId="0" fontId="16" fillId="6" borderId="0" xfId="3" applyFont="1" applyFill="1" applyBorder="1" applyProtection="1"/>
    <xf numFmtId="181" fontId="16" fillId="6" borderId="0" xfId="3" applyNumberFormat="1" applyFont="1" applyFill="1" applyBorder="1" applyProtection="1"/>
    <xf numFmtId="10" fontId="16" fillId="6" borderId="0" xfId="3" applyNumberFormat="1" applyFont="1" applyFill="1" applyBorder="1" applyProtection="1"/>
    <xf numFmtId="1" fontId="16" fillId="6" borderId="0" xfId="3" applyNumberFormat="1" applyFont="1" applyFill="1" applyBorder="1" applyProtection="1"/>
    <xf numFmtId="0" fontId="16" fillId="6" borderId="13" xfId="3" applyFont="1" applyFill="1" applyBorder="1" applyProtection="1"/>
    <xf numFmtId="0" fontId="16" fillId="6" borderId="1" xfId="3" applyFont="1" applyFill="1" applyBorder="1" applyProtection="1"/>
    <xf numFmtId="2" fontId="16" fillId="6" borderId="1" xfId="3" applyNumberFormat="1" applyFont="1" applyFill="1" applyBorder="1" applyProtection="1"/>
    <xf numFmtId="0" fontId="16" fillId="6" borderId="5" xfId="3" applyFont="1" applyFill="1" applyBorder="1"/>
    <xf numFmtId="1" fontId="16" fillId="6" borderId="7" xfId="8" applyFont="1" applyFill="1" applyBorder="1" applyAlignment="1">
      <alignment horizontal="center"/>
    </xf>
    <xf numFmtId="0" fontId="16" fillId="6" borderId="9" xfId="3" applyFont="1" applyFill="1" applyBorder="1" applyProtection="1"/>
    <xf numFmtId="0" fontId="16" fillId="6" borderId="14" xfId="3" applyFont="1" applyFill="1" applyBorder="1" applyProtection="1"/>
    <xf numFmtId="0" fontId="16" fillId="6" borderId="15" xfId="3" applyFont="1" applyFill="1" applyBorder="1" applyProtection="1"/>
    <xf numFmtId="0" fontId="32" fillId="0" borderId="0" xfId="0" applyFont="1">
      <alignment vertical="center"/>
    </xf>
    <xf numFmtId="0" fontId="33" fillId="0" borderId="2" xfId="0" applyFont="1" applyBorder="1" applyAlignment="1">
      <alignment horizontal="center" vertical="center" wrapText="1" readingOrder="1"/>
    </xf>
    <xf numFmtId="0" fontId="32" fillId="0" borderId="0" xfId="0" applyFont="1" applyFill="1">
      <alignment vertical="center"/>
    </xf>
    <xf numFmtId="0" fontId="12" fillId="0" borderId="2" xfId="0" applyFont="1" applyBorder="1" applyAlignment="1">
      <alignment horizontal="center" vertical="center" wrapText="1" readingOrder="1"/>
    </xf>
    <xf numFmtId="0" fontId="34" fillId="0" borderId="2" xfId="0" applyFont="1" applyBorder="1" applyAlignment="1">
      <alignment horizontal="left" vertical="center" wrapText="1" readingOrder="1"/>
    </xf>
    <xf numFmtId="0" fontId="34" fillId="0" borderId="2" xfId="0" applyFont="1" applyFill="1" applyBorder="1" applyAlignment="1">
      <alignment horizontal="left" vertical="center" wrapText="1" readingOrder="1"/>
    </xf>
    <xf numFmtId="0" fontId="34" fillId="0" borderId="2" xfId="0" applyFont="1" applyBorder="1" applyAlignment="1">
      <alignment horizontal="center" vertical="center" wrapText="1" readingOrder="1"/>
    </xf>
    <xf numFmtId="0" fontId="34" fillId="0" borderId="0" xfId="0" applyFont="1" applyFill="1" applyBorder="1" applyAlignment="1">
      <alignment horizontal="left" vertical="center" wrapText="1" readingOrder="1"/>
    </xf>
    <xf numFmtId="0" fontId="35" fillId="0" borderId="2" xfId="0" applyFont="1" applyFill="1" applyBorder="1" applyAlignment="1">
      <alignment horizontal="center" vertical="center" wrapText="1"/>
    </xf>
    <xf numFmtId="0" fontId="46" fillId="0" borderId="2" xfId="0" applyFont="1" applyFill="1" applyBorder="1" applyAlignment="1">
      <alignment horizontal="center" vertical="center" wrapText="1" readingOrder="1"/>
    </xf>
    <xf numFmtId="0" fontId="20" fillId="0" borderId="1" xfId="0" applyFont="1" applyBorder="1" applyAlignment="1">
      <alignment vertical="center"/>
    </xf>
    <xf numFmtId="0" fontId="2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2" fillId="0" borderId="2" xfId="0" applyFont="1" applyFill="1" applyBorder="1">
      <alignment vertical="center"/>
    </xf>
    <xf numFmtId="43" fontId="2" fillId="0" borderId="2" xfId="0" applyNumberFormat="1" applyFont="1" applyFill="1" applyBorder="1">
      <alignment vertical="center"/>
    </xf>
    <xf numFmtId="43" fontId="2" fillId="0" borderId="2" xfId="1" applyFont="1" applyFill="1" applyBorder="1">
      <alignment vertical="center"/>
    </xf>
    <xf numFmtId="178" fontId="2" fillId="0" borderId="2" xfId="2" applyNumberFormat="1" applyFont="1" applyFill="1" applyBorder="1">
      <alignment vertical="center"/>
    </xf>
    <xf numFmtId="0" fontId="28" fillId="0" borderId="0" xfId="0" applyFont="1">
      <alignment vertical="center"/>
    </xf>
    <xf numFmtId="0" fontId="35" fillId="0" borderId="0" xfId="0" applyFont="1" applyFill="1">
      <alignment vertical="center"/>
    </xf>
    <xf numFmtId="0" fontId="35" fillId="0" borderId="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35" fillId="0" borderId="0" xfId="0" applyFont="1" applyFill="1" applyAlignment="1">
      <alignment vertical="center" wrapText="1"/>
    </xf>
    <xf numFmtId="0" fontId="12" fillId="0" borderId="6" xfId="0" applyFont="1" applyBorder="1" applyAlignment="1">
      <alignment horizontal="center" vertical="center" wrapText="1" readingOrder="1"/>
    </xf>
    <xf numFmtId="0" fontId="12" fillId="0" borderId="10" xfId="0" applyFont="1" applyBorder="1" applyAlignment="1">
      <alignment horizontal="center" vertical="center" wrapText="1" readingOrder="1"/>
    </xf>
    <xf numFmtId="0" fontId="18" fillId="6" borderId="2" xfId="3" applyFont="1" applyFill="1" applyBorder="1" applyAlignment="1" applyProtection="1">
      <alignment horizontal="center"/>
    </xf>
    <xf numFmtId="0" fontId="26" fillId="0" borderId="6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3" fontId="24" fillId="0" borderId="6" xfId="1" applyFont="1" applyFill="1" applyBorder="1" applyAlignment="1">
      <alignment horizontal="center" vertical="center" wrapText="1"/>
    </xf>
    <xf numFmtId="43" fontId="24" fillId="0" borderId="10" xfId="1" applyFont="1" applyFill="1" applyBorder="1" applyAlignment="1">
      <alignment horizontal="center" vertical="center" wrapText="1"/>
    </xf>
    <xf numFmtId="43" fontId="24" fillId="0" borderId="7" xfId="1" applyFont="1" applyFill="1" applyBorder="1" applyAlignment="1">
      <alignment horizontal="center" vertical="center" wrapText="1"/>
    </xf>
    <xf numFmtId="43" fontId="20" fillId="0" borderId="3" xfId="1" applyFont="1" applyFill="1" applyBorder="1" applyAlignment="1">
      <alignment horizontal="center" vertical="center"/>
    </xf>
    <xf numFmtId="43" fontId="20" fillId="0" borderId="4" xfId="1" applyFont="1" applyFill="1" applyBorder="1" applyAlignment="1">
      <alignment horizontal="center" vertical="center"/>
    </xf>
    <xf numFmtId="43" fontId="20" fillId="0" borderId="5" xfId="1" applyFont="1" applyFill="1" applyBorder="1" applyAlignment="1">
      <alignment horizontal="center" vertical="center"/>
    </xf>
    <xf numFmtId="43" fontId="20" fillId="4" borderId="2" xfId="1" applyFont="1" applyFill="1" applyBorder="1" applyAlignment="1">
      <alignment horizontal="center" vertical="center"/>
    </xf>
    <xf numFmtId="0" fontId="14" fillId="6" borderId="1" xfId="3" applyNumberFormat="1" applyFont="1" applyFill="1" applyBorder="1" applyAlignment="1" applyProtection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 readingOrder="1"/>
    </xf>
    <xf numFmtId="0" fontId="12" fillId="0" borderId="10" xfId="0" applyFont="1" applyFill="1" applyBorder="1" applyAlignment="1">
      <alignment horizontal="center" vertical="center" wrapText="1" readingOrder="1"/>
    </xf>
    <xf numFmtId="0" fontId="12" fillId="0" borderId="7" xfId="0" applyFont="1" applyFill="1" applyBorder="1" applyAlignment="1">
      <alignment horizontal="center" vertical="center" wrapText="1" readingOrder="1"/>
    </xf>
    <xf numFmtId="0" fontId="50" fillId="0" borderId="0" xfId="0" applyFont="1" applyFill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10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26" fillId="10" borderId="2" xfId="0" applyFont="1" applyFill="1" applyBorder="1">
      <alignment vertical="center"/>
    </xf>
    <xf numFmtId="177" fontId="22" fillId="10" borderId="2" xfId="1" applyNumberFormat="1" applyFont="1" applyFill="1" applyBorder="1" applyAlignment="1">
      <alignment horizontal="center" vertical="center"/>
    </xf>
    <xf numFmtId="0" fontId="30" fillId="10" borderId="2" xfId="0" applyFont="1" applyFill="1" applyBorder="1">
      <alignment vertical="center"/>
    </xf>
    <xf numFmtId="177" fontId="4" fillId="0" borderId="2" xfId="0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Alignment="1">
      <alignment vertical="center" readingOrder="1"/>
    </xf>
    <xf numFmtId="176" fontId="2" fillId="0" borderId="0" xfId="0" applyNumberFormat="1" applyFont="1" applyFill="1" applyAlignment="1">
      <alignment vertical="center" readingOrder="1"/>
    </xf>
  </cellXfs>
  <cellStyles count="12">
    <cellStyle name="_x000a_mouse.drv=lm" xfId="3"/>
    <cellStyle name="BOM_Level_Below3" xfId="4"/>
    <cellStyle name="百分比" xfId="2" builtinId="5"/>
    <cellStyle name="常规" xfId="0" builtinId="0"/>
    <cellStyle name="常规 11 2" xfId="5"/>
    <cellStyle name="常规 2" xfId="6"/>
    <cellStyle name="常规_20061221C2项目损益分析（概念稿）" xfId="7"/>
    <cellStyle name="普通_销售收入.XLS" xfId="8"/>
    <cellStyle name="千位分隔" xfId="1" builtinId="3"/>
    <cellStyle name="千位分隔 2 25" xfId="9"/>
    <cellStyle name="样式 1" xfId="10"/>
    <cellStyle name="样式 1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87;&#34892;&#24615;&#20998;&#26512;/&#36731;&#21345;/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9" sqref="C9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69" customFormat="1" ht="35.25" customHeight="1">
      <c r="A2" s="170" t="s">
        <v>0</v>
      </c>
      <c r="B2" s="170" t="s">
        <v>1</v>
      </c>
      <c r="C2" s="170" t="s">
        <v>2</v>
      </c>
      <c r="D2" s="171"/>
    </row>
    <row r="3" spans="1:4" s="169" customFormat="1" ht="33.75" customHeight="1">
      <c r="A3" s="172">
        <v>1</v>
      </c>
      <c r="B3" s="172" t="s">
        <v>3</v>
      </c>
      <c r="C3" s="173" t="s">
        <v>4</v>
      </c>
      <c r="D3" s="171"/>
    </row>
    <row r="4" spans="1:4" s="169" customFormat="1" ht="33.75" customHeight="1">
      <c r="A4" s="172">
        <v>2</v>
      </c>
      <c r="B4" s="172" t="s">
        <v>5</v>
      </c>
      <c r="C4" s="173" t="s">
        <v>6</v>
      </c>
    </row>
    <row r="5" spans="1:4" s="169" customFormat="1" ht="33.75" customHeight="1">
      <c r="A5" s="172">
        <v>3</v>
      </c>
      <c r="B5" s="196" t="s">
        <v>7</v>
      </c>
      <c r="C5" s="174" t="s">
        <v>8</v>
      </c>
    </row>
    <row r="6" spans="1:4" s="169" customFormat="1" ht="33.75" customHeight="1">
      <c r="A6" s="172">
        <v>4</v>
      </c>
      <c r="B6" s="197"/>
      <c r="C6" s="173" t="s">
        <v>276</v>
      </c>
    </row>
    <row r="7" spans="1:4" s="169" customFormat="1" ht="33.75" customHeight="1">
      <c r="A7" s="172">
        <v>5</v>
      </c>
      <c r="B7" s="175" t="s">
        <v>9</v>
      </c>
      <c r="C7" s="173" t="s">
        <v>279</v>
      </c>
    </row>
    <row r="8" spans="1:4" s="169" customFormat="1" ht="33.75" customHeight="1">
      <c r="A8" s="172">
        <v>6</v>
      </c>
      <c r="B8" s="196" t="s">
        <v>10</v>
      </c>
      <c r="C8" s="173" t="s">
        <v>11</v>
      </c>
    </row>
    <row r="9" spans="1:4" s="169" customFormat="1" ht="33.75" customHeight="1">
      <c r="A9" s="172">
        <v>7</v>
      </c>
      <c r="B9" s="197"/>
      <c r="C9" s="173" t="s">
        <v>301</v>
      </c>
    </row>
    <row r="10" spans="1:4" s="169" customFormat="1" ht="33.75" customHeight="1">
      <c r="A10" s="172">
        <v>8</v>
      </c>
      <c r="B10" s="197"/>
      <c r="C10" s="174" t="s">
        <v>280</v>
      </c>
    </row>
    <row r="11" spans="1:4" s="169" customFormat="1" ht="33.75" customHeight="1">
      <c r="A11" s="172">
        <v>9</v>
      </c>
      <c r="B11" s="197"/>
      <c r="C11" s="173" t="s">
        <v>12</v>
      </c>
    </row>
    <row r="12" spans="1:4" s="169" customFormat="1" ht="33.75" customHeight="1">
      <c r="A12" s="172">
        <v>10</v>
      </c>
      <c r="B12" s="175" t="s">
        <v>13</v>
      </c>
      <c r="C12" s="173" t="s">
        <v>14</v>
      </c>
    </row>
    <row r="13" spans="1:4" ht="33.75" customHeight="1"/>
    <row r="14" spans="1:4" ht="33.75" customHeight="1"/>
    <row r="15" spans="1:4" ht="33.75" customHeight="1">
      <c r="C15" s="176"/>
    </row>
  </sheetData>
  <mergeCells count="2">
    <mergeCell ref="B5:B6"/>
    <mergeCell ref="B8:B11"/>
  </mergeCells>
  <phoneticPr fontId="45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="85" zoomScaleNormal="85" workbookViewId="0">
      <selection activeCell="E25" sqref="E25"/>
    </sheetView>
  </sheetViews>
  <sheetFormatPr defaultColWidth="9" defaultRowHeight="16.5"/>
  <cols>
    <col min="1" max="1" width="14" style="43" customWidth="1"/>
    <col min="2" max="2" width="14.125" style="43" customWidth="1"/>
    <col min="3" max="7" width="14.25" style="43" customWidth="1"/>
    <col min="8" max="8" width="13.875" style="43" customWidth="1"/>
    <col min="9" max="9" width="9.25" style="43" customWidth="1"/>
    <col min="10" max="10" width="9.125" style="44" customWidth="1"/>
    <col min="11" max="11" width="9.625" style="44" customWidth="1"/>
    <col min="12" max="16384" width="9" style="43"/>
  </cols>
  <sheetData>
    <row r="1" spans="1:11" ht="29.25" customHeight="1">
      <c r="A1" s="232" t="s">
        <v>189</v>
      </c>
      <c r="B1" s="232"/>
      <c r="C1" s="232"/>
      <c r="D1" s="232"/>
      <c r="E1" s="232"/>
      <c r="F1" s="232"/>
      <c r="G1" s="232"/>
      <c r="H1" s="232"/>
    </row>
    <row r="2" spans="1:11" ht="24" customHeight="1">
      <c r="A2" s="46" t="s">
        <v>190</v>
      </c>
      <c r="E2" s="45"/>
      <c r="F2" s="45"/>
      <c r="G2" s="45"/>
      <c r="H2" s="45"/>
    </row>
    <row r="3" spans="1:11">
      <c r="C3" s="43" t="s">
        <v>191</v>
      </c>
      <c r="D3" s="194" t="s">
        <v>192</v>
      </c>
      <c r="E3" s="47">
        <v>0.03</v>
      </c>
    </row>
    <row r="5" spans="1:11" ht="45" customHeight="1">
      <c r="A5" s="225" t="s">
        <v>193</v>
      </c>
      <c r="B5" s="48" t="s">
        <v>142</v>
      </c>
      <c r="C5" s="192" t="s">
        <v>283</v>
      </c>
      <c r="D5" s="192"/>
      <c r="E5" s="192"/>
      <c r="F5" s="192"/>
      <c r="G5" s="192"/>
      <c r="H5" s="229" t="s">
        <v>50</v>
      </c>
    </row>
    <row r="6" spans="1:11" ht="31.5" customHeight="1">
      <c r="A6" s="225"/>
      <c r="B6" s="48" t="s">
        <v>143</v>
      </c>
      <c r="C6" s="193" t="s">
        <v>296</v>
      </c>
      <c r="D6" s="193"/>
      <c r="E6" s="193"/>
      <c r="F6" s="193"/>
      <c r="G6" s="193"/>
      <c r="H6" s="230"/>
      <c r="J6" s="44">
        <v>100</v>
      </c>
    </row>
    <row r="7" spans="1:11" ht="32.25" customHeight="1">
      <c r="A7" s="225"/>
      <c r="B7" s="15" t="s">
        <v>194</v>
      </c>
      <c r="C7" s="193" t="s">
        <v>297</v>
      </c>
      <c r="D7" s="193"/>
      <c r="E7" s="193"/>
      <c r="F7" s="193"/>
      <c r="G7" s="193"/>
      <c r="H7" s="231"/>
      <c r="I7" s="43">
        <v>2026</v>
      </c>
      <c r="J7" s="44">
        <f>J6*(1-$E$3)</f>
        <v>97</v>
      </c>
      <c r="K7" s="44">
        <f>J7/$J$6</f>
        <v>0.97</v>
      </c>
    </row>
    <row r="8" spans="1:11" ht="33">
      <c r="A8" s="225"/>
      <c r="B8" s="15" t="s">
        <v>195</v>
      </c>
      <c r="C8" s="193">
        <v>650</v>
      </c>
      <c r="D8" s="193"/>
      <c r="E8" s="193"/>
      <c r="F8" s="193"/>
      <c r="G8" s="193"/>
      <c r="H8" s="49">
        <f>SUM(C8:G8)</f>
        <v>650</v>
      </c>
      <c r="I8" s="43">
        <v>2027</v>
      </c>
      <c r="J8" s="44">
        <f>J7*(1-$E$3)</f>
        <v>94.09</v>
      </c>
      <c r="K8" s="44">
        <f>J8/$J$6</f>
        <v>0.94090000000000007</v>
      </c>
    </row>
    <row r="9" spans="1:11" ht="17.25">
      <c r="A9" s="226" t="s">
        <v>196</v>
      </c>
      <c r="B9" s="51" t="s">
        <v>47</v>
      </c>
      <c r="C9" s="178">
        <v>1000</v>
      </c>
      <c r="D9" s="178"/>
      <c r="E9" s="178"/>
      <c r="F9" s="178"/>
      <c r="G9" s="178"/>
      <c r="H9" s="49">
        <f>SUM(C9:G9)</f>
        <v>1000</v>
      </c>
      <c r="I9" s="43">
        <v>2028</v>
      </c>
      <c r="J9" s="44">
        <f>J8*(1-E3)</f>
        <v>91.267300000000006</v>
      </c>
      <c r="K9" s="44">
        <f>J9/$J$6</f>
        <v>0.91267300000000007</v>
      </c>
    </row>
    <row r="10" spans="1:11" ht="17.25">
      <c r="A10" s="227"/>
      <c r="B10" s="51" t="s">
        <v>48</v>
      </c>
      <c r="C10" s="178">
        <v>1000</v>
      </c>
      <c r="D10" s="178"/>
      <c r="E10" s="178"/>
      <c r="F10" s="178"/>
      <c r="G10" s="178"/>
      <c r="H10" s="49">
        <f t="shared" ref="H10:H15" si="0">SUM(C10:G10)</f>
        <v>1000</v>
      </c>
      <c r="I10" s="43">
        <v>2029</v>
      </c>
      <c r="J10" s="44">
        <f>J9*(1-$E$3)</f>
        <v>88.529280999999997</v>
      </c>
      <c r="K10" s="44">
        <f>J10/$J$6</f>
        <v>0.88529280999999993</v>
      </c>
    </row>
    <row r="11" spans="1:11" ht="17.25">
      <c r="A11" s="227"/>
      <c r="B11" s="51" t="s">
        <v>49</v>
      </c>
      <c r="C11" s="178">
        <v>1000</v>
      </c>
      <c r="D11" s="178"/>
      <c r="E11" s="178"/>
      <c r="F11" s="178"/>
      <c r="G11" s="178"/>
      <c r="H11" s="49">
        <f t="shared" si="0"/>
        <v>1000</v>
      </c>
      <c r="I11" s="43">
        <v>2030</v>
      </c>
      <c r="J11" s="44">
        <f>J10*(1-$E$3)</f>
        <v>85.873402569999996</v>
      </c>
      <c r="K11" s="44">
        <f t="shared" ref="K11:K12" si="1">J11/$J$6</f>
        <v>0.85873402570000001</v>
      </c>
    </row>
    <row r="12" spans="1:11" ht="17.25">
      <c r="A12" s="227"/>
      <c r="B12" s="51" t="s">
        <v>184</v>
      </c>
      <c r="C12" s="178">
        <v>1000</v>
      </c>
      <c r="D12" s="178"/>
      <c r="E12" s="178"/>
      <c r="F12" s="178"/>
      <c r="G12" s="178"/>
      <c r="H12" s="49">
        <f t="shared" si="0"/>
        <v>1000</v>
      </c>
      <c r="I12" s="43">
        <v>2031</v>
      </c>
      <c r="J12" s="44">
        <f>J11*(1-$E$3)</f>
        <v>83.297200492899989</v>
      </c>
      <c r="K12" s="44">
        <f t="shared" si="1"/>
        <v>0.83297200492899992</v>
      </c>
    </row>
    <row r="13" spans="1:11" ht="17.25">
      <c r="A13" s="227"/>
      <c r="B13" s="51" t="s">
        <v>185</v>
      </c>
      <c r="C13" s="178">
        <v>1000</v>
      </c>
      <c r="D13" s="178"/>
      <c r="E13" s="178"/>
      <c r="F13" s="178"/>
      <c r="G13" s="178"/>
      <c r="H13" s="49">
        <f t="shared" si="0"/>
        <v>1000</v>
      </c>
    </row>
    <row r="14" spans="1:11" ht="17.25">
      <c r="A14" s="227"/>
      <c r="B14" s="51" t="s">
        <v>186</v>
      </c>
      <c r="C14" s="50"/>
      <c r="D14" s="50"/>
      <c r="E14" s="50"/>
      <c r="F14" s="50"/>
      <c r="G14" s="50"/>
      <c r="H14" s="49">
        <f t="shared" si="0"/>
        <v>0</v>
      </c>
    </row>
    <row r="15" spans="1:11" ht="17.25">
      <c r="A15" s="228"/>
      <c r="B15" s="51" t="s">
        <v>261</v>
      </c>
      <c r="C15" s="50"/>
      <c r="D15" s="50"/>
      <c r="E15" s="50"/>
      <c r="F15" s="50"/>
      <c r="G15" s="50"/>
      <c r="H15" s="49">
        <f t="shared" si="0"/>
        <v>0</v>
      </c>
    </row>
    <row r="16" spans="1:11" s="265" customFormat="1" ht="24" customHeight="1">
      <c r="A16" s="224" t="s">
        <v>50</v>
      </c>
      <c r="B16" s="224"/>
      <c r="C16" s="264">
        <f t="shared" ref="C16:H16" si="2">SUM(C9:C15)</f>
        <v>5000</v>
      </c>
      <c r="D16" s="264">
        <f t="shared" si="2"/>
        <v>0</v>
      </c>
      <c r="E16" s="264">
        <f t="shared" si="2"/>
        <v>0</v>
      </c>
      <c r="F16" s="264">
        <f t="shared" si="2"/>
        <v>0</v>
      </c>
      <c r="G16" s="264">
        <f t="shared" si="2"/>
        <v>0</v>
      </c>
      <c r="H16" s="264">
        <f t="shared" si="2"/>
        <v>5000</v>
      </c>
      <c r="J16" s="266"/>
      <c r="K16" s="266"/>
    </row>
    <row r="17" spans="1:8" ht="18">
      <c r="A17" s="52"/>
      <c r="B17" s="52"/>
      <c r="C17" s="53"/>
    </row>
    <row r="18" spans="1:8" ht="24.75" customHeight="1">
      <c r="B18" s="185" t="s">
        <v>197</v>
      </c>
      <c r="C18" s="186">
        <f>材料成本!D23</f>
        <v>500.31</v>
      </c>
      <c r="D18" s="186">
        <f>材料成本!E23</f>
        <v>0</v>
      </c>
      <c r="E18" s="186">
        <f>材料成本!F23</f>
        <v>0</v>
      </c>
      <c r="F18" s="186">
        <f>材料成本!G23</f>
        <v>0</v>
      </c>
      <c r="G18" s="186">
        <f>材料成本!H23</f>
        <v>0</v>
      </c>
      <c r="H18" s="187">
        <f>SUM(C18:G18)</f>
        <v>500.31</v>
      </c>
    </row>
    <row r="19" spans="1:8" ht="24.75" customHeight="1">
      <c r="B19" s="185" t="s">
        <v>97</v>
      </c>
      <c r="C19" s="186">
        <f>C8-C18</f>
        <v>149.69</v>
      </c>
      <c r="D19" s="186">
        <f>D8-D18</f>
        <v>0</v>
      </c>
      <c r="E19" s="186">
        <f>E8-E18</f>
        <v>0</v>
      </c>
      <c r="F19" s="186">
        <f>F8-F18</f>
        <v>0</v>
      </c>
      <c r="G19" s="186">
        <f>G8-G18</f>
        <v>0</v>
      </c>
      <c r="H19" s="187">
        <f>SUM(C19:G19)</f>
        <v>149.69</v>
      </c>
    </row>
    <row r="20" spans="1:8" ht="24.75" customHeight="1">
      <c r="B20" s="185" t="s">
        <v>198</v>
      </c>
      <c r="C20" s="188">
        <f>C19/C8</f>
        <v>0.23029230769230769</v>
      </c>
      <c r="D20" s="188" t="e">
        <f t="shared" ref="D20:H20" si="3">D19/D8</f>
        <v>#DIV/0!</v>
      </c>
      <c r="E20" s="188" t="e">
        <f t="shared" si="3"/>
        <v>#DIV/0!</v>
      </c>
      <c r="F20" s="188" t="e">
        <f t="shared" si="3"/>
        <v>#DIV/0!</v>
      </c>
      <c r="G20" s="188" t="e">
        <f t="shared" si="3"/>
        <v>#DIV/0!</v>
      </c>
      <c r="H20" s="188">
        <f t="shared" si="3"/>
        <v>0.23029230769230769</v>
      </c>
    </row>
  </sheetData>
  <mergeCells count="5">
    <mergeCell ref="A16:B16"/>
    <mergeCell ref="A5:A8"/>
    <mergeCell ref="A9:A15"/>
    <mergeCell ref="H5:H7"/>
    <mergeCell ref="A1:H1"/>
  </mergeCells>
  <phoneticPr fontId="45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  <ignoredErrors>
    <ignoredError sqref="J9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9"/>
  <sheetViews>
    <sheetView workbookViewId="0">
      <pane xSplit="3" ySplit="5" topLeftCell="D15" activePane="bottomRight" state="frozen"/>
      <selection pane="topRight"/>
      <selection pane="bottomLeft"/>
      <selection pane="bottomRight" activeCell="D28" sqref="D28"/>
    </sheetView>
  </sheetViews>
  <sheetFormatPr defaultColWidth="9" defaultRowHeight="16.5"/>
  <cols>
    <col min="1" max="2" width="4.375" style="24" customWidth="1"/>
    <col min="3" max="3" width="10" style="24" customWidth="1"/>
    <col min="4" max="9" width="12" style="25" customWidth="1"/>
    <col min="10" max="10" width="12.25" style="24" customWidth="1"/>
    <col min="11" max="11" width="13.25" style="24" customWidth="1"/>
    <col min="12" max="12" width="16" style="24" customWidth="1"/>
    <col min="13" max="16384" width="9" style="24"/>
  </cols>
  <sheetData>
    <row r="1" spans="1:12" s="23" customFormat="1" ht="28.5" customHeight="1">
      <c r="A1" s="239" t="s">
        <v>7</v>
      </c>
      <c r="B1" s="239"/>
      <c r="C1" s="26"/>
      <c r="D1" s="27"/>
      <c r="E1" s="28"/>
      <c r="F1" s="28"/>
      <c r="G1" s="28"/>
      <c r="H1" s="28"/>
      <c r="I1" s="28"/>
      <c r="L1" s="40"/>
    </row>
    <row r="2" spans="1:12" ht="29.25" customHeight="1">
      <c r="A2" s="249" t="s">
        <v>199</v>
      </c>
      <c r="B2" s="249"/>
      <c r="C2" s="249"/>
      <c r="D2" s="249"/>
      <c r="E2" s="249"/>
      <c r="F2" s="246" t="s">
        <v>284</v>
      </c>
      <c r="G2" s="247"/>
      <c r="H2" s="247"/>
      <c r="I2" s="248"/>
    </row>
    <row r="3" spans="1:12">
      <c r="A3" s="238" t="s">
        <v>17</v>
      </c>
      <c r="B3" s="238" t="s">
        <v>200</v>
      </c>
      <c r="C3" s="30" t="s">
        <v>201</v>
      </c>
      <c r="D3" s="240" t="s">
        <v>295</v>
      </c>
      <c r="E3" s="240"/>
      <c r="F3" s="29" t="s">
        <v>202</v>
      </c>
      <c r="G3" s="241"/>
      <c r="H3" s="242"/>
      <c r="I3" s="243" t="s">
        <v>152</v>
      </c>
    </row>
    <row r="4" spans="1:12">
      <c r="A4" s="238"/>
      <c r="B4" s="238"/>
      <c r="C4" s="30" t="s">
        <v>142</v>
      </c>
      <c r="D4" s="31" t="str">
        <f>销量!C5</f>
        <v>前座总成</v>
      </c>
      <c r="E4" s="31">
        <f>销量!D5</f>
        <v>0</v>
      </c>
      <c r="F4" s="31">
        <f>销量!E5</f>
        <v>0</v>
      </c>
      <c r="G4" s="31">
        <f>销量!F5</f>
        <v>0</v>
      </c>
      <c r="H4" s="31">
        <f>销量!G5</f>
        <v>0</v>
      </c>
      <c r="I4" s="244"/>
    </row>
    <row r="5" spans="1:12" ht="28.5">
      <c r="A5" s="238"/>
      <c r="B5" s="238"/>
      <c r="C5" s="30" t="s">
        <v>143</v>
      </c>
      <c r="D5" s="31" t="str">
        <f>销量!C6</f>
        <v>6900010UH13J/A</v>
      </c>
      <c r="E5" s="31">
        <f>销量!D6</f>
        <v>0</v>
      </c>
      <c r="F5" s="31">
        <f>销量!E6</f>
        <v>0</v>
      </c>
      <c r="G5" s="31">
        <f>销量!F6</f>
        <v>0</v>
      </c>
      <c r="H5" s="31">
        <f>销量!G6</f>
        <v>0</v>
      </c>
      <c r="I5" s="245"/>
    </row>
    <row r="6" spans="1:12">
      <c r="A6" s="33">
        <v>1</v>
      </c>
      <c r="B6" s="233" t="s">
        <v>203</v>
      </c>
      <c r="C6" s="234"/>
      <c r="D6" s="34"/>
      <c r="E6" s="32"/>
      <c r="F6" s="32"/>
      <c r="G6" s="32"/>
      <c r="H6" s="32"/>
      <c r="I6" s="41"/>
    </row>
    <row r="7" spans="1:12">
      <c r="A7" s="33">
        <v>2</v>
      </c>
      <c r="B7" s="233" t="s">
        <v>204</v>
      </c>
      <c r="C7" s="234"/>
      <c r="D7" s="34"/>
      <c r="E7" s="32"/>
      <c r="F7" s="32"/>
      <c r="G7" s="32"/>
      <c r="H7" s="32"/>
      <c r="I7" s="41"/>
    </row>
    <row r="8" spans="1:12">
      <c r="A8" s="33">
        <v>3</v>
      </c>
      <c r="B8" s="233" t="s">
        <v>205</v>
      </c>
      <c r="C8" s="234"/>
      <c r="D8" s="34"/>
      <c r="E8" s="34"/>
      <c r="F8" s="34"/>
      <c r="G8" s="34"/>
      <c r="H8" s="34"/>
      <c r="I8" s="41"/>
    </row>
    <row r="9" spans="1:12">
      <c r="A9" s="33">
        <v>4</v>
      </c>
      <c r="B9" s="233" t="s">
        <v>206</v>
      </c>
      <c r="C9" s="234"/>
      <c r="D9" s="34"/>
      <c r="E9" s="32"/>
      <c r="F9" s="32"/>
      <c r="G9" s="32"/>
      <c r="H9" s="32"/>
      <c r="I9" s="41"/>
    </row>
    <row r="10" spans="1:12">
      <c r="A10" s="33">
        <v>5</v>
      </c>
      <c r="B10" s="233" t="s">
        <v>207</v>
      </c>
      <c r="C10" s="234"/>
      <c r="D10" s="34"/>
      <c r="E10" s="32"/>
      <c r="F10" s="32"/>
      <c r="G10" s="32"/>
      <c r="H10" s="32"/>
      <c r="I10" s="41"/>
    </row>
    <row r="11" spans="1:12">
      <c r="A11" s="33">
        <v>6</v>
      </c>
      <c r="B11" s="233" t="s">
        <v>208</v>
      </c>
      <c r="C11" s="234"/>
      <c r="D11" s="34"/>
      <c r="E11" s="32"/>
      <c r="F11" s="32"/>
      <c r="G11" s="32"/>
      <c r="H11" s="32"/>
      <c r="I11" s="41"/>
    </row>
    <row r="12" spans="1:12">
      <c r="A12" s="33">
        <v>7</v>
      </c>
      <c r="B12" s="233" t="s">
        <v>209</v>
      </c>
      <c r="C12" s="234"/>
      <c r="D12" s="34"/>
      <c r="E12" s="32"/>
      <c r="F12" s="32"/>
      <c r="G12" s="32"/>
      <c r="H12" s="32"/>
      <c r="I12" s="41"/>
    </row>
    <row r="13" spans="1:12">
      <c r="A13" s="33">
        <v>8</v>
      </c>
      <c r="B13" s="233" t="s">
        <v>210</v>
      </c>
      <c r="C13" s="234"/>
      <c r="D13" s="34"/>
      <c r="E13" s="32"/>
      <c r="F13" s="32"/>
      <c r="G13" s="32"/>
      <c r="H13" s="32"/>
      <c r="I13" s="41"/>
    </row>
    <row r="14" spans="1:12">
      <c r="A14" s="33">
        <v>9</v>
      </c>
      <c r="B14" s="233" t="s">
        <v>211</v>
      </c>
      <c r="C14" s="234"/>
      <c r="D14" s="34"/>
      <c r="E14" s="32"/>
      <c r="F14" s="32"/>
      <c r="G14" s="32"/>
      <c r="H14" s="32"/>
      <c r="I14" s="41"/>
    </row>
    <row r="15" spans="1:12">
      <c r="A15" s="33">
        <v>10</v>
      </c>
      <c r="B15" s="233" t="s">
        <v>212</v>
      </c>
      <c r="C15" s="234"/>
      <c r="D15" s="34"/>
      <c r="E15" s="32"/>
      <c r="F15" s="32"/>
      <c r="G15" s="32"/>
      <c r="H15" s="32"/>
      <c r="I15" s="41"/>
    </row>
    <row r="16" spans="1:12">
      <c r="A16" s="33">
        <v>11</v>
      </c>
      <c r="B16" s="233" t="s">
        <v>213</v>
      </c>
      <c r="C16" s="234"/>
      <c r="D16" s="34"/>
      <c r="E16" s="32"/>
      <c r="F16" s="32"/>
      <c r="G16" s="32"/>
      <c r="H16" s="32"/>
      <c r="I16" s="41"/>
    </row>
    <row r="17" spans="1:9">
      <c r="A17" s="33">
        <v>12</v>
      </c>
      <c r="B17" s="233" t="s">
        <v>214</v>
      </c>
      <c r="C17" s="234"/>
      <c r="D17" s="34"/>
      <c r="E17" s="32"/>
      <c r="F17" s="32"/>
      <c r="G17" s="32"/>
      <c r="H17" s="32"/>
      <c r="I17" s="41"/>
    </row>
    <row r="18" spans="1:9">
      <c r="A18" s="33">
        <v>13</v>
      </c>
      <c r="B18" s="233" t="s">
        <v>215</v>
      </c>
      <c r="C18" s="234"/>
      <c r="D18" s="34"/>
      <c r="E18" s="32"/>
      <c r="F18" s="32"/>
      <c r="G18" s="32"/>
      <c r="H18" s="32"/>
      <c r="I18" s="41"/>
    </row>
    <row r="19" spans="1:9">
      <c r="A19" s="33">
        <v>14</v>
      </c>
      <c r="B19" s="233" t="s">
        <v>216</v>
      </c>
      <c r="C19" s="234"/>
      <c r="D19" s="34"/>
      <c r="E19" s="32"/>
      <c r="F19" s="32"/>
      <c r="G19" s="32"/>
      <c r="H19" s="32"/>
      <c r="I19" s="41"/>
    </row>
    <row r="20" spans="1:9">
      <c r="A20" s="33">
        <v>15</v>
      </c>
      <c r="B20" s="233" t="s">
        <v>217</v>
      </c>
      <c r="C20" s="234"/>
      <c r="D20" s="34"/>
      <c r="E20" s="32"/>
      <c r="F20" s="32"/>
      <c r="G20" s="32"/>
      <c r="H20" s="32"/>
      <c r="I20" s="41"/>
    </row>
    <row r="21" spans="1:9">
      <c r="A21" s="33">
        <v>16</v>
      </c>
      <c r="B21" s="233" t="s">
        <v>218</v>
      </c>
      <c r="C21" s="234"/>
      <c r="D21" s="34"/>
      <c r="E21" s="32"/>
      <c r="F21" s="32"/>
      <c r="G21" s="32"/>
      <c r="H21" s="32"/>
      <c r="I21" s="41"/>
    </row>
    <row r="22" spans="1:9">
      <c r="A22" s="33">
        <v>17</v>
      </c>
      <c r="B22" s="233" t="s">
        <v>35</v>
      </c>
      <c r="C22" s="234"/>
      <c r="D22" s="34"/>
      <c r="E22" s="32"/>
      <c r="F22" s="32"/>
      <c r="G22" s="32"/>
      <c r="H22" s="32"/>
      <c r="I22" s="41"/>
    </row>
    <row r="23" spans="1:9">
      <c r="A23" s="33">
        <v>18</v>
      </c>
      <c r="B23" s="233" t="s">
        <v>219</v>
      </c>
      <c r="C23" s="234"/>
      <c r="D23" s="35">
        <v>500.31</v>
      </c>
      <c r="E23" s="35"/>
      <c r="F23" s="35"/>
      <c r="G23" s="36"/>
      <c r="H23" s="37"/>
      <c r="I23" s="42"/>
    </row>
    <row r="24" spans="1:9" ht="31.5" customHeight="1">
      <c r="A24" s="235" t="s">
        <v>220</v>
      </c>
      <c r="B24" s="236"/>
      <c r="C24" s="237"/>
      <c r="D24" s="38">
        <f>SUM(D6:D23)</f>
        <v>500.31</v>
      </c>
      <c r="E24" s="38">
        <f>SUM(E6:E23)</f>
        <v>0</v>
      </c>
      <c r="F24" s="38">
        <f>SUM(F6:F23)</f>
        <v>0</v>
      </c>
      <c r="G24" s="38">
        <f>SUM(G6:G23)</f>
        <v>0</v>
      </c>
      <c r="H24" s="38">
        <f>SUM(H6:H23)</f>
        <v>0</v>
      </c>
      <c r="I24" s="42"/>
    </row>
    <row r="25" spans="1:9" ht="20.25" customHeight="1">
      <c r="C25" s="24" t="s">
        <v>48</v>
      </c>
      <c r="D25" s="39">
        <f>D24*0.97</f>
        <v>485.30070000000001</v>
      </c>
      <c r="E25" s="39">
        <f t="shared" ref="E25:H28" si="0">E24*0.97</f>
        <v>0</v>
      </c>
      <c r="F25" s="39">
        <f t="shared" si="0"/>
        <v>0</v>
      </c>
      <c r="G25" s="39">
        <f t="shared" si="0"/>
        <v>0</v>
      </c>
      <c r="H25" s="39">
        <f t="shared" si="0"/>
        <v>0</v>
      </c>
    </row>
    <row r="26" spans="1:9" ht="20.25" customHeight="1">
      <c r="C26" s="24" t="s">
        <v>49</v>
      </c>
      <c r="D26" s="39">
        <f t="shared" ref="D26:D28" si="1">D25*0.97</f>
        <v>470.74167899999998</v>
      </c>
      <c r="E26" s="39">
        <f t="shared" si="0"/>
        <v>0</v>
      </c>
      <c r="F26" s="39">
        <f t="shared" si="0"/>
        <v>0</v>
      </c>
      <c r="G26" s="39">
        <f t="shared" si="0"/>
        <v>0</v>
      </c>
      <c r="H26" s="39">
        <f t="shared" si="0"/>
        <v>0</v>
      </c>
    </row>
    <row r="27" spans="1:9" ht="20.25" customHeight="1">
      <c r="C27" s="24" t="s">
        <v>184</v>
      </c>
      <c r="D27" s="39">
        <f t="shared" si="1"/>
        <v>456.61942862999996</v>
      </c>
      <c r="E27" s="39">
        <f t="shared" si="0"/>
        <v>0</v>
      </c>
      <c r="F27" s="39">
        <f t="shared" si="0"/>
        <v>0</v>
      </c>
      <c r="G27" s="39">
        <f t="shared" si="0"/>
        <v>0</v>
      </c>
      <c r="H27" s="39">
        <f t="shared" si="0"/>
        <v>0</v>
      </c>
    </row>
    <row r="28" spans="1:9" ht="20.25" customHeight="1">
      <c r="C28" s="24" t="s">
        <v>185</v>
      </c>
      <c r="D28" s="39">
        <f t="shared" si="1"/>
        <v>442.92084577109995</v>
      </c>
      <c r="E28" s="39">
        <f t="shared" si="0"/>
        <v>0</v>
      </c>
      <c r="F28" s="39">
        <f t="shared" si="0"/>
        <v>0</v>
      </c>
      <c r="G28" s="39">
        <f t="shared" si="0"/>
        <v>0</v>
      </c>
      <c r="H28" s="39">
        <f t="shared" si="0"/>
        <v>0</v>
      </c>
    </row>
    <row r="29" spans="1:9" ht="20.25" customHeight="1">
      <c r="C29" s="24" t="s">
        <v>186</v>
      </c>
    </row>
  </sheetData>
  <mergeCells count="27">
    <mergeCell ref="A1:B1"/>
    <mergeCell ref="D3:E3"/>
    <mergeCell ref="G3:H3"/>
    <mergeCell ref="I3:I5"/>
    <mergeCell ref="F2:I2"/>
    <mergeCell ref="A2:E2"/>
    <mergeCell ref="B6:C6"/>
    <mergeCell ref="B7:C7"/>
    <mergeCell ref="B8:C8"/>
    <mergeCell ref="B9:C9"/>
    <mergeCell ref="B10:C10"/>
    <mergeCell ref="B21:C21"/>
    <mergeCell ref="B22:C22"/>
    <mergeCell ref="B23:C23"/>
    <mergeCell ref="A24:C24"/>
    <mergeCell ref="A3:A5"/>
    <mergeCell ref="B3:B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</mergeCells>
  <phoneticPr fontId="45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D14" sqref="D14"/>
    </sheetView>
  </sheetViews>
  <sheetFormatPr defaultColWidth="9" defaultRowHeight="13.5"/>
  <cols>
    <col min="1" max="1" width="5.75" style="16" customWidth="1"/>
    <col min="2" max="2" width="29.625" style="16" customWidth="1"/>
    <col min="3" max="3" width="25.5" style="16" customWidth="1"/>
    <col min="4" max="4" width="22" style="16" customWidth="1"/>
    <col min="5" max="16384" width="9" style="16"/>
  </cols>
  <sheetData>
    <row r="1" spans="1:4" ht="39.75" customHeight="1">
      <c r="A1" s="17" t="s">
        <v>17</v>
      </c>
      <c r="B1" s="17" t="s">
        <v>221</v>
      </c>
      <c r="C1" s="17" t="s">
        <v>222</v>
      </c>
      <c r="D1" s="17" t="s">
        <v>223</v>
      </c>
    </row>
    <row r="2" spans="1:4" ht="25.5" customHeight="1">
      <c r="A2" s="17">
        <v>1</v>
      </c>
      <c r="B2" s="18" t="s">
        <v>224</v>
      </c>
      <c r="C2" s="19" t="s">
        <v>282</v>
      </c>
      <c r="D2" s="181"/>
    </row>
    <row r="3" spans="1:4" ht="24" customHeight="1">
      <c r="A3" s="17">
        <v>2</v>
      </c>
      <c r="B3" s="18" t="s">
        <v>225</v>
      </c>
      <c r="C3" s="20" t="s">
        <v>282</v>
      </c>
      <c r="D3" s="181" t="s">
        <v>226</v>
      </c>
    </row>
    <row r="4" spans="1:4" ht="19.5" customHeight="1">
      <c r="A4" s="17">
        <v>3</v>
      </c>
      <c r="B4" s="18" t="s">
        <v>227</v>
      </c>
      <c r="C4" s="19" t="s">
        <v>228</v>
      </c>
      <c r="D4" s="181" t="s">
        <v>285</v>
      </c>
    </row>
    <row r="5" spans="1:4" ht="21" customHeight="1">
      <c r="A5" s="17">
        <v>4</v>
      </c>
      <c r="B5" s="18" t="s">
        <v>229</v>
      </c>
      <c r="C5" s="19" t="s">
        <v>286</v>
      </c>
      <c r="D5" s="181"/>
    </row>
    <row r="6" spans="1:4" ht="21" customHeight="1">
      <c r="A6" s="17">
        <v>5</v>
      </c>
      <c r="B6" s="18" t="s">
        <v>230</v>
      </c>
      <c r="C6" s="19" t="s">
        <v>287</v>
      </c>
      <c r="D6" s="181"/>
    </row>
    <row r="7" spans="1:4" ht="27.75" customHeight="1">
      <c r="A7" s="17">
        <v>6</v>
      </c>
      <c r="B7" s="17" t="s">
        <v>231</v>
      </c>
      <c r="C7" s="20" t="s">
        <v>172</v>
      </c>
      <c r="D7" s="181"/>
    </row>
    <row r="8" spans="1:4" ht="25.5" customHeight="1">
      <c r="A8" s="17">
        <v>7</v>
      </c>
      <c r="B8" s="18" t="s">
        <v>232</v>
      </c>
      <c r="C8" s="21" t="s">
        <v>233</v>
      </c>
      <c r="D8" s="181"/>
    </row>
    <row r="9" spans="1:4" ht="25.5" customHeight="1">
      <c r="A9" s="17">
        <v>8</v>
      </c>
      <c r="B9" s="17" t="s">
        <v>234</v>
      </c>
      <c r="C9" s="21" t="s">
        <v>288</v>
      </c>
      <c r="D9" s="181"/>
    </row>
    <row r="10" spans="1:4" ht="25.5" customHeight="1">
      <c r="A10" s="17">
        <v>9</v>
      </c>
      <c r="B10" s="17" t="s">
        <v>235</v>
      </c>
      <c r="C10" s="21" t="s">
        <v>289</v>
      </c>
      <c r="D10" s="181"/>
    </row>
    <row r="11" spans="1:4" ht="25.5" customHeight="1">
      <c r="A11" s="17">
        <v>10</v>
      </c>
      <c r="B11" s="17" t="s">
        <v>236</v>
      </c>
      <c r="C11" s="21" t="s">
        <v>288</v>
      </c>
      <c r="D11" s="181" t="s">
        <v>237</v>
      </c>
    </row>
    <row r="12" spans="1:4" ht="25.5" customHeight="1">
      <c r="A12" s="17">
        <v>11</v>
      </c>
      <c r="B12" s="17" t="s">
        <v>238</v>
      </c>
      <c r="C12" s="21" t="s">
        <v>288</v>
      </c>
      <c r="D12" s="181"/>
    </row>
    <row r="13" spans="1:4" ht="24" customHeight="1">
      <c r="A13" s="17">
        <v>12</v>
      </c>
      <c r="B13" s="18" t="s">
        <v>239</v>
      </c>
      <c r="C13" s="21" t="s">
        <v>240</v>
      </c>
      <c r="D13" s="181"/>
    </row>
    <row r="14" spans="1:4" ht="24" customHeight="1">
      <c r="A14" s="17">
        <v>13</v>
      </c>
      <c r="B14" s="18" t="s">
        <v>241</v>
      </c>
      <c r="C14" s="21" t="s">
        <v>290</v>
      </c>
      <c r="D14" s="181"/>
    </row>
    <row r="15" spans="1:4" ht="24" customHeight="1">
      <c r="A15" s="17">
        <v>14</v>
      </c>
      <c r="B15" s="18" t="s">
        <v>242</v>
      </c>
      <c r="C15" s="21" t="s">
        <v>291</v>
      </c>
      <c r="D15" s="181"/>
    </row>
    <row r="16" spans="1:4" ht="24" customHeight="1">
      <c r="A16" s="17">
        <v>15</v>
      </c>
      <c r="B16" s="17" t="s">
        <v>35</v>
      </c>
      <c r="C16" s="17"/>
      <c r="D16" s="17"/>
    </row>
    <row r="17" spans="2:2" ht="16.5">
      <c r="B17" s="22" t="s">
        <v>243</v>
      </c>
    </row>
  </sheetData>
  <phoneticPr fontId="4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62"/>
  <sheetViews>
    <sheetView zoomScale="85" zoomScaleNormal="85" workbookViewId="0">
      <selection activeCell="G17" sqref="G17"/>
    </sheetView>
  </sheetViews>
  <sheetFormatPr defaultColWidth="9" defaultRowHeight="13.5"/>
  <cols>
    <col min="1" max="2" width="9" style="2"/>
    <col min="3" max="4" width="12.625" style="2" customWidth="1"/>
    <col min="5" max="5" width="11.5" style="2" customWidth="1"/>
    <col min="6" max="7" width="11.125" style="2" customWidth="1"/>
    <col min="8" max="8" width="14.5" style="2" customWidth="1"/>
    <col min="9" max="9" width="16.125" style="3" customWidth="1"/>
    <col min="10" max="16384" width="9" style="2"/>
  </cols>
  <sheetData>
    <row r="1" spans="1:11" s="1" customFormat="1" ht="18.75" customHeight="1">
      <c r="G1" s="257" t="s">
        <v>244</v>
      </c>
      <c r="H1" s="257"/>
      <c r="I1" s="15" t="str">
        <f>销量!C6</f>
        <v>6900010UH13J/A</v>
      </c>
    </row>
    <row r="2" spans="1:11" ht="39" customHeight="1">
      <c r="A2" s="256" t="s">
        <v>245</v>
      </c>
      <c r="B2" s="256"/>
      <c r="C2" s="250" t="s">
        <v>278</v>
      </c>
      <c r="D2" s="251"/>
      <c r="E2" s="251"/>
      <c r="F2" s="251"/>
      <c r="G2" s="251"/>
      <c r="H2" s="252"/>
      <c r="I2" s="3" t="s">
        <v>246</v>
      </c>
    </row>
    <row r="3" spans="1:11" ht="34.5" customHeight="1">
      <c r="A3" s="256"/>
      <c r="B3" s="256"/>
      <c r="C3" s="4" t="s">
        <v>247</v>
      </c>
      <c r="D3" s="4" t="s">
        <v>248</v>
      </c>
      <c r="E3" s="4" t="s">
        <v>249</v>
      </c>
      <c r="F3" s="5" t="s">
        <v>250</v>
      </c>
      <c r="G3" s="5" t="s">
        <v>251</v>
      </c>
      <c r="H3" s="177" t="s">
        <v>260</v>
      </c>
      <c r="I3" s="14">
        <f>销量!C8</f>
        <v>650</v>
      </c>
      <c r="K3" s="191" t="s">
        <v>277</v>
      </c>
    </row>
    <row r="4" spans="1:11" ht="24" customHeight="1">
      <c r="A4" s="253" t="s">
        <v>253</v>
      </c>
      <c r="B4" s="253"/>
      <c r="C4" s="7"/>
      <c r="D4" s="8"/>
      <c r="E4" s="9">
        <f>$I$3*H4</f>
        <v>7.9950000000000001</v>
      </c>
      <c r="F4" s="9"/>
      <c r="G4" s="9"/>
      <c r="H4" s="10">
        <v>1.23E-2</v>
      </c>
      <c r="K4" s="3">
        <v>2.93E-2</v>
      </c>
    </row>
    <row r="5" spans="1:11" ht="24" customHeight="1">
      <c r="A5" s="253" t="s">
        <v>254</v>
      </c>
      <c r="B5" s="6" t="s">
        <v>255</v>
      </c>
      <c r="C5" s="7"/>
      <c r="D5" s="8"/>
      <c r="E5" s="9">
        <f>$I$3*H5</f>
        <v>23.79</v>
      </c>
      <c r="F5" s="9"/>
      <c r="G5" s="9"/>
      <c r="H5" s="10">
        <v>3.6600000000000001E-2</v>
      </c>
      <c r="K5" s="3">
        <v>6.4699999999999994E-2</v>
      </c>
    </row>
    <row r="6" spans="1:11" ht="24" customHeight="1">
      <c r="A6" s="253"/>
      <c r="B6" s="6" t="s">
        <v>256</v>
      </c>
      <c r="C6" s="7"/>
      <c r="D6" s="8"/>
      <c r="E6" s="9">
        <f t="shared" ref="E6:E11" si="0">$I$3*H6</f>
        <v>7.2150000000000007</v>
      </c>
      <c r="F6" s="9"/>
      <c r="G6" s="9"/>
      <c r="H6" s="10">
        <v>1.11E-2</v>
      </c>
      <c r="K6" s="3">
        <v>8.6999999999999994E-3</v>
      </c>
    </row>
    <row r="7" spans="1:11" ht="24" customHeight="1">
      <c r="A7" s="250" t="s">
        <v>257</v>
      </c>
      <c r="B7" s="252"/>
      <c r="C7" s="11"/>
      <c r="D7" s="12"/>
      <c r="E7" s="9">
        <f t="shared" si="0"/>
        <v>39</v>
      </c>
      <c r="F7" s="9"/>
      <c r="G7" s="9"/>
      <c r="H7" s="13">
        <f>SUM(H4:H6)</f>
        <v>0.06</v>
      </c>
      <c r="K7" s="3"/>
    </row>
    <row r="8" spans="1:11" ht="24" customHeight="1">
      <c r="A8" s="253" t="s">
        <v>80</v>
      </c>
      <c r="B8" s="253"/>
      <c r="C8" s="7"/>
      <c r="D8" s="8"/>
      <c r="E8" s="9">
        <f t="shared" si="0"/>
        <v>20.995000000000001</v>
      </c>
      <c r="F8" s="9"/>
      <c r="G8" s="9"/>
      <c r="H8" s="10">
        <v>3.2300000000000002E-2</v>
      </c>
      <c r="I8" s="3">
        <v>6.3200000000000006E-2</v>
      </c>
      <c r="J8" s="195" t="s">
        <v>293</v>
      </c>
      <c r="K8" s="3">
        <v>2.0500000000000001E-2</v>
      </c>
    </row>
    <row r="9" spans="1:11" ht="24" customHeight="1">
      <c r="A9" s="254" t="s">
        <v>258</v>
      </c>
      <c r="B9" s="6" t="s">
        <v>255</v>
      </c>
      <c r="C9" s="7"/>
      <c r="D9" s="8"/>
      <c r="E9" s="9">
        <f t="shared" si="0"/>
        <v>5.46</v>
      </c>
      <c r="F9" s="9"/>
      <c r="G9" s="9"/>
      <c r="H9" s="10">
        <v>8.3999999999999995E-3</v>
      </c>
      <c r="K9" s="3">
        <v>1.37E-2</v>
      </c>
    </row>
    <row r="10" spans="1:11" ht="24" customHeight="1">
      <c r="A10" s="255"/>
      <c r="B10" s="6" t="s">
        <v>256</v>
      </c>
      <c r="C10" s="7"/>
      <c r="D10" s="8"/>
      <c r="E10" s="9">
        <f t="shared" si="0"/>
        <v>10.4</v>
      </c>
      <c r="F10" s="9"/>
      <c r="G10" s="9"/>
      <c r="H10" s="10">
        <v>1.6E-2</v>
      </c>
      <c r="K10" s="3">
        <v>4.1200000000000001E-2</v>
      </c>
    </row>
    <row r="11" spans="1:11" ht="24" customHeight="1">
      <c r="A11" s="253" t="s">
        <v>83</v>
      </c>
      <c r="B11" s="253"/>
      <c r="C11" s="7"/>
      <c r="D11" s="8"/>
      <c r="E11" s="9">
        <f t="shared" si="0"/>
        <v>23.074999999999999</v>
      </c>
      <c r="F11" s="9"/>
      <c r="G11" s="9"/>
      <c r="H11" s="10">
        <v>3.5499999999999997E-2</v>
      </c>
      <c r="I11" s="3">
        <v>-1.2999999999999999E-3</v>
      </c>
      <c r="J11" s="190" t="s">
        <v>292</v>
      </c>
      <c r="K11" s="3">
        <v>4.36E-2</v>
      </c>
    </row>
    <row r="13" spans="1:11" s="1" customFormat="1" ht="18.75" customHeight="1">
      <c r="G13" s="257" t="s">
        <v>244</v>
      </c>
      <c r="H13" s="257"/>
      <c r="I13" s="15">
        <f>销量!D6</f>
        <v>0</v>
      </c>
    </row>
    <row r="14" spans="1:11" ht="39" customHeight="1">
      <c r="A14" s="256" t="s">
        <v>245</v>
      </c>
      <c r="B14" s="256"/>
      <c r="C14" s="250" t="str">
        <f>C2</f>
        <v>长春工厂平均值</v>
      </c>
      <c r="D14" s="251"/>
      <c r="E14" s="251"/>
      <c r="F14" s="251"/>
      <c r="G14" s="251"/>
      <c r="H14" s="252"/>
      <c r="I14" s="3" t="s">
        <v>246</v>
      </c>
    </row>
    <row r="15" spans="1:11" ht="34.5" customHeight="1">
      <c r="A15" s="256"/>
      <c r="B15" s="256"/>
      <c r="C15" s="4" t="s">
        <v>247</v>
      </c>
      <c r="D15" s="4" t="s">
        <v>248</v>
      </c>
      <c r="E15" s="4" t="s">
        <v>249</v>
      </c>
      <c r="F15" s="5" t="s">
        <v>250</v>
      </c>
      <c r="G15" s="5" t="s">
        <v>251</v>
      </c>
      <c r="H15" s="5" t="s">
        <v>252</v>
      </c>
      <c r="I15" s="14">
        <f>销量!D8</f>
        <v>0</v>
      </c>
    </row>
    <row r="16" spans="1:11" ht="24" customHeight="1">
      <c r="A16" s="253" t="s">
        <v>253</v>
      </c>
      <c r="B16" s="253"/>
      <c r="C16" s="7"/>
      <c r="D16" s="8"/>
      <c r="E16" s="9">
        <f>$I$15*H16</f>
        <v>0</v>
      </c>
      <c r="F16" s="9"/>
      <c r="G16" s="9"/>
      <c r="H16" s="10">
        <f t="shared" ref="H16:H23" si="1">H4</f>
        <v>1.23E-2</v>
      </c>
    </row>
    <row r="17" spans="1:9" ht="24" customHeight="1">
      <c r="A17" s="253" t="s">
        <v>254</v>
      </c>
      <c r="B17" s="6" t="s">
        <v>255</v>
      </c>
      <c r="C17" s="7"/>
      <c r="D17" s="8"/>
      <c r="E17" s="9">
        <f t="shared" ref="E17:E23" si="2">$I$15*H17</f>
        <v>0</v>
      </c>
      <c r="F17" s="9"/>
      <c r="G17" s="9"/>
      <c r="H17" s="10">
        <f t="shared" si="1"/>
        <v>3.6600000000000001E-2</v>
      </c>
    </row>
    <row r="18" spans="1:9" ht="24" customHeight="1">
      <c r="A18" s="253"/>
      <c r="B18" s="6" t="s">
        <v>256</v>
      </c>
      <c r="C18" s="7"/>
      <c r="D18" s="8"/>
      <c r="E18" s="9">
        <f t="shared" si="2"/>
        <v>0</v>
      </c>
      <c r="F18" s="9"/>
      <c r="G18" s="9"/>
      <c r="H18" s="10">
        <f t="shared" si="1"/>
        <v>1.11E-2</v>
      </c>
    </row>
    <row r="19" spans="1:9" ht="24" customHeight="1">
      <c r="A19" s="250" t="s">
        <v>257</v>
      </c>
      <c r="B19" s="252"/>
      <c r="C19" s="11"/>
      <c r="D19" s="12"/>
      <c r="E19" s="9">
        <f t="shared" si="2"/>
        <v>0</v>
      </c>
      <c r="F19" s="9"/>
      <c r="G19" s="9"/>
      <c r="H19" s="13">
        <f t="shared" si="1"/>
        <v>0.06</v>
      </c>
    </row>
    <row r="20" spans="1:9" ht="24" customHeight="1">
      <c r="A20" s="253" t="s">
        <v>80</v>
      </c>
      <c r="B20" s="253"/>
      <c r="C20" s="7"/>
      <c r="D20" s="8"/>
      <c r="E20" s="9">
        <f t="shared" si="2"/>
        <v>0</v>
      </c>
      <c r="F20" s="9"/>
      <c r="G20" s="9"/>
      <c r="H20" s="10">
        <f t="shared" si="1"/>
        <v>3.2300000000000002E-2</v>
      </c>
    </row>
    <row r="21" spans="1:9" ht="24" customHeight="1">
      <c r="A21" s="254" t="s">
        <v>258</v>
      </c>
      <c r="B21" s="6" t="s">
        <v>255</v>
      </c>
      <c r="C21" s="7"/>
      <c r="D21" s="8"/>
      <c r="E21" s="9">
        <f t="shared" si="2"/>
        <v>0</v>
      </c>
      <c r="F21" s="9"/>
      <c r="G21" s="9"/>
      <c r="H21" s="10">
        <f t="shared" si="1"/>
        <v>8.3999999999999995E-3</v>
      </c>
    </row>
    <row r="22" spans="1:9" ht="24" customHeight="1">
      <c r="A22" s="255"/>
      <c r="B22" s="6" t="s">
        <v>256</v>
      </c>
      <c r="C22" s="7"/>
      <c r="D22" s="8"/>
      <c r="E22" s="9">
        <f t="shared" si="2"/>
        <v>0</v>
      </c>
      <c r="F22" s="9"/>
      <c r="G22" s="9"/>
      <c r="H22" s="10">
        <f t="shared" si="1"/>
        <v>1.6E-2</v>
      </c>
    </row>
    <row r="23" spans="1:9" ht="24" customHeight="1">
      <c r="A23" s="253" t="s">
        <v>83</v>
      </c>
      <c r="B23" s="253"/>
      <c r="C23" s="7"/>
      <c r="D23" s="8"/>
      <c r="E23" s="9">
        <f t="shared" si="2"/>
        <v>0</v>
      </c>
      <c r="F23" s="9"/>
      <c r="G23" s="9"/>
      <c r="H23" s="10">
        <f t="shared" si="1"/>
        <v>3.5499999999999997E-2</v>
      </c>
    </row>
    <row r="26" spans="1:9" s="1" customFormat="1" ht="18.75" customHeight="1">
      <c r="G26" s="257" t="s">
        <v>244</v>
      </c>
      <c r="H26" s="257"/>
      <c r="I26" s="15">
        <f>销量!E6</f>
        <v>0</v>
      </c>
    </row>
    <row r="27" spans="1:9" ht="39" customHeight="1">
      <c r="A27" s="256" t="s">
        <v>245</v>
      </c>
      <c r="B27" s="256"/>
      <c r="C27" s="250" t="str">
        <f>C2</f>
        <v>长春工厂平均值</v>
      </c>
      <c r="D27" s="251"/>
      <c r="E27" s="251"/>
      <c r="F27" s="251"/>
      <c r="G27" s="251"/>
      <c r="H27" s="252"/>
      <c r="I27" s="3" t="s">
        <v>246</v>
      </c>
    </row>
    <row r="28" spans="1:9" ht="34.5" customHeight="1">
      <c r="A28" s="256"/>
      <c r="B28" s="256"/>
      <c r="C28" s="4" t="s">
        <v>247</v>
      </c>
      <c r="D28" s="4" t="s">
        <v>248</v>
      </c>
      <c r="E28" s="4" t="s">
        <v>249</v>
      </c>
      <c r="F28" s="5" t="s">
        <v>250</v>
      </c>
      <c r="G28" s="5" t="s">
        <v>251</v>
      </c>
      <c r="H28" s="5" t="s">
        <v>252</v>
      </c>
      <c r="I28" s="14">
        <f>材料成本!F23</f>
        <v>0</v>
      </c>
    </row>
    <row r="29" spans="1:9" ht="24" customHeight="1">
      <c r="A29" s="253" t="s">
        <v>253</v>
      </c>
      <c r="B29" s="253"/>
      <c r="C29" s="7"/>
      <c r="D29" s="8"/>
      <c r="E29" s="9">
        <f>$I$28*H29</f>
        <v>0</v>
      </c>
      <c r="F29" s="9"/>
      <c r="G29" s="9"/>
      <c r="H29" s="10">
        <f t="shared" ref="H29:H36" si="3">H4</f>
        <v>1.23E-2</v>
      </c>
    </row>
    <row r="30" spans="1:9" ht="24" customHeight="1">
      <c r="A30" s="253" t="s">
        <v>254</v>
      </c>
      <c r="B30" s="6" t="s">
        <v>255</v>
      </c>
      <c r="C30" s="7"/>
      <c r="D30" s="8"/>
      <c r="E30" s="9">
        <f t="shared" ref="E30:E36" si="4">$I$28*H30</f>
        <v>0</v>
      </c>
      <c r="F30" s="9"/>
      <c r="G30" s="9"/>
      <c r="H30" s="10">
        <f t="shared" si="3"/>
        <v>3.6600000000000001E-2</v>
      </c>
    </row>
    <row r="31" spans="1:9" ht="24" customHeight="1">
      <c r="A31" s="253"/>
      <c r="B31" s="6" t="s">
        <v>256</v>
      </c>
      <c r="C31" s="7"/>
      <c r="D31" s="8"/>
      <c r="E31" s="9">
        <f t="shared" si="4"/>
        <v>0</v>
      </c>
      <c r="F31" s="9"/>
      <c r="G31" s="9"/>
      <c r="H31" s="10">
        <f t="shared" si="3"/>
        <v>1.11E-2</v>
      </c>
    </row>
    <row r="32" spans="1:9" ht="24" customHeight="1">
      <c r="A32" s="250" t="s">
        <v>257</v>
      </c>
      <c r="B32" s="252"/>
      <c r="C32" s="11"/>
      <c r="D32" s="12"/>
      <c r="E32" s="9">
        <f t="shared" si="4"/>
        <v>0</v>
      </c>
      <c r="F32" s="9"/>
      <c r="G32" s="9"/>
      <c r="H32" s="13">
        <f t="shared" si="3"/>
        <v>0.06</v>
      </c>
    </row>
    <row r="33" spans="1:9" ht="24" customHeight="1">
      <c r="A33" s="253" t="s">
        <v>80</v>
      </c>
      <c r="B33" s="253"/>
      <c r="C33" s="7"/>
      <c r="D33" s="8"/>
      <c r="E33" s="9">
        <f t="shared" si="4"/>
        <v>0</v>
      </c>
      <c r="F33" s="9"/>
      <c r="G33" s="9"/>
      <c r="H33" s="10">
        <f t="shared" si="3"/>
        <v>3.2300000000000002E-2</v>
      </c>
    </row>
    <row r="34" spans="1:9" ht="24" customHeight="1">
      <c r="A34" s="254" t="s">
        <v>258</v>
      </c>
      <c r="B34" s="6" t="s">
        <v>255</v>
      </c>
      <c r="C34" s="7"/>
      <c r="D34" s="8"/>
      <c r="E34" s="9">
        <f t="shared" si="4"/>
        <v>0</v>
      </c>
      <c r="F34" s="9"/>
      <c r="G34" s="9"/>
      <c r="H34" s="10">
        <f t="shared" si="3"/>
        <v>8.3999999999999995E-3</v>
      </c>
    </row>
    <row r="35" spans="1:9" ht="24" customHeight="1">
      <c r="A35" s="255"/>
      <c r="B35" s="6" t="s">
        <v>256</v>
      </c>
      <c r="C35" s="7"/>
      <c r="D35" s="8"/>
      <c r="E35" s="9">
        <f t="shared" si="4"/>
        <v>0</v>
      </c>
      <c r="F35" s="9"/>
      <c r="G35" s="9"/>
      <c r="H35" s="10">
        <f t="shared" si="3"/>
        <v>1.6E-2</v>
      </c>
    </row>
    <row r="36" spans="1:9" ht="24" customHeight="1">
      <c r="A36" s="253" t="s">
        <v>83</v>
      </c>
      <c r="B36" s="253"/>
      <c r="C36" s="7"/>
      <c r="D36" s="8"/>
      <c r="E36" s="9">
        <f t="shared" si="4"/>
        <v>0</v>
      </c>
      <c r="F36" s="9"/>
      <c r="G36" s="9"/>
      <c r="H36" s="10">
        <f t="shared" si="3"/>
        <v>3.5499999999999997E-2</v>
      </c>
    </row>
    <row r="39" spans="1:9" s="1" customFormat="1" ht="18.75" customHeight="1">
      <c r="G39" s="257" t="s">
        <v>244</v>
      </c>
      <c r="H39" s="257"/>
      <c r="I39" s="15">
        <f>销量!F6</f>
        <v>0</v>
      </c>
    </row>
    <row r="40" spans="1:9" ht="39" customHeight="1">
      <c r="A40" s="256" t="s">
        <v>245</v>
      </c>
      <c r="B40" s="256"/>
      <c r="C40" s="250" t="str">
        <f>C2</f>
        <v>长春工厂平均值</v>
      </c>
      <c r="D40" s="251"/>
      <c r="E40" s="251"/>
      <c r="F40" s="251"/>
      <c r="G40" s="251"/>
      <c r="H40" s="252"/>
      <c r="I40" s="3" t="s">
        <v>246</v>
      </c>
    </row>
    <row r="41" spans="1:9" ht="34.5" customHeight="1">
      <c r="A41" s="256"/>
      <c r="B41" s="256"/>
      <c r="C41" s="4" t="s">
        <v>247</v>
      </c>
      <c r="D41" s="4" t="s">
        <v>248</v>
      </c>
      <c r="E41" s="4" t="s">
        <v>249</v>
      </c>
      <c r="F41" s="5" t="s">
        <v>250</v>
      </c>
      <c r="G41" s="5" t="s">
        <v>251</v>
      </c>
      <c r="H41" s="5" t="s">
        <v>252</v>
      </c>
      <c r="I41" s="14">
        <f>材料成本!G23</f>
        <v>0</v>
      </c>
    </row>
    <row r="42" spans="1:9" ht="24" customHeight="1">
      <c r="A42" s="253" t="s">
        <v>253</v>
      </c>
      <c r="B42" s="253"/>
      <c r="C42" s="7"/>
      <c r="D42" s="8"/>
      <c r="E42" s="9">
        <f>$I$41*H42</f>
        <v>0</v>
      </c>
      <c r="F42" s="9"/>
      <c r="G42" s="9"/>
      <c r="H42" s="10">
        <f t="shared" ref="H42:H49" si="5">H4</f>
        <v>1.23E-2</v>
      </c>
    </row>
    <row r="43" spans="1:9" ht="24" customHeight="1">
      <c r="A43" s="253" t="s">
        <v>254</v>
      </c>
      <c r="B43" s="6" t="s">
        <v>255</v>
      </c>
      <c r="C43" s="7"/>
      <c r="D43" s="8"/>
      <c r="E43" s="9">
        <f t="shared" ref="E43:E49" si="6">$I$41*H43</f>
        <v>0</v>
      </c>
      <c r="F43" s="9"/>
      <c r="G43" s="9"/>
      <c r="H43" s="10">
        <f t="shared" si="5"/>
        <v>3.6600000000000001E-2</v>
      </c>
    </row>
    <row r="44" spans="1:9" ht="24" customHeight="1">
      <c r="A44" s="253"/>
      <c r="B44" s="6" t="s">
        <v>256</v>
      </c>
      <c r="C44" s="7"/>
      <c r="D44" s="8"/>
      <c r="E44" s="9">
        <f t="shared" si="6"/>
        <v>0</v>
      </c>
      <c r="F44" s="9"/>
      <c r="G44" s="9"/>
      <c r="H44" s="10">
        <f t="shared" si="5"/>
        <v>1.11E-2</v>
      </c>
    </row>
    <row r="45" spans="1:9" ht="24" customHeight="1">
      <c r="A45" s="250" t="s">
        <v>257</v>
      </c>
      <c r="B45" s="252"/>
      <c r="C45" s="11"/>
      <c r="D45" s="12"/>
      <c r="E45" s="9">
        <f t="shared" si="6"/>
        <v>0</v>
      </c>
      <c r="F45" s="9"/>
      <c r="G45" s="9"/>
      <c r="H45" s="13">
        <f t="shared" si="5"/>
        <v>0.06</v>
      </c>
    </row>
    <row r="46" spans="1:9" ht="24" customHeight="1">
      <c r="A46" s="253" t="s">
        <v>80</v>
      </c>
      <c r="B46" s="253"/>
      <c r="C46" s="7"/>
      <c r="D46" s="8"/>
      <c r="E46" s="9">
        <f t="shared" si="6"/>
        <v>0</v>
      </c>
      <c r="F46" s="9"/>
      <c r="G46" s="9"/>
      <c r="H46" s="10">
        <f t="shared" si="5"/>
        <v>3.2300000000000002E-2</v>
      </c>
    </row>
    <row r="47" spans="1:9" ht="24" customHeight="1">
      <c r="A47" s="254" t="s">
        <v>258</v>
      </c>
      <c r="B47" s="6" t="s">
        <v>255</v>
      </c>
      <c r="C47" s="7"/>
      <c r="D47" s="8"/>
      <c r="E47" s="9">
        <f t="shared" si="6"/>
        <v>0</v>
      </c>
      <c r="F47" s="9"/>
      <c r="G47" s="9"/>
      <c r="H47" s="10">
        <f t="shared" si="5"/>
        <v>8.3999999999999995E-3</v>
      </c>
    </row>
    <row r="48" spans="1:9" ht="24" customHeight="1">
      <c r="A48" s="255"/>
      <c r="B48" s="6" t="s">
        <v>256</v>
      </c>
      <c r="C48" s="7"/>
      <c r="D48" s="8"/>
      <c r="E48" s="9">
        <f t="shared" si="6"/>
        <v>0</v>
      </c>
      <c r="F48" s="9"/>
      <c r="G48" s="9"/>
      <c r="H48" s="10">
        <f t="shared" si="5"/>
        <v>1.6E-2</v>
      </c>
    </row>
    <row r="49" spans="1:9" ht="24" customHeight="1">
      <c r="A49" s="253" t="s">
        <v>83</v>
      </c>
      <c r="B49" s="253"/>
      <c r="C49" s="7"/>
      <c r="D49" s="8"/>
      <c r="E49" s="9">
        <f t="shared" si="6"/>
        <v>0</v>
      </c>
      <c r="F49" s="9"/>
      <c r="G49" s="9"/>
      <c r="H49" s="10">
        <f t="shared" si="5"/>
        <v>3.5499999999999997E-2</v>
      </c>
    </row>
    <row r="52" spans="1:9" s="1" customFormat="1" ht="18.75" customHeight="1">
      <c r="G52" s="257" t="s">
        <v>244</v>
      </c>
      <c r="H52" s="257"/>
      <c r="I52" s="15">
        <f>销量!G6</f>
        <v>0</v>
      </c>
    </row>
    <row r="53" spans="1:9" ht="39" customHeight="1">
      <c r="A53" s="256" t="s">
        <v>245</v>
      </c>
      <c r="B53" s="256"/>
      <c r="C53" s="250" t="str">
        <f>C2</f>
        <v>长春工厂平均值</v>
      </c>
      <c r="D53" s="251"/>
      <c r="E53" s="251"/>
      <c r="F53" s="251"/>
      <c r="G53" s="251"/>
      <c r="H53" s="252"/>
      <c r="I53" s="3" t="s">
        <v>246</v>
      </c>
    </row>
    <row r="54" spans="1:9" ht="34.5" customHeight="1">
      <c r="A54" s="256"/>
      <c r="B54" s="256"/>
      <c r="C54" s="4" t="s">
        <v>247</v>
      </c>
      <c r="D54" s="4" t="s">
        <v>248</v>
      </c>
      <c r="E54" s="4" t="s">
        <v>249</v>
      </c>
      <c r="F54" s="5" t="s">
        <v>250</v>
      </c>
      <c r="G54" s="5" t="s">
        <v>251</v>
      </c>
      <c r="H54" s="5" t="s">
        <v>252</v>
      </c>
      <c r="I54" s="14">
        <f>材料成本!H23</f>
        <v>0</v>
      </c>
    </row>
    <row r="55" spans="1:9" ht="24" customHeight="1">
      <c r="A55" s="253" t="s">
        <v>253</v>
      </c>
      <c r="B55" s="253"/>
      <c r="C55" s="7"/>
      <c r="D55" s="8"/>
      <c r="E55" s="9">
        <f>$I$54*H55</f>
        <v>0</v>
      </c>
      <c r="F55" s="9"/>
      <c r="G55" s="9"/>
      <c r="H55" s="10">
        <f t="shared" ref="H55:H62" si="7">H4</f>
        <v>1.23E-2</v>
      </c>
    </row>
    <row r="56" spans="1:9" ht="24" customHeight="1">
      <c r="A56" s="253" t="s">
        <v>254</v>
      </c>
      <c r="B56" s="6" t="s">
        <v>255</v>
      </c>
      <c r="C56" s="7"/>
      <c r="D56" s="8"/>
      <c r="E56" s="9">
        <f t="shared" ref="E56:E62" si="8">$I$54*H56</f>
        <v>0</v>
      </c>
      <c r="F56" s="9"/>
      <c r="G56" s="9"/>
      <c r="H56" s="10">
        <f t="shared" si="7"/>
        <v>3.6600000000000001E-2</v>
      </c>
    </row>
    <row r="57" spans="1:9" ht="24" customHeight="1">
      <c r="A57" s="253"/>
      <c r="B57" s="6" t="s">
        <v>256</v>
      </c>
      <c r="C57" s="7"/>
      <c r="D57" s="8"/>
      <c r="E57" s="9">
        <f t="shared" si="8"/>
        <v>0</v>
      </c>
      <c r="F57" s="9"/>
      <c r="G57" s="9"/>
      <c r="H57" s="10">
        <f t="shared" si="7"/>
        <v>1.11E-2</v>
      </c>
    </row>
    <row r="58" spans="1:9" ht="24" customHeight="1">
      <c r="A58" s="250" t="s">
        <v>257</v>
      </c>
      <c r="B58" s="252"/>
      <c r="C58" s="11"/>
      <c r="D58" s="12"/>
      <c r="E58" s="9">
        <f t="shared" si="8"/>
        <v>0</v>
      </c>
      <c r="F58" s="9"/>
      <c r="G58" s="9"/>
      <c r="H58" s="13">
        <f t="shared" si="7"/>
        <v>0.06</v>
      </c>
    </row>
    <row r="59" spans="1:9" ht="24" customHeight="1">
      <c r="A59" s="253" t="s">
        <v>80</v>
      </c>
      <c r="B59" s="253"/>
      <c r="C59" s="7"/>
      <c r="D59" s="8"/>
      <c r="E59" s="9">
        <f t="shared" si="8"/>
        <v>0</v>
      </c>
      <c r="F59" s="9"/>
      <c r="G59" s="9"/>
      <c r="H59" s="10">
        <f t="shared" si="7"/>
        <v>3.2300000000000002E-2</v>
      </c>
    </row>
    <row r="60" spans="1:9" ht="24" customHeight="1">
      <c r="A60" s="254" t="s">
        <v>258</v>
      </c>
      <c r="B60" s="6" t="s">
        <v>255</v>
      </c>
      <c r="C60" s="7"/>
      <c r="D60" s="8"/>
      <c r="E60" s="9">
        <f t="shared" si="8"/>
        <v>0</v>
      </c>
      <c r="F60" s="9"/>
      <c r="G60" s="9"/>
      <c r="H60" s="10">
        <f t="shared" si="7"/>
        <v>8.3999999999999995E-3</v>
      </c>
    </row>
    <row r="61" spans="1:9" ht="24" customHeight="1">
      <c r="A61" s="255"/>
      <c r="B61" s="6" t="s">
        <v>256</v>
      </c>
      <c r="C61" s="7"/>
      <c r="D61" s="8"/>
      <c r="E61" s="9">
        <f t="shared" si="8"/>
        <v>0</v>
      </c>
      <c r="F61" s="9"/>
      <c r="G61" s="9"/>
      <c r="H61" s="10">
        <f t="shared" si="7"/>
        <v>1.6E-2</v>
      </c>
    </row>
    <row r="62" spans="1:9" ht="24" customHeight="1">
      <c r="A62" s="253" t="s">
        <v>83</v>
      </c>
      <c r="B62" s="253"/>
      <c r="C62" s="7"/>
      <c r="D62" s="8"/>
      <c r="E62" s="9">
        <f t="shared" si="8"/>
        <v>0</v>
      </c>
      <c r="F62" s="9"/>
      <c r="G62" s="9"/>
      <c r="H62" s="10">
        <f t="shared" si="7"/>
        <v>3.5499999999999997E-2</v>
      </c>
    </row>
  </sheetData>
  <mergeCells count="45">
    <mergeCell ref="G13:H13"/>
    <mergeCell ref="C14:H14"/>
    <mergeCell ref="A16:B16"/>
    <mergeCell ref="A19:B19"/>
    <mergeCell ref="G1:H1"/>
    <mergeCell ref="C2:H2"/>
    <mergeCell ref="A4:B4"/>
    <mergeCell ref="A7:B7"/>
    <mergeCell ref="A8:B8"/>
    <mergeCell ref="A5:A6"/>
    <mergeCell ref="A2:B3"/>
    <mergeCell ref="A9:A10"/>
    <mergeCell ref="A17:A18"/>
    <mergeCell ref="A14:B15"/>
    <mergeCell ref="A11:B11"/>
    <mergeCell ref="A36:B36"/>
    <mergeCell ref="G39:H39"/>
    <mergeCell ref="C40:H40"/>
    <mergeCell ref="A40:B41"/>
    <mergeCell ref="A20:B20"/>
    <mergeCell ref="A23:B23"/>
    <mergeCell ref="G26:H26"/>
    <mergeCell ref="C27:H27"/>
    <mergeCell ref="A29:B29"/>
    <mergeCell ref="A21:A22"/>
    <mergeCell ref="A30:A31"/>
    <mergeCell ref="A34:A35"/>
    <mergeCell ref="A27:B28"/>
    <mergeCell ref="A32:B32"/>
    <mergeCell ref="A33:B33"/>
    <mergeCell ref="A42:B42"/>
    <mergeCell ref="A45:B45"/>
    <mergeCell ref="A46:B46"/>
    <mergeCell ref="A49:B49"/>
    <mergeCell ref="G52:H52"/>
    <mergeCell ref="A43:A44"/>
    <mergeCell ref="A47:A48"/>
    <mergeCell ref="C53:H53"/>
    <mergeCell ref="A55:B55"/>
    <mergeCell ref="A58:B58"/>
    <mergeCell ref="A59:B59"/>
    <mergeCell ref="A62:B62"/>
    <mergeCell ref="A56:A57"/>
    <mergeCell ref="A60:A61"/>
    <mergeCell ref="A53:B54"/>
  </mergeCells>
  <phoneticPr fontId="45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134" customWidth="1"/>
    <col min="2" max="2" width="28.5" style="134" customWidth="1"/>
    <col min="3" max="4" width="9.125" style="134"/>
    <col min="5" max="5" width="13.875" style="134" customWidth="1"/>
    <col min="6" max="12" width="16.125" style="134" customWidth="1"/>
    <col min="13" max="13" width="10.625" style="134" customWidth="1"/>
    <col min="14" max="254" width="9.125" style="134"/>
    <col min="255" max="255" width="8" style="134" customWidth="1"/>
    <col min="256" max="256" width="28.5" style="134" customWidth="1"/>
    <col min="257" max="268" width="9.125" style="134"/>
    <col min="269" max="269" width="10.625" style="134" customWidth="1"/>
    <col min="270" max="510" width="9.125" style="134"/>
    <col min="511" max="511" width="8" style="134" customWidth="1"/>
    <col min="512" max="512" width="28.5" style="134" customWidth="1"/>
    <col min="513" max="524" width="9.125" style="134"/>
    <col min="525" max="525" width="10.625" style="134" customWidth="1"/>
    <col min="526" max="766" width="9.125" style="134"/>
    <col min="767" max="767" width="8" style="134" customWidth="1"/>
    <col min="768" max="768" width="28.5" style="134" customWidth="1"/>
    <col min="769" max="780" width="9.125" style="134"/>
    <col min="781" max="781" width="10.625" style="134" customWidth="1"/>
    <col min="782" max="1022" width="9.125" style="134"/>
    <col min="1023" max="1023" width="8" style="134" customWidth="1"/>
    <col min="1024" max="1024" width="28.5" style="134" customWidth="1"/>
    <col min="1025" max="1036" width="9.125" style="134"/>
    <col min="1037" max="1037" width="10.625" style="134" customWidth="1"/>
    <col min="1038" max="1278" width="9.125" style="134"/>
    <col min="1279" max="1279" width="8" style="134" customWidth="1"/>
    <col min="1280" max="1280" width="28.5" style="134" customWidth="1"/>
    <col min="1281" max="1292" width="9.125" style="134"/>
    <col min="1293" max="1293" width="10.625" style="134" customWidth="1"/>
    <col min="1294" max="1534" width="9.125" style="134"/>
    <col min="1535" max="1535" width="8" style="134" customWidth="1"/>
    <col min="1536" max="1536" width="28.5" style="134" customWidth="1"/>
    <col min="1537" max="1548" width="9.125" style="134"/>
    <col min="1549" max="1549" width="10.625" style="134" customWidth="1"/>
    <col min="1550" max="1790" width="9.125" style="134"/>
    <col min="1791" max="1791" width="8" style="134" customWidth="1"/>
    <col min="1792" max="1792" width="28.5" style="134" customWidth="1"/>
    <col min="1793" max="1804" width="9.125" style="134"/>
    <col min="1805" max="1805" width="10.625" style="134" customWidth="1"/>
    <col min="1806" max="2046" width="9.125" style="134"/>
    <col min="2047" max="2047" width="8" style="134" customWidth="1"/>
    <col min="2048" max="2048" width="28.5" style="134" customWidth="1"/>
    <col min="2049" max="2060" width="9.125" style="134"/>
    <col min="2061" max="2061" width="10.625" style="134" customWidth="1"/>
    <col min="2062" max="2302" width="9.125" style="134"/>
    <col min="2303" max="2303" width="8" style="134" customWidth="1"/>
    <col min="2304" max="2304" width="28.5" style="134" customWidth="1"/>
    <col min="2305" max="2316" width="9.125" style="134"/>
    <col min="2317" max="2317" width="10.625" style="134" customWidth="1"/>
    <col min="2318" max="2558" width="9.125" style="134"/>
    <col min="2559" max="2559" width="8" style="134" customWidth="1"/>
    <col min="2560" max="2560" width="28.5" style="134" customWidth="1"/>
    <col min="2561" max="2572" width="9.125" style="134"/>
    <col min="2573" max="2573" width="10.625" style="134" customWidth="1"/>
    <col min="2574" max="2814" width="9.125" style="134"/>
    <col min="2815" max="2815" width="8" style="134" customWidth="1"/>
    <col min="2816" max="2816" width="28.5" style="134" customWidth="1"/>
    <col min="2817" max="2828" width="9.125" style="134"/>
    <col min="2829" max="2829" width="10.625" style="134" customWidth="1"/>
    <col min="2830" max="3070" width="9.125" style="134"/>
    <col min="3071" max="3071" width="8" style="134" customWidth="1"/>
    <col min="3072" max="3072" width="28.5" style="134" customWidth="1"/>
    <col min="3073" max="3084" width="9.125" style="134"/>
    <col min="3085" max="3085" width="10.625" style="134" customWidth="1"/>
    <col min="3086" max="3326" width="9.125" style="134"/>
    <col min="3327" max="3327" width="8" style="134" customWidth="1"/>
    <col min="3328" max="3328" width="28.5" style="134" customWidth="1"/>
    <col min="3329" max="3340" width="9.125" style="134"/>
    <col min="3341" max="3341" width="10.625" style="134" customWidth="1"/>
    <col min="3342" max="3582" width="9.125" style="134"/>
    <col min="3583" max="3583" width="8" style="134" customWidth="1"/>
    <col min="3584" max="3584" width="28.5" style="134" customWidth="1"/>
    <col min="3585" max="3596" width="9.125" style="134"/>
    <col min="3597" max="3597" width="10.625" style="134" customWidth="1"/>
    <col min="3598" max="3838" width="9.125" style="134"/>
    <col min="3839" max="3839" width="8" style="134" customWidth="1"/>
    <col min="3840" max="3840" width="28.5" style="134" customWidth="1"/>
    <col min="3841" max="3852" width="9.125" style="134"/>
    <col min="3853" max="3853" width="10.625" style="134" customWidth="1"/>
    <col min="3854" max="4094" width="9.125" style="134"/>
    <col min="4095" max="4095" width="8" style="134" customWidth="1"/>
    <col min="4096" max="4096" width="28.5" style="134" customWidth="1"/>
    <col min="4097" max="4108" width="9.125" style="134"/>
    <col min="4109" max="4109" width="10.625" style="134" customWidth="1"/>
    <col min="4110" max="4350" width="9.125" style="134"/>
    <col min="4351" max="4351" width="8" style="134" customWidth="1"/>
    <col min="4352" max="4352" width="28.5" style="134" customWidth="1"/>
    <col min="4353" max="4364" width="9.125" style="134"/>
    <col min="4365" max="4365" width="10.625" style="134" customWidth="1"/>
    <col min="4366" max="4606" width="9.125" style="134"/>
    <col min="4607" max="4607" width="8" style="134" customWidth="1"/>
    <col min="4608" max="4608" width="28.5" style="134" customWidth="1"/>
    <col min="4609" max="4620" width="9.125" style="134"/>
    <col min="4621" max="4621" width="10.625" style="134" customWidth="1"/>
    <col min="4622" max="4862" width="9.125" style="134"/>
    <col min="4863" max="4863" width="8" style="134" customWidth="1"/>
    <col min="4864" max="4864" width="28.5" style="134" customWidth="1"/>
    <col min="4865" max="4876" width="9.125" style="134"/>
    <col min="4877" max="4877" width="10.625" style="134" customWidth="1"/>
    <col min="4878" max="5118" width="9.125" style="134"/>
    <col min="5119" max="5119" width="8" style="134" customWidth="1"/>
    <col min="5120" max="5120" width="28.5" style="134" customWidth="1"/>
    <col min="5121" max="5132" width="9.125" style="134"/>
    <col min="5133" max="5133" width="10.625" style="134" customWidth="1"/>
    <col min="5134" max="5374" width="9.125" style="134"/>
    <col min="5375" max="5375" width="8" style="134" customWidth="1"/>
    <col min="5376" max="5376" width="28.5" style="134" customWidth="1"/>
    <col min="5377" max="5388" width="9.125" style="134"/>
    <col min="5389" max="5389" width="10.625" style="134" customWidth="1"/>
    <col min="5390" max="5630" width="9.125" style="134"/>
    <col min="5631" max="5631" width="8" style="134" customWidth="1"/>
    <col min="5632" max="5632" width="28.5" style="134" customWidth="1"/>
    <col min="5633" max="5644" width="9.125" style="134"/>
    <col min="5645" max="5645" width="10.625" style="134" customWidth="1"/>
    <col min="5646" max="5886" width="9.125" style="134"/>
    <col min="5887" max="5887" width="8" style="134" customWidth="1"/>
    <col min="5888" max="5888" width="28.5" style="134" customWidth="1"/>
    <col min="5889" max="5900" width="9.125" style="134"/>
    <col min="5901" max="5901" width="10.625" style="134" customWidth="1"/>
    <col min="5902" max="6142" width="9.125" style="134"/>
    <col min="6143" max="6143" width="8" style="134" customWidth="1"/>
    <col min="6144" max="6144" width="28.5" style="134" customWidth="1"/>
    <col min="6145" max="6156" width="9.125" style="134"/>
    <col min="6157" max="6157" width="10.625" style="134" customWidth="1"/>
    <col min="6158" max="6398" width="9.125" style="134"/>
    <col min="6399" max="6399" width="8" style="134" customWidth="1"/>
    <col min="6400" max="6400" width="28.5" style="134" customWidth="1"/>
    <col min="6401" max="6412" width="9.125" style="134"/>
    <col min="6413" max="6413" width="10.625" style="134" customWidth="1"/>
    <col min="6414" max="6654" width="9.125" style="134"/>
    <col min="6655" max="6655" width="8" style="134" customWidth="1"/>
    <col min="6656" max="6656" width="28.5" style="134" customWidth="1"/>
    <col min="6657" max="6668" width="9.125" style="134"/>
    <col min="6669" max="6669" width="10.625" style="134" customWidth="1"/>
    <col min="6670" max="6910" width="9.125" style="134"/>
    <col min="6911" max="6911" width="8" style="134" customWidth="1"/>
    <col min="6912" max="6912" width="28.5" style="134" customWidth="1"/>
    <col min="6913" max="6924" width="9.125" style="134"/>
    <col min="6925" max="6925" width="10.625" style="134" customWidth="1"/>
    <col min="6926" max="7166" width="9.125" style="134"/>
    <col min="7167" max="7167" width="8" style="134" customWidth="1"/>
    <col min="7168" max="7168" width="28.5" style="134" customWidth="1"/>
    <col min="7169" max="7180" width="9.125" style="134"/>
    <col min="7181" max="7181" width="10.625" style="134" customWidth="1"/>
    <col min="7182" max="7422" width="9.125" style="134"/>
    <col min="7423" max="7423" width="8" style="134" customWidth="1"/>
    <col min="7424" max="7424" width="28.5" style="134" customWidth="1"/>
    <col min="7425" max="7436" width="9.125" style="134"/>
    <col min="7437" max="7437" width="10.625" style="134" customWidth="1"/>
    <col min="7438" max="7678" width="9.125" style="134"/>
    <col min="7679" max="7679" width="8" style="134" customWidth="1"/>
    <col min="7680" max="7680" width="28.5" style="134" customWidth="1"/>
    <col min="7681" max="7692" width="9.125" style="134"/>
    <col min="7693" max="7693" width="10.625" style="134" customWidth="1"/>
    <col min="7694" max="7934" width="9.125" style="134"/>
    <col min="7935" max="7935" width="8" style="134" customWidth="1"/>
    <col min="7936" max="7936" width="28.5" style="134" customWidth="1"/>
    <col min="7937" max="7948" width="9.125" style="134"/>
    <col min="7949" max="7949" width="10.625" style="134" customWidth="1"/>
    <col min="7950" max="8190" width="9.125" style="134"/>
    <col min="8191" max="8191" width="8" style="134" customWidth="1"/>
    <col min="8192" max="8192" width="28.5" style="134" customWidth="1"/>
    <col min="8193" max="8204" width="9.125" style="134"/>
    <col min="8205" max="8205" width="10.625" style="134" customWidth="1"/>
    <col min="8206" max="8446" width="9.125" style="134"/>
    <col min="8447" max="8447" width="8" style="134" customWidth="1"/>
    <col min="8448" max="8448" width="28.5" style="134" customWidth="1"/>
    <col min="8449" max="8460" width="9.125" style="134"/>
    <col min="8461" max="8461" width="10.625" style="134" customWidth="1"/>
    <col min="8462" max="8702" width="9.125" style="134"/>
    <col min="8703" max="8703" width="8" style="134" customWidth="1"/>
    <col min="8704" max="8704" width="28.5" style="134" customWidth="1"/>
    <col min="8705" max="8716" width="9.125" style="134"/>
    <col min="8717" max="8717" width="10.625" style="134" customWidth="1"/>
    <col min="8718" max="8958" width="9.125" style="134"/>
    <col min="8959" max="8959" width="8" style="134" customWidth="1"/>
    <col min="8960" max="8960" width="28.5" style="134" customWidth="1"/>
    <col min="8961" max="8972" width="9.125" style="134"/>
    <col min="8973" max="8973" width="10.625" style="134" customWidth="1"/>
    <col min="8974" max="9214" width="9.125" style="134"/>
    <col min="9215" max="9215" width="8" style="134" customWidth="1"/>
    <col min="9216" max="9216" width="28.5" style="134" customWidth="1"/>
    <col min="9217" max="9228" width="9.125" style="134"/>
    <col min="9229" max="9229" width="10.625" style="134" customWidth="1"/>
    <col min="9230" max="9470" width="9.125" style="134"/>
    <col min="9471" max="9471" width="8" style="134" customWidth="1"/>
    <col min="9472" max="9472" width="28.5" style="134" customWidth="1"/>
    <col min="9473" max="9484" width="9.125" style="134"/>
    <col min="9485" max="9485" width="10.625" style="134" customWidth="1"/>
    <col min="9486" max="9726" width="9.125" style="134"/>
    <col min="9727" max="9727" width="8" style="134" customWidth="1"/>
    <col min="9728" max="9728" width="28.5" style="134" customWidth="1"/>
    <col min="9729" max="9740" width="9.125" style="134"/>
    <col min="9741" max="9741" width="10.625" style="134" customWidth="1"/>
    <col min="9742" max="9982" width="9.125" style="134"/>
    <col min="9983" max="9983" width="8" style="134" customWidth="1"/>
    <col min="9984" max="9984" width="28.5" style="134" customWidth="1"/>
    <col min="9985" max="9996" width="9.125" style="134"/>
    <col min="9997" max="9997" width="10.625" style="134" customWidth="1"/>
    <col min="9998" max="10238" width="9.125" style="134"/>
    <col min="10239" max="10239" width="8" style="134" customWidth="1"/>
    <col min="10240" max="10240" width="28.5" style="134" customWidth="1"/>
    <col min="10241" max="10252" width="9.125" style="134"/>
    <col min="10253" max="10253" width="10.625" style="134" customWidth="1"/>
    <col min="10254" max="10494" width="9.125" style="134"/>
    <col min="10495" max="10495" width="8" style="134" customWidth="1"/>
    <col min="10496" max="10496" width="28.5" style="134" customWidth="1"/>
    <col min="10497" max="10508" width="9.125" style="134"/>
    <col min="10509" max="10509" width="10.625" style="134" customWidth="1"/>
    <col min="10510" max="10750" width="9.125" style="134"/>
    <col min="10751" max="10751" width="8" style="134" customWidth="1"/>
    <col min="10752" max="10752" width="28.5" style="134" customWidth="1"/>
    <col min="10753" max="10764" width="9.125" style="134"/>
    <col min="10765" max="10765" width="10.625" style="134" customWidth="1"/>
    <col min="10766" max="11006" width="9.125" style="134"/>
    <col min="11007" max="11007" width="8" style="134" customWidth="1"/>
    <col min="11008" max="11008" width="28.5" style="134" customWidth="1"/>
    <col min="11009" max="11020" width="9.125" style="134"/>
    <col min="11021" max="11021" width="10.625" style="134" customWidth="1"/>
    <col min="11022" max="11262" width="9.125" style="134"/>
    <col min="11263" max="11263" width="8" style="134" customWidth="1"/>
    <col min="11264" max="11264" width="28.5" style="134" customWidth="1"/>
    <col min="11265" max="11276" width="9.125" style="134"/>
    <col min="11277" max="11277" width="10.625" style="134" customWidth="1"/>
    <col min="11278" max="11518" width="9.125" style="134"/>
    <col min="11519" max="11519" width="8" style="134" customWidth="1"/>
    <col min="11520" max="11520" width="28.5" style="134" customWidth="1"/>
    <col min="11521" max="11532" width="9.125" style="134"/>
    <col min="11533" max="11533" width="10.625" style="134" customWidth="1"/>
    <col min="11534" max="11774" width="9.125" style="134"/>
    <col min="11775" max="11775" width="8" style="134" customWidth="1"/>
    <col min="11776" max="11776" width="28.5" style="134" customWidth="1"/>
    <col min="11777" max="11788" width="9.125" style="134"/>
    <col min="11789" max="11789" width="10.625" style="134" customWidth="1"/>
    <col min="11790" max="12030" width="9.125" style="134"/>
    <col min="12031" max="12031" width="8" style="134" customWidth="1"/>
    <col min="12032" max="12032" width="28.5" style="134" customWidth="1"/>
    <col min="12033" max="12044" width="9.125" style="134"/>
    <col min="12045" max="12045" width="10.625" style="134" customWidth="1"/>
    <col min="12046" max="12286" width="9.125" style="134"/>
    <col min="12287" max="12287" width="8" style="134" customWidth="1"/>
    <col min="12288" max="12288" width="28.5" style="134" customWidth="1"/>
    <col min="12289" max="12300" width="9.125" style="134"/>
    <col min="12301" max="12301" width="10.625" style="134" customWidth="1"/>
    <col min="12302" max="12542" width="9.125" style="134"/>
    <col min="12543" max="12543" width="8" style="134" customWidth="1"/>
    <col min="12544" max="12544" width="28.5" style="134" customWidth="1"/>
    <col min="12545" max="12556" width="9.125" style="134"/>
    <col min="12557" max="12557" width="10.625" style="134" customWidth="1"/>
    <col min="12558" max="12798" width="9.125" style="134"/>
    <col min="12799" max="12799" width="8" style="134" customWidth="1"/>
    <col min="12800" max="12800" width="28.5" style="134" customWidth="1"/>
    <col min="12801" max="12812" width="9.125" style="134"/>
    <col min="12813" max="12813" width="10.625" style="134" customWidth="1"/>
    <col min="12814" max="13054" width="9.125" style="134"/>
    <col min="13055" max="13055" width="8" style="134" customWidth="1"/>
    <col min="13056" max="13056" width="28.5" style="134" customWidth="1"/>
    <col min="13057" max="13068" width="9.125" style="134"/>
    <col min="13069" max="13069" width="10.625" style="134" customWidth="1"/>
    <col min="13070" max="13310" width="9.125" style="134"/>
    <col min="13311" max="13311" width="8" style="134" customWidth="1"/>
    <col min="13312" max="13312" width="28.5" style="134" customWidth="1"/>
    <col min="13313" max="13324" width="9.125" style="134"/>
    <col min="13325" max="13325" width="10.625" style="134" customWidth="1"/>
    <col min="13326" max="13566" width="9.125" style="134"/>
    <col min="13567" max="13567" width="8" style="134" customWidth="1"/>
    <col min="13568" max="13568" width="28.5" style="134" customWidth="1"/>
    <col min="13569" max="13580" width="9.125" style="134"/>
    <col min="13581" max="13581" width="10.625" style="134" customWidth="1"/>
    <col min="13582" max="13822" width="9.125" style="134"/>
    <col min="13823" max="13823" width="8" style="134" customWidth="1"/>
    <col min="13824" max="13824" width="28.5" style="134" customWidth="1"/>
    <col min="13825" max="13836" width="9.125" style="134"/>
    <col min="13837" max="13837" width="10.625" style="134" customWidth="1"/>
    <col min="13838" max="14078" width="9.125" style="134"/>
    <col min="14079" max="14079" width="8" style="134" customWidth="1"/>
    <col min="14080" max="14080" width="28.5" style="134" customWidth="1"/>
    <col min="14081" max="14092" width="9.125" style="134"/>
    <col min="14093" max="14093" width="10.625" style="134" customWidth="1"/>
    <col min="14094" max="14334" width="9.125" style="134"/>
    <col min="14335" max="14335" width="8" style="134" customWidth="1"/>
    <col min="14336" max="14336" width="28.5" style="134" customWidth="1"/>
    <col min="14337" max="14348" width="9.125" style="134"/>
    <col min="14349" max="14349" width="10.625" style="134" customWidth="1"/>
    <col min="14350" max="14590" width="9.125" style="134"/>
    <col min="14591" max="14591" width="8" style="134" customWidth="1"/>
    <col min="14592" max="14592" width="28.5" style="134" customWidth="1"/>
    <col min="14593" max="14604" width="9.125" style="134"/>
    <col min="14605" max="14605" width="10.625" style="134" customWidth="1"/>
    <col min="14606" max="14846" width="9.125" style="134"/>
    <col min="14847" max="14847" width="8" style="134" customWidth="1"/>
    <col min="14848" max="14848" width="28.5" style="134" customWidth="1"/>
    <col min="14849" max="14860" width="9.125" style="134"/>
    <col min="14861" max="14861" width="10.625" style="134" customWidth="1"/>
    <col min="14862" max="15102" width="9.125" style="134"/>
    <col min="15103" max="15103" width="8" style="134" customWidth="1"/>
    <col min="15104" max="15104" width="28.5" style="134" customWidth="1"/>
    <col min="15105" max="15116" width="9.125" style="134"/>
    <col min="15117" max="15117" width="10.625" style="134" customWidth="1"/>
    <col min="15118" max="15358" width="9.125" style="134"/>
    <col min="15359" max="15359" width="8" style="134" customWidth="1"/>
    <col min="15360" max="15360" width="28.5" style="134" customWidth="1"/>
    <col min="15361" max="15372" width="9.125" style="134"/>
    <col min="15373" max="15373" width="10.625" style="134" customWidth="1"/>
    <col min="15374" max="15614" width="9.125" style="134"/>
    <col min="15615" max="15615" width="8" style="134" customWidth="1"/>
    <col min="15616" max="15616" width="28.5" style="134" customWidth="1"/>
    <col min="15617" max="15628" width="9.125" style="134"/>
    <col min="15629" max="15629" width="10.625" style="134" customWidth="1"/>
    <col min="15630" max="15870" width="9.125" style="134"/>
    <col min="15871" max="15871" width="8" style="134" customWidth="1"/>
    <col min="15872" max="15872" width="28.5" style="134" customWidth="1"/>
    <col min="15873" max="15884" width="9.125" style="134"/>
    <col min="15885" max="15885" width="10.625" style="134" customWidth="1"/>
    <col min="15886" max="16126" width="9.125" style="134"/>
    <col min="16127" max="16127" width="8" style="134" customWidth="1"/>
    <col min="16128" max="16128" width="28.5" style="134" customWidth="1"/>
    <col min="16129" max="16140" width="9.125" style="134"/>
    <col min="16141" max="16141" width="10.625" style="134" customWidth="1"/>
    <col min="16142" max="16384" width="9.125" style="134"/>
  </cols>
  <sheetData>
    <row r="1" spans="1:13" ht="18.75">
      <c r="A1" s="135" t="s">
        <v>15</v>
      </c>
      <c r="B1" s="136"/>
      <c r="C1" s="137"/>
      <c r="D1" s="137"/>
      <c r="E1" s="136"/>
      <c r="F1" s="137"/>
      <c r="G1" s="137"/>
      <c r="H1" s="136"/>
      <c r="I1" s="137"/>
      <c r="J1" s="137"/>
      <c r="K1" s="137"/>
      <c r="L1" s="137"/>
      <c r="M1" s="137"/>
    </row>
    <row r="2" spans="1:13" ht="12">
      <c r="A2" s="134" t="s">
        <v>16</v>
      </c>
      <c r="B2" s="138"/>
    </row>
    <row r="3" spans="1:13" ht="16.899999999999999" customHeight="1">
      <c r="A3" s="139" t="s">
        <v>17</v>
      </c>
      <c r="B3" s="139" t="s">
        <v>18</v>
      </c>
      <c r="C3" s="198" t="s">
        <v>19</v>
      </c>
      <c r="D3" s="198"/>
      <c r="E3" s="198"/>
      <c r="F3" s="141"/>
      <c r="G3" s="142"/>
      <c r="H3" s="143"/>
      <c r="I3" s="143"/>
      <c r="J3" s="143" t="s">
        <v>20</v>
      </c>
      <c r="K3" s="143"/>
      <c r="L3" s="143"/>
      <c r="M3" s="164"/>
    </row>
    <row r="4" spans="1:13" ht="16.149999999999999" customHeight="1">
      <c r="A4" s="144"/>
      <c r="B4" s="144" t="s">
        <v>21</v>
      </c>
      <c r="C4" s="140">
        <v>2017</v>
      </c>
      <c r="D4" s="140">
        <f t="shared" ref="D4:L4" si="0">C4+1</f>
        <v>2018</v>
      </c>
      <c r="E4" s="140">
        <f t="shared" si="0"/>
        <v>2019</v>
      </c>
      <c r="F4" s="140">
        <f t="shared" si="0"/>
        <v>2020</v>
      </c>
      <c r="G4" s="140">
        <f t="shared" si="0"/>
        <v>2021</v>
      </c>
      <c r="H4" s="145">
        <f t="shared" si="0"/>
        <v>2022</v>
      </c>
      <c r="I4" s="145">
        <f t="shared" si="0"/>
        <v>2023</v>
      </c>
      <c r="J4" s="145">
        <f t="shared" si="0"/>
        <v>2024</v>
      </c>
      <c r="K4" s="145">
        <f t="shared" si="0"/>
        <v>2025</v>
      </c>
      <c r="L4" s="145">
        <f t="shared" si="0"/>
        <v>2026</v>
      </c>
      <c r="M4" s="165" t="s">
        <v>22</v>
      </c>
    </row>
    <row r="5" spans="1:13" ht="15.6" customHeight="1">
      <c r="A5" s="146">
        <v>1</v>
      </c>
      <c r="B5" s="147" t="s">
        <v>23</v>
      </c>
      <c r="C5" s="148">
        <f>SUM(C6:C9)</f>
        <v>0</v>
      </c>
      <c r="D5" s="148">
        <f t="shared" ref="D5:L5" si="1">SUM(D6:D9)</f>
        <v>0</v>
      </c>
      <c r="E5" s="148" t="e">
        <f t="shared" si="1"/>
        <v>#REF!</v>
      </c>
      <c r="F5" s="148" t="e">
        <f t="shared" si="1"/>
        <v>#REF!</v>
      </c>
      <c r="G5" s="148" t="e">
        <f t="shared" si="1"/>
        <v>#REF!</v>
      </c>
      <c r="H5" s="148" t="e">
        <f t="shared" si="1"/>
        <v>#REF!</v>
      </c>
      <c r="I5" s="148" t="e">
        <f t="shared" si="1"/>
        <v>#REF!</v>
      </c>
      <c r="J5" s="148" t="e">
        <f t="shared" si="1"/>
        <v>#REF!</v>
      </c>
      <c r="K5" s="148" t="e">
        <f t="shared" si="1"/>
        <v>#REF!</v>
      </c>
      <c r="L5" s="148" t="e">
        <f t="shared" si="1"/>
        <v>#REF!</v>
      </c>
      <c r="M5" s="152" t="e">
        <f t="shared" ref="M5:M17" si="2">SUM(C5:L5)</f>
        <v>#REF!</v>
      </c>
    </row>
    <row r="6" spans="1:13" ht="15.6" customHeight="1">
      <c r="A6" s="146">
        <v>1.1000000000000001</v>
      </c>
      <c r="B6" s="149" t="s">
        <v>24</v>
      </c>
      <c r="C6" s="150"/>
      <c r="D6" s="150"/>
      <c r="E6" s="150" t="e">
        <f>#REF!</f>
        <v>#REF!</v>
      </c>
      <c r="F6" s="150" t="e">
        <f>#REF!</f>
        <v>#REF!</v>
      </c>
      <c r="G6" s="150" t="e">
        <f>#REF!</f>
        <v>#REF!</v>
      </c>
      <c r="H6" s="150" t="e">
        <f>#REF!</f>
        <v>#REF!</v>
      </c>
      <c r="I6" s="150" t="e">
        <f>#REF!</f>
        <v>#REF!</v>
      </c>
      <c r="J6" s="150" t="e">
        <f>#REF!</f>
        <v>#REF!</v>
      </c>
      <c r="K6" s="150" t="e">
        <f>#REF!</f>
        <v>#REF!</v>
      </c>
      <c r="L6" s="150" t="e">
        <f>#REF!</f>
        <v>#REF!</v>
      </c>
      <c r="M6" s="152" t="e">
        <f t="shared" si="2"/>
        <v>#REF!</v>
      </c>
    </row>
    <row r="7" spans="1:13" ht="15.6" customHeight="1">
      <c r="A7" s="146">
        <v>1.2</v>
      </c>
      <c r="B7" s="149" t="s">
        <v>25</v>
      </c>
      <c r="C7" s="150"/>
      <c r="D7" s="150"/>
      <c r="E7" s="150">
        <f>[1]折、摊!G18</f>
        <v>0</v>
      </c>
      <c r="F7" s="150">
        <f>[1]折、摊!H18</f>
        <v>0</v>
      </c>
      <c r="G7" s="150">
        <f>[1]折、摊!I18</f>
        <v>0</v>
      </c>
      <c r="H7" s="150">
        <f>[1]折、摊!J18</f>
        <v>0</v>
      </c>
      <c r="I7" s="150">
        <f>[1]折、摊!K18</f>
        <v>0</v>
      </c>
      <c r="J7" s="150">
        <f>[1]折、摊!L18</f>
        <v>0</v>
      </c>
      <c r="K7" s="150">
        <f>[1]折、摊!M18</f>
        <v>0</v>
      </c>
      <c r="L7" s="150">
        <f>[1]折、摊!N18</f>
        <v>0</v>
      </c>
      <c r="M7" s="152">
        <f t="shared" si="2"/>
        <v>0</v>
      </c>
    </row>
    <row r="8" spans="1:13" ht="15.6" customHeight="1">
      <c r="A8" s="146">
        <v>1.3</v>
      </c>
      <c r="B8" s="149" t="s">
        <v>26</v>
      </c>
      <c r="C8" s="150" t="s">
        <v>27</v>
      </c>
      <c r="D8" s="150" t="s">
        <v>27</v>
      </c>
      <c r="E8" s="150" t="s">
        <v>27</v>
      </c>
      <c r="F8" s="150" t="s">
        <v>27</v>
      </c>
      <c r="G8" s="150" t="s">
        <v>27</v>
      </c>
      <c r="H8" s="150" t="s">
        <v>27</v>
      </c>
      <c r="I8" s="150" t="s">
        <v>27</v>
      </c>
      <c r="J8" s="150" t="s">
        <v>27</v>
      </c>
      <c r="K8" s="150" t="s">
        <v>27</v>
      </c>
      <c r="L8" s="150"/>
      <c r="M8" s="152">
        <f t="shared" si="2"/>
        <v>0</v>
      </c>
    </row>
    <row r="9" spans="1:13" s="133" customFormat="1" ht="15.6" customHeight="1">
      <c r="A9" s="151">
        <v>1.4</v>
      </c>
      <c r="B9" s="152" t="s">
        <v>28</v>
      </c>
      <c r="C9" s="150" t="s">
        <v>27</v>
      </c>
      <c r="D9" s="150" t="s">
        <v>27</v>
      </c>
      <c r="E9" s="150" t="s">
        <v>27</v>
      </c>
      <c r="F9" s="150" t="s">
        <v>27</v>
      </c>
      <c r="G9" s="150" t="s">
        <v>27</v>
      </c>
      <c r="H9" s="150" t="s">
        <v>27</v>
      </c>
      <c r="I9" s="150" t="s">
        <v>27</v>
      </c>
      <c r="J9" s="150" t="s">
        <v>27</v>
      </c>
      <c r="K9" s="150" t="s">
        <v>27</v>
      </c>
      <c r="L9" s="150" t="s">
        <v>27</v>
      </c>
      <c r="M9" s="152">
        <f t="shared" si="2"/>
        <v>0</v>
      </c>
    </row>
    <row r="10" spans="1:13" ht="15.6" customHeight="1">
      <c r="A10" s="151">
        <v>2</v>
      </c>
      <c r="B10" s="147" t="s">
        <v>29</v>
      </c>
      <c r="C10" s="148">
        <f t="shared" ref="C10:L10" si="3">SUM(C11:C16)</f>
        <v>0</v>
      </c>
      <c r="D10" s="148">
        <f t="shared" si="3"/>
        <v>0</v>
      </c>
      <c r="E10" s="148">
        <f t="shared" si="3"/>
        <v>0</v>
      </c>
      <c r="F10" s="148">
        <f t="shared" si="3"/>
        <v>0</v>
      </c>
      <c r="G10" s="148">
        <f t="shared" si="3"/>
        <v>0</v>
      </c>
      <c r="H10" s="148">
        <f t="shared" si="3"/>
        <v>0</v>
      </c>
      <c r="I10" s="148">
        <f t="shared" si="3"/>
        <v>0</v>
      </c>
      <c r="J10" s="148">
        <f t="shared" si="3"/>
        <v>0</v>
      </c>
      <c r="K10" s="148">
        <f t="shared" si="3"/>
        <v>0</v>
      </c>
      <c r="L10" s="148">
        <f t="shared" si="3"/>
        <v>0</v>
      </c>
      <c r="M10" s="152">
        <f t="shared" si="2"/>
        <v>0</v>
      </c>
    </row>
    <row r="11" spans="1:13" ht="15" customHeight="1">
      <c r="A11" s="146">
        <v>2.1</v>
      </c>
      <c r="B11" s="146" t="s">
        <v>30</v>
      </c>
      <c r="C11" s="150">
        <f>([1]计划!C6-[1]计划!C7)</f>
        <v>0</v>
      </c>
      <c r="D11" s="150">
        <f>([1]计划!D6-[1]计划!D7)</f>
        <v>0</v>
      </c>
      <c r="E11" s="150">
        <f>([1]计划!E6-[1]计划!E7)</f>
        <v>0</v>
      </c>
      <c r="F11" s="150">
        <f>([1]计划!F6-[1]计划!F7)</f>
        <v>0</v>
      </c>
      <c r="G11" s="150">
        <f>([1]计划!G6-[1]计划!G7)</f>
        <v>0</v>
      </c>
      <c r="H11" s="150">
        <f>([1]计划!H6-[1]计划!H7)</f>
        <v>0</v>
      </c>
      <c r="I11" s="150">
        <f>([1]计划!I6-[1]计划!I7)</f>
        <v>0</v>
      </c>
      <c r="J11" s="150">
        <f>([1]计划!J6-[1]计划!J7)</f>
        <v>0</v>
      </c>
      <c r="K11" s="150">
        <f>([1]计划!K6-[1]计划!K7)</f>
        <v>0</v>
      </c>
      <c r="L11" s="150">
        <f>([1]计划!L6-[1]计划!L7)</f>
        <v>0</v>
      </c>
      <c r="M11" s="152">
        <f t="shared" si="2"/>
        <v>0</v>
      </c>
    </row>
    <row r="12" spans="1:13" s="133" customFormat="1" ht="15" customHeight="1">
      <c r="A12" s="146">
        <v>2.2000000000000002</v>
      </c>
      <c r="B12" s="152" t="s">
        <v>31</v>
      </c>
      <c r="C12" s="150">
        <f>[1]计划!C8</f>
        <v>0</v>
      </c>
      <c r="D12" s="150">
        <f>[1]计划!D8</f>
        <v>0</v>
      </c>
      <c r="E12" s="150">
        <f>[1]计划!E8</f>
        <v>0</v>
      </c>
      <c r="F12" s="150">
        <f>[1]计划!F8</f>
        <v>0</v>
      </c>
      <c r="G12" s="150">
        <f>[1]计划!G8</f>
        <v>0</v>
      </c>
      <c r="H12" s="150">
        <f>[1]计划!H8</f>
        <v>0</v>
      </c>
      <c r="I12" s="150">
        <f>[1]计划!I8</f>
        <v>0</v>
      </c>
      <c r="J12" s="150">
        <f>[1]计划!J8</f>
        <v>0</v>
      </c>
      <c r="K12" s="150">
        <f>[1]计划!K8</f>
        <v>0</v>
      </c>
      <c r="L12" s="150">
        <f>[1]计划!L8</f>
        <v>0</v>
      </c>
      <c r="M12" s="152">
        <f t="shared" si="2"/>
        <v>0</v>
      </c>
    </row>
    <row r="13" spans="1:13" ht="15" customHeight="1">
      <c r="A13" s="146">
        <v>2.2999999999999998</v>
      </c>
      <c r="B13" s="149" t="s">
        <v>32</v>
      </c>
      <c r="C13" s="150">
        <f>[1]总成本!C22</f>
        <v>0</v>
      </c>
      <c r="D13" s="150">
        <f>[1]总成本!D22</f>
        <v>0</v>
      </c>
      <c r="E13" s="150">
        <f>[1]总成本!E22</f>
        <v>0</v>
      </c>
      <c r="F13" s="150">
        <f>[1]总成本!F22</f>
        <v>0</v>
      </c>
      <c r="G13" s="150">
        <f>[1]总成本!G22</f>
        <v>0</v>
      </c>
      <c r="H13" s="150">
        <f>[1]总成本!H22</f>
        <v>0</v>
      </c>
      <c r="I13" s="150">
        <f>[1]总成本!I22</f>
        <v>0</v>
      </c>
      <c r="J13" s="150">
        <f>[1]总成本!J22</f>
        <v>0</v>
      </c>
      <c r="K13" s="150">
        <f>[1]总成本!K22</f>
        <v>0</v>
      </c>
      <c r="L13" s="150">
        <f>[1]总成本!L22</f>
        <v>0</v>
      </c>
      <c r="M13" s="152">
        <f t="shared" si="2"/>
        <v>0</v>
      </c>
    </row>
    <row r="14" spans="1:13" ht="15" customHeight="1">
      <c r="A14" s="146">
        <v>2.4</v>
      </c>
      <c r="B14" s="149" t="s">
        <v>33</v>
      </c>
      <c r="C14" s="150">
        <f>[1]价格!D15</f>
        <v>0</v>
      </c>
      <c r="D14" s="150">
        <f>[1]价格!E15</f>
        <v>0</v>
      </c>
      <c r="E14" s="150">
        <f>[1]价格!F15</f>
        <v>0</v>
      </c>
      <c r="F14" s="150">
        <f>[1]价格!G15</f>
        <v>0</v>
      </c>
      <c r="G14" s="150">
        <f>[1]价格!H15</f>
        <v>0</v>
      </c>
      <c r="H14" s="150">
        <f>[1]价格!I15</f>
        <v>0</v>
      </c>
      <c r="I14" s="150">
        <f>[1]价格!J15</f>
        <v>0</v>
      </c>
      <c r="J14" s="150">
        <f>[1]价格!K15</f>
        <v>0</v>
      </c>
      <c r="K14" s="150">
        <f>[1]价格!L15</f>
        <v>0</v>
      </c>
      <c r="L14" s="150">
        <f>[1]价格!M15</f>
        <v>0</v>
      </c>
      <c r="M14" s="152">
        <f t="shared" si="2"/>
        <v>0</v>
      </c>
    </row>
    <row r="15" spans="1:13" ht="15" customHeight="1">
      <c r="A15" s="146">
        <v>2.5</v>
      </c>
      <c r="B15" s="149" t="s">
        <v>34</v>
      </c>
      <c r="C15" s="150">
        <f>[1]利润!C13</f>
        <v>0</v>
      </c>
      <c r="D15" s="150">
        <f>[1]利润!D13</f>
        <v>0</v>
      </c>
      <c r="E15" s="150">
        <f>[1]利润!E13</f>
        <v>0</v>
      </c>
      <c r="F15" s="150">
        <f>[1]利润!F13</f>
        <v>0</v>
      </c>
      <c r="G15" s="150">
        <f>[1]利润!G13</f>
        <v>0</v>
      </c>
      <c r="H15" s="150">
        <f>[1]利润!H13</f>
        <v>0</v>
      </c>
      <c r="I15" s="150">
        <f>[1]利润!I13</f>
        <v>0</v>
      </c>
      <c r="J15" s="150">
        <f>[1]利润!J13</f>
        <v>0</v>
      </c>
      <c r="K15" s="150">
        <f>[1]利润!K13</f>
        <v>0</v>
      </c>
      <c r="L15" s="150">
        <f>[1]利润!L13</f>
        <v>0</v>
      </c>
      <c r="M15" s="152">
        <f t="shared" si="2"/>
        <v>0</v>
      </c>
    </row>
    <row r="16" spans="1:13" ht="15" customHeight="1">
      <c r="A16" s="146">
        <v>2.6</v>
      </c>
      <c r="B16" s="149" t="s">
        <v>35</v>
      </c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2">
        <f t="shared" si="2"/>
        <v>0</v>
      </c>
    </row>
    <row r="17" spans="1:18" ht="12">
      <c r="A17" s="146">
        <v>3</v>
      </c>
      <c r="B17" s="147" t="s">
        <v>36</v>
      </c>
      <c r="C17" s="148">
        <f t="shared" ref="C17:L17" si="4">C5-C10</f>
        <v>0</v>
      </c>
      <c r="D17" s="148">
        <f t="shared" si="4"/>
        <v>0</v>
      </c>
      <c r="E17" s="148" t="e">
        <f t="shared" si="4"/>
        <v>#REF!</v>
      </c>
      <c r="F17" s="148" t="e">
        <f t="shared" si="4"/>
        <v>#REF!</v>
      </c>
      <c r="G17" s="148" t="e">
        <f t="shared" si="4"/>
        <v>#REF!</v>
      </c>
      <c r="H17" s="148" t="e">
        <f t="shared" si="4"/>
        <v>#REF!</v>
      </c>
      <c r="I17" s="148" t="e">
        <f t="shared" si="4"/>
        <v>#REF!</v>
      </c>
      <c r="J17" s="148" t="e">
        <f t="shared" si="4"/>
        <v>#REF!</v>
      </c>
      <c r="K17" s="148" t="e">
        <f t="shared" si="4"/>
        <v>#REF!</v>
      </c>
      <c r="L17" s="148" t="e">
        <f t="shared" si="4"/>
        <v>#REF!</v>
      </c>
      <c r="M17" s="152" t="e">
        <f t="shared" si="2"/>
        <v>#REF!</v>
      </c>
    </row>
    <row r="18" spans="1:18" ht="12">
      <c r="A18" s="153">
        <v>4</v>
      </c>
      <c r="B18" s="149" t="s">
        <v>37</v>
      </c>
      <c r="C18" s="150">
        <f>C17</f>
        <v>0</v>
      </c>
      <c r="D18" s="150">
        <f t="shared" ref="D18:L18" si="5">C18+D17</f>
        <v>0</v>
      </c>
      <c r="E18" s="150" t="e">
        <f t="shared" si="5"/>
        <v>#REF!</v>
      </c>
      <c r="F18" s="150" t="e">
        <f t="shared" si="5"/>
        <v>#REF!</v>
      </c>
      <c r="G18" s="150" t="e">
        <f t="shared" si="5"/>
        <v>#REF!</v>
      </c>
      <c r="H18" s="150" t="e">
        <f t="shared" si="5"/>
        <v>#REF!</v>
      </c>
      <c r="I18" s="150" t="e">
        <f t="shared" si="5"/>
        <v>#REF!</v>
      </c>
      <c r="J18" s="150" t="e">
        <f t="shared" si="5"/>
        <v>#REF!</v>
      </c>
      <c r="K18" s="150" t="e">
        <f t="shared" si="5"/>
        <v>#REF!</v>
      </c>
      <c r="L18" s="150" t="e">
        <f t="shared" si="5"/>
        <v>#REF!</v>
      </c>
      <c r="M18" s="149" t="s">
        <v>27</v>
      </c>
    </row>
    <row r="19" spans="1:18" s="133" customFormat="1" ht="12">
      <c r="A19" s="153">
        <v>5</v>
      </c>
      <c r="B19" s="149" t="s">
        <v>38</v>
      </c>
      <c r="C19" s="150">
        <f t="shared" ref="C19:L19" si="6">C17+C15</f>
        <v>0</v>
      </c>
      <c r="D19" s="150">
        <f t="shared" si="6"/>
        <v>0</v>
      </c>
      <c r="E19" s="150" t="e">
        <f t="shared" si="6"/>
        <v>#REF!</v>
      </c>
      <c r="F19" s="150" t="e">
        <f t="shared" si="6"/>
        <v>#REF!</v>
      </c>
      <c r="G19" s="150" t="e">
        <f t="shared" si="6"/>
        <v>#REF!</v>
      </c>
      <c r="H19" s="150" t="e">
        <f t="shared" si="6"/>
        <v>#REF!</v>
      </c>
      <c r="I19" s="150" t="e">
        <f t="shared" si="6"/>
        <v>#REF!</v>
      </c>
      <c r="J19" s="150" t="e">
        <f t="shared" si="6"/>
        <v>#REF!</v>
      </c>
      <c r="K19" s="150" t="e">
        <f t="shared" si="6"/>
        <v>#REF!</v>
      </c>
      <c r="L19" s="150" t="e">
        <f t="shared" si="6"/>
        <v>#REF!</v>
      </c>
      <c r="M19" s="152" t="e">
        <f>SUM(C19:L19)</f>
        <v>#REF!</v>
      </c>
    </row>
    <row r="20" spans="1:18" s="133" customFormat="1" ht="12">
      <c r="A20" s="146">
        <v>6</v>
      </c>
      <c r="B20" s="149" t="s">
        <v>39</v>
      </c>
      <c r="C20" s="150">
        <f>C19</f>
        <v>0</v>
      </c>
      <c r="D20" s="150">
        <f t="shared" ref="D20:L20" si="7">C20+D19</f>
        <v>0</v>
      </c>
      <c r="E20" s="150" t="e">
        <f t="shared" si="7"/>
        <v>#REF!</v>
      </c>
      <c r="F20" s="150" t="e">
        <f t="shared" si="7"/>
        <v>#REF!</v>
      </c>
      <c r="G20" s="150" t="e">
        <f t="shared" si="7"/>
        <v>#REF!</v>
      </c>
      <c r="H20" s="150" t="e">
        <f t="shared" si="7"/>
        <v>#REF!</v>
      </c>
      <c r="I20" s="150" t="e">
        <f t="shared" si="7"/>
        <v>#REF!</v>
      </c>
      <c r="J20" s="150" t="e">
        <f t="shared" si="7"/>
        <v>#REF!</v>
      </c>
      <c r="K20" s="150" t="e">
        <f t="shared" si="7"/>
        <v>#REF!</v>
      </c>
      <c r="L20" s="150" t="e">
        <f t="shared" si="7"/>
        <v>#REF!</v>
      </c>
      <c r="M20" s="149" t="s">
        <v>27</v>
      </c>
    </row>
    <row r="21" spans="1:18" ht="12">
      <c r="A21" s="154"/>
      <c r="B21" s="155" t="s">
        <v>40</v>
      </c>
      <c r="C21" s="155"/>
      <c r="D21" s="155"/>
      <c r="E21" s="155" t="s">
        <v>41</v>
      </c>
      <c r="F21" s="155"/>
      <c r="G21" s="155"/>
      <c r="H21" s="155"/>
      <c r="I21" s="155" t="s">
        <v>42</v>
      </c>
      <c r="J21" s="155"/>
      <c r="K21" s="155"/>
      <c r="L21" s="155"/>
      <c r="M21" s="166"/>
    </row>
    <row r="22" spans="1:18" ht="12">
      <c r="A22" s="156"/>
      <c r="B22" s="157" t="s">
        <v>43</v>
      </c>
      <c r="C22" s="157"/>
      <c r="D22" s="158" t="s">
        <v>44</v>
      </c>
      <c r="E22" s="159" t="e">
        <f>IRR(C17:L17,0.15)</f>
        <v>#VALUE!</v>
      </c>
      <c r="F22" s="157"/>
      <c r="G22" s="157"/>
      <c r="H22" s="157"/>
      <c r="I22" s="159" t="e">
        <f>IRR(C19:L19,0.15)</f>
        <v>#VALUE!</v>
      </c>
      <c r="J22" s="157"/>
      <c r="K22" s="157"/>
      <c r="L22" s="157"/>
      <c r="M22" s="167"/>
    </row>
    <row r="23" spans="1:18" ht="12">
      <c r="A23" s="156"/>
      <c r="B23" s="157" t="s">
        <v>45</v>
      </c>
      <c r="C23" s="157"/>
      <c r="D23" s="157"/>
      <c r="E23" s="160" t="e">
        <f>NPV(0.12,C17:L17)</f>
        <v>#REF!</v>
      </c>
      <c r="F23" s="157"/>
      <c r="G23" s="157"/>
      <c r="H23" s="157"/>
      <c r="I23" s="160" t="e">
        <f>NPV(0.12,C19:L19)</f>
        <v>#REF!</v>
      </c>
      <c r="J23" s="157"/>
      <c r="K23" s="157"/>
      <c r="L23" s="157"/>
      <c r="M23" s="167"/>
      <c r="R23" s="134">
        <f>30.9-29.82</f>
        <v>1.08</v>
      </c>
    </row>
    <row r="24" spans="1:18" ht="12">
      <c r="A24" s="161"/>
      <c r="B24" s="162" t="s">
        <v>46</v>
      </c>
      <c r="C24" s="162"/>
      <c r="D24" s="162"/>
      <c r="E24" s="163" t="e">
        <f>6-H18/I17</f>
        <v>#REF!</v>
      </c>
      <c r="F24" s="162"/>
      <c r="G24" s="162"/>
      <c r="H24" s="162"/>
      <c r="I24" s="163" t="e">
        <f>6-H20/I19</f>
        <v>#REF!</v>
      </c>
      <c r="J24" s="162"/>
      <c r="K24" s="162"/>
      <c r="L24" s="162"/>
      <c r="M24" s="168"/>
    </row>
  </sheetData>
  <mergeCells count="1">
    <mergeCell ref="C3:E3"/>
  </mergeCells>
  <phoneticPr fontId="45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4"/>
  <sheetViews>
    <sheetView tabSelected="1" workbookViewId="0">
      <pane xSplit="2" ySplit="5" topLeftCell="C6" activePane="bottomRight" state="frozen"/>
      <selection pane="topRight"/>
      <selection pane="bottomLeft"/>
      <selection pane="bottomRight" activeCell="K21" sqref="K21"/>
    </sheetView>
  </sheetViews>
  <sheetFormatPr defaultColWidth="9" defaultRowHeight="16.5"/>
  <cols>
    <col min="1" max="1" width="5.125" style="111" customWidth="1"/>
    <col min="2" max="2" width="19.625" style="111" customWidth="1"/>
    <col min="3" max="3" width="12.5" style="111" customWidth="1"/>
    <col min="4" max="7" width="12.5" style="112" customWidth="1"/>
    <col min="8" max="8" width="16.5" style="112" customWidth="1"/>
    <col min="9" max="34" width="9" style="111"/>
    <col min="35" max="35" width="4.375" style="111" customWidth="1"/>
    <col min="36" max="36" width="13.875" style="111" customWidth="1"/>
    <col min="37" max="16384" width="9" style="111"/>
  </cols>
  <sheetData>
    <row r="1" spans="1:37" ht="36.75" customHeight="1">
      <c r="A1" s="201" t="s">
        <v>294</v>
      </c>
      <c r="B1" s="201"/>
      <c r="C1" s="201"/>
      <c r="D1" s="201"/>
      <c r="E1" s="201"/>
      <c r="F1" s="201"/>
      <c r="G1" s="201"/>
      <c r="H1" s="201"/>
    </row>
    <row r="2" spans="1:37" ht="22.5" customHeight="1">
      <c r="B2" s="179"/>
      <c r="C2" s="179"/>
      <c r="D2" s="179"/>
      <c r="E2" s="179"/>
      <c r="F2" s="179"/>
      <c r="G2" s="179" t="s">
        <v>272</v>
      </c>
      <c r="H2" s="179"/>
    </row>
    <row r="3" spans="1:37" ht="21.75" customHeight="1">
      <c r="A3" s="199" t="s">
        <v>17</v>
      </c>
      <c r="B3" s="113" t="s">
        <v>1</v>
      </c>
      <c r="C3" s="113" t="s">
        <v>267</v>
      </c>
      <c r="D3" s="113" t="s">
        <v>268</v>
      </c>
      <c r="E3" s="113" t="s">
        <v>269</v>
      </c>
      <c r="F3" s="113" t="s">
        <v>270</v>
      </c>
      <c r="G3" s="113" t="s">
        <v>271</v>
      </c>
      <c r="H3" s="129" t="s">
        <v>50</v>
      </c>
      <c r="AK3" s="111" t="s">
        <v>51</v>
      </c>
    </row>
    <row r="4" spans="1:37" s="81" customFormat="1" ht="15.75" customHeight="1">
      <c r="A4" s="200"/>
      <c r="B4" s="89" t="s">
        <v>3</v>
      </c>
      <c r="C4" s="114">
        <f>'2025年'!H6</f>
        <v>1000</v>
      </c>
      <c r="D4" s="114">
        <f>'2026年'!H6</f>
        <v>1000</v>
      </c>
      <c r="E4" s="114">
        <f>'2027年'!H6</f>
        <v>1000</v>
      </c>
      <c r="F4" s="114">
        <f>'2028年'!H6</f>
        <v>1000</v>
      </c>
      <c r="G4" s="114">
        <f>'2029年'!H6</f>
        <v>1000</v>
      </c>
      <c r="H4" s="114">
        <f t="shared" ref="H4:H11" si="0">SUM(C4:G4)</f>
        <v>5000</v>
      </c>
      <c r="AI4" s="88" t="s">
        <v>17</v>
      </c>
      <c r="AJ4" s="89" t="s">
        <v>3</v>
      </c>
      <c r="AK4" s="81" t="s">
        <v>52</v>
      </c>
    </row>
    <row r="5" spans="1:37" s="81" customFormat="1" ht="15.75" customHeight="1">
      <c r="A5" s="85">
        <v>1</v>
      </c>
      <c r="B5" s="89" t="s">
        <v>53</v>
      </c>
      <c r="C5" s="114">
        <f>'2025年'!H7</f>
        <v>650000</v>
      </c>
      <c r="D5" s="114">
        <f>'2026年'!H7</f>
        <v>650000</v>
      </c>
      <c r="E5" s="114">
        <f>'2027年'!H7</f>
        <v>650000</v>
      </c>
      <c r="F5" s="114">
        <f>'2028年'!H7</f>
        <v>650000</v>
      </c>
      <c r="G5" s="114">
        <f>'2029年'!H7</f>
        <v>650000</v>
      </c>
      <c r="H5" s="114">
        <f t="shared" si="0"/>
        <v>3250000</v>
      </c>
      <c r="AI5" s="88" t="s">
        <v>54</v>
      </c>
      <c r="AJ5" s="89" t="s">
        <v>53</v>
      </c>
      <c r="AK5" s="81" t="s">
        <v>52</v>
      </c>
    </row>
    <row r="6" spans="1:37" s="81" customFormat="1" ht="15.75" customHeight="1">
      <c r="A6" s="85">
        <v>2</v>
      </c>
      <c r="B6" s="85" t="s">
        <v>55</v>
      </c>
      <c r="C6" s="114">
        <f>'2025年'!H8</f>
        <v>0</v>
      </c>
      <c r="D6" s="114">
        <f>'2026年'!H8</f>
        <v>19500.000000000018</v>
      </c>
      <c r="E6" s="114">
        <f>'2027年'!H8</f>
        <v>38414.999999999956</v>
      </c>
      <c r="F6" s="114">
        <f>'2028年'!H8</f>
        <v>56762.549999999959</v>
      </c>
      <c r="G6" s="114">
        <f>'2029年'!H8</f>
        <v>74559.673500000048</v>
      </c>
      <c r="H6" s="114">
        <f t="shared" si="0"/>
        <v>189237.22349999996</v>
      </c>
      <c r="AI6" s="88" t="s">
        <v>56</v>
      </c>
      <c r="AJ6" s="85" t="s">
        <v>57</v>
      </c>
      <c r="AK6" s="81" t="s">
        <v>52</v>
      </c>
    </row>
    <row r="7" spans="1:37" s="81" customFormat="1" ht="15.75" customHeight="1">
      <c r="A7" s="85">
        <v>3</v>
      </c>
      <c r="B7" s="89" t="s">
        <v>58</v>
      </c>
      <c r="C7" s="115">
        <f>'2025年'!H9</f>
        <v>650000</v>
      </c>
      <c r="D7" s="115">
        <f>D5-D6</f>
        <v>630500</v>
      </c>
      <c r="E7" s="115">
        <f>'2027年'!H9</f>
        <v>611585</v>
      </c>
      <c r="F7" s="114">
        <f>'2028年'!H9</f>
        <v>593237.45000000007</v>
      </c>
      <c r="G7" s="114">
        <f>'2029年'!H9</f>
        <v>575440.32649999997</v>
      </c>
      <c r="H7" s="114">
        <f t="shared" si="0"/>
        <v>3060762.7765000002</v>
      </c>
      <c r="AI7" s="88" t="s">
        <v>59</v>
      </c>
      <c r="AJ7" s="89" t="s">
        <v>58</v>
      </c>
      <c r="AK7" s="81" t="s">
        <v>60</v>
      </c>
    </row>
    <row r="8" spans="1:37" s="81" customFormat="1" ht="15.75" customHeight="1">
      <c r="A8" s="85">
        <v>4</v>
      </c>
      <c r="B8" s="88" t="s">
        <v>273</v>
      </c>
      <c r="C8" s="114">
        <f>'2025年'!H10</f>
        <v>500310</v>
      </c>
      <c r="D8" s="114">
        <f>'2026年'!H10</f>
        <v>485300.7</v>
      </c>
      <c r="E8" s="115">
        <f>'2027年'!H10</f>
        <v>470741.679</v>
      </c>
      <c r="F8" s="114">
        <f>'2028年'!H10</f>
        <v>456619.42862999998</v>
      </c>
      <c r="G8" s="114">
        <f>'2029年'!H10</f>
        <v>442920.84577109996</v>
      </c>
      <c r="H8" s="114">
        <f t="shared" si="0"/>
        <v>2355892.6534011001</v>
      </c>
      <c r="AI8" s="88" t="s">
        <v>61</v>
      </c>
      <c r="AJ8" s="88" t="s">
        <v>62</v>
      </c>
      <c r="AK8" s="81" t="s">
        <v>63</v>
      </c>
    </row>
    <row r="9" spans="1:37" s="81" customFormat="1" ht="15.75" customHeight="1">
      <c r="A9" s="85">
        <v>5</v>
      </c>
      <c r="B9" s="88" t="s">
        <v>64</v>
      </c>
      <c r="C9" s="114">
        <f>'2025年'!H11</f>
        <v>7995</v>
      </c>
      <c r="D9" s="114">
        <f>'2026年'!H11</f>
        <v>7995</v>
      </c>
      <c r="E9" s="115">
        <f>'2027年'!H11</f>
        <v>7995</v>
      </c>
      <c r="F9" s="114">
        <f>'2028年'!H11</f>
        <v>7995</v>
      </c>
      <c r="G9" s="114">
        <f>'2029年'!H11</f>
        <v>7995</v>
      </c>
      <c r="H9" s="114">
        <f t="shared" si="0"/>
        <v>39975</v>
      </c>
      <c r="AI9" s="88" t="s">
        <v>65</v>
      </c>
      <c r="AJ9" s="88" t="s">
        <v>64</v>
      </c>
    </row>
    <row r="10" spans="1:37" s="81" customFormat="1" ht="15.75" customHeight="1">
      <c r="A10" s="85">
        <v>6</v>
      </c>
      <c r="B10" s="88" t="s">
        <v>66</v>
      </c>
      <c r="C10" s="114">
        <f>'2025年'!H12</f>
        <v>7215.0000000000009</v>
      </c>
      <c r="D10" s="114">
        <f>'2026年'!H12</f>
        <v>7215.0000000000009</v>
      </c>
      <c r="E10" s="115">
        <f>'2027年'!H12</f>
        <v>7215.0000000000009</v>
      </c>
      <c r="F10" s="114">
        <f>'2028年'!H12</f>
        <v>7215.0000000000009</v>
      </c>
      <c r="G10" s="114">
        <f>'2029年'!H12</f>
        <v>7215.0000000000009</v>
      </c>
      <c r="H10" s="114">
        <f t="shared" si="0"/>
        <v>36075.000000000007</v>
      </c>
      <c r="AI10" s="88" t="s">
        <v>67</v>
      </c>
      <c r="AJ10" s="88" t="s">
        <v>66</v>
      </c>
    </row>
    <row r="11" spans="1:37" s="81" customFormat="1" ht="15.75" customHeight="1">
      <c r="A11" s="85">
        <v>7</v>
      </c>
      <c r="B11" s="88" t="s">
        <v>68</v>
      </c>
      <c r="C11" s="114">
        <f>'2025年'!H13</f>
        <v>10400</v>
      </c>
      <c r="D11" s="114">
        <f>'2026年'!H13</f>
        <v>10400</v>
      </c>
      <c r="E11" s="115">
        <f>'2027年'!H13</f>
        <v>10400</v>
      </c>
      <c r="F11" s="114">
        <f>'2028年'!H13</f>
        <v>10400</v>
      </c>
      <c r="G11" s="114">
        <f>'2029年'!H13</f>
        <v>10400</v>
      </c>
      <c r="H11" s="114">
        <f t="shared" si="0"/>
        <v>52000</v>
      </c>
      <c r="AI11" s="88" t="s">
        <v>69</v>
      </c>
      <c r="AJ11" s="88" t="s">
        <v>68</v>
      </c>
      <c r="AK11" s="81" t="s">
        <v>52</v>
      </c>
    </row>
    <row r="12" spans="1:37" s="81" customFormat="1" ht="15.75" customHeight="1">
      <c r="A12" s="85">
        <v>8</v>
      </c>
      <c r="B12" s="261" t="s">
        <v>70</v>
      </c>
      <c r="C12" s="262">
        <f>SUM(C9:C11)</f>
        <v>25610</v>
      </c>
      <c r="D12" s="262">
        <f t="shared" ref="D12:H12" si="1">SUM(D9:D11)</f>
        <v>25610</v>
      </c>
      <c r="E12" s="262">
        <f t="shared" si="1"/>
        <v>25610</v>
      </c>
      <c r="F12" s="262">
        <f t="shared" si="1"/>
        <v>25610</v>
      </c>
      <c r="G12" s="262">
        <f t="shared" si="1"/>
        <v>25610</v>
      </c>
      <c r="H12" s="262">
        <f t="shared" si="1"/>
        <v>128050</v>
      </c>
      <c r="AI12" s="88" t="s">
        <v>71</v>
      </c>
      <c r="AJ12" s="93" t="s">
        <v>70</v>
      </c>
    </row>
    <row r="13" spans="1:37" s="81" customFormat="1" ht="15.75" customHeight="1">
      <c r="A13" s="85">
        <v>9</v>
      </c>
      <c r="B13" s="116" t="s">
        <v>72</v>
      </c>
      <c r="C13" s="114">
        <f>'2025年'!H15</f>
        <v>124080</v>
      </c>
      <c r="D13" s="114">
        <f>'2026年'!H15</f>
        <v>119589.29999999999</v>
      </c>
      <c r="E13" s="115">
        <f>'2027年'!H15</f>
        <v>115233.321</v>
      </c>
      <c r="F13" s="114">
        <f>'2028年'!H15</f>
        <v>111008.02137000009</v>
      </c>
      <c r="G13" s="114">
        <f>'2029年'!H15</f>
        <v>106909.4807289</v>
      </c>
      <c r="H13" s="114">
        <f>SUM(C13:G13)</f>
        <v>576820.12309890008</v>
      </c>
      <c r="J13" s="111"/>
      <c r="K13" s="111"/>
      <c r="L13" s="111"/>
      <c r="M13" s="111"/>
      <c r="N13" s="111"/>
      <c r="O13" s="111"/>
      <c r="AI13" s="88" t="s">
        <v>73</v>
      </c>
      <c r="AJ13" s="93" t="s">
        <v>72</v>
      </c>
    </row>
    <row r="14" spans="1:37" ht="15.75" customHeight="1">
      <c r="A14" s="85">
        <v>10</v>
      </c>
      <c r="B14" s="117" t="s">
        <v>74</v>
      </c>
      <c r="C14" s="118">
        <f>+C13/C7</f>
        <v>0.19089230769230769</v>
      </c>
      <c r="D14" s="118">
        <f t="shared" ref="D14:G14" si="2">+D13/D7</f>
        <v>0.18967375099127676</v>
      </c>
      <c r="E14" s="118">
        <f t="shared" si="2"/>
        <v>0.18841750696959539</v>
      </c>
      <c r="F14" s="118">
        <f t="shared" si="2"/>
        <v>0.18712241004002711</v>
      </c>
      <c r="G14" s="118">
        <f t="shared" si="2"/>
        <v>0.18578725856624512</v>
      </c>
      <c r="H14" s="118">
        <f>+H13/H7</f>
        <v>0.18845633105826554</v>
      </c>
      <c r="AI14" s="117" t="s">
        <v>75</v>
      </c>
      <c r="AJ14" s="117" t="s">
        <v>74</v>
      </c>
    </row>
    <row r="15" spans="1:37" ht="15.75" customHeight="1">
      <c r="A15" s="85">
        <v>11</v>
      </c>
      <c r="B15" s="117" t="s">
        <v>76</v>
      </c>
      <c r="C15" s="114">
        <f>'2025年'!H17</f>
        <v>56090</v>
      </c>
      <c r="D15" s="114">
        <f>'2026年'!H17</f>
        <v>56090</v>
      </c>
      <c r="E15" s="115">
        <f>'2027年'!H17</f>
        <v>56090</v>
      </c>
      <c r="F15" s="114">
        <f>'2028年'!H17</f>
        <v>56090</v>
      </c>
      <c r="G15" s="114">
        <f>'2029年'!H17</f>
        <v>56090</v>
      </c>
      <c r="H15" s="114">
        <f>SUM(C15:G15)</f>
        <v>280450</v>
      </c>
      <c r="AI15" s="117" t="s">
        <v>77</v>
      </c>
      <c r="AJ15" s="117" t="s">
        <v>76</v>
      </c>
    </row>
    <row r="16" spans="1:37" ht="15.75" hidden="1" customHeight="1">
      <c r="A16" s="85"/>
      <c r="B16" s="117"/>
      <c r="C16" s="114"/>
      <c r="D16" s="114"/>
      <c r="E16" s="114"/>
      <c r="F16" s="114"/>
      <c r="G16" s="114"/>
      <c r="H16" s="114">
        <f>SUM(D16:F16)</f>
        <v>0</v>
      </c>
      <c r="AI16" s="117"/>
      <c r="AJ16" s="117"/>
    </row>
    <row r="17" spans="1:37" ht="15.75" customHeight="1">
      <c r="A17" s="85">
        <v>12</v>
      </c>
      <c r="B17" s="117" t="s">
        <v>78</v>
      </c>
      <c r="C17" s="119">
        <f>'2025年'!H19</f>
        <v>5460</v>
      </c>
      <c r="D17" s="119">
        <f>'2026年'!H19</f>
        <v>5460</v>
      </c>
      <c r="E17" s="119">
        <f>'2027年'!H19</f>
        <v>5460</v>
      </c>
      <c r="F17" s="114">
        <f>'2028年'!H19</f>
        <v>5460</v>
      </c>
      <c r="G17" s="114">
        <f>'2029年'!H19</f>
        <v>5460</v>
      </c>
      <c r="H17" s="114">
        <f>SUM(C17:G17)</f>
        <v>27300</v>
      </c>
      <c r="P17" s="92"/>
      <c r="AI17" s="117" t="s">
        <v>79</v>
      </c>
      <c r="AJ17" s="117" t="s">
        <v>78</v>
      </c>
      <c r="AK17" s="111" t="s">
        <v>52</v>
      </c>
    </row>
    <row r="18" spans="1:37" ht="15.75" customHeight="1">
      <c r="A18" s="85">
        <v>13</v>
      </c>
      <c r="B18" s="117" t="s">
        <v>80</v>
      </c>
      <c r="C18" s="119">
        <f>'2025年'!H20</f>
        <v>20995</v>
      </c>
      <c r="D18" s="119">
        <f>'2026年'!H20</f>
        <v>20995</v>
      </c>
      <c r="E18" s="119">
        <f>'2027年'!H20</f>
        <v>20995</v>
      </c>
      <c r="F18" s="114">
        <f>'2028年'!H20</f>
        <v>20995</v>
      </c>
      <c r="G18" s="114">
        <f>'2029年'!H20</f>
        <v>20995</v>
      </c>
      <c r="H18" s="114">
        <f>SUM(C18:G18)</f>
        <v>104975</v>
      </c>
      <c r="AI18" s="117" t="s">
        <v>81</v>
      </c>
      <c r="AJ18" s="117" t="s">
        <v>80</v>
      </c>
    </row>
    <row r="19" spans="1:37" s="83" customFormat="1" ht="15.75" customHeight="1">
      <c r="A19" s="85">
        <v>14</v>
      </c>
      <c r="B19" s="100" t="s">
        <v>82</v>
      </c>
      <c r="C19" s="120">
        <f>'2025年'!H21</f>
        <v>2600</v>
      </c>
      <c r="D19" s="120">
        <f>'2026年'!H21</f>
        <v>2600</v>
      </c>
      <c r="E19" s="120">
        <f>'2027年'!H21</f>
        <v>2600</v>
      </c>
      <c r="F19" s="120">
        <f>'2028年'!H21</f>
        <v>2600</v>
      </c>
      <c r="G19" s="114">
        <f>'2029年'!H21</f>
        <v>2600</v>
      </c>
      <c r="H19" s="114">
        <f>SUM(C19:G19)</f>
        <v>13000</v>
      </c>
      <c r="AI19" s="100"/>
      <c r="AJ19" s="100"/>
    </row>
    <row r="20" spans="1:37" s="81" customFormat="1" ht="15.75" customHeight="1">
      <c r="A20" s="85">
        <v>15</v>
      </c>
      <c r="B20" s="88" t="s">
        <v>83</v>
      </c>
      <c r="C20" s="119">
        <f>'2025年'!H22</f>
        <v>23075</v>
      </c>
      <c r="D20" s="119">
        <f>'2026年'!H22</f>
        <v>23075</v>
      </c>
      <c r="E20" s="119">
        <f>'2027年'!H22</f>
        <v>23075</v>
      </c>
      <c r="F20" s="114">
        <f>'2028年'!H22</f>
        <v>23075</v>
      </c>
      <c r="G20" s="114">
        <f>'2029年'!H22</f>
        <v>23075</v>
      </c>
      <c r="H20" s="114">
        <f>SUM(C20:G20)</f>
        <v>115375</v>
      </c>
      <c r="AI20" s="88" t="s">
        <v>84</v>
      </c>
      <c r="AJ20" s="88" t="s">
        <v>83</v>
      </c>
    </row>
    <row r="21" spans="1:37" s="109" customFormat="1" ht="15.75" customHeight="1">
      <c r="A21" s="85">
        <v>16</v>
      </c>
      <c r="B21" s="263" t="s">
        <v>85</v>
      </c>
      <c r="C21" s="262">
        <f t="shared" ref="C21:G21" si="3">+C20+C19+C18+C17+C15</f>
        <v>108220</v>
      </c>
      <c r="D21" s="262">
        <f t="shared" si="3"/>
        <v>108220</v>
      </c>
      <c r="E21" s="262">
        <f t="shared" si="3"/>
        <v>108220</v>
      </c>
      <c r="F21" s="262">
        <f t="shared" si="3"/>
        <v>108220</v>
      </c>
      <c r="G21" s="262">
        <f t="shared" si="3"/>
        <v>108220</v>
      </c>
      <c r="H21" s="262">
        <f>+H20+H19+H18+H17+H15</f>
        <v>541100</v>
      </c>
      <c r="AI21" s="130" t="s">
        <v>86</v>
      </c>
      <c r="AJ21" s="131" t="s">
        <v>85</v>
      </c>
    </row>
    <row r="22" spans="1:37" ht="15.75" customHeight="1">
      <c r="A22" s="85">
        <v>17</v>
      </c>
      <c r="B22" s="117" t="s">
        <v>87</v>
      </c>
      <c r="C22" s="120">
        <f>'2025年'!H24</f>
        <v>15860</v>
      </c>
      <c r="D22" s="121">
        <f>'2026年'!H24</f>
        <v>11369.299999999988</v>
      </c>
      <c r="E22" s="121">
        <f>'2027年'!H24</f>
        <v>7013.3209999999963</v>
      </c>
      <c r="F22" s="114">
        <f>'2028年'!H24</f>
        <v>2788.0213700000895</v>
      </c>
      <c r="G22" s="114">
        <f>'2029年'!H24</f>
        <v>-1310.5192710999982</v>
      </c>
      <c r="H22" s="114">
        <f>SUM(C22:G22)</f>
        <v>35720.123098900076</v>
      </c>
      <c r="AI22" s="117" t="s">
        <v>88</v>
      </c>
      <c r="AJ22" s="117" t="s">
        <v>87</v>
      </c>
    </row>
    <row r="23" spans="1:37" ht="15.75" customHeight="1">
      <c r="A23" s="85">
        <v>18</v>
      </c>
      <c r="B23" s="117" t="s">
        <v>303</v>
      </c>
      <c r="C23" s="120">
        <f>'2025年'!H25</f>
        <v>3965</v>
      </c>
      <c r="D23" s="121">
        <f>'2026年'!H25</f>
        <v>2842.3249999999971</v>
      </c>
      <c r="E23" s="121">
        <f>'2027年'!H25</f>
        <v>1753.3302499999991</v>
      </c>
      <c r="F23" s="114">
        <f>'2028年'!H25</f>
        <v>697.00534250002238</v>
      </c>
      <c r="G23" s="114">
        <f>'2029年'!H25</f>
        <v>0</v>
      </c>
      <c r="H23" s="114">
        <f>IF(H22&lt;0,0,H22*0.25)</f>
        <v>8930.030774725019</v>
      </c>
      <c r="AI23" s="117" t="s">
        <v>89</v>
      </c>
      <c r="AJ23" s="117" t="s">
        <v>34</v>
      </c>
    </row>
    <row r="24" spans="1:37" ht="15.75" customHeight="1">
      <c r="A24" s="85">
        <v>19</v>
      </c>
      <c r="B24" s="117" t="s">
        <v>90</v>
      </c>
      <c r="C24" s="120">
        <f>'2025年'!H26</f>
        <v>11895</v>
      </c>
      <c r="D24" s="121">
        <f>'2026年'!H26</f>
        <v>8526.9749999999913</v>
      </c>
      <c r="E24" s="121">
        <f>'2027年'!H26</f>
        <v>5259.9907499999972</v>
      </c>
      <c r="F24" s="114">
        <f>'2028年'!H26</f>
        <v>2091.0160275000671</v>
      </c>
      <c r="G24" s="114">
        <f>'2029年'!H26</f>
        <v>-1310.5192710999982</v>
      </c>
      <c r="H24" s="114">
        <f>H22-H23</f>
        <v>26790.092324175057</v>
      </c>
      <c r="AI24" s="117" t="s">
        <v>91</v>
      </c>
      <c r="AJ24" s="117" t="s">
        <v>90</v>
      </c>
    </row>
    <row r="25" spans="1:37" ht="15.75" customHeight="1">
      <c r="A25" s="85">
        <v>20</v>
      </c>
      <c r="B25" s="117" t="s">
        <v>92</v>
      </c>
      <c r="C25" s="122">
        <f>C24/C7</f>
        <v>1.83E-2</v>
      </c>
      <c r="D25" s="122">
        <f t="shared" ref="D25:G25" si="4">D24/D7</f>
        <v>1.3524147501982539E-2</v>
      </c>
      <c r="E25" s="122">
        <f t="shared" si="4"/>
        <v>8.6005882256759026E-3</v>
      </c>
      <c r="F25" s="122">
        <f t="shared" si="4"/>
        <v>3.5247539202052517E-3</v>
      </c>
      <c r="G25" s="122">
        <f t="shared" si="4"/>
        <v>-2.2774199352189445E-3</v>
      </c>
      <c r="H25" s="122">
        <f>H24/H7</f>
        <v>8.7527503045530634E-3</v>
      </c>
      <c r="AI25" s="132" t="s">
        <v>93</v>
      </c>
      <c r="AJ25" s="132" t="s">
        <v>94</v>
      </c>
    </row>
    <row r="26" spans="1:37" s="110" customFormat="1" ht="15.75" customHeight="1">
      <c r="D26" s="123"/>
      <c r="E26" s="123"/>
      <c r="F26" s="123"/>
      <c r="G26" s="123"/>
      <c r="H26" s="123"/>
    </row>
    <row r="27" spans="1:37" s="110" customFormat="1" ht="15.75" customHeight="1">
      <c r="A27" s="110" t="s">
        <v>95</v>
      </c>
      <c r="D27" s="124"/>
      <c r="E27" s="124"/>
      <c r="F27" s="124"/>
      <c r="G27" s="124"/>
      <c r="H27" s="124"/>
      <c r="AI27" s="110" t="s">
        <v>95</v>
      </c>
    </row>
    <row r="28" spans="1:37" ht="25.5" customHeight="1">
      <c r="A28" s="117" t="s">
        <v>17</v>
      </c>
      <c r="B28" s="180" t="s">
        <v>1</v>
      </c>
      <c r="C28" s="113" t="str">
        <f>C3</f>
        <v>2025年</v>
      </c>
      <c r="D28" s="113" t="str">
        <f t="shared" ref="D28:G28" si="5">D3</f>
        <v>2026年</v>
      </c>
      <c r="E28" s="113" t="str">
        <f t="shared" si="5"/>
        <v>2027年</v>
      </c>
      <c r="F28" s="113" t="str">
        <f t="shared" si="5"/>
        <v>2028年</v>
      </c>
      <c r="G28" s="113" t="str">
        <f t="shared" si="5"/>
        <v>2029年</v>
      </c>
      <c r="H28" s="129" t="s">
        <v>50</v>
      </c>
      <c r="AK28" s="111" t="s">
        <v>51</v>
      </c>
    </row>
    <row r="29" spans="1:37" s="81" customFormat="1" ht="15.75" customHeight="1">
      <c r="A29" s="88" t="s">
        <v>96</v>
      </c>
      <c r="B29" s="93" t="s">
        <v>97</v>
      </c>
      <c r="C29" s="93"/>
      <c r="D29" s="99"/>
      <c r="E29" s="99"/>
      <c r="F29" s="99"/>
      <c r="G29" s="99"/>
      <c r="H29" s="99"/>
      <c r="AI29" s="88" t="s">
        <v>98</v>
      </c>
      <c r="AJ29" s="93" t="s">
        <v>97</v>
      </c>
    </row>
    <row r="30" spans="1:37" s="81" customFormat="1" ht="15.75" customHeight="1">
      <c r="A30" s="88" t="s">
        <v>54</v>
      </c>
      <c r="B30" s="88" t="s">
        <v>99</v>
      </c>
      <c r="C30" s="91">
        <f>+C7/C4</f>
        <v>650</v>
      </c>
      <c r="D30" s="91">
        <f t="shared" ref="D30:H30" si="6">+D7/D4</f>
        <v>630.5</v>
      </c>
      <c r="E30" s="91">
        <f t="shared" si="6"/>
        <v>611.58500000000004</v>
      </c>
      <c r="F30" s="91">
        <f t="shared" si="6"/>
        <v>593.23745000000008</v>
      </c>
      <c r="G30" s="91">
        <f t="shared" si="6"/>
        <v>575.44032649999997</v>
      </c>
      <c r="H30" s="91">
        <f t="shared" si="6"/>
        <v>612.15255530000002</v>
      </c>
      <c r="AI30" s="88" t="s">
        <v>54</v>
      </c>
      <c r="AJ30" s="88" t="s">
        <v>99</v>
      </c>
    </row>
    <row r="31" spans="1:37" s="81" customFormat="1" ht="15.75" customHeight="1">
      <c r="A31" s="88" t="s">
        <v>56</v>
      </c>
      <c r="B31" s="88" t="s">
        <v>100</v>
      </c>
      <c r="C31" s="91">
        <f>+C8/C4</f>
        <v>500.31</v>
      </c>
      <c r="D31" s="91">
        <f t="shared" ref="D31:H31" si="7">+D8/D4</f>
        <v>485.30070000000001</v>
      </c>
      <c r="E31" s="91">
        <f t="shared" si="7"/>
        <v>470.74167899999998</v>
      </c>
      <c r="F31" s="91">
        <f t="shared" si="7"/>
        <v>456.61942862999996</v>
      </c>
      <c r="G31" s="91">
        <f t="shared" si="7"/>
        <v>442.92084577109995</v>
      </c>
      <c r="H31" s="91">
        <f t="shared" si="7"/>
        <v>471.17853068022004</v>
      </c>
      <c r="AI31" s="88" t="s">
        <v>56</v>
      </c>
      <c r="AJ31" s="88" t="s">
        <v>100</v>
      </c>
    </row>
    <row r="32" spans="1:37" s="81" customFormat="1" ht="15.75" customHeight="1">
      <c r="A32" s="88" t="s">
        <v>101</v>
      </c>
      <c r="B32" s="88" t="s">
        <v>102</v>
      </c>
      <c r="C32" s="99">
        <f>C30-C31</f>
        <v>149.69</v>
      </c>
      <c r="D32" s="99">
        <f t="shared" ref="D32:H32" si="8">D30-D31</f>
        <v>145.19929999999999</v>
      </c>
      <c r="E32" s="99">
        <f t="shared" si="8"/>
        <v>140.84332100000006</v>
      </c>
      <c r="F32" s="99">
        <f t="shared" si="8"/>
        <v>136.61802137000012</v>
      </c>
      <c r="G32" s="99">
        <f t="shared" si="8"/>
        <v>132.51948072890002</v>
      </c>
      <c r="H32" s="99">
        <f t="shared" si="8"/>
        <v>140.97402461977998</v>
      </c>
      <c r="AI32" s="88" t="s">
        <v>101</v>
      </c>
      <c r="AJ32" s="88" t="s">
        <v>102</v>
      </c>
    </row>
    <row r="33" spans="1:36" s="81" customFormat="1" ht="15.75" customHeight="1">
      <c r="A33" s="88">
        <v>3.1</v>
      </c>
      <c r="B33" s="88" t="s">
        <v>103</v>
      </c>
      <c r="C33" s="94">
        <f>C32/C30</f>
        <v>0.23029230769230769</v>
      </c>
      <c r="D33" s="94">
        <f t="shared" ref="D33:H33" si="9">D32/D30</f>
        <v>0.23029230769230769</v>
      </c>
      <c r="E33" s="94">
        <f t="shared" si="9"/>
        <v>0.23029230769230777</v>
      </c>
      <c r="F33" s="94">
        <f t="shared" si="9"/>
        <v>0.23029230769230788</v>
      </c>
      <c r="G33" s="94">
        <f t="shared" si="9"/>
        <v>0.23029230769230774</v>
      </c>
      <c r="H33" s="94">
        <f t="shared" si="9"/>
        <v>0.23029230769230766</v>
      </c>
      <c r="AI33" s="88"/>
      <c r="AJ33" s="88"/>
    </row>
    <row r="34" spans="1:36" s="81" customFormat="1" ht="15.75" customHeight="1">
      <c r="A34" s="88" t="s">
        <v>98</v>
      </c>
      <c r="B34" s="93" t="s">
        <v>9</v>
      </c>
      <c r="C34" s="99"/>
      <c r="D34" s="99"/>
      <c r="E34" s="99"/>
      <c r="F34" s="99"/>
      <c r="G34" s="99"/>
      <c r="H34" s="99"/>
      <c r="AI34" s="88" t="s">
        <v>104</v>
      </c>
      <c r="AJ34" s="93" t="s">
        <v>9</v>
      </c>
    </row>
    <row r="35" spans="1:36" s="81" customFormat="1" ht="15.75" customHeight="1">
      <c r="A35" s="88" t="s">
        <v>54</v>
      </c>
      <c r="B35" s="100" t="s">
        <v>105</v>
      </c>
      <c r="C35" s="91">
        <f>+C9/C4</f>
        <v>7.9950000000000001</v>
      </c>
      <c r="D35" s="91">
        <f t="shared" ref="D35:H35" si="10">+D9/D4</f>
        <v>7.9950000000000001</v>
      </c>
      <c r="E35" s="91">
        <f t="shared" si="10"/>
        <v>7.9950000000000001</v>
      </c>
      <c r="F35" s="91">
        <f t="shared" si="10"/>
        <v>7.9950000000000001</v>
      </c>
      <c r="G35" s="91">
        <f t="shared" si="10"/>
        <v>7.9950000000000001</v>
      </c>
      <c r="H35" s="91">
        <f t="shared" si="10"/>
        <v>7.9950000000000001</v>
      </c>
      <c r="AI35" s="88" t="s">
        <v>101</v>
      </c>
      <c r="AJ35" s="88" t="s">
        <v>105</v>
      </c>
    </row>
    <row r="36" spans="1:36" s="81" customFormat="1" ht="15.75" customHeight="1">
      <c r="A36" s="88" t="s">
        <v>56</v>
      </c>
      <c r="B36" s="100" t="s">
        <v>106</v>
      </c>
      <c r="C36" s="91">
        <f>+C10/C4</f>
        <v>7.2150000000000007</v>
      </c>
      <c r="D36" s="91">
        <f t="shared" ref="D36:H36" si="11">+D10/D4</f>
        <v>7.2150000000000007</v>
      </c>
      <c r="E36" s="91">
        <f t="shared" si="11"/>
        <v>7.2150000000000007</v>
      </c>
      <c r="F36" s="91">
        <f t="shared" si="11"/>
        <v>7.2150000000000007</v>
      </c>
      <c r="G36" s="91">
        <f t="shared" si="11"/>
        <v>7.2150000000000007</v>
      </c>
      <c r="H36" s="91">
        <f t="shared" si="11"/>
        <v>7.2150000000000016</v>
      </c>
      <c r="AI36" s="88" t="s">
        <v>59</v>
      </c>
      <c r="AJ36" s="88" t="s">
        <v>106</v>
      </c>
    </row>
    <row r="37" spans="1:36" s="81" customFormat="1" ht="15.75" customHeight="1">
      <c r="A37" s="88" t="s">
        <v>101</v>
      </c>
      <c r="B37" s="100" t="s">
        <v>107</v>
      </c>
      <c r="C37" s="91">
        <f>+C11/C4</f>
        <v>10.4</v>
      </c>
      <c r="D37" s="91">
        <f t="shared" ref="D37:H37" si="12">+D11/D4</f>
        <v>10.4</v>
      </c>
      <c r="E37" s="91">
        <f t="shared" si="12"/>
        <v>10.4</v>
      </c>
      <c r="F37" s="91">
        <f t="shared" si="12"/>
        <v>10.4</v>
      </c>
      <c r="G37" s="91">
        <f t="shared" si="12"/>
        <v>10.4</v>
      </c>
      <c r="H37" s="91">
        <f t="shared" si="12"/>
        <v>10.4</v>
      </c>
      <c r="AI37" s="88" t="s">
        <v>65</v>
      </c>
      <c r="AJ37" s="88" t="s">
        <v>107</v>
      </c>
    </row>
    <row r="38" spans="1:36" s="81" customFormat="1" ht="15.75" customHeight="1">
      <c r="A38" s="88" t="s">
        <v>108</v>
      </c>
      <c r="B38" s="116" t="s">
        <v>109</v>
      </c>
      <c r="C38" s="91"/>
      <c r="D38" s="91"/>
      <c r="E38" s="91"/>
      <c r="F38" s="91"/>
      <c r="G38" s="91"/>
      <c r="H38" s="91"/>
      <c r="AI38" s="88" t="s">
        <v>108</v>
      </c>
      <c r="AJ38" s="93" t="s">
        <v>109</v>
      </c>
    </row>
    <row r="39" spans="1:36" s="81" customFormat="1">
      <c r="A39" s="88" t="s">
        <v>54</v>
      </c>
      <c r="B39" s="100" t="s">
        <v>275</v>
      </c>
      <c r="C39" s="91">
        <f>+C13/C4</f>
        <v>124.08</v>
      </c>
      <c r="D39" s="91">
        <f t="shared" ref="D39:H39" si="13">+D13/D4</f>
        <v>119.58929999999999</v>
      </c>
      <c r="E39" s="91">
        <f t="shared" si="13"/>
        <v>115.23332099999999</v>
      </c>
      <c r="F39" s="91">
        <f t="shared" si="13"/>
        <v>111.00802137000009</v>
      </c>
      <c r="G39" s="91">
        <f t="shared" si="13"/>
        <v>106.90948072890001</v>
      </c>
      <c r="H39" s="91">
        <f t="shared" si="13"/>
        <v>115.36402461978001</v>
      </c>
      <c r="AI39" s="88" t="s">
        <v>54</v>
      </c>
      <c r="AJ39" s="88" t="s">
        <v>110</v>
      </c>
    </row>
    <row r="40" spans="1:36" s="81" customFormat="1" ht="15.75" customHeight="1">
      <c r="A40" s="88" t="s">
        <v>56</v>
      </c>
      <c r="B40" s="100" t="s">
        <v>111</v>
      </c>
      <c r="C40" s="114">
        <f>+C21/C39</f>
        <v>872.17923920051578</v>
      </c>
      <c r="D40" s="114">
        <f t="shared" ref="D40:H40" si="14">+D21/D39</f>
        <v>904.9304578252403</v>
      </c>
      <c r="E40" s="114">
        <f t="shared" si="14"/>
        <v>939.13808142351468</v>
      </c>
      <c r="F40" s="114">
        <f t="shared" si="14"/>
        <v>974.88450532140052</v>
      </c>
      <c r="G40" s="114">
        <f t="shared" si="14"/>
        <v>1012.2582137913773</v>
      </c>
      <c r="H40" s="114">
        <f t="shared" si="14"/>
        <v>4690.3703453773614</v>
      </c>
      <c r="AI40" s="88" t="s">
        <v>56</v>
      </c>
      <c r="AJ40" s="88" t="s">
        <v>111</v>
      </c>
    </row>
    <row r="41" spans="1:36" s="81" customFormat="1" ht="15.75" customHeight="1">
      <c r="A41" s="88" t="s">
        <v>112</v>
      </c>
      <c r="B41" s="93" t="s">
        <v>113</v>
      </c>
      <c r="C41" s="99"/>
      <c r="D41" s="99"/>
      <c r="E41" s="99"/>
      <c r="F41" s="99"/>
      <c r="G41" s="99"/>
      <c r="H41" s="99"/>
      <c r="AI41" s="88" t="s">
        <v>112</v>
      </c>
      <c r="AJ41" s="93" t="s">
        <v>113</v>
      </c>
    </row>
    <row r="42" spans="1:36" s="81" customFormat="1" ht="15.75" customHeight="1">
      <c r="A42" s="88" t="s">
        <v>54</v>
      </c>
      <c r="B42" s="88" t="s">
        <v>114</v>
      </c>
      <c r="C42" s="99">
        <f>+C15/C4</f>
        <v>56.09</v>
      </c>
      <c r="D42" s="99">
        <f t="shared" ref="D42:H42" si="15">+D15/D4</f>
        <v>56.09</v>
      </c>
      <c r="E42" s="99">
        <f t="shared" si="15"/>
        <v>56.09</v>
      </c>
      <c r="F42" s="99">
        <f t="shared" si="15"/>
        <v>56.09</v>
      </c>
      <c r="G42" s="99">
        <f t="shared" si="15"/>
        <v>56.09</v>
      </c>
      <c r="H42" s="99">
        <f t="shared" si="15"/>
        <v>56.09</v>
      </c>
      <c r="AI42" s="88" t="s">
        <v>54</v>
      </c>
      <c r="AJ42" s="88" t="s">
        <v>114</v>
      </c>
    </row>
    <row r="43" spans="1:36" s="81" customFormat="1" ht="15.75" customHeight="1">
      <c r="A43" s="88" t="s">
        <v>56</v>
      </c>
      <c r="B43" s="88" t="s">
        <v>115</v>
      </c>
      <c r="C43" s="99">
        <f>+C17/C4</f>
        <v>5.46</v>
      </c>
      <c r="D43" s="99">
        <f t="shared" ref="D43:H43" si="16">+D17/D4</f>
        <v>5.46</v>
      </c>
      <c r="E43" s="99">
        <f t="shared" si="16"/>
        <v>5.46</v>
      </c>
      <c r="F43" s="99">
        <f t="shared" si="16"/>
        <v>5.46</v>
      </c>
      <c r="G43" s="99">
        <f t="shared" si="16"/>
        <v>5.46</v>
      </c>
      <c r="H43" s="99">
        <f t="shared" si="16"/>
        <v>5.46</v>
      </c>
      <c r="AI43" s="88" t="s">
        <v>56</v>
      </c>
      <c r="AJ43" s="88" t="s">
        <v>115</v>
      </c>
    </row>
    <row r="44" spans="1:36" s="81" customFormat="1" ht="15.75" customHeight="1">
      <c r="A44" s="88" t="s">
        <v>101</v>
      </c>
      <c r="B44" s="88" t="s">
        <v>116</v>
      </c>
      <c r="C44" s="99">
        <f>+C18/C4</f>
        <v>20.995000000000001</v>
      </c>
      <c r="D44" s="99">
        <f t="shared" ref="D44:H44" si="17">+D18/D4</f>
        <v>20.995000000000001</v>
      </c>
      <c r="E44" s="99">
        <f t="shared" si="17"/>
        <v>20.995000000000001</v>
      </c>
      <c r="F44" s="99">
        <f t="shared" si="17"/>
        <v>20.995000000000001</v>
      </c>
      <c r="G44" s="99">
        <f t="shared" si="17"/>
        <v>20.995000000000001</v>
      </c>
      <c r="H44" s="99">
        <f t="shared" si="17"/>
        <v>20.995000000000001</v>
      </c>
      <c r="AI44" s="88" t="s">
        <v>101</v>
      </c>
      <c r="AJ44" s="88" t="s">
        <v>116</v>
      </c>
    </row>
    <row r="45" spans="1:36" s="81" customFormat="1" ht="15.75" customHeight="1">
      <c r="A45" s="88" t="s">
        <v>59</v>
      </c>
      <c r="B45" s="88" t="s">
        <v>117</v>
      </c>
      <c r="C45" s="99">
        <f>C19/C4</f>
        <v>2.6</v>
      </c>
      <c r="D45" s="99">
        <f t="shared" ref="D45:H45" si="18">D19/D4</f>
        <v>2.6</v>
      </c>
      <c r="E45" s="99">
        <f t="shared" si="18"/>
        <v>2.6</v>
      </c>
      <c r="F45" s="99">
        <f t="shared" si="18"/>
        <v>2.6</v>
      </c>
      <c r="G45" s="99">
        <f t="shared" si="18"/>
        <v>2.6</v>
      </c>
      <c r="H45" s="99">
        <f t="shared" si="18"/>
        <v>2.6</v>
      </c>
      <c r="AI45" s="88" t="s">
        <v>59</v>
      </c>
      <c r="AJ45" s="88" t="s">
        <v>118</v>
      </c>
    </row>
    <row r="46" spans="1:36" s="81" customFormat="1" ht="15.75" customHeight="1">
      <c r="A46" s="88" t="s">
        <v>61</v>
      </c>
      <c r="B46" s="88" t="s">
        <v>119</v>
      </c>
      <c r="C46" s="99">
        <f>C20/C4</f>
        <v>23.074999999999999</v>
      </c>
      <c r="D46" s="99">
        <f t="shared" ref="D46:H46" si="19">D20/D4</f>
        <v>23.074999999999999</v>
      </c>
      <c r="E46" s="99">
        <f t="shared" si="19"/>
        <v>23.074999999999999</v>
      </c>
      <c r="F46" s="99">
        <f t="shared" si="19"/>
        <v>23.074999999999999</v>
      </c>
      <c r="G46" s="99">
        <f t="shared" si="19"/>
        <v>23.074999999999999</v>
      </c>
      <c r="H46" s="99">
        <f t="shared" si="19"/>
        <v>23.074999999999999</v>
      </c>
      <c r="AI46" s="88" t="s">
        <v>61</v>
      </c>
      <c r="AJ46" s="88" t="s">
        <v>119</v>
      </c>
    </row>
    <row r="47" spans="1:36" s="81" customFormat="1" ht="15.75" customHeight="1">
      <c r="A47" s="88" t="s">
        <v>120</v>
      </c>
      <c r="B47" s="93" t="s">
        <v>121</v>
      </c>
      <c r="C47" s="99"/>
      <c r="D47" s="99"/>
      <c r="E47" s="99"/>
      <c r="F47" s="99"/>
      <c r="G47" s="99"/>
      <c r="H47" s="99"/>
      <c r="AI47" s="88" t="s">
        <v>120</v>
      </c>
      <c r="AJ47" s="93" t="s">
        <v>121</v>
      </c>
    </row>
    <row r="48" spans="1:36" s="81" customFormat="1" ht="15.75" customHeight="1">
      <c r="A48" s="88" t="s">
        <v>54</v>
      </c>
      <c r="B48" s="88" t="s">
        <v>122</v>
      </c>
      <c r="C48" s="102">
        <f>+(C11+C17)/C7</f>
        <v>2.4400000000000002E-2</v>
      </c>
      <c r="D48" s="102">
        <f t="shared" ref="D48:H48" si="20">+(D11+D17)/D7</f>
        <v>2.5154639175257731E-2</v>
      </c>
      <c r="E48" s="102">
        <f t="shared" si="20"/>
        <v>2.5932617706451271E-2</v>
      </c>
      <c r="F48" s="102">
        <f t="shared" si="20"/>
        <v>2.6734657429331204E-2</v>
      </c>
      <c r="G48" s="102">
        <f t="shared" si="20"/>
        <v>2.7561502504465162E-2</v>
      </c>
      <c r="H48" s="102">
        <f t="shared" si="20"/>
        <v>2.5908574362198695E-2</v>
      </c>
      <c r="AI48" s="88" t="s">
        <v>54</v>
      </c>
      <c r="AJ48" s="88" t="s">
        <v>122</v>
      </c>
    </row>
    <row r="49" spans="1:36" s="81" customFormat="1" ht="15.75" customHeight="1">
      <c r="A49" s="88" t="s">
        <v>56</v>
      </c>
      <c r="B49" s="88" t="s">
        <v>123</v>
      </c>
      <c r="C49" s="102">
        <f>+(C9+C10+C15)/C7</f>
        <v>0.10969230769230769</v>
      </c>
      <c r="D49" s="102">
        <f t="shared" ref="D49:H49" si="21">+(D9+D10+D15)/D7</f>
        <v>0.11308485329103886</v>
      </c>
      <c r="E49" s="102">
        <f t="shared" si="21"/>
        <v>0.11658232298045243</v>
      </c>
      <c r="F49" s="102">
        <f t="shared" si="21"/>
        <v>0.12018796183551796</v>
      </c>
      <c r="G49" s="102">
        <f t="shared" si="21"/>
        <v>0.12390511529434843</v>
      </c>
      <c r="H49" s="102">
        <f t="shared" si="21"/>
        <v>0.1164742340494809</v>
      </c>
      <c r="AI49" s="88" t="s">
        <v>56</v>
      </c>
      <c r="AJ49" s="88" t="s">
        <v>123</v>
      </c>
    </row>
    <row r="50" spans="1:36" s="81" customFormat="1" ht="15.75" customHeight="1">
      <c r="A50" s="88" t="s">
        <v>101</v>
      </c>
      <c r="B50" s="88" t="s">
        <v>124</v>
      </c>
      <c r="C50" s="102">
        <f>+C18/C7</f>
        <v>3.2300000000000002E-2</v>
      </c>
      <c r="D50" s="102">
        <f t="shared" ref="D50:H50" si="22">+D18/D7</f>
        <v>3.3298969072164945E-2</v>
      </c>
      <c r="E50" s="102">
        <f t="shared" si="22"/>
        <v>3.4328834095015408E-2</v>
      </c>
      <c r="F50" s="102">
        <f t="shared" si="22"/>
        <v>3.5390550613417948E-2</v>
      </c>
      <c r="G50" s="102">
        <f t="shared" si="22"/>
        <v>3.6485103725173149E-2</v>
      </c>
      <c r="H50" s="102">
        <f t="shared" si="22"/>
        <v>3.4297006225369582E-2</v>
      </c>
      <c r="AI50" s="88" t="s">
        <v>101</v>
      </c>
      <c r="AJ50" s="88" t="s">
        <v>124</v>
      </c>
    </row>
    <row r="51" spans="1:36" s="81" customFormat="1" ht="15.75" customHeight="1">
      <c r="A51" s="88" t="s">
        <v>59</v>
      </c>
      <c r="B51" s="88" t="s">
        <v>125</v>
      </c>
      <c r="C51" s="102">
        <f>+C19/C7</f>
        <v>4.0000000000000001E-3</v>
      </c>
      <c r="D51" s="102">
        <f t="shared" ref="D51:H51" si="23">+D19/D7</f>
        <v>4.1237113402061857E-3</v>
      </c>
      <c r="E51" s="102">
        <f t="shared" si="23"/>
        <v>4.2512488043362738E-3</v>
      </c>
      <c r="F51" s="102">
        <f t="shared" si="23"/>
        <v>4.3827307261198696E-3</v>
      </c>
      <c r="G51" s="102">
        <f t="shared" si="23"/>
        <v>4.5182790990926499E-3</v>
      </c>
      <c r="H51" s="102">
        <f t="shared" si="23"/>
        <v>4.2473072724915897E-3</v>
      </c>
      <c r="AI51" s="88" t="s">
        <v>59</v>
      </c>
      <c r="AJ51" s="88" t="s">
        <v>125</v>
      </c>
    </row>
    <row r="52" spans="1:36" s="81" customFormat="1" ht="15.75" customHeight="1">
      <c r="A52" s="88" t="s">
        <v>61</v>
      </c>
      <c r="B52" s="88" t="s">
        <v>126</v>
      </c>
      <c r="C52" s="102">
        <f>+C20/C7</f>
        <v>3.5499999999999997E-2</v>
      </c>
      <c r="D52" s="102">
        <f t="shared" ref="D52:H52" si="24">+D20/D7</f>
        <v>3.6597938144329899E-2</v>
      </c>
      <c r="E52" s="102">
        <f t="shared" si="24"/>
        <v>3.772983313848443E-2</v>
      </c>
      <c r="F52" s="102">
        <f t="shared" si="24"/>
        <v>3.8896735194313838E-2</v>
      </c>
      <c r="G52" s="102">
        <f t="shared" si="24"/>
        <v>4.0099727004447264E-2</v>
      </c>
      <c r="H52" s="102">
        <f t="shared" si="24"/>
        <v>3.7694852043362856E-2</v>
      </c>
      <c r="AI52" s="88" t="s">
        <v>61</v>
      </c>
      <c r="AJ52" s="88" t="s">
        <v>126</v>
      </c>
    </row>
    <row r="53" spans="1:36" s="81" customFormat="1" ht="15.75" customHeight="1">
      <c r="A53" s="88" t="s">
        <v>65</v>
      </c>
      <c r="B53" s="88" t="s">
        <v>127</v>
      </c>
      <c r="C53" s="102">
        <f>+C24/C7</f>
        <v>1.83E-2</v>
      </c>
      <c r="D53" s="102">
        <f t="shared" ref="D53:H53" si="25">+D24/D7</f>
        <v>1.3524147501982539E-2</v>
      </c>
      <c r="E53" s="102">
        <f t="shared" si="25"/>
        <v>8.6005882256759026E-3</v>
      </c>
      <c r="F53" s="102">
        <f t="shared" si="25"/>
        <v>3.5247539202052517E-3</v>
      </c>
      <c r="G53" s="102">
        <f t="shared" si="25"/>
        <v>-2.2774199352189445E-3</v>
      </c>
      <c r="H53" s="102">
        <f t="shared" si="25"/>
        <v>8.7527503045530634E-3</v>
      </c>
      <c r="AI53" s="88" t="s">
        <v>65</v>
      </c>
      <c r="AJ53" s="88" t="s">
        <v>128</v>
      </c>
    </row>
    <row r="54" spans="1:36" s="81" customFormat="1" ht="15.75" customHeight="1">
      <c r="A54" s="88" t="s">
        <v>129</v>
      </c>
      <c r="B54" s="93" t="s">
        <v>130</v>
      </c>
      <c r="C54" s="99">
        <f>+C22/C4</f>
        <v>15.86</v>
      </c>
      <c r="D54" s="99">
        <f t="shared" ref="D54:H54" si="26">+D22/D4</f>
        <v>11.369299999999988</v>
      </c>
      <c r="E54" s="99">
        <f t="shared" si="26"/>
        <v>7.0133209999999959</v>
      </c>
      <c r="F54" s="99">
        <f t="shared" si="26"/>
        <v>2.7880213700000893</v>
      </c>
      <c r="G54" s="99">
        <f t="shared" si="26"/>
        <v>-1.3105192710999982</v>
      </c>
      <c r="H54" s="99">
        <f t="shared" si="26"/>
        <v>7.1440246197800148</v>
      </c>
      <c r="AI54" s="88" t="s">
        <v>129</v>
      </c>
      <c r="AJ54" s="93" t="s">
        <v>130</v>
      </c>
    </row>
    <row r="55" spans="1:36" s="81" customFormat="1" ht="32.25" customHeight="1">
      <c r="A55" s="88" t="s">
        <v>131</v>
      </c>
      <c r="B55" s="125" t="s">
        <v>132</v>
      </c>
      <c r="C55" s="125"/>
      <c r="D55" s="99"/>
      <c r="E55" s="99"/>
      <c r="F55" s="99"/>
      <c r="G55" s="99"/>
      <c r="H55" s="99"/>
      <c r="AI55" s="88"/>
      <c r="AJ55" s="93"/>
    </row>
    <row r="56" spans="1:36" s="81" customFormat="1" ht="15.75" customHeight="1">
      <c r="A56" s="88" t="s">
        <v>54</v>
      </c>
      <c r="B56" s="88" t="s">
        <v>133</v>
      </c>
      <c r="C56" s="99">
        <f>C57+C58</f>
        <v>183000</v>
      </c>
      <c r="D56" s="99"/>
      <c r="E56" s="99"/>
      <c r="F56" s="99"/>
      <c r="G56" s="99"/>
      <c r="H56" s="99"/>
    </row>
    <row r="57" spans="1:36" s="81" customFormat="1" ht="15.75" customHeight="1">
      <c r="A57" s="88">
        <v>1.1000000000000001</v>
      </c>
      <c r="B57" s="126" t="s">
        <v>134</v>
      </c>
      <c r="C57" s="99">
        <f>项目投资!B27</f>
        <v>13000</v>
      </c>
      <c r="D57" s="99"/>
      <c r="E57" s="99"/>
      <c r="F57" s="99"/>
      <c r="G57" s="99"/>
      <c r="H57" s="99"/>
    </row>
    <row r="58" spans="1:36" s="81" customFormat="1" ht="15.75" customHeight="1">
      <c r="A58" s="88">
        <v>1.2</v>
      </c>
      <c r="B58" s="88" t="s">
        <v>135</v>
      </c>
      <c r="C58" s="99">
        <f>项目投资!B26</f>
        <v>170000</v>
      </c>
      <c r="D58" s="99"/>
      <c r="E58" s="99"/>
      <c r="F58" s="99"/>
      <c r="G58" s="99"/>
      <c r="H58" s="99"/>
    </row>
    <row r="59" spans="1:36" ht="15.75" customHeight="1">
      <c r="A59" s="117" t="s">
        <v>56</v>
      </c>
      <c r="B59" s="117" t="s">
        <v>136</v>
      </c>
      <c r="C59" s="127">
        <f>C60+C61</f>
        <v>11895</v>
      </c>
      <c r="D59" s="127">
        <f t="shared" ref="D59:H59" si="27">D60+D61</f>
        <v>8526.9749999999913</v>
      </c>
      <c r="E59" s="127">
        <f t="shared" si="27"/>
        <v>5259.9907499999972</v>
      </c>
      <c r="F59" s="127">
        <f t="shared" si="27"/>
        <v>2091.0160275000671</v>
      </c>
      <c r="G59" s="127">
        <f t="shared" si="27"/>
        <v>-1310.5192710999982</v>
      </c>
      <c r="H59" s="127">
        <f t="shared" si="27"/>
        <v>26790.092324175057</v>
      </c>
    </row>
    <row r="60" spans="1:36" ht="15.75" customHeight="1">
      <c r="A60" s="117" t="s">
        <v>101</v>
      </c>
      <c r="B60" s="117" t="s">
        <v>137</v>
      </c>
      <c r="C60" s="127">
        <f>C24</f>
        <v>11895</v>
      </c>
      <c r="D60" s="127">
        <f t="shared" ref="D60:H60" si="28">D24</f>
        <v>8526.9749999999913</v>
      </c>
      <c r="E60" s="127">
        <f t="shared" si="28"/>
        <v>5259.9907499999972</v>
      </c>
      <c r="F60" s="127">
        <f t="shared" si="28"/>
        <v>2091.0160275000671</v>
      </c>
      <c r="G60" s="127">
        <f t="shared" si="28"/>
        <v>-1310.5192710999982</v>
      </c>
      <c r="H60" s="127">
        <f t="shared" si="28"/>
        <v>26790.092324175057</v>
      </c>
    </row>
    <row r="61" spans="1:36" ht="15.75" customHeight="1">
      <c r="A61" s="117" t="s">
        <v>59</v>
      </c>
      <c r="B61" s="117" t="s">
        <v>138</v>
      </c>
      <c r="C61" s="117"/>
      <c r="D61" s="127">
        <f>'[2]2023年'!I18</f>
        <v>0</v>
      </c>
      <c r="E61" s="127"/>
      <c r="F61" s="127"/>
      <c r="G61" s="127"/>
      <c r="H61" s="127">
        <f>[2]项目投资!G26</f>
        <v>0</v>
      </c>
    </row>
    <row r="62" spans="1:36" ht="15.75" customHeight="1">
      <c r="A62" s="117" t="s">
        <v>61</v>
      </c>
      <c r="B62" s="117" t="s">
        <v>139</v>
      </c>
      <c r="C62" s="117"/>
      <c r="D62" s="128"/>
      <c r="E62" s="128"/>
      <c r="F62" s="128"/>
      <c r="G62" s="128"/>
      <c r="H62" s="127"/>
    </row>
    <row r="64" spans="1:36">
      <c r="B64"/>
      <c r="C64"/>
    </row>
  </sheetData>
  <mergeCells count="2">
    <mergeCell ref="A3:A4"/>
    <mergeCell ref="A1:H1"/>
  </mergeCells>
  <phoneticPr fontId="45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25" sqref="B25:H25"/>
    </sheetView>
  </sheetViews>
  <sheetFormatPr defaultColWidth="9" defaultRowHeight="16.5"/>
  <cols>
    <col min="1" max="1" width="5.125" style="81" customWidth="1"/>
    <col min="2" max="2" width="17.5" style="81" customWidth="1"/>
    <col min="3" max="7" width="14.375" style="84" customWidth="1"/>
    <col min="8" max="8" width="18.75" style="84" customWidth="1"/>
    <col min="9" max="9" width="12.375" style="81" customWidth="1"/>
    <col min="10" max="10" width="10.125" style="81" customWidth="1"/>
    <col min="11" max="17" width="9" style="81" customWidth="1"/>
    <col min="18" max="31" width="9" style="81"/>
    <col min="32" max="32" width="4.375" style="81" customWidth="1"/>
    <col min="33" max="33" width="13.875" style="81" customWidth="1"/>
    <col min="34" max="16384" width="9" style="81"/>
  </cols>
  <sheetData>
    <row r="1" spans="1:34">
      <c r="A1" s="202" t="s">
        <v>140</v>
      </c>
      <c r="B1" s="202"/>
      <c r="C1" s="206" t="s">
        <v>266</v>
      </c>
      <c r="D1" s="207"/>
      <c r="E1" s="207"/>
      <c r="F1" s="207"/>
      <c r="G1" s="207"/>
      <c r="H1" s="208"/>
    </row>
    <row r="2" spans="1:34">
      <c r="A2" s="202" t="s">
        <v>141</v>
      </c>
      <c r="B2" s="202"/>
      <c r="C2" s="209" t="s">
        <v>281</v>
      </c>
      <c r="D2" s="209"/>
      <c r="E2" s="209"/>
      <c r="F2" s="209"/>
      <c r="G2" s="209"/>
      <c r="H2" s="209"/>
    </row>
    <row r="3" spans="1:34">
      <c r="A3" s="202" t="s">
        <v>142</v>
      </c>
      <c r="B3" s="202"/>
      <c r="C3" s="86" t="str">
        <f>销量!C5</f>
        <v>前座总成</v>
      </c>
      <c r="D3" s="86">
        <f>销量!D5</f>
        <v>0</v>
      </c>
      <c r="E3" s="86">
        <f>销量!E5</f>
        <v>0</v>
      </c>
      <c r="F3" s="86">
        <f>销量!F5</f>
        <v>0</v>
      </c>
      <c r="G3" s="86">
        <f>销量!G5</f>
        <v>0</v>
      </c>
      <c r="H3" s="203" t="s">
        <v>50</v>
      </c>
    </row>
    <row r="4" spans="1:34">
      <c r="A4" s="202" t="s">
        <v>143</v>
      </c>
      <c r="B4" s="202"/>
      <c r="C4" s="86" t="str">
        <f>销量!C6</f>
        <v>6900010UH13J/A</v>
      </c>
      <c r="D4" s="86">
        <f>销量!D6</f>
        <v>0</v>
      </c>
      <c r="E4" s="86">
        <f>销量!E6</f>
        <v>0</v>
      </c>
      <c r="F4" s="86">
        <f>销量!F6</f>
        <v>0</v>
      </c>
      <c r="G4" s="86">
        <f>销量!G6</f>
        <v>0</v>
      </c>
      <c r="H4" s="204"/>
    </row>
    <row r="5" spans="1:34" ht="31.5" customHeight="1">
      <c r="A5" s="202" t="s">
        <v>144</v>
      </c>
      <c r="B5" s="202"/>
      <c r="C5" s="87" t="str">
        <f>销量!C7</f>
        <v>管梁副驾带安全带</v>
      </c>
      <c r="D5" s="87">
        <f>销量!D7</f>
        <v>0</v>
      </c>
      <c r="E5" s="87">
        <f>销量!E7</f>
        <v>0</v>
      </c>
      <c r="F5" s="87">
        <f>销量!F7</f>
        <v>0</v>
      </c>
      <c r="G5" s="87">
        <f>销量!G7</f>
        <v>0</v>
      </c>
      <c r="H5" s="205"/>
      <c r="AH5" s="81" t="s">
        <v>51</v>
      </c>
    </row>
    <row r="6" spans="1:34" ht="17.25">
      <c r="A6" s="88" t="s">
        <v>17</v>
      </c>
      <c r="B6" s="89" t="s">
        <v>145</v>
      </c>
      <c r="C6" s="108">
        <f>销量!C9</f>
        <v>1000</v>
      </c>
      <c r="D6" s="108">
        <f>销量!D9</f>
        <v>0</v>
      </c>
      <c r="E6" s="108">
        <f>销量!E9</f>
        <v>0</v>
      </c>
      <c r="F6" s="108">
        <f>销量!F9</f>
        <v>0</v>
      </c>
      <c r="G6" s="108">
        <f>销量!G9</f>
        <v>0</v>
      </c>
      <c r="H6" s="91">
        <f>+SUM(C6:G6)</f>
        <v>1000</v>
      </c>
      <c r="AF6" s="88" t="s">
        <v>17</v>
      </c>
      <c r="AG6" s="89" t="s">
        <v>3</v>
      </c>
      <c r="AH6" s="81" t="s">
        <v>52</v>
      </c>
    </row>
    <row r="7" spans="1:34">
      <c r="A7" s="85">
        <v>1</v>
      </c>
      <c r="B7" s="89" t="s">
        <v>53</v>
      </c>
      <c r="C7" s="91">
        <f>C6*销量!C8</f>
        <v>650000</v>
      </c>
      <c r="D7" s="91">
        <f>D6*销量!D8</f>
        <v>0</v>
      </c>
      <c r="E7" s="91">
        <f>E6*销量!E8</f>
        <v>0</v>
      </c>
      <c r="F7" s="91">
        <f>F6*销量!F8</f>
        <v>0</v>
      </c>
      <c r="G7" s="91">
        <f>G6*销量!G8</f>
        <v>0</v>
      </c>
      <c r="H7" s="91">
        <f t="shared" ref="H7:H26" si="0">+SUM(C7:G7)</f>
        <v>650000</v>
      </c>
      <c r="I7" s="84"/>
      <c r="AF7" s="88" t="s">
        <v>54</v>
      </c>
      <c r="AG7" s="89" t="s">
        <v>53</v>
      </c>
      <c r="AH7" s="81" t="s">
        <v>52</v>
      </c>
    </row>
    <row r="8" spans="1:34">
      <c r="A8" s="85">
        <v>2</v>
      </c>
      <c r="B8" s="85" t="s">
        <v>55</v>
      </c>
      <c r="C8" s="91"/>
      <c r="D8" s="91"/>
      <c r="E8" s="91"/>
      <c r="F8" s="91"/>
      <c r="G8" s="91"/>
      <c r="H8" s="91">
        <f t="shared" si="0"/>
        <v>0</v>
      </c>
      <c r="I8" s="92"/>
      <c r="AF8" s="88" t="s">
        <v>56</v>
      </c>
      <c r="AG8" s="85" t="s">
        <v>57</v>
      </c>
      <c r="AH8" s="81" t="s">
        <v>52</v>
      </c>
    </row>
    <row r="9" spans="1:34">
      <c r="A9" s="85">
        <v>3</v>
      </c>
      <c r="B9" s="89" t="s">
        <v>58</v>
      </c>
      <c r="C9" s="91">
        <f>+C7-C8</f>
        <v>650000</v>
      </c>
      <c r="D9" s="91">
        <f>+D7-D8</f>
        <v>0</v>
      </c>
      <c r="E9" s="91">
        <f t="shared" ref="E9:G9" si="1">+E7-E8</f>
        <v>0</v>
      </c>
      <c r="F9" s="91">
        <f t="shared" si="1"/>
        <v>0</v>
      </c>
      <c r="G9" s="91">
        <f t="shared" si="1"/>
        <v>0</v>
      </c>
      <c r="H9" s="91">
        <f t="shared" si="0"/>
        <v>650000</v>
      </c>
      <c r="AF9" s="88" t="s">
        <v>59</v>
      </c>
      <c r="AG9" s="89" t="s">
        <v>58</v>
      </c>
      <c r="AH9" s="81" t="s">
        <v>60</v>
      </c>
    </row>
    <row r="10" spans="1:34">
      <c r="A10" s="85">
        <v>4</v>
      </c>
      <c r="B10" s="88" t="s">
        <v>62</v>
      </c>
      <c r="C10" s="91">
        <f>C6*C33</f>
        <v>500310</v>
      </c>
      <c r="D10" s="91">
        <f>D6*D33</f>
        <v>0</v>
      </c>
      <c r="E10" s="91">
        <f t="shared" ref="E10:G10" si="2">E6*E33</f>
        <v>0</v>
      </c>
      <c r="F10" s="91">
        <f t="shared" si="2"/>
        <v>0</v>
      </c>
      <c r="G10" s="91">
        <f t="shared" si="2"/>
        <v>0</v>
      </c>
      <c r="H10" s="91">
        <f t="shared" si="0"/>
        <v>500310</v>
      </c>
      <c r="AF10" s="88" t="s">
        <v>61</v>
      </c>
      <c r="AG10" s="88" t="s">
        <v>62</v>
      </c>
      <c r="AH10" s="81" t="s">
        <v>63</v>
      </c>
    </row>
    <row r="11" spans="1:34">
      <c r="A11" s="85">
        <v>5</v>
      </c>
      <c r="B11" s="88" t="s">
        <v>64</v>
      </c>
      <c r="C11" s="91">
        <f>+C6*C36</f>
        <v>7995</v>
      </c>
      <c r="D11" s="91">
        <f>+D6*D36</f>
        <v>0</v>
      </c>
      <c r="E11" s="91">
        <f t="shared" ref="E11:G11" si="3">+E6*E36</f>
        <v>0</v>
      </c>
      <c r="F11" s="91">
        <f t="shared" si="3"/>
        <v>0</v>
      </c>
      <c r="G11" s="91">
        <f t="shared" si="3"/>
        <v>0</v>
      </c>
      <c r="H11" s="91">
        <f t="shared" si="0"/>
        <v>7995</v>
      </c>
      <c r="AF11" s="88" t="s">
        <v>65</v>
      </c>
      <c r="AG11" s="88" t="s">
        <v>64</v>
      </c>
    </row>
    <row r="12" spans="1:34">
      <c r="A12" s="85">
        <v>6</v>
      </c>
      <c r="B12" s="88" t="s">
        <v>66</v>
      </c>
      <c r="C12" s="91">
        <f>+C6*C37</f>
        <v>7215.0000000000009</v>
      </c>
      <c r="D12" s="91">
        <f>+D6*D37</f>
        <v>0</v>
      </c>
      <c r="E12" s="91">
        <f t="shared" ref="E12:G12" si="4">+E6*E37</f>
        <v>0</v>
      </c>
      <c r="F12" s="91">
        <f t="shared" si="4"/>
        <v>0</v>
      </c>
      <c r="G12" s="91">
        <f t="shared" si="4"/>
        <v>0</v>
      </c>
      <c r="H12" s="91">
        <f t="shared" si="0"/>
        <v>7215.0000000000009</v>
      </c>
      <c r="AF12" s="88" t="s">
        <v>67</v>
      </c>
      <c r="AG12" s="88" t="s">
        <v>66</v>
      </c>
    </row>
    <row r="13" spans="1:34">
      <c r="A13" s="85">
        <v>7</v>
      </c>
      <c r="B13" s="88" t="s">
        <v>68</v>
      </c>
      <c r="C13" s="91">
        <f>+C6*C38</f>
        <v>10400</v>
      </c>
      <c r="D13" s="91">
        <f>+D6*D38</f>
        <v>0</v>
      </c>
      <c r="E13" s="91">
        <f t="shared" ref="E13:G13" si="5">+E6*E38</f>
        <v>0</v>
      </c>
      <c r="F13" s="91">
        <f t="shared" si="5"/>
        <v>0</v>
      </c>
      <c r="G13" s="91">
        <f t="shared" si="5"/>
        <v>0</v>
      </c>
      <c r="H13" s="91">
        <f t="shared" si="0"/>
        <v>10400</v>
      </c>
      <c r="AF13" s="88" t="s">
        <v>69</v>
      </c>
      <c r="AG13" s="88" t="s">
        <v>68</v>
      </c>
      <c r="AH13" s="81" t="s">
        <v>52</v>
      </c>
    </row>
    <row r="14" spans="1:34">
      <c r="A14" s="85">
        <v>8</v>
      </c>
      <c r="B14" s="93" t="s">
        <v>70</v>
      </c>
      <c r="C14" s="91">
        <f>SUM(C11:C13)</f>
        <v>25610</v>
      </c>
      <c r="D14" s="91">
        <f>SUM(D11:D13)</f>
        <v>0</v>
      </c>
      <c r="E14" s="91">
        <f t="shared" ref="E14:F14" si="6">SUM(E11:E13)</f>
        <v>0</v>
      </c>
      <c r="F14" s="91">
        <f t="shared" si="6"/>
        <v>0</v>
      </c>
      <c r="G14" s="91">
        <f>SUM(G11:G13)</f>
        <v>0</v>
      </c>
      <c r="H14" s="91">
        <f>SUM(H11:H13)</f>
        <v>25610</v>
      </c>
      <c r="AF14" s="88" t="s">
        <v>71</v>
      </c>
      <c r="AG14" s="93" t="s">
        <v>70</v>
      </c>
    </row>
    <row r="15" spans="1:34">
      <c r="A15" s="85">
        <v>9</v>
      </c>
      <c r="B15" s="93" t="s">
        <v>72</v>
      </c>
      <c r="C15" s="91">
        <f>+C9-C10-C14</f>
        <v>124080</v>
      </c>
      <c r="D15" s="91">
        <f>+D9-D10-D14</f>
        <v>0</v>
      </c>
      <c r="E15" s="91">
        <f t="shared" ref="E15:H15" si="7">+E9-E10-E14</f>
        <v>0</v>
      </c>
      <c r="F15" s="91">
        <f t="shared" si="7"/>
        <v>0</v>
      </c>
      <c r="G15" s="91">
        <f t="shared" si="7"/>
        <v>0</v>
      </c>
      <c r="H15" s="91">
        <f t="shared" si="7"/>
        <v>124080</v>
      </c>
      <c r="AF15" s="88" t="s">
        <v>73</v>
      </c>
      <c r="AG15" s="93" t="s">
        <v>72</v>
      </c>
    </row>
    <row r="16" spans="1:34">
      <c r="A16" s="85">
        <v>10</v>
      </c>
      <c r="B16" s="88" t="s">
        <v>74</v>
      </c>
      <c r="C16" s="94">
        <f>+C15/C9</f>
        <v>0.19089230769230769</v>
      </c>
      <c r="D16" s="94" t="e">
        <f>+D15/D9</f>
        <v>#DIV/0!</v>
      </c>
      <c r="E16" s="94" t="e">
        <f t="shared" ref="E16:G16" si="8">+E15/E9</f>
        <v>#DIV/0!</v>
      </c>
      <c r="F16" s="94" t="e">
        <f t="shared" si="8"/>
        <v>#DIV/0!</v>
      </c>
      <c r="G16" s="94" t="e">
        <f t="shared" si="8"/>
        <v>#DIV/0!</v>
      </c>
      <c r="H16" s="94">
        <f>+H15/H9</f>
        <v>0.19089230769230769</v>
      </c>
      <c r="AF16" s="88" t="s">
        <v>75</v>
      </c>
      <c r="AG16" s="88" t="s">
        <v>74</v>
      </c>
    </row>
    <row r="17" spans="1:34">
      <c r="A17" s="85">
        <v>11</v>
      </c>
      <c r="B17" s="88" t="s">
        <v>76</v>
      </c>
      <c r="C17" s="91">
        <f>C6*C43+C18</f>
        <v>56090</v>
      </c>
      <c r="D17" s="91">
        <f>D6*D43+D18</f>
        <v>0</v>
      </c>
      <c r="E17" s="91">
        <f t="shared" ref="E17:G17" si="9">E6*E43+E18</f>
        <v>0</v>
      </c>
      <c r="F17" s="91">
        <f t="shared" si="9"/>
        <v>0</v>
      </c>
      <c r="G17" s="91">
        <f t="shared" si="9"/>
        <v>0</v>
      </c>
      <c r="H17" s="91">
        <f t="shared" si="0"/>
        <v>56090</v>
      </c>
      <c r="I17" s="92"/>
      <c r="AF17" s="88" t="s">
        <v>77</v>
      </c>
      <c r="AG17" s="88" t="s">
        <v>76</v>
      </c>
    </row>
    <row r="18" spans="1:34" s="82" customFormat="1">
      <c r="A18" s="85">
        <v>12</v>
      </c>
      <c r="B18" s="96" t="s">
        <v>146</v>
      </c>
      <c r="C18" s="97">
        <f>$H$18/$H$6*C6</f>
        <v>32299.999999999996</v>
      </c>
      <c r="D18" s="97">
        <f>$H$18/$H$6*D6</f>
        <v>0</v>
      </c>
      <c r="E18" s="97">
        <f t="shared" ref="E18:G18" si="10">$H$18/$H$6*E6</f>
        <v>0</v>
      </c>
      <c r="F18" s="97">
        <f t="shared" si="10"/>
        <v>0</v>
      </c>
      <c r="G18" s="97">
        <f t="shared" si="10"/>
        <v>0</v>
      </c>
      <c r="H18" s="91">
        <f>项目投资!D26</f>
        <v>32300</v>
      </c>
      <c r="I18" s="98" t="s">
        <v>147</v>
      </c>
      <c r="J18" s="98"/>
      <c r="K18" s="98"/>
    </row>
    <row r="19" spans="1:34">
      <c r="A19" s="85">
        <v>13</v>
      </c>
      <c r="B19" s="88" t="s">
        <v>78</v>
      </c>
      <c r="C19" s="91">
        <f>C6*C44</f>
        <v>5460</v>
      </c>
      <c r="D19" s="91">
        <f>D6*D44</f>
        <v>0</v>
      </c>
      <c r="E19" s="91">
        <f t="shared" ref="E19:G19" si="11">E6*E44</f>
        <v>0</v>
      </c>
      <c r="F19" s="91">
        <f t="shared" si="11"/>
        <v>0</v>
      </c>
      <c r="G19" s="91">
        <f t="shared" si="11"/>
        <v>0</v>
      </c>
      <c r="H19" s="91">
        <f t="shared" si="0"/>
        <v>5460</v>
      </c>
      <c r="I19" s="82"/>
      <c r="AF19" s="88" t="s">
        <v>79</v>
      </c>
      <c r="AG19" s="88" t="s">
        <v>78</v>
      </c>
      <c r="AH19" s="81" t="s">
        <v>52</v>
      </c>
    </row>
    <row r="20" spans="1:34">
      <c r="A20" s="85">
        <v>14</v>
      </c>
      <c r="B20" s="88" t="s">
        <v>80</v>
      </c>
      <c r="C20" s="91">
        <f>C6*C45</f>
        <v>20995</v>
      </c>
      <c r="D20" s="91">
        <f>D6*D45</f>
        <v>0</v>
      </c>
      <c r="E20" s="91">
        <f t="shared" ref="E20:G20" si="12">E6*E45</f>
        <v>0</v>
      </c>
      <c r="F20" s="91">
        <f t="shared" si="12"/>
        <v>0</v>
      </c>
      <c r="G20" s="91">
        <f t="shared" si="12"/>
        <v>0</v>
      </c>
      <c r="H20" s="91">
        <f t="shared" si="0"/>
        <v>20995</v>
      </c>
      <c r="AF20" s="88" t="s">
        <v>81</v>
      </c>
      <c r="AG20" s="88" t="s">
        <v>80</v>
      </c>
    </row>
    <row r="21" spans="1:34">
      <c r="A21" s="85">
        <v>15</v>
      </c>
      <c r="B21" s="88" t="s">
        <v>82</v>
      </c>
      <c r="C21" s="99">
        <f>$H$21/$H$6*C6</f>
        <v>2600</v>
      </c>
      <c r="D21" s="99">
        <f>$H$21/$H$6*D6</f>
        <v>0</v>
      </c>
      <c r="E21" s="99">
        <f t="shared" ref="E21:G21" si="13">$H$21/$H$6*E6</f>
        <v>0</v>
      </c>
      <c r="F21" s="99">
        <f t="shared" si="13"/>
        <v>0</v>
      </c>
      <c r="G21" s="99">
        <f t="shared" si="13"/>
        <v>0</v>
      </c>
      <c r="H21" s="91">
        <f>项目投资!D27</f>
        <v>2600</v>
      </c>
      <c r="AF21" s="88"/>
      <c r="AG21" s="88"/>
    </row>
    <row r="22" spans="1:34">
      <c r="A22" s="85">
        <v>16</v>
      </c>
      <c r="B22" s="88" t="s">
        <v>83</v>
      </c>
      <c r="C22" s="91">
        <f>C6*C47</f>
        <v>23075</v>
      </c>
      <c r="D22" s="91">
        <f>D6*D47</f>
        <v>0</v>
      </c>
      <c r="E22" s="91">
        <f t="shared" ref="E22:G22" si="14">E6*E47</f>
        <v>0</v>
      </c>
      <c r="F22" s="91">
        <f t="shared" si="14"/>
        <v>0</v>
      </c>
      <c r="G22" s="91">
        <f t="shared" si="14"/>
        <v>0</v>
      </c>
      <c r="H22" s="91">
        <f t="shared" si="0"/>
        <v>23075</v>
      </c>
      <c r="AF22" s="88" t="s">
        <v>84</v>
      </c>
      <c r="AG22" s="88" t="s">
        <v>83</v>
      </c>
    </row>
    <row r="23" spans="1:34">
      <c r="A23" s="85">
        <v>17</v>
      </c>
      <c r="B23" s="93" t="s">
        <v>85</v>
      </c>
      <c r="C23" s="99">
        <f>+C22+C21+C20+C19+C17</f>
        <v>108220</v>
      </c>
      <c r="D23" s="99">
        <f>+D22+D21+D20+D19+D17</f>
        <v>0</v>
      </c>
      <c r="E23" s="99">
        <f t="shared" ref="E23:G23" si="15">+E22+E21+E20+E19+E17</f>
        <v>0</v>
      </c>
      <c r="F23" s="99">
        <f t="shared" si="15"/>
        <v>0</v>
      </c>
      <c r="G23" s="99">
        <f t="shared" si="15"/>
        <v>0</v>
      </c>
      <c r="H23" s="99">
        <f>+H22+H21+H20+H19+H17</f>
        <v>108220</v>
      </c>
      <c r="AF23" s="88" t="s">
        <v>86</v>
      </c>
      <c r="AG23" s="93" t="s">
        <v>85</v>
      </c>
    </row>
    <row r="24" spans="1:34">
      <c r="A24" s="85">
        <v>18</v>
      </c>
      <c r="B24" s="100" t="s">
        <v>87</v>
      </c>
      <c r="C24" s="99">
        <f>+C15-C23</f>
        <v>15860</v>
      </c>
      <c r="D24" s="99">
        <f>+D15-D23</f>
        <v>0</v>
      </c>
      <c r="E24" s="99">
        <f t="shared" ref="E24:G24" si="16">+E15-E23</f>
        <v>0</v>
      </c>
      <c r="F24" s="99">
        <f t="shared" si="16"/>
        <v>0</v>
      </c>
      <c r="G24" s="99">
        <f t="shared" si="16"/>
        <v>0</v>
      </c>
      <c r="H24" s="99">
        <f>+H15-H23</f>
        <v>15860</v>
      </c>
      <c r="J24" s="101"/>
      <c r="AF24" s="88" t="s">
        <v>88</v>
      </c>
      <c r="AG24" s="88" t="s">
        <v>87</v>
      </c>
    </row>
    <row r="25" spans="1:34">
      <c r="A25" s="85">
        <v>19</v>
      </c>
      <c r="B25" s="88" t="s">
        <v>302</v>
      </c>
      <c r="C25" s="99">
        <f>IF(C24&lt;0,0,C24*0.25)</f>
        <v>3965</v>
      </c>
      <c r="D25" s="99">
        <f t="shared" ref="D25:H25" si="17">IF(D24&lt;0,0,D24*0.25)</f>
        <v>0</v>
      </c>
      <c r="E25" s="99">
        <f t="shared" si="17"/>
        <v>0</v>
      </c>
      <c r="F25" s="99">
        <f t="shared" si="17"/>
        <v>0</v>
      </c>
      <c r="G25" s="99">
        <f t="shared" si="17"/>
        <v>0</v>
      </c>
      <c r="H25" s="99">
        <f t="shared" si="17"/>
        <v>3965</v>
      </c>
      <c r="I25" s="2"/>
      <c r="J25" s="2"/>
      <c r="K25" s="2"/>
      <c r="AF25" s="88" t="s">
        <v>89</v>
      </c>
      <c r="AG25" s="88" t="s">
        <v>34</v>
      </c>
    </row>
    <row r="26" spans="1:34">
      <c r="A26" s="85">
        <v>20</v>
      </c>
      <c r="B26" s="88" t="s">
        <v>90</v>
      </c>
      <c r="C26" s="99">
        <f>C24-C25</f>
        <v>11895</v>
      </c>
      <c r="D26" s="99">
        <f>D24-D25</f>
        <v>0</v>
      </c>
      <c r="E26" s="99">
        <f t="shared" ref="E26:G26" si="18">E24-E25</f>
        <v>0</v>
      </c>
      <c r="F26" s="99">
        <f t="shared" si="18"/>
        <v>0</v>
      </c>
      <c r="G26" s="99">
        <f t="shared" si="18"/>
        <v>0</v>
      </c>
      <c r="H26" s="91">
        <f t="shared" si="0"/>
        <v>11895</v>
      </c>
      <c r="I26" s="2"/>
      <c r="J26" s="2"/>
      <c r="K26" s="2"/>
      <c r="AF26" s="88" t="s">
        <v>91</v>
      </c>
      <c r="AG26" s="88" t="s">
        <v>90</v>
      </c>
    </row>
    <row r="27" spans="1:34">
      <c r="A27" s="85">
        <v>21</v>
      </c>
      <c r="B27" s="88" t="s">
        <v>94</v>
      </c>
      <c r="C27" s="102">
        <f>C26/C9</f>
        <v>1.83E-2</v>
      </c>
      <c r="D27" s="102" t="e">
        <f t="shared" ref="D27:H27" si="19">D26/D9</f>
        <v>#DIV/0!</v>
      </c>
      <c r="E27" s="102" t="e">
        <f t="shared" si="19"/>
        <v>#DIV/0!</v>
      </c>
      <c r="F27" s="102" t="e">
        <f t="shared" si="19"/>
        <v>#DIV/0!</v>
      </c>
      <c r="G27" s="102" t="e">
        <f t="shared" si="19"/>
        <v>#DIV/0!</v>
      </c>
      <c r="H27" s="102">
        <f t="shared" si="19"/>
        <v>1.83E-2</v>
      </c>
      <c r="I27" s="2"/>
      <c r="J27" s="2"/>
      <c r="K27" s="2"/>
      <c r="AF27" s="88" t="s">
        <v>93</v>
      </c>
      <c r="AG27" s="88" t="s">
        <v>94</v>
      </c>
    </row>
    <row r="28" spans="1:34">
      <c r="I28" s="2"/>
      <c r="J28" s="2"/>
      <c r="K28" s="2"/>
    </row>
    <row r="29" spans="1:34">
      <c r="A29" s="81" t="s">
        <v>95</v>
      </c>
      <c r="H29" s="84" t="s">
        <v>148</v>
      </c>
      <c r="I29" s="2"/>
      <c r="J29" s="2"/>
      <c r="K29" s="2"/>
      <c r="AF29" s="81" t="s">
        <v>95</v>
      </c>
    </row>
    <row r="30" spans="1:34">
      <c r="A30" s="88" t="s">
        <v>96</v>
      </c>
      <c r="B30" s="93" t="s">
        <v>97</v>
      </c>
      <c r="C30" s="99"/>
      <c r="D30" s="99"/>
      <c r="E30" s="99"/>
      <c r="F30" s="99"/>
      <c r="G30" s="99"/>
      <c r="H30" s="99"/>
      <c r="I30" s="2"/>
      <c r="J30" s="2"/>
      <c r="K30" s="2"/>
      <c r="M30" s="2"/>
      <c r="AF30" s="88" t="s">
        <v>98</v>
      </c>
      <c r="AG30" s="93" t="s">
        <v>97</v>
      </c>
    </row>
    <row r="31" spans="1:34">
      <c r="A31" s="85">
        <v>1</v>
      </c>
      <c r="B31" s="96" t="s">
        <v>99</v>
      </c>
      <c r="C31" s="103">
        <f>销量!C8</f>
        <v>650</v>
      </c>
      <c r="D31" s="103">
        <f>销量!D8</f>
        <v>0</v>
      </c>
      <c r="E31" s="103">
        <f>销量!E8</f>
        <v>0</v>
      </c>
      <c r="F31" s="103">
        <f>销量!F8</f>
        <v>0</v>
      </c>
      <c r="G31" s="103">
        <f>销量!G8</f>
        <v>0</v>
      </c>
      <c r="H31" s="99"/>
      <c r="I31" s="2"/>
      <c r="J31" s="2"/>
      <c r="K31" s="2"/>
      <c r="M31" s="2"/>
      <c r="AF31" s="88" t="s">
        <v>54</v>
      </c>
      <c r="AG31" s="88" t="s">
        <v>99</v>
      </c>
    </row>
    <row r="32" spans="1:34">
      <c r="A32" s="85">
        <v>2</v>
      </c>
      <c r="B32" s="88" t="s">
        <v>149</v>
      </c>
      <c r="C32" s="91">
        <f>C9/C6</f>
        <v>650</v>
      </c>
      <c r="D32" s="91" t="e">
        <f t="shared" ref="D32:G32" si="20">D9/D6</f>
        <v>#DIV/0!</v>
      </c>
      <c r="E32" s="91" t="e">
        <f t="shared" si="20"/>
        <v>#DIV/0!</v>
      </c>
      <c r="F32" s="91" t="e">
        <f t="shared" si="20"/>
        <v>#DIV/0!</v>
      </c>
      <c r="G32" s="91" t="e">
        <f t="shared" si="20"/>
        <v>#DIV/0!</v>
      </c>
      <c r="H32" s="99"/>
      <c r="I32" s="2"/>
      <c r="J32" s="2"/>
      <c r="K32" s="2"/>
      <c r="L32" s="2"/>
      <c r="M32" s="2"/>
      <c r="N32" s="2"/>
      <c r="O32" s="2"/>
      <c r="AF32" s="88"/>
      <c r="AG32" s="88"/>
    </row>
    <row r="33" spans="1:33">
      <c r="A33" s="85">
        <v>3</v>
      </c>
      <c r="B33" s="96" t="s">
        <v>100</v>
      </c>
      <c r="C33" s="91">
        <f>材料成本!D24</f>
        <v>500.31</v>
      </c>
      <c r="D33" s="91">
        <f>材料成本!E24</f>
        <v>0</v>
      </c>
      <c r="E33" s="91">
        <f>材料成本!F24</f>
        <v>0</v>
      </c>
      <c r="F33" s="91">
        <f>材料成本!G24</f>
        <v>0</v>
      </c>
      <c r="G33" s="91">
        <f>材料成本!H24</f>
        <v>0</v>
      </c>
      <c r="H33" s="99"/>
      <c r="J33" s="2"/>
      <c r="K33" s="2"/>
      <c r="L33" s="2"/>
      <c r="M33" s="2"/>
      <c r="N33" s="2"/>
      <c r="O33" s="2"/>
      <c r="AF33" s="88" t="s">
        <v>56</v>
      </c>
      <c r="AG33" s="88" t="s">
        <v>100</v>
      </c>
    </row>
    <row r="34" spans="1:33" ht="17.25" customHeight="1">
      <c r="A34" s="85">
        <v>4</v>
      </c>
      <c r="B34" s="88" t="s">
        <v>102</v>
      </c>
      <c r="C34" s="104">
        <f>C32-C33</f>
        <v>149.69</v>
      </c>
      <c r="D34" s="104" t="e">
        <f>D32-D33</f>
        <v>#DIV/0!</v>
      </c>
      <c r="E34" s="104" t="e">
        <f t="shared" ref="E34:G34" si="21">E32-E33</f>
        <v>#DIV/0!</v>
      </c>
      <c r="F34" s="104" t="e">
        <f t="shared" si="21"/>
        <v>#DIV/0!</v>
      </c>
      <c r="G34" s="104" t="e">
        <f t="shared" si="21"/>
        <v>#DIV/0!</v>
      </c>
      <c r="H34" s="99"/>
      <c r="J34" s="2"/>
      <c r="K34" s="2"/>
      <c r="L34" s="2"/>
      <c r="M34" s="2"/>
      <c r="N34" s="2"/>
      <c r="O34" s="2"/>
      <c r="AF34" s="88" t="s">
        <v>101</v>
      </c>
      <c r="AG34" s="88" t="s">
        <v>102</v>
      </c>
    </row>
    <row r="35" spans="1:33">
      <c r="A35" s="88" t="s">
        <v>98</v>
      </c>
      <c r="B35" s="93" t="s">
        <v>9</v>
      </c>
      <c r="C35" s="99"/>
      <c r="D35" s="99"/>
      <c r="E35" s="99"/>
      <c r="F35" s="99"/>
      <c r="G35" s="99"/>
      <c r="H35" s="99"/>
      <c r="I35" s="2"/>
      <c r="J35" s="2"/>
      <c r="K35" s="2"/>
      <c r="L35" s="2"/>
      <c r="M35" s="2"/>
      <c r="N35" s="2"/>
      <c r="O35" s="2"/>
      <c r="P35" s="2"/>
      <c r="Q35" s="2"/>
      <c r="R35" s="2"/>
      <c r="AF35" s="88" t="s">
        <v>104</v>
      </c>
      <c r="AG35" s="93" t="s">
        <v>9</v>
      </c>
    </row>
    <row r="36" spans="1:33">
      <c r="A36" s="85">
        <v>1</v>
      </c>
      <c r="B36" s="88" t="s">
        <v>105</v>
      </c>
      <c r="C36" s="97">
        <f>标准成本!E4</f>
        <v>7.9950000000000001</v>
      </c>
      <c r="D36" s="97">
        <f>标准成本!E16</f>
        <v>0</v>
      </c>
      <c r="E36" s="97">
        <f>标准成本!E29</f>
        <v>0</v>
      </c>
      <c r="F36" s="97">
        <f>标准成本!E42</f>
        <v>0</v>
      </c>
      <c r="G36" s="97">
        <f>标准成本!E55</f>
        <v>0</v>
      </c>
      <c r="H36" s="103"/>
      <c r="I36" s="2"/>
      <c r="J36" s="2"/>
      <c r="K36" s="2"/>
      <c r="L36" s="2"/>
      <c r="M36" s="2"/>
      <c r="N36" s="2"/>
      <c r="O36" s="2"/>
      <c r="P36" s="2"/>
      <c r="Q36" s="2"/>
      <c r="R36" s="2"/>
      <c r="AF36" s="88" t="s">
        <v>101</v>
      </c>
      <c r="AG36" s="88" t="s">
        <v>105</v>
      </c>
    </row>
    <row r="37" spans="1:33">
      <c r="A37" s="85">
        <v>2</v>
      </c>
      <c r="B37" s="88" t="s">
        <v>106</v>
      </c>
      <c r="C37" s="97">
        <f>标准成本!E6</f>
        <v>7.2150000000000007</v>
      </c>
      <c r="D37" s="97">
        <f>标准成本!E18</f>
        <v>0</v>
      </c>
      <c r="E37" s="97">
        <f>标准成本!E31</f>
        <v>0</v>
      </c>
      <c r="F37" s="97">
        <f>标准成本!E44</f>
        <v>0</v>
      </c>
      <c r="G37" s="97">
        <f>标准成本!E57</f>
        <v>0</v>
      </c>
      <c r="H37" s="103"/>
      <c r="I37" s="2"/>
      <c r="J37" s="2"/>
      <c r="K37" s="2"/>
      <c r="L37" s="2"/>
      <c r="M37" s="2"/>
      <c r="N37" s="2"/>
      <c r="O37" s="2"/>
      <c r="P37" s="2"/>
      <c r="Q37" s="2"/>
      <c r="R37" s="2"/>
      <c r="AF37" s="88" t="s">
        <v>59</v>
      </c>
      <c r="AG37" s="88" t="s">
        <v>106</v>
      </c>
    </row>
    <row r="38" spans="1:33">
      <c r="A38" s="85">
        <v>3</v>
      </c>
      <c r="B38" s="88" t="s">
        <v>107</v>
      </c>
      <c r="C38" s="97">
        <f>标准成本!E10</f>
        <v>10.4</v>
      </c>
      <c r="D38" s="97">
        <f>标准成本!E22</f>
        <v>0</v>
      </c>
      <c r="E38" s="97">
        <f>标准成本!E35</f>
        <v>0</v>
      </c>
      <c r="F38" s="97">
        <f>标准成本!E48</f>
        <v>0</v>
      </c>
      <c r="G38" s="97">
        <f>标准成本!E61</f>
        <v>0</v>
      </c>
      <c r="H38" s="103"/>
      <c r="I38" s="2"/>
      <c r="J38" s="2"/>
      <c r="K38" s="2"/>
      <c r="L38" s="2"/>
      <c r="M38" s="2"/>
      <c r="N38" s="2"/>
      <c r="O38" s="2"/>
      <c r="P38" s="2"/>
      <c r="Q38" s="2"/>
      <c r="R38" s="2"/>
      <c r="AF38" s="88" t="s">
        <v>65</v>
      </c>
      <c r="AG38" s="88" t="s">
        <v>107</v>
      </c>
    </row>
    <row r="39" spans="1:33">
      <c r="A39" s="88" t="s">
        <v>104</v>
      </c>
      <c r="B39" s="93" t="s">
        <v>109</v>
      </c>
      <c r="C39" s="99"/>
      <c r="D39" s="99"/>
      <c r="E39" s="99"/>
      <c r="F39" s="99"/>
      <c r="G39" s="99"/>
      <c r="H39" s="99"/>
      <c r="AF39" s="88" t="s">
        <v>108</v>
      </c>
      <c r="AG39" s="93" t="s">
        <v>109</v>
      </c>
    </row>
    <row r="40" spans="1:33">
      <c r="A40" s="85">
        <v>1</v>
      </c>
      <c r="B40" s="88" t="s">
        <v>110</v>
      </c>
      <c r="C40" s="99">
        <f>C34-C36-C37-C38</f>
        <v>124.07999999999998</v>
      </c>
      <c r="D40" s="99" t="e">
        <f>D34-D36-D37-D38</f>
        <v>#DIV/0!</v>
      </c>
      <c r="E40" s="99" t="e">
        <f t="shared" ref="E40:G40" si="22">E34-E36-E37-E38</f>
        <v>#DIV/0!</v>
      </c>
      <c r="F40" s="99" t="e">
        <f t="shared" si="22"/>
        <v>#DIV/0!</v>
      </c>
      <c r="G40" s="99" t="e">
        <f t="shared" si="22"/>
        <v>#DIV/0!</v>
      </c>
      <c r="H40" s="99"/>
      <c r="AF40" s="88" t="s">
        <v>54</v>
      </c>
      <c r="AG40" s="88" t="s">
        <v>110</v>
      </c>
    </row>
    <row r="41" spans="1:33">
      <c r="A41" s="85">
        <v>2</v>
      </c>
      <c r="B41" s="88" t="s">
        <v>111</v>
      </c>
      <c r="C41" s="99"/>
      <c r="D41" s="99"/>
      <c r="E41" s="99"/>
      <c r="F41" s="99"/>
      <c r="G41" s="99"/>
      <c r="H41" s="99"/>
      <c r="AF41" s="88" t="s">
        <v>56</v>
      </c>
      <c r="AG41" s="88" t="s">
        <v>111</v>
      </c>
    </row>
    <row r="42" spans="1:33">
      <c r="A42" s="88" t="s">
        <v>108</v>
      </c>
      <c r="B42" s="93" t="s">
        <v>113</v>
      </c>
      <c r="C42" s="99"/>
      <c r="D42" s="99"/>
      <c r="E42" s="99"/>
      <c r="F42" s="99"/>
      <c r="G42" s="99"/>
      <c r="H42" s="99"/>
      <c r="AF42" s="88" t="s">
        <v>112</v>
      </c>
      <c r="AG42" s="93" t="s">
        <v>113</v>
      </c>
    </row>
    <row r="43" spans="1:33">
      <c r="A43" s="85">
        <v>1</v>
      </c>
      <c r="B43" s="100" t="s">
        <v>114</v>
      </c>
      <c r="C43" s="97">
        <f>标准成本!E5</f>
        <v>23.79</v>
      </c>
      <c r="D43" s="97">
        <f>标准成本!E17</f>
        <v>0</v>
      </c>
      <c r="E43" s="97">
        <f>标准成本!E30</f>
        <v>0</v>
      </c>
      <c r="F43" s="97">
        <f>标准成本!E43</f>
        <v>0</v>
      </c>
      <c r="G43" s="97">
        <f>标准成本!E56</f>
        <v>0</v>
      </c>
      <c r="H43" s="99"/>
      <c r="AF43" s="88" t="s">
        <v>54</v>
      </c>
      <c r="AG43" s="88" t="s">
        <v>114</v>
      </c>
    </row>
    <row r="44" spans="1:33">
      <c r="A44" s="85">
        <v>2</v>
      </c>
      <c r="B44" s="100" t="s">
        <v>115</v>
      </c>
      <c r="C44" s="97">
        <f>标准成本!E9</f>
        <v>5.46</v>
      </c>
      <c r="D44" s="97">
        <f>标准成本!E21</f>
        <v>0</v>
      </c>
      <c r="E44" s="97">
        <f>标准成本!E34</f>
        <v>0</v>
      </c>
      <c r="F44" s="97">
        <f>标准成本!E47</f>
        <v>0</v>
      </c>
      <c r="G44" s="97">
        <f>标准成本!E60</f>
        <v>0</v>
      </c>
      <c r="H44" s="99"/>
      <c r="AF44" s="88" t="s">
        <v>56</v>
      </c>
      <c r="AG44" s="88" t="s">
        <v>115</v>
      </c>
    </row>
    <row r="45" spans="1:33">
      <c r="A45" s="85">
        <v>3</v>
      </c>
      <c r="B45" s="100" t="s">
        <v>116</v>
      </c>
      <c r="C45" s="97">
        <f>标准成本!E8</f>
        <v>20.995000000000001</v>
      </c>
      <c r="D45" s="97">
        <f>标准成本!E20</f>
        <v>0</v>
      </c>
      <c r="E45" s="97">
        <f>标准成本!E33</f>
        <v>0</v>
      </c>
      <c r="F45" s="97">
        <f>标准成本!E46</f>
        <v>0</v>
      </c>
      <c r="G45" s="97">
        <f>标准成本!E59</f>
        <v>0</v>
      </c>
      <c r="H45" s="99"/>
      <c r="AF45" s="88" t="s">
        <v>101</v>
      </c>
      <c r="AG45" s="88" t="s">
        <v>116</v>
      </c>
    </row>
    <row r="46" spans="1:33" s="83" customFormat="1">
      <c r="A46" s="85">
        <v>4</v>
      </c>
      <c r="B46" s="100" t="s">
        <v>117</v>
      </c>
      <c r="C46" s="105">
        <f>C21/C6</f>
        <v>2.6</v>
      </c>
      <c r="D46" s="105" t="e">
        <f>D21/D6</f>
        <v>#DIV/0!</v>
      </c>
      <c r="E46" s="105" t="e">
        <f t="shared" ref="E46:G46" si="23">E21/E6</f>
        <v>#DIV/0!</v>
      </c>
      <c r="F46" s="105" t="e">
        <f t="shared" si="23"/>
        <v>#DIV/0!</v>
      </c>
      <c r="G46" s="105" t="e">
        <f t="shared" si="23"/>
        <v>#DIV/0!</v>
      </c>
      <c r="H46" s="105"/>
      <c r="AF46" s="100" t="s">
        <v>61</v>
      </c>
      <c r="AG46" s="100" t="s">
        <v>119</v>
      </c>
    </row>
    <row r="47" spans="1:33" s="83" customFormat="1">
      <c r="A47" s="85">
        <v>5</v>
      </c>
      <c r="B47" s="100" t="s">
        <v>119</v>
      </c>
      <c r="C47" s="97">
        <f>标准成本!E11</f>
        <v>23.074999999999999</v>
      </c>
      <c r="D47" s="97">
        <f>标准成本!E23</f>
        <v>0</v>
      </c>
      <c r="E47" s="97">
        <f>标准成本!E36</f>
        <v>0</v>
      </c>
      <c r="F47" s="97">
        <f>标准成本!E49</f>
        <v>0</v>
      </c>
      <c r="G47" s="97">
        <f>标准成本!E62</f>
        <v>0</v>
      </c>
      <c r="H47" s="105"/>
      <c r="AF47" s="100" t="s">
        <v>61</v>
      </c>
      <c r="AG47" s="100" t="s">
        <v>119</v>
      </c>
    </row>
    <row r="48" spans="1:33">
      <c r="A48" s="88" t="s">
        <v>112</v>
      </c>
      <c r="B48" s="93" t="s">
        <v>130</v>
      </c>
      <c r="C48" s="99">
        <f>C40-C43-C44-C45-C47-C46</f>
        <v>48.159999999999989</v>
      </c>
      <c r="D48" s="99" t="e">
        <f>D40-D43-D44-D45-D47-D46</f>
        <v>#DIV/0!</v>
      </c>
      <c r="E48" s="99" t="e">
        <f t="shared" ref="E48:G48" si="24">E40-E43-E44-E45-E47-E46</f>
        <v>#DIV/0!</v>
      </c>
      <c r="F48" s="99" t="e">
        <f t="shared" si="24"/>
        <v>#DIV/0!</v>
      </c>
      <c r="G48" s="99" t="e">
        <f t="shared" si="24"/>
        <v>#DIV/0!</v>
      </c>
      <c r="H48" s="99"/>
      <c r="AF48" s="88" t="s">
        <v>129</v>
      </c>
      <c r="AG48" s="93" t="s">
        <v>130</v>
      </c>
    </row>
    <row r="51" spans="2:13">
      <c r="C51" s="106"/>
      <c r="D51" s="106"/>
      <c r="E51" s="106"/>
      <c r="F51" s="106"/>
      <c r="G51" s="106"/>
    </row>
    <row r="54" spans="2:13">
      <c r="B54" s="2"/>
      <c r="C54" s="107"/>
      <c r="D54" s="107"/>
      <c r="E54" s="107"/>
      <c r="F54" s="107"/>
      <c r="G54" s="107"/>
      <c r="H54" s="107"/>
      <c r="I54" s="2"/>
      <c r="J54" s="2"/>
      <c r="K54" s="2"/>
      <c r="L54" s="2"/>
      <c r="M54" s="2"/>
    </row>
    <row r="55" spans="2:13">
      <c r="B55" s="2"/>
      <c r="C55" s="107"/>
      <c r="D55" s="107"/>
      <c r="E55" s="107"/>
      <c r="F55" s="107"/>
      <c r="G55" s="107"/>
      <c r="H55" s="107"/>
      <c r="I55" s="2"/>
      <c r="J55" s="2"/>
      <c r="K55" s="2"/>
      <c r="L55" s="2"/>
      <c r="M55" s="2"/>
    </row>
    <row r="56" spans="2:13">
      <c r="B56" s="2"/>
      <c r="C56" s="107"/>
      <c r="D56" s="107"/>
      <c r="E56" s="107"/>
      <c r="F56" s="107"/>
      <c r="G56" s="107"/>
      <c r="H56" s="107"/>
      <c r="I56" s="2"/>
      <c r="J56" s="2"/>
      <c r="K56" s="2"/>
      <c r="L56" s="2"/>
      <c r="M56" s="2"/>
    </row>
    <row r="57" spans="2:13">
      <c r="B57" s="2"/>
      <c r="C57" s="107"/>
      <c r="D57" s="107"/>
      <c r="E57" s="107"/>
      <c r="F57" s="107"/>
      <c r="G57" s="107"/>
      <c r="H57" s="107"/>
      <c r="I57" s="2"/>
      <c r="J57" s="2"/>
      <c r="K57" s="2"/>
      <c r="L57" s="2"/>
      <c r="M57" s="2"/>
    </row>
    <row r="58" spans="2:13">
      <c r="B58" s="2"/>
      <c r="C58" s="107"/>
      <c r="D58" s="107"/>
      <c r="E58" s="107"/>
      <c r="F58" s="107"/>
      <c r="G58" s="107"/>
      <c r="H58" s="107"/>
      <c r="I58" s="2"/>
      <c r="J58" s="2"/>
      <c r="K58" s="2"/>
      <c r="L58" s="2"/>
      <c r="M58" s="2"/>
    </row>
    <row r="59" spans="2:13">
      <c r="B59" s="2"/>
      <c r="C59" s="107"/>
      <c r="D59" s="107"/>
      <c r="E59" s="107"/>
      <c r="F59" s="107"/>
      <c r="G59" s="107"/>
      <c r="H59" s="107"/>
      <c r="I59" s="2"/>
      <c r="J59" s="2"/>
      <c r="K59" s="2"/>
      <c r="L59" s="2"/>
      <c r="M59" s="2"/>
    </row>
    <row r="60" spans="2:13">
      <c r="B60" s="2"/>
      <c r="C60" s="107"/>
      <c r="D60" s="107"/>
      <c r="E60" s="107"/>
      <c r="F60" s="107"/>
      <c r="G60" s="107"/>
      <c r="H60" s="107"/>
      <c r="I60" s="2"/>
      <c r="J60" s="2"/>
      <c r="K60" s="2"/>
      <c r="L60" s="2"/>
      <c r="M60" s="2"/>
    </row>
    <row r="61" spans="2:13">
      <c r="B61" s="2"/>
      <c r="C61" s="107"/>
      <c r="D61" s="107"/>
      <c r="E61" s="107"/>
      <c r="F61" s="107"/>
      <c r="G61" s="107"/>
      <c r="H61" s="107"/>
      <c r="I61" s="2"/>
      <c r="J61" s="2"/>
      <c r="K61" s="2"/>
      <c r="L61" s="2"/>
      <c r="M61" s="2"/>
    </row>
    <row r="62" spans="2:13">
      <c r="B62" s="2"/>
      <c r="C62" s="107"/>
      <c r="D62" s="107"/>
      <c r="E62" s="107"/>
      <c r="F62" s="107"/>
      <c r="G62" s="107"/>
      <c r="H62" s="107"/>
      <c r="I62" s="2"/>
      <c r="J62" s="2"/>
      <c r="K62" s="2"/>
      <c r="L62" s="2"/>
      <c r="M62" s="2"/>
    </row>
    <row r="63" spans="2:13">
      <c r="B63" s="2"/>
      <c r="C63" s="107"/>
      <c r="D63" s="107"/>
      <c r="E63" s="107"/>
      <c r="F63" s="107"/>
      <c r="G63" s="107"/>
      <c r="H63" s="107"/>
      <c r="I63" s="2"/>
      <c r="J63" s="2"/>
      <c r="K63" s="2"/>
      <c r="L63" s="2"/>
      <c r="M63" s="2"/>
    </row>
    <row r="64" spans="2:13">
      <c r="B64" s="2"/>
      <c r="C64" s="107"/>
      <c r="D64" s="107"/>
      <c r="E64" s="107"/>
      <c r="F64" s="107"/>
      <c r="G64" s="107"/>
      <c r="H64" s="107"/>
      <c r="I64" s="2"/>
      <c r="J64" s="2"/>
      <c r="K64" s="2"/>
      <c r="L64" s="2"/>
      <c r="M64" s="2"/>
    </row>
    <row r="65" spans="2:13">
      <c r="B65" s="2"/>
      <c r="C65" s="107"/>
      <c r="D65" s="107"/>
      <c r="E65" s="107"/>
      <c r="F65" s="107"/>
      <c r="G65" s="107"/>
      <c r="H65" s="107"/>
      <c r="I65" s="2"/>
      <c r="J65" s="2"/>
      <c r="K65" s="2"/>
      <c r="L65" s="2"/>
      <c r="M65" s="2"/>
    </row>
    <row r="66" spans="2:13">
      <c r="B66" s="2"/>
      <c r="C66" s="107"/>
      <c r="D66" s="107"/>
      <c r="E66" s="107"/>
      <c r="F66" s="107"/>
      <c r="G66" s="107"/>
      <c r="H66" s="107"/>
      <c r="I66" s="2"/>
      <c r="J66" s="2"/>
      <c r="K66" s="2"/>
      <c r="L66" s="2"/>
      <c r="M66" s="2"/>
    </row>
    <row r="67" spans="2:13">
      <c r="B67" s="2"/>
      <c r="C67" s="107"/>
      <c r="D67" s="107"/>
      <c r="E67" s="107"/>
      <c r="F67" s="107"/>
      <c r="G67" s="107"/>
      <c r="H67" s="107"/>
      <c r="I67" s="2"/>
    </row>
    <row r="68" spans="2:13">
      <c r="B68" s="2"/>
      <c r="C68" s="107"/>
      <c r="D68" s="107"/>
      <c r="E68" s="107"/>
      <c r="F68" s="107"/>
      <c r="G68" s="107"/>
      <c r="H68" s="107"/>
      <c r="I68" s="2"/>
    </row>
    <row r="69" spans="2:13">
      <c r="B69" s="2"/>
      <c r="C69" s="107"/>
      <c r="D69" s="107"/>
      <c r="E69" s="107"/>
      <c r="F69" s="107"/>
      <c r="G69" s="107"/>
      <c r="H69" s="107"/>
      <c r="I69" s="2"/>
    </row>
    <row r="70" spans="2:13">
      <c r="B70" s="2"/>
      <c r="C70" s="107"/>
      <c r="D70" s="107"/>
      <c r="E70" s="107"/>
      <c r="F70" s="107"/>
      <c r="G70" s="107"/>
      <c r="H70" s="107"/>
      <c r="I70" s="2"/>
    </row>
    <row r="71" spans="2:13">
      <c r="B71" s="2"/>
      <c r="C71" s="107"/>
      <c r="D71" s="107"/>
      <c r="E71" s="107"/>
      <c r="F71" s="107"/>
      <c r="G71" s="107"/>
      <c r="H71" s="107"/>
      <c r="I71" s="2"/>
    </row>
    <row r="72" spans="2:13">
      <c r="B72" s="2"/>
      <c r="C72" s="107"/>
      <c r="D72" s="107"/>
      <c r="E72" s="107"/>
      <c r="F72" s="107"/>
      <c r="G72" s="107"/>
      <c r="H72" s="107"/>
      <c r="I72" s="2"/>
    </row>
    <row r="73" spans="2:13">
      <c r="B73" s="2"/>
      <c r="C73" s="107"/>
      <c r="D73" s="107"/>
      <c r="E73" s="107"/>
      <c r="F73" s="107"/>
      <c r="G73" s="107"/>
      <c r="H73" s="107"/>
      <c r="I73" s="2"/>
    </row>
    <row r="74" spans="2:13">
      <c r="B74" s="2"/>
      <c r="C74" s="107"/>
      <c r="D74" s="107"/>
      <c r="E74" s="107"/>
      <c r="F74" s="107"/>
      <c r="G74" s="107"/>
      <c r="H74" s="107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45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B25" sqref="B25:H25"/>
    </sheetView>
  </sheetViews>
  <sheetFormatPr defaultColWidth="9" defaultRowHeight="16.5"/>
  <cols>
    <col min="1" max="1" width="5.125" style="81" customWidth="1"/>
    <col min="2" max="2" width="17.5" style="81" customWidth="1"/>
    <col min="3" max="7" width="14.375" style="84" customWidth="1"/>
    <col min="8" max="8" width="18.75" style="84" customWidth="1"/>
    <col min="9" max="9" width="12.375" style="81" customWidth="1"/>
    <col min="10" max="10" width="10.125" style="81" customWidth="1"/>
    <col min="11" max="17" width="9" style="81" customWidth="1"/>
    <col min="18" max="33" width="9" style="81"/>
    <col min="34" max="34" width="4.375" style="81" customWidth="1"/>
    <col min="35" max="35" width="13.875" style="81" customWidth="1"/>
    <col min="36" max="16384" width="9" style="81"/>
  </cols>
  <sheetData>
    <row r="1" spans="1:36">
      <c r="A1" s="202" t="s">
        <v>140</v>
      </c>
      <c r="B1" s="202"/>
      <c r="C1" s="206" t="s">
        <v>265</v>
      </c>
      <c r="D1" s="207"/>
      <c r="E1" s="207"/>
      <c r="F1" s="207"/>
      <c r="G1" s="207"/>
      <c r="H1" s="208"/>
    </row>
    <row r="2" spans="1:36">
      <c r="A2" s="202" t="s">
        <v>141</v>
      </c>
      <c r="B2" s="202"/>
      <c r="C2" s="209" t="str">
        <f>'2025年'!$C$2</f>
        <v>一汽解放汽车有限公司</v>
      </c>
      <c r="D2" s="209"/>
      <c r="E2" s="209"/>
      <c r="F2" s="209"/>
      <c r="G2" s="209"/>
      <c r="H2" s="209"/>
    </row>
    <row r="3" spans="1:36">
      <c r="A3" s="202" t="s">
        <v>142</v>
      </c>
      <c r="B3" s="202"/>
      <c r="C3" s="86" t="str">
        <f>'2025年'!C3</f>
        <v>前座总成</v>
      </c>
      <c r="D3" s="86">
        <f>'2025年'!D3</f>
        <v>0</v>
      </c>
      <c r="E3" s="86">
        <f>'2025年'!E3</f>
        <v>0</v>
      </c>
      <c r="F3" s="86">
        <f>'2025年'!F3</f>
        <v>0</v>
      </c>
      <c r="G3" s="86">
        <f>'2025年'!G3</f>
        <v>0</v>
      </c>
      <c r="H3" s="203" t="s">
        <v>50</v>
      </c>
    </row>
    <row r="4" spans="1:36">
      <c r="A4" s="202" t="s">
        <v>143</v>
      </c>
      <c r="B4" s="202"/>
      <c r="C4" s="86" t="str">
        <f>'2025年'!C4</f>
        <v>6900010UH13J/A</v>
      </c>
      <c r="D4" s="86">
        <f>'2025年'!D4</f>
        <v>0</v>
      </c>
      <c r="E4" s="86">
        <f>'2025年'!E4</f>
        <v>0</v>
      </c>
      <c r="F4" s="86">
        <f>'2025年'!F4</f>
        <v>0</v>
      </c>
      <c r="G4" s="86">
        <f>'2025年'!G4</f>
        <v>0</v>
      </c>
      <c r="H4" s="204"/>
    </row>
    <row r="5" spans="1:36" ht="42.75">
      <c r="A5" s="202" t="s">
        <v>144</v>
      </c>
      <c r="B5" s="202"/>
      <c r="C5" s="87" t="str">
        <f>'2025年'!C5</f>
        <v>管梁副驾带安全带</v>
      </c>
      <c r="D5" s="87">
        <f>'2025年'!D5</f>
        <v>0</v>
      </c>
      <c r="E5" s="87">
        <f>'2025年'!E5</f>
        <v>0</v>
      </c>
      <c r="F5" s="87">
        <f>'2025年'!F5</f>
        <v>0</v>
      </c>
      <c r="G5" s="87">
        <f>'2025年'!G5</f>
        <v>0</v>
      </c>
      <c r="H5" s="205"/>
      <c r="AJ5" s="81" t="s">
        <v>51</v>
      </c>
    </row>
    <row r="6" spans="1:36" ht="17.25">
      <c r="A6" s="88" t="s">
        <v>17</v>
      </c>
      <c r="B6" s="89" t="s">
        <v>145</v>
      </c>
      <c r="C6" s="108">
        <f>销量!C10</f>
        <v>1000</v>
      </c>
      <c r="D6" s="108">
        <f>销量!D10</f>
        <v>0</v>
      </c>
      <c r="E6" s="108">
        <f>销量!E10</f>
        <v>0</v>
      </c>
      <c r="F6" s="108">
        <f>销量!F10</f>
        <v>0</v>
      </c>
      <c r="G6" s="108">
        <f>销量!G10</f>
        <v>0</v>
      </c>
      <c r="H6" s="91">
        <f>+SUM(C6:G6)</f>
        <v>1000</v>
      </c>
      <c r="AH6" s="88" t="s">
        <v>17</v>
      </c>
      <c r="AI6" s="89" t="s">
        <v>3</v>
      </c>
      <c r="AJ6" s="81" t="s">
        <v>52</v>
      </c>
    </row>
    <row r="7" spans="1:36">
      <c r="A7" s="85">
        <v>1</v>
      </c>
      <c r="B7" s="89" t="s">
        <v>53</v>
      </c>
      <c r="C7" s="91">
        <f>C6*销量!C8</f>
        <v>650000</v>
      </c>
      <c r="D7" s="91">
        <f>D6*销量!D8</f>
        <v>0</v>
      </c>
      <c r="E7" s="91">
        <f>E6*销量!E8</f>
        <v>0</v>
      </c>
      <c r="F7" s="91">
        <f>F6*销量!F8</f>
        <v>0</v>
      </c>
      <c r="G7" s="91">
        <f>G6*销量!G8</f>
        <v>0</v>
      </c>
      <c r="H7" s="91">
        <f t="shared" ref="H7:H13" si="0">+SUM(C7:G7)</f>
        <v>650000</v>
      </c>
      <c r="I7" s="84"/>
      <c r="AH7" s="88" t="s">
        <v>54</v>
      </c>
      <c r="AI7" s="89" t="s">
        <v>53</v>
      </c>
      <c r="AJ7" s="81" t="s">
        <v>52</v>
      </c>
    </row>
    <row r="8" spans="1:36">
      <c r="A8" s="85">
        <v>2</v>
      </c>
      <c r="B8" s="85" t="s">
        <v>55</v>
      </c>
      <c r="C8" s="91">
        <f>C7*(1-销量!$K$7)</f>
        <v>19500.000000000018</v>
      </c>
      <c r="D8" s="91">
        <f>D7*(1-销量!$K$7)</f>
        <v>0</v>
      </c>
      <c r="E8" s="91">
        <f>E7*(1-销量!$K$7)</f>
        <v>0</v>
      </c>
      <c r="F8" s="91">
        <f>F7*(1-销量!$K$7)</f>
        <v>0</v>
      </c>
      <c r="G8" s="91">
        <f>G7*(1-销量!$K$7)</f>
        <v>0</v>
      </c>
      <c r="H8" s="91">
        <f t="shared" si="0"/>
        <v>19500.000000000018</v>
      </c>
      <c r="I8" s="92"/>
      <c r="AH8" s="88" t="s">
        <v>56</v>
      </c>
      <c r="AI8" s="85" t="s">
        <v>57</v>
      </c>
      <c r="AJ8" s="81" t="s">
        <v>52</v>
      </c>
    </row>
    <row r="9" spans="1:36">
      <c r="A9" s="85">
        <v>3</v>
      </c>
      <c r="B9" s="89" t="s">
        <v>58</v>
      </c>
      <c r="C9" s="91">
        <f>+C7-C8</f>
        <v>630500</v>
      </c>
      <c r="D9" s="91">
        <f>+D7-D8</f>
        <v>0</v>
      </c>
      <c r="E9" s="91">
        <f t="shared" ref="E9:G9" si="1">+E7-E8</f>
        <v>0</v>
      </c>
      <c r="F9" s="91">
        <f t="shared" si="1"/>
        <v>0</v>
      </c>
      <c r="G9" s="91">
        <f t="shared" si="1"/>
        <v>0</v>
      </c>
      <c r="H9" s="91">
        <f t="shared" si="0"/>
        <v>630500</v>
      </c>
      <c r="AH9" s="88" t="s">
        <v>59</v>
      </c>
      <c r="AI9" s="89" t="s">
        <v>58</v>
      </c>
      <c r="AJ9" s="81" t="s">
        <v>60</v>
      </c>
    </row>
    <row r="10" spans="1:36">
      <c r="A10" s="85">
        <v>4</v>
      </c>
      <c r="B10" s="88" t="s">
        <v>62</v>
      </c>
      <c r="C10" s="91">
        <f>C6*C33</f>
        <v>485300.7</v>
      </c>
      <c r="D10" s="91">
        <f>D6*D33</f>
        <v>0</v>
      </c>
      <c r="E10" s="91">
        <f t="shared" ref="E10:G10" si="2">E6*E33</f>
        <v>0</v>
      </c>
      <c r="F10" s="91">
        <f t="shared" si="2"/>
        <v>0</v>
      </c>
      <c r="G10" s="91">
        <f t="shared" si="2"/>
        <v>0</v>
      </c>
      <c r="H10" s="91">
        <f t="shared" si="0"/>
        <v>485300.7</v>
      </c>
      <c r="AH10" s="88" t="s">
        <v>61</v>
      </c>
      <c r="AI10" s="88" t="s">
        <v>62</v>
      </c>
      <c r="AJ10" s="81" t="s">
        <v>63</v>
      </c>
    </row>
    <row r="11" spans="1:36">
      <c r="A11" s="85">
        <v>5</v>
      </c>
      <c r="B11" s="88" t="s">
        <v>64</v>
      </c>
      <c r="C11" s="91">
        <f>+C6*C36</f>
        <v>7995</v>
      </c>
      <c r="D11" s="91">
        <f>+D6*D36</f>
        <v>0</v>
      </c>
      <c r="E11" s="91">
        <f t="shared" ref="E11:G11" si="3">+E6*E36</f>
        <v>0</v>
      </c>
      <c r="F11" s="91">
        <f t="shared" si="3"/>
        <v>0</v>
      </c>
      <c r="G11" s="91">
        <f t="shared" si="3"/>
        <v>0</v>
      </c>
      <c r="H11" s="91">
        <f t="shared" si="0"/>
        <v>7995</v>
      </c>
      <c r="AH11" s="88" t="s">
        <v>65</v>
      </c>
      <c r="AI11" s="88" t="s">
        <v>64</v>
      </c>
    </row>
    <row r="12" spans="1:36">
      <c r="A12" s="85">
        <v>6</v>
      </c>
      <c r="B12" s="88" t="s">
        <v>66</v>
      </c>
      <c r="C12" s="91">
        <f>+C6*C37</f>
        <v>7215.0000000000009</v>
      </c>
      <c r="D12" s="91">
        <f>+D6*D37</f>
        <v>0</v>
      </c>
      <c r="E12" s="91">
        <f t="shared" ref="E12:G12" si="4">+E6*E37</f>
        <v>0</v>
      </c>
      <c r="F12" s="91">
        <f t="shared" si="4"/>
        <v>0</v>
      </c>
      <c r="G12" s="91">
        <f t="shared" si="4"/>
        <v>0</v>
      </c>
      <c r="H12" s="91">
        <f t="shared" si="0"/>
        <v>7215.0000000000009</v>
      </c>
      <c r="AH12" s="88" t="s">
        <v>67</v>
      </c>
      <c r="AI12" s="88" t="s">
        <v>66</v>
      </c>
    </row>
    <row r="13" spans="1:36">
      <c r="A13" s="85">
        <v>7</v>
      </c>
      <c r="B13" s="88" t="s">
        <v>68</v>
      </c>
      <c r="C13" s="91">
        <f>+C6*C38</f>
        <v>10400</v>
      </c>
      <c r="D13" s="91">
        <f>+D6*D38</f>
        <v>0</v>
      </c>
      <c r="E13" s="91">
        <f t="shared" ref="E13:G13" si="5">+E6*E38</f>
        <v>0</v>
      </c>
      <c r="F13" s="91">
        <f t="shared" si="5"/>
        <v>0</v>
      </c>
      <c r="G13" s="91">
        <f t="shared" si="5"/>
        <v>0</v>
      </c>
      <c r="H13" s="91">
        <f t="shared" si="0"/>
        <v>10400</v>
      </c>
      <c r="AH13" s="88" t="s">
        <v>69</v>
      </c>
      <c r="AI13" s="88" t="s">
        <v>68</v>
      </c>
      <c r="AJ13" s="81" t="s">
        <v>52</v>
      </c>
    </row>
    <row r="14" spans="1:36">
      <c r="A14" s="85">
        <v>8</v>
      </c>
      <c r="B14" s="93" t="s">
        <v>70</v>
      </c>
      <c r="C14" s="91">
        <f>SUM(C11:C13)</f>
        <v>25610</v>
      </c>
      <c r="D14" s="91">
        <f>SUM(D11:D13)</f>
        <v>0</v>
      </c>
      <c r="E14" s="91">
        <f t="shared" ref="E14:H14" si="6">SUM(E11:E13)</f>
        <v>0</v>
      </c>
      <c r="F14" s="91">
        <f t="shared" si="6"/>
        <v>0</v>
      </c>
      <c r="G14" s="91">
        <f t="shared" si="6"/>
        <v>0</v>
      </c>
      <c r="H14" s="91">
        <f t="shared" si="6"/>
        <v>25610</v>
      </c>
      <c r="AH14" s="88" t="s">
        <v>71</v>
      </c>
      <c r="AI14" s="93" t="s">
        <v>70</v>
      </c>
    </row>
    <row r="15" spans="1:36">
      <c r="A15" s="85">
        <v>9</v>
      </c>
      <c r="B15" s="93" t="s">
        <v>72</v>
      </c>
      <c r="C15" s="91">
        <f>+C9-C10-C14</f>
        <v>119589.29999999999</v>
      </c>
      <c r="D15" s="91">
        <f>+D9-D10-D14</f>
        <v>0</v>
      </c>
      <c r="E15" s="91">
        <f t="shared" ref="E15:H15" si="7">+E9-E10-E14</f>
        <v>0</v>
      </c>
      <c r="F15" s="91">
        <f t="shared" si="7"/>
        <v>0</v>
      </c>
      <c r="G15" s="91">
        <f t="shared" si="7"/>
        <v>0</v>
      </c>
      <c r="H15" s="91">
        <f t="shared" si="7"/>
        <v>119589.29999999999</v>
      </c>
      <c r="AH15" s="88" t="s">
        <v>73</v>
      </c>
      <c r="AI15" s="93" t="s">
        <v>72</v>
      </c>
    </row>
    <row r="16" spans="1:36">
      <c r="A16" s="85">
        <v>10</v>
      </c>
      <c r="B16" s="88" t="s">
        <v>74</v>
      </c>
      <c r="C16" s="94">
        <f>+C15/C9</f>
        <v>0.18967375099127676</v>
      </c>
      <c r="D16" s="94" t="e">
        <f>+D15/D9</f>
        <v>#DIV/0!</v>
      </c>
      <c r="E16" s="94" t="e">
        <f t="shared" ref="E16:G16" si="8">+E15/E9</f>
        <v>#DIV/0!</v>
      </c>
      <c r="F16" s="94" t="e">
        <f t="shared" si="8"/>
        <v>#DIV/0!</v>
      </c>
      <c r="G16" s="94" t="e">
        <f t="shared" si="8"/>
        <v>#DIV/0!</v>
      </c>
      <c r="H16" s="94">
        <f>+H15/H9</f>
        <v>0.18967375099127676</v>
      </c>
      <c r="AH16" s="88" t="s">
        <v>75</v>
      </c>
      <c r="AI16" s="88" t="s">
        <v>74</v>
      </c>
    </row>
    <row r="17" spans="1:36">
      <c r="A17" s="85">
        <v>11</v>
      </c>
      <c r="B17" s="88" t="s">
        <v>76</v>
      </c>
      <c r="C17" s="91">
        <f>C6*C43+C18</f>
        <v>56090</v>
      </c>
      <c r="D17" s="91">
        <f>D6*D43+D18</f>
        <v>0</v>
      </c>
      <c r="E17" s="91">
        <f t="shared" ref="E17:G17" si="9">E6*E43+E18</f>
        <v>0</v>
      </c>
      <c r="F17" s="91">
        <f t="shared" si="9"/>
        <v>0</v>
      </c>
      <c r="G17" s="91">
        <f t="shared" si="9"/>
        <v>0</v>
      </c>
      <c r="H17" s="91">
        <f>+SUM(C17:G17)</f>
        <v>56090</v>
      </c>
      <c r="I17" s="92"/>
      <c r="AH17" s="88" t="s">
        <v>77</v>
      </c>
      <c r="AI17" s="88" t="s">
        <v>76</v>
      </c>
    </row>
    <row r="18" spans="1:36" s="82" customFormat="1">
      <c r="A18" s="85">
        <v>12</v>
      </c>
      <c r="B18" s="96" t="s">
        <v>146</v>
      </c>
      <c r="C18" s="97">
        <f>$H$18/$H$6*C6</f>
        <v>32299.999999999996</v>
      </c>
      <c r="D18" s="97">
        <f>$H$18/$H$6*D6</f>
        <v>0</v>
      </c>
      <c r="E18" s="97">
        <f t="shared" ref="E18:G18" si="10">$H$18/$H$6*E6</f>
        <v>0</v>
      </c>
      <c r="F18" s="97">
        <f t="shared" si="10"/>
        <v>0</v>
      </c>
      <c r="G18" s="97">
        <f t="shared" si="10"/>
        <v>0</v>
      </c>
      <c r="H18" s="91">
        <f>项目投资!E26</f>
        <v>32300</v>
      </c>
      <c r="I18" s="98" t="s">
        <v>147</v>
      </c>
      <c r="J18" s="98"/>
      <c r="K18" s="98"/>
    </row>
    <row r="19" spans="1:36">
      <c r="A19" s="85">
        <v>13</v>
      </c>
      <c r="B19" s="88" t="s">
        <v>78</v>
      </c>
      <c r="C19" s="91">
        <f>C6*C44</f>
        <v>5460</v>
      </c>
      <c r="D19" s="91">
        <f>D6*D44</f>
        <v>0</v>
      </c>
      <c r="E19" s="91">
        <f t="shared" ref="E19:G19" si="11">E6*E44</f>
        <v>0</v>
      </c>
      <c r="F19" s="91">
        <f t="shared" si="11"/>
        <v>0</v>
      </c>
      <c r="G19" s="91">
        <f t="shared" si="11"/>
        <v>0</v>
      </c>
      <c r="H19" s="91">
        <f t="shared" ref="H19:H20" si="12">+SUM(C19:G19)</f>
        <v>5460</v>
      </c>
      <c r="I19" s="82"/>
      <c r="AH19" s="88" t="s">
        <v>79</v>
      </c>
      <c r="AI19" s="88" t="s">
        <v>78</v>
      </c>
      <c r="AJ19" s="81" t="s">
        <v>52</v>
      </c>
    </row>
    <row r="20" spans="1:36">
      <c r="A20" s="85">
        <v>14</v>
      </c>
      <c r="B20" s="88" t="s">
        <v>80</v>
      </c>
      <c r="C20" s="91">
        <f>C6*C45</f>
        <v>20995</v>
      </c>
      <c r="D20" s="91">
        <f>D6*D45</f>
        <v>0</v>
      </c>
      <c r="E20" s="91">
        <f t="shared" ref="E20:G20" si="13">E6*E45</f>
        <v>0</v>
      </c>
      <c r="F20" s="91">
        <f t="shared" si="13"/>
        <v>0</v>
      </c>
      <c r="G20" s="91">
        <f t="shared" si="13"/>
        <v>0</v>
      </c>
      <c r="H20" s="91">
        <f t="shared" si="12"/>
        <v>20995</v>
      </c>
      <c r="AH20" s="88" t="s">
        <v>81</v>
      </c>
      <c r="AI20" s="88" t="s">
        <v>80</v>
      </c>
    </row>
    <row r="21" spans="1:36">
      <c r="A21" s="85">
        <v>15</v>
      </c>
      <c r="B21" s="88" t="s">
        <v>82</v>
      </c>
      <c r="C21" s="99">
        <f>$H$21/$H$6*C6</f>
        <v>2600</v>
      </c>
      <c r="D21" s="99">
        <f>$H$21/$H$6*D6</f>
        <v>0</v>
      </c>
      <c r="E21" s="99">
        <f t="shared" ref="E21:G21" si="14">$H$21/$H$6*E6</f>
        <v>0</v>
      </c>
      <c r="F21" s="99">
        <f t="shared" si="14"/>
        <v>0</v>
      </c>
      <c r="G21" s="99">
        <f t="shared" si="14"/>
        <v>0</v>
      </c>
      <c r="H21" s="91">
        <f>项目投资!E27</f>
        <v>2600</v>
      </c>
      <c r="AH21" s="88"/>
      <c r="AI21" s="88"/>
    </row>
    <row r="22" spans="1:36">
      <c r="A22" s="85">
        <v>16</v>
      </c>
      <c r="B22" s="88" t="s">
        <v>83</v>
      </c>
      <c r="C22" s="91">
        <f>C6*C47</f>
        <v>23075</v>
      </c>
      <c r="D22" s="91">
        <f>D6*D47</f>
        <v>0</v>
      </c>
      <c r="E22" s="91">
        <f t="shared" ref="E22:G22" si="15">E6*E47</f>
        <v>0</v>
      </c>
      <c r="F22" s="91">
        <f t="shared" si="15"/>
        <v>0</v>
      </c>
      <c r="G22" s="91">
        <f t="shared" si="15"/>
        <v>0</v>
      </c>
      <c r="H22" s="91">
        <f>+SUM(C22:G22)</f>
        <v>23075</v>
      </c>
      <c r="AH22" s="88" t="s">
        <v>84</v>
      </c>
      <c r="AI22" s="88" t="s">
        <v>83</v>
      </c>
    </row>
    <row r="23" spans="1:36">
      <c r="A23" s="85">
        <v>17</v>
      </c>
      <c r="B23" s="93" t="s">
        <v>85</v>
      </c>
      <c r="C23" s="99">
        <f>+C22+C21+C20+C19+C17</f>
        <v>108220</v>
      </c>
      <c r="D23" s="99">
        <f>+D22+D21+D20+D19+D17</f>
        <v>0</v>
      </c>
      <c r="E23" s="99">
        <f t="shared" ref="E23:G23" si="16">+E22+E21+E20+E19+E17</f>
        <v>0</v>
      </c>
      <c r="F23" s="99">
        <f t="shared" si="16"/>
        <v>0</v>
      </c>
      <c r="G23" s="99">
        <f t="shared" si="16"/>
        <v>0</v>
      </c>
      <c r="H23" s="99">
        <f>+H22+H21+H20+H19+H17</f>
        <v>108220</v>
      </c>
      <c r="AH23" s="88" t="s">
        <v>86</v>
      </c>
      <c r="AI23" s="93" t="s">
        <v>85</v>
      </c>
    </row>
    <row r="24" spans="1:36">
      <c r="A24" s="85">
        <v>18</v>
      </c>
      <c r="B24" s="100" t="s">
        <v>87</v>
      </c>
      <c r="C24" s="99">
        <f>+C15-C23</f>
        <v>11369.299999999988</v>
      </c>
      <c r="D24" s="99">
        <f>+D15-D23</f>
        <v>0</v>
      </c>
      <c r="E24" s="99">
        <f t="shared" ref="E24:G24" si="17">+E15-E23</f>
        <v>0</v>
      </c>
      <c r="F24" s="99">
        <f t="shared" si="17"/>
        <v>0</v>
      </c>
      <c r="G24" s="99">
        <f t="shared" si="17"/>
        <v>0</v>
      </c>
      <c r="H24" s="99">
        <f>+H15-H23</f>
        <v>11369.299999999988</v>
      </c>
      <c r="J24" s="101"/>
      <c r="AH24" s="88" t="s">
        <v>88</v>
      </c>
      <c r="AI24" s="88" t="s">
        <v>87</v>
      </c>
    </row>
    <row r="25" spans="1:36">
      <c r="A25" s="85">
        <v>19</v>
      </c>
      <c r="B25" s="88" t="s">
        <v>302</v>
      </c>
      <c r="C25" s="99">
        <f>IF(C24&lt;0,0,C24*0.25)</f>
        <v>2842.3249999999971</v>
      </c>
      <c r="D25" s="99">
        <f t="shared" ref="D25:H25" si="18">IF(D24&lt;0,0,D24*0.25)</f>
        <v>0</v>
      </c>
      <c r="E25" s="99">
        <f t="shared" si="18"/>
        <v>0</v>
      </c>
      <c r="F25" s="99">
        <f t="shared" si="18"/>
        <v>0</v>
      </c>
      <c r="G25" s="99">
        <f t="shared" si="18"/>
        <v>0</v>
      </c>
      <c r="H25" s="99">
        <f t="shared" si="18"/>
        <v>2842.3249999999971</v>
      </c>
      <c r="I25" s="2"/>
      <c r="J25" s="2"/>
      <c r="K25" s="2"/>
      <c r="AH25" s="88" t="s">
        <v>89</v>
      </c>
      <c r="AI25" s="88" t="s">
        <v>34</v>
      </c>
    </row>
    <row r="26" spans="1:36">
      <c r="A26" s="85">
        <v>20</v>
      </c>
      <c r="B26" s="88" t="s">
        <v>90</v>
      </c>
      <c r="C26" s="99">
        <f>C24-C25</f>
        <v>8526.9749999999913</v>
      </c>
      <c r="D26" s="99">
        <f>D24-D25</f>
        <v>0</v>
      </c>
      <c r="E26" s="99">
        <f t="shared" ref="E26:G26" si="19">E24-E25</f>
        <v>0</v>
      </c>
      <c r="F26" s="99">
        <f t="shared" si="19"/>
        <v>0</v>
      </c>
      <c r="G26" s="99">
        <f t="shared" si="19"/>
        <v>0</v>
      </c>
      <c r="H26" s="99">
        <f>H24-H25</f>
        <v>8526.9749999999913</v>
      </c>
      <c r="I26" s="2"/>
      <c r="J26" s="2"/>
      <c r="K26" s="2"/>
      <c r="AH26" s="88" t="s">
        <v>91</v>
      </c>
      <c r="AI26" s="88" t="s">
        <v>90</v>
      </c>
    </row>
    <row r="27" spans="1:36">
      <c r="A27" s="85">
        <v>21</v>
      </c>
      <c r="B27" s="88" t="s">
        <v>94</v>
      </c>
      <c r="C27" s="102">
        <f>C26/C9</f>
        <v>1.3524147501982539E-2</v>
      </c>
      <c r="D27" s="102" t="e">
        <f t="shared" ref="D27:H27" si="20">D26/D9</f>
        <v>#DIV/0!</v>
      </c>
      <c r="E27" s="102" t="e">
        <f t="shared" si="20"/>
        <v>#DIV/0!</v>
      </c>
      <c r="F27" s="102" t="e">
        <f t="shared" si="20"/>
        <v>#DIV/0!</v>
      </c>
      <c r="G27" s="102" t="e">
        <f t="shared" si="20"/>
        <v>#DIV/0!</v>
      </c>
      <c r="H27" s="102">
        <f t="shared" si="20"/>
        <v>1.3524147501982539E-2</v>
      </c>
      <c r="I27" s="2"/>
      <c r="J27" s="2"/>
      <c r="K27" s="2"/>
      <c r="AH27" s="88" t="s">
        <v>93</v>
      </c>
      <c r="AI27" s="88" t="s">
        <v>94</v>
      </c>
    </row>
    <row r="28" spans="1:36">
      <c r="I28" s="2"/>
      <c r="J28" s="2"/>
      <c r="K28" s="2"/>
    </row>
    <row r="29" spans="1:36">
      <c r="A29" s="81" t="s">
        <v>95</v>
      </c>
      <c r="H29" s="84" t="s">
        <v>148</v>
      </c>
      <c r="I29" s="2"/>
      <c r="J29" s="2"/>
      <c r="K29" s="2"/>
      <c r="AH29" s="81" t="s">
        <v>95</v>
      </c>
    </row>
    <row r="30" spans="1:36">
      <c r="A30" s="88" t="s">
        <v>96</v>
      </c>
      <c r="B30" s="93" t="s">
        <v>97</v>
      </c>
      <c r="C30" s="99"/>
      <c r="D30" s="99"/>
      <c r="E30" s="99"/>
      <c r="F30" s="99"/>
      <c r="G30" s="99"/>
      <c r="H30" s="99"/>
      <c r="I30" s="2"/>
      <c r="J30" s="2"/>
      <c r="K30" s="2"/>
      <c r="M30" s="2"/>
      <c r="AH30" s="88" t="s">
        <v>98</v>
      </c>
      <c r="AI30" s="93" t="s">
        <v>97</v>
      </c>
    </row>
    <row r="31" spans="1:36">
      <c r="A31" s="85">
        <v>1</v>
      </c>
      <c r="B31" s="96" t="s">
        <v>99</v>
      </c>
      <c r="C31" s="103">
        <f>销量!C8</f>
        <v>650</v>
      </c>
      <c r="D31" s="103">
        <f>销量!D8</f>
        <v>0</v>
      </c>
      <c r="E31" s="103">
        <f>销量!E8</f>
        <v>0</v>
      </c>
      <c r="F31" s="103">
        <f>销量!F8</f>
        <v>0</v>
      </c>
      <c r="G31" s="103">
        <f>销量!G8</f>
        <v>0</v>
      </c>
      <c r="H31" s="99"/>
      <c r="I31" s="2"/>
      <c r="J31" s="2"/>
      <c r="K31" s="2"/>
      <c r="M31" s="2"/>
      <c r="AH31" s="88" t="s">
        <v>54</v>
      </c>
      <c r="AI31" s="88" t="s">
        <v>99</v>
      </c>
    </row>
    <row r="32" spans="1:36">
      <c r="A32" s="85">
        <v>2</v>
      </c>
      <c r="B32" s="88" t="s">
        <v>149</v>
      </c>
      <c r="C32" s="91">
        <f>C9/C6</f>
        <v>630.5</v>
      </c>
      <c r="D32" s="91" t="e">
        <f t="shared" ref="D32:G32" si="21">D9/D6</f>
        <v>#DIV/0!</v>
      </c>
      <c r="E32" s="91" t="e">
        <f t="shared" si="21"/>
        <v>#DIV/0!</v>
      </c>
      <c r="F32" s="91" t="e">
        <f t="shared" si="21"/>
        <v>#DIV/0!</v>
      </c>
      <c r="G32" s="91" t="e">
        <f t="shared" si="21"/>
        <v>#DIV/0!</v>
      </c>
      <c r="H32" s="99"/>
      <c r="I32" s="2"/>
      <c r="J32" s="2"/>
      <c r="K32" s="2"/>
      <c r="L32" s="2"/>
      <c r="M32" s="2"/>
      <c r="N32" s="2"/>
      <c r="O32" s="2"/>
      <c r="AH32" s="88"/>
      <c r="AI32" s="88"/>
    </row>
    <row r="33" spans="1:35">
      <c r="A33" s="85">
        <v>3</v>
      </c>
      <c r="B33" s="96" t="s">
        <v>100</v>
      </c>
      <c r="C33" s="91">
        <f>材料成本!D25</f>
        <v>485.30070000000001</v>
      </c>
      <c r="D33" s="91">
        <f>材料成本!E25</f>
        <v>0</v>
      </c>
      <c r="E33" s="91">
        <f>材料成本!F25</f>
        <v>0</v>
      </c>
      <c r="F33" s="91">
        <f>材料成本!G25</f>
        <v>0</v>
      </c>
      <c r="G33" s="91">
        <f>材料成本!H25</f>
        <v>0</v>
      </c>
      <c r="H33" s="99"/>
      <c r="J33" s="2"/>
      <c r="K33" s="2"/>
      <c r="L33" s="2"/>
      <c r="M33" s="2"/>
      <c r="N33" s="2"/>
      <c r="O33" s="2"/>
      <c r="AH33" s="88" t="s">
        <v>56</v>
      </c>
      <c r="AI33" s="88" t="s">
        <v>100</v>
      </c>
    </row>
    <row r="34" spans="1:35" ht="17.25" customHeight="1">
      <c r="A34" s="85">
        <v>4</v>
      </c>
      <c r="B34" s="88" t="s">
        <v>102</v>
      </c>
      <c r="C34" s="104">
        <f>C32-C33</f>
        <v>145.19929999999999</v>
      </c>
      <c r="D34" s="104" t="e">
        <f t="shared" ref="D34:G34" si="22">D32-D33</f>
        <v>#DIV/0!</v>
      </c>
      <c r="E34" s="104" t="e">
        <f t="shared" si="22"/>
        <v>#DIV/0!</v>
      </c>
      <c r="F34" s="104" t="e">
        <f t="shared" si="22"/>
        <v>#DIV/0!</v>
      </c>
      <c r="G34" s="104" t="e">
        <f t="shared" si="22"/>
        <v>#DIV/0!</v>
      </c>
      <c r="H34" s="99"/>
      <c r="J34" s="2"/>
      <c r="K34" s="2"/>
      <c r="L34" s="2"/>
      <c r="M34" s="2"/>
      <c r="N34" s="2"/>
      <c r="O34" s="2"/>
      <c r="AH34" s="88" t="s">
        <v>101</v>
      </c>
      <c r="AI34" s="88" t="s">
        <v>102</v>
      </c>
    </row>
    <row r="35" spans="1:35">
      <c r="A35" s="88" t="s">
        <v>98</v>
      </c>
      <c r="B35" s="93" t="s">
        <v>9</v>
      </c>
      <c r="C35" s="99"/>
      <c r="D35" s="99"/>
      <c r="E35" s="99"/>
      <c r="F35" s="99"/>
      <c r="G35" s="99"/>
      <c r="H35" s="99"/>
      <c r="I35" s="2"/>
      <c r="J35" s="2"/>
      <c r="K35" s="2"/>
      <c r="L35" s="2"/>
      <c r="M35" s="2"/>
      <c r="N35" s="2"/>
      <c r="O35" s="2"/>
      <c r="P35" s="2"/>
      <c r="Q35" s="2"/>
      <c r="R35" s="2"/>
      <c r="AH35" s="88" t="s">
        <v>104</v>
      </c>
      <c r="AI35" s="93" t="s">
        <v>9</v>
      </c>
    </row>
    <row r="36" spans="1:35">
      <c r="A36" s="85">
        <v>1</v>
      </c>
      <c r="B36" s="88" t="s">
        <v>105</v>
      </c>
      <c r="C36" s="97">
        <f>'2025年'!C36</f>
        <v>7.9950000000000001</v>
      </c>
      <c r="D36" s="97">
        <f>'2025年'!D36</f>
        <v>0</v>
      </c>
      <c r="E36" s="97">
        <f>'2025年'!E36</f>
        <v>0</v>
      </c>
      <c r="F36" s="97">
        <f>'2025年'!F36</f>
        <v>0</v>
      </c>
      <c r="G36" s="97">
        <f>'2025年'!G36</f>
        <v>0</v>
      </c>
      <c r="H36" s="103"/>
      <c r="I36" s="2"/>
      <c r="J36" s="2"/>
      <c r="K36" s="2"/>
      <c r="L36" s="2"/>
      <c r="M36" s="2"/>
      <c r="N36" s="2"/>
      <c r="O36" s="2"/>
      <c r="P36" s="2"/>
      <c r="Q36" s="2"/>
      <c r="R36" s="2"/>
      <c r="AH36" s="88" t="s">
        <v>101</v>
      </c>
      <c r="AI36" s="88" t="s">
        <v>105</v>
      </c>
    </row>
    <row r="37" spans="1:35">
      <c r="A37" s="85">
        <v>2</v>
      </c>
      <c r="B37" s="88" t="s">
        <v>106</v>
      </c>
      <c r="C37" s="97">
        <f>'2025年'!C37</f>
        <v>7.2150000000000007</v>
      </c>
      <c r="D37" s="97">
        <f>'2025年'!D37</f>
        <v>0</v>
      </c>
      <c r="E37" s="97">
        <f>'2025年'!E37</f>
        <v>0</v>
      </c>
      <c r="F37" s="97">
        <f>'2025年'!F37</f>
        <v>0</v>
      </c>
      <c r="G37" s="97">
        <f>'2025年'!G37</f>
        <v>0</v>
      </c>
      <c r="H37" s="103"/>
      <c r="I37" s="2"/>
      <c r="J37" s="2"/>
      <c r="K37" s="2"/>
      <c r="L37" s="2"/>
      <c r="M37" s="2"/>
      <c r="N37" s="2"/>
      <c r="O37" s="2"/>
      <c r="P37" s="2"/>
      <c r="Q37" s="2"/>
      <c r="R37" s="2"/>
      <c r="AH37" s="88" t="s">
        <v>59</v>
      </c>
      <c r="AI37" s="88" t="s">
        <v>106</v>
      </c>
    </row>
    <row r="38" spans="1:35">
      <c r="A38" s="85">
        <v>3</v>
      </c>
      <c r="B38" s="88" t="s">
        <v>107</v>
      </c>
      <c r="C38" s="97">
        <f>'2025年'!C38</f>
        <v>10.4</v>
      </c>
      <c r="D38" s="97">
        <f>'2025年'!D38</f>
        <v>0</v>
      </c>
      <c r="E38" s="97">
        <f>'2025年'!E38</f>
        <v>0</v>
      </c>
      <c r="F38" s="97">
        <f>'2025年'!F38</f>
        <v>0</v>
      </c>
      <c r="G38" s="97">
        <f>'2025年'!G38</f>
        <v>0</v>
      </c>
      <c r="H38" s="103"/>
      <c r="I38" s="2"/>
      <c r="J38" s="2"/>
      <c r="K38" s="2"/>
      <c r="L38" s="2"/>
      <c r="M38" s="2"/>
      <c r="N38" s="2"/>
      <c r="O38" s="2"/>
      <c r="P38" s="2"/>
      <c r="Q38" s="2"/>
      <c r="R38" s="2"/>
      <c r="AH38" s="88" t="s">
        <v>65</v>
      </c>
      <c r="AI38" s="88" t="s">
        <v>107</v>
      </c>
    </row>
    <row r="39" spans="1:35">
      <c r="A39" s="88" t="s">
        <v>104</v>
      </c>
      <c r="B39" s="93" t="s">
        <v>109</v>
      </c>
      <c r="C39" s="99"/>
      <c r="D39" s="99"/>
      <c r="E39" s="99"/>
      <c r="F39" s="99"/>
      <c r="G39" s="99"/>
      <c r="H39" s="99"/>
      <c r="AH39" s="88" t="s">
        <v>108</v>
      </c>
      <c r="AI39" s="93" t="s">
        <v>109</v>
      </c>
    </row>
    <row r="40" spans="1:35">
      <c r="A40" s="85">
        <v>1</v>
      </c>
      <c r="B40" s="88" t="s">
        <v>110</v>
      </c>
      <c r="C40" s="99">
        <f>C34-C36-C37-C38</f>
        <v>119.58929999999998</v>
      </c>
      <c r="D40" s="99" t="e">
        <f>D34-D36-D37-D38</f>
        <v>#DIV/0!</v>
      </c>
      <c r="E40" s="99" t="e">
        <f t="shared" ref="E40:G40" si="23">E34-E36-E37-E38</f>
        <v>#DIV/0!</v>
      </c>
      <c r="F40" s="99" t="e">
        <f t="shared" si="23"/>
        <v>#DIV/0!</v>
      </c>
      <c r="G40" s="99" t="e">
        <f t="shared" si="23"/>
        <v>#DIV/0!</v>
      </c>
      <c r="H40" s="99"/>
      <c r="AH40" s="88" t="s">
        <v>54</v>
      </c>
      <c r="AI40" s="88" t="s">
        <v>110</v>
      </c>
    </row>
    <row r="41" spans="1:35">
      <c r="A41" s="85">
        <v>2</v>
      </c>
      <c r="B41" s="88" t="s">
        <v>111</v>
      </c>
      <c r="C41" s="99"/>
      <c r="D41" s="99"/>
      <c r="E41" s="99"/>
      <c r="F41" s="99"/>
      <c r="G41" s="99"/>
      <c r="H41" s="99"/>
      <c r="AH41" s="88" t="s">
        <v>56</v>
      </c>
      <c r="AI41" s="88" t="s">
        <v>111</v>
      </c>
    </row>
    <row r="42" spans="1:35">
      <c r="A42" s="88" t="s">
        <v>108</v>
      </c>
      <c r="B42" s="93" t="s">
        <v>113</v>
      </c>
      <c r="C42" s="99"/>
      <c r="D42" s="99"/>
      <c r="E42" s="99"/>
      <c r="F42" s="99"/>
      <c r="G42" s="99"/>
      <c r="H42" s="99"/>
      <c r="AH42" s="88" t="s">
        <v>112</v>
      </c>
      <c r="AI42" s="93" t="s">
        <v>113</v>
      </c>
    </row>
    <row r="43" spans="1:35">
      <c r="A43" s="85">
        <v>1</v>
      </c>
      <c r="B43" s="100" t="s">
        <v>114</v>
      </c>
      <c r="C43" s="97">
        <f>'2025年'!C43</f>
        <v>23.79</v>
      </c>
      <c r="D43" s="97">
        <f>'2025年'!D43</f>
        <v>0</v>
      </c>
      <c r="E43" s="97">
        <f>'2025年'!E43</f>
        <v>0</v>
      </c>
      <c r="F43" s="97">
        <f>'2025年'!F43</f>
        <v>0</v>
      </c>
      <c r="G43" s="97">
        <f>'2025年'!G43</f>
        <v>0</v>
      </c>
      <c r="H43" s="99"/>
      <c r="AH43" s="88" t="s">
        <v>54</v>
      </c>
      <c r="AI43" s="88" t="s">
        <v>114</v>
      </c>
    </row>
    <row r="44" spans="1:35">
      <c r="A44" s="85">
        <v>2</v>
      </c>
      <c r="B44" s="100" t="s">
        <v>115</v>
      </c>
      <c r="C44" s="97">
        <f>'2025年'!C44</f>
        <v>5.46</v>
      </c>
      <c r="D44" s="97">
        <f>'2025年'!D44</f>
        <v>0</v>
      </c>
      <c r="E44" s="97">
        <f>'2025年'!E44</f>
        <v>0</v>
      </c>
      <c r="F44" s="97">
        <f>'2025年'!F44</f>
        <v>0</v>
      </c>
      <c r="G44" s="97">
        <f>'2025年'!G44</f>
        <v>0</v>
      </c>
      <c r="H44" s="99"/>
      <c r="AH44" s="88" t="s">
        <v>56</v>
      </c>
      <c r="AI44" s="88" t="s">
        <v>115</v>
      </c>
    </row>
    <row r="45" spans="1:35">
      <c r="A45" s="85">
        <v>3</v>
      </c>
      <c r="B45" s="100" t="s">
        <v>116</v>
      </c>
      <c r="C45" s="97">
        <f>'2025年'!C45</f>
        <v>20.995000000000001</v>
      </c>
      <c r="D45" s="97">
        <f>'2025年'!D45</f>
        <v>0</v>
      </c>
      <c r="E45" s="97">
        <f>'2025年'!E45</f>
        <v>0</v>
      </c>
      <c r="F45" s="97">
        <f>'2025年'!F45</f>
        <v>0</v>
      </c>
      <c r="G45" s="97">
        <f>'2025年'!G45</f>
        <v>0</v>
      </c>
      <c r="H45" s="99"/>
      <c r="AH45" s="88" t="s">
        <v>101</v>
      </c>
      <c r="AI45" s="88" t="s">
        <v>116</v>
      </c>
    </row>
    <row r="46" spans="1:35" s="83" customFormat="1">
      <c r="A46" s="85">
        <v>4</v>
      </c>
      <c r="B46" s="100" t="s">
        <v>117</v>
      </c>
      <c r="C46" s="105">
        <f>C21/C6</f>
        <v>2.6</v>
      </c>
      <c r="D46" s="105" t="e">
        <f>D21/D6</f>
        <v>#DIV/0!</v>
      </c>
      <c r="E46" s="105" t="e">
        <f t="shared" ref="E46:G46" si="24">E21/E6</f>
        <v>#DIV/0!</v>
      </c>
      <c r="F46" s="105" t="e">
        <f t="shared" si="24"/>
        <v>#DIV/0!</v>
      </c>
      <c r="G46" s="105" t="e">
        <f t="shared" si="24"/>
        <v>#DIV/0!</v>
      </c>
      <c r="H46" s="105"/>
      <c r="AH46" s="100" t="s">
        <v>61</v>
      </c>
      <c r="AI46" s="100" t="s">
        <v>119</v>
      </c>
    </row>
    <row r="47" spans="1:35" s="83" customFormat="1">
      <c r="A47" s="85">
        <v>5</v>
      </c>
      <c r="B47" s="100" t="s">
        <v>119</v>
      </c>
      <c r="C47" s="97">
        <f>'2025年'!C47</f>
        <v>23.074999999999999</v>
      </c>
      <c r="D47" s="97">
        <f>'2025年'!D47</f>
        <v>0</v>
      </c>
      <c r="E47" s="97">
        <f>'2025年'!E47</f>
        <v>0</v>
      </c>
      <c r="F47" s="97">
        <f>'2025年'!F47</f>
        <v>0</v>
      </c>
      <c r="G47" s="97">
        <f>'2025年'!G47</f>
        <v>0</v>
      </c>
      <c r="H47" s="105"/>
      <c r="AH47" s="100" t="s">
        <v>61</v>
      </c>
      <c r="AI47" s="100" t="s">
        <v>119</v>
      </c>
    </row>
    <row r="48" spans="1:35">
      <c r="A48" s="88" t="s">
        <v>112</v>
      </c>
      <c r="B48" s="93" t="s">
        <v>130</v>
      </c>
      <c r="C48" s="99">
        <f>C40-C43-C44-C45-C47-C46</f>
        <v>43.669299999999986</v>
      </c>
      <c r="D48" s="99" t="e">
        <f>D40-D43-D44-D45-D47-D46</f>
        <v>#DIV/0!</v>
      </c>
      <c r="E48" s="99" t="e">
        <f t="shared" ref="E48:G48" si="25">E40-E43-E44-E45-E47-E46</f>
        <v>#DIV/0!</v>
      </c>
      <c r="F48" s="99" t="e">
        <f t="shared" si="25"/>
        <v>#DIV/0!</v>
      </c>
      <c r="G48" s="99" t="e">
        <f t="shared" si="25"/>
        <v>#DIV/0!</v>
      </c>
      <c r="H48" s="99"/>
      <c r="AH48" s="88" t="s">
        <v>129</v>
      </c>
      <c r="AI48" s="93" t="s">
        <v>130</v>
      </c>
    </row>
    <row r="51" spans="2:13">
      <c r="C51" s="106"/>
      <c r="D51" s="106"/>
      <c r="E51" s="106"/>
      <c r="F51" s="106"/>
      <c r="G51" s="106"/>
    </row>
    <row r="54" spans="2:13">
      <c r="B54" s="2"/>
      <c r="C54" s="107"/>
      <c r="D54" s="107"/>
      <c r="E54" s="107"/>
      <c r="F54" s="107"/>
      <c r="G54" s="107"/>
      <c r="H54" s="107"/>
      <c r="I54" s="2"/>
      <c r="J54" s="2"/>
      <c r="K54" s="2"/>
      <c r="L54" s="2"/>
      <c r="M54" s="2"/>
    </row>
    <row r="55" spans="2:13">
      <c r="B55" s="2"/>
      <c r="C55" s="107"/>
      <c r="D55" s="107"/>
      <c r="E55" s="107"/>
      <c r="F55" s="107"/>
      <c r="G55" s="107"/>
      <c r="H55" s="107"/>
      <c r="I55" s="2"/>
      <c r="J55" s="2"/>
      <c r="K55" s="2"/>
      <c r="L55" s="2"/>
      <c r="M55" s="2"/>
    </row>
    <row r="56" spans="2:13">
      <c r="B56" s="2"/>
      <c r="C56" s="107"/>
      <c r="D56" s="107"/>
      <c r="E56" s="107"/>
      <c r="F56" s="107"/>
      <c r="G56" s="107"/>
      <c r="H56" s="107"/>
      <c r="I56" s="2"/>
      <c r="J56" s="2"/>
      <c r="K56" s="2"/>
      <c r="L56" s="2"/>
      <c r="M56" s="2"/>
    </row>
    <row r="57" spans="2:13">
      <c r="B57" s="2"/>
      <c r="C57" s="107"/>
      <c r="D57" s="107"/>
      <c r="E57" s="107"/>
      <c r="F57" s="107"/>
      <c r="G57" s="107"/>
      <c r="H57" s="107"/>
      <c r="I57" s="2"/>
      <c r="J57" s="2"/>
      <c r="K57" s="2"/>
      <c r="L57" s="2"/>
      <c r="M57" s="2"/>
    </row>
    <row r="58" spans="2:13">
      <c r="B58" s="2"/>
      <c r="C58" s="107"/>
      <c r="D58" s="107"/>
      <c r="E58" s="107"/>
      <c r="F58" s="107"/>
      <c r="G58" s="107"/>
      <c r="H58" s="107"/>
      <c r="I58" s="2"/>
      <c r="J58" s="2"/>
      <c r="K58" s="2"/>
      <c r="L58" s="2"/>
      <c r="M58" s="2"/>
    </row>
    <row r="59" spans="2:13">
      <c r="B59" s="2"/>
      <c r="C59" s="107"/>
      <c r="D59" s="107"/>
      <c r="E59" s="107"/>
      <c r="F59" s="107"/>
      <c r="G59" s="107"/>
      <c r="H59" s="107"/>
      <c r="I59" s="2"/>
      <c r="J59" s="2"/>
      <c r="K59" s="2"/>
      <c r="L59" s="2"/>
      <c r="M59" s="2"/>
    </row>
    <row r="60" spans="2:13">
      <c r="B60" s="2"/>
      <c r="C60" s="107"/>
      <c r="D60" s="107"/>
      <c r="E60" s="107"/>
      <c r="F60" s="107"/>
      <c r="G60" s="107"/>
      <c r="H60" s="107"/>
      <c r="I60" s="2"/>
      <c r="J60" s="2"/>
      <c r="K60" s="2"/>
      <c r="L60" s="2"/>
      <c r="M60" s="2"/>
    </row>
    <row r="61" spans="2:13">
      <c r="B61" s="2"/>
      <c r="C61" s="107"/>
      <c r="D61" s="107"/>
      <c r="E61" s="107"/>
      <c r="F61" s="107"/>
      <c r="G61" s="107"/>
      <c r="H61" s="107"/>
      <c r="I61" s="2"/>
      <c r="J61" s="2"/>
      <c r="K61" s="2"/>
      <c r="L61" s="2"/>
      <c r="M61" s="2"/>
    </row>
    <row r="62" spans="2:13">
      <c r="B62" s="2"/>
      <c r="C62" s="107"/>
      <c r="D62" s="107"/>
      <c r="E62" s="107"/>
      <c r="F62" s="107"/>
      <c r="G62" s="107"/>
      <c r="H62" s="107"/>
      <c r="I62" s="2"/>
      <c r="J62" s="2"/>
      <c r="K62" s="2"/>
      <c r="L62" s="2"/>
      <c r="M62" s="2"/>
    </row>
    <row r="63" spans="2:13">
      <c r="B63" s="2"/>
      <c r="C63" s="107"/>
      <c r="D63" s="107"/>
      <c r="E63" s="107"/>
      <c r="F63" s="107"/>
      <c r="G63" s="107"/>
      <c r="H63" s="107"/>
      <c r="I63" s="2"/>
      <c r="J63" s="2"/>
      <c r="K63" s="2"/>
      <c r="L63" s="2"/>
      <c r="M63" s="2"/>
    </row>
    <row r="64" spans="2:13">
      <c r="B64" s="2"/>
      <c r="C64" s="107"/>
      <c r="D64" s="107"/>
      <c r="E64" s="107"/>
      <c r="F64" s="107"/>
      <c r="G64" s="107"/>
      <c r="H64" s="107"/>
      <c r="I64" s="2"/>
      <c r="J64" s="2"/>
      <c r="K64" s="2"/>
      <c r="L64" s="2"/>
      <c r="M64" s="2"/>
    </row>
    <row r="65" spans="2:13">
      <c r="B65" s="2"/>
      <c r="C65" s="107"/>
      <c r="D65" s="107"/>
      <c r="E65" s="107"/>
      <c r="F65" s="107"/>
      <c r="G65" s="107"/>
      <c r="H65" s="107"/>
      <c r="I65" s="2"/>
      <c r="J65" s="2"/>
      <c r="K65" s="2"/>
      <c r="L65" s="2"/>
      <c r="M65" s="2"/>
    </row>
    <row r="66" spans="2:13">
      <c r="B66" s="2"/>
      <c r="C66" s="107"/>
      <c r="D66" s="107"/>
      <c r="E66" s="107"/>
      <c r="F66" s="107"/>
      <c r="G66" s="107"/>
      <c r="H66" s="107"/>
      <c r="I66" s="2"/>
      <c r="J66" s="2"/>
      <c r="K66" s="2"/>
      <c r="L66" s="2"/>
      <c r="M66" s="2"/>
    </row>
    <row r="67" spans="2:13">
      <c r="B67" s="2"/>
      <c r="C67" s="107"/>
      <c r="D67" s="107"/>
      <c r="E67" s="107"/>
      <c r="F67" s="107"/>
      <c r="G67" s="107"/>
      <c r="H67" s="107"/>
      <c r="I67" s="2"/>
    </row>
    <row r="68" spans="2:13">
      <c r="B68" s="2"/>
      <c r="C68" s="107"/>
      <c r="D68" s="107"/>
      <c r="E68" s="107"/>
      <c r="F68" s="107"/>
      <c r="G68" s="107"/>
      <c r="H68" s="107"/>
      <c r="I68" s="2"/>
    </row>
    <row r="69" spans="2:13">
      <c r="B69" s="2"/>
      <c r="C69" s="107"/>
      <c r="D69" s="107"/>
      <c r="E69" s="107"/>
      <c r="F69" s="107"/>
      <c r="G69" s="107"/>
      <c r="H69" s="107"/>
      <c r="I69" s="2"/>
    </row>
    <row r="70" spans="2:13">
      <c r="B70" s="2"/>
      <c r="C70" s="107"/>
      <c r="D70" s="107"/>
      <c r="E70" s="107"/>
      <c r="F70" s="107"/>
      <c r="G70" s="107"/>
      <c r="H70" s="107"/>
      <c r="I70" s="2"/>
    </row>
    <row r="71" spans="2:13">
      <c r="B71" s="2"/>
      <c r="C71" s="107"/>
      <c r="D71" s="107"/>
      <c r="E71" s="107"/>
      <c r="F71" s="107"/>
      <c r="G71" s="107"/>
      <c r="H71" s="107"/>
      <c r="I71" s="2"/>
    </row>
    <row r="72" spans="2:13">
      <c r="B72" s="2"/>
      <c r="C72" s="107"/>
      <c r="D72" s="107"/>
      <c r="E72" s="107"/>
      <c r="F72" s="107"/>
      <c r="G72" s="107"/>
      <c r="H72" s="107"/>
      <c r="I72" s="2"/>
    </row>
    <row r="73" spans="2:13">
      <c r="B73" s="2"/>
      <c r="C73" s="107"/>
      <c r="D73" s="107"/>
      <c r="E73" s="107"/>
      <c r="F73" s="107"/>
      <c r="G73" s="107"/>
      <c r="H73" s="107"/>
      <c r="I73" s="2"/>
    </row>
    <row r="74" spans="2:13">
      <c r="B74" s="2"/>
      <c r="C74" s="107"/>
      <c r="D74" s="107"/>
      <c r="E74" s="107"/>
      <c r="F74" s="107"/>
      <c r="G74" s="107"/>
      <c r="H74" s="107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B25" sqref="B25:H25"/>
    </sheetView>
  </sheetViews>
  <sheetFormatPr defaultColWidth="9" defaultRowHeight="16.5"/>
  <cols>
    <col min="1" max="1" width="5.125" style="81" customWidth="1"/>
    <col min="2" max="2" width="17.5" style="81" customWidth="1"/>
    <col min="3" max="3" width="15.375" style="84" customWidth="1"/>
    <col min="4" max="7" width="14.375" style="84" customWidth="1"/>
    <col min="8" max="8" width="18.75" style="84" customWidth="1"/>
    <col min="9" max="9" width="12.375" style="81" customWidth="1"/>
    <col min="10" max="10" width="10.125" style="81" customWidth="1"/>
    <col min="11" max="17" width="9" style="81" customWidth="1"/>
    <col min="18" max="33" width="9" style="81"/>
    <col min="34" max="34" width="4.375" style="81" customWidth="1"/>
    <col min="35" max="35" width="13.875" style="81" customWidth="1"/>
    <col min="36" max="16384" width="9" style="81"/>
  </cols>
  <sheetData>
    <row r="1" spans="1:36">
      <c r="A1" s="202" t="s">
        <v>140</v>
      </c>
      <c r="B1" s="202"/>
      <c r="C1" s="206" t="s">
        <v>264</v>
      </c>
      <c r="D1" s="207"/>
      <c r="E1" s="207"/>
      <c r="F1" s="207"/>
      <c r="G1" s="207"/>
      <c r="H1" s="208"/>
    </row>
    <row r="2" spans="1:36">
      <c r="A2" s="202" t="s">
        <v>141</v>
      </c>
      <c r="B2" s="202"/>
      <c r="C2" s="209" t="str">
        <f>'2025年'!$C$2</f>
        <v>一汽解放汽车有限公司</v>
      </c>
      <c r="D2" s="209"/>
      <c r="E2" s="209"/>
      <c r="F2" s="209"/>
      <c r="G2" s="209"/>
      <c r="H2" s="209"/>
    </row>
    <row r="3" spans="1:36">
      <c r="A3" s="202" t="s">
        <v>142</v>
      </c>
      <c r="B3" s="202"/>
      <c r="C3" s="86" t="str">
        <f>'2025年'!C3</f>
        <v>前座总成</v>
      </c>
      <c r="D3" s="86">
        <f>'2025年'!D3</f>
        <v>0</v>
      </c>
      <c r="E3" s="86">
        <f>'2025年'!E3</f>
        <v>0</v>
      </c>
      <c r="F3" s="86">
        <f>'2025年'!F3</f>
        <v>0</v>
      </c>
      <c r="G3" s="86">
        <f>'2025年'!G3</f>
        <v>0</v>
      </c>
      <c r="H3" s="203" t="s">
        <v>50</v>
      </c>
    </row>
    <row r="4" spans="1:36">
      <c r="A4" s="202" t="s">
        <v>143</v>
      </c>
      <c r="B4" s="202"/>
      <c r="C4" s="86" t="str">
        <f>'2025年'!C4</f>
        <v>6900010UH13J/A</v>
      </c>
      <c r="D4" s="86">
        <f>'2025年'!D4</f>
        <v>0</v>
      </c>
      <c r="E4" s="86">
        <f>'2025年'!E4</f>
        <v>0</v>
      </c>
      <c r="F4" s="86">
        <f>'2025年'!F4</f>
        <v>0</v>
      </c>
      <c r="G4" s="86">
        <f>'2025年'!G4</f>
        <v>0</v>
      </c>
      <c r="H4" s="204"/>
    </row>
    <row r="5" spans="1:36" ht="42.75">
      <c r="A5" s="202" t="s">
        <v>144</v>
      </c>
      <c r="B5" s="202"/>
      <c r="C5" s="87" t="str">
        <f>'2025年'!C5</f>
        <v>管梁副驾带安全带</v>
      </c>
      <c r="D5" s="87">
        <f>'2025年'!D5</f>
        <v>0</v>
      </c>
      <c r="E5" s="87">
        <f>'2025年'!E5</f>
        <v>0</v>
      </c>
      <c r="F5" s="87">
        <f>'2025年'!F5</f>
        <v>0</v>
      </c>
      <c r="G5" s="87">
        <f>'2025年'!G5</f>
        <v>0</v>
      </c>
      <c r="H5" s="205"/>
      <c r="AJ5" s="81" t="s">
        <v>51</v>
      </c>
    </row>
    <row r="6" spans="1:36">
      <c r="A6" s="88" t="s">
        <v>17</v>
      </c>
      <c r="B6" s="89" t="s">
        <v>145</v>
      </c>
      <c r="C6" s="90">
        <f>销量!C11</f>
        <v>1000</v>
      </c>
      <c r="D6" s="90">
        <f>销量!D11</f>
        <v>0</v>
      </c>
      <c r="E6" s="90">
        <f>销量!E11</f>
        <v>0</v>
      </c>
      <c r="F6" s="90">
        <f>销量!F11</f>
        <v>0</v>
      </c>
      <c r="G6" s="90">
        <f>销量!G11</f>
        <v>0</v>
      </c>
      <c r="H6" s="91">
        <f>+SUM(C6:G6)</f>
        <v>1000</v>
      </c>
      <c r="AH6" s="88" t="s">
        <v>17</v>
      </c>
      <c r="AI6" s="89" t="s">
        <v>3</v>
      </c>
      <c r="AJ6" s="81" t="s">
        <v>52</v>
      </c>
    </row>
    <row r="7" spans="1:36">
      <c r="A7" s="85">
        <v>1</v>
      </c>
      <c r="B7" s="89" t="s">
        <v>53</v>
      </c>
      <c r="C7" s="91">
        <f>C6*销量!C8</f>
        <v>650000</v>
      </c>
      <c r="D7" s="91">
        <f>D6*销量!D8</f>
        <v>0</v>
      </c>
      <c r="E7" s="91">
        <f>E6*销量!E8</f>
        <v>0</v>
      </c>
      <c r="F7" s="91">
        <f>F6*销量!F8</f>
        <v>0</v>
      </c>
      <c r="G7" s="91">
        <f>G6*销量!G8</f>
        <v>0</v>
      </c>
      <c r="H7" s="91">
        <f t="shared" ref="H7:H13" si="0">+SUM(C7:G7)</f>
        <v>650000</v>
      </c>
      <c r="I7" s="84"/>
      <c r="AH7" s="88" t="s">
        <v>54</v>
      </c>
      <c r="AI7" s="89" t="s">
        <v>53</v>
      </c>
      <c r="AJ7" s="81" t="s">
        <v>52</v>
      </c>
    </row>
    <row r="8" spans="1:36">
      <c r="A8" s="85">
        <v>2</v>
      </c>
      <c r="B8" s="85" t="s">
        <v>55</v>
      </c>
      <c r="C8" s="91">
        <f>C7*(1-销量!$K$8)</f>
        <v>38414.999999999956</v>
      </c>
      <c r="D8" s="91">
        <f>D7*(1-销量!$K$8)</f>
        <v>0</v>
      </c>
      <c r="E8" s="91">
        <f>E7*(1-销量!$K$8)</f>
        <v>0</v>
      </c>
      <c r="F8" s="91">
        <f>F7*(1-销量!$K$8)</f>
        <v>0</v>
      </c>
      <c r="G8" s="91">
        <f>G7*(1-销量!$K$8)</f>
        <v>0</v>
      </c>
      <c r="H8" s="91">
        <f t="shared" si="0"/>
        <v>38414.999999999956</v>
      </c>
      <c r="I8" s="92"/>
      <c r="AH8" s="88" t="s">
        <v>56</v>
      </c>
      <c r="AI8" s="85" t="s">
        <v>57</v>
      </c>
      <c r="AJ8" s="81" t="s">
        <v>52</v>
      </c>
    </row>
    <row r="9" spans="1:36">
      <c r="A9" s="85">
        <v>3</v>
      </c>
      <c r="B9" s="89" t="s">
        <v>58</v>
      </c>
      <c r="C9" s="91">
        <f>+C7-C8</f>
        <v>611585</v>
      </c>
      <c r="D9" s="91">
        <f>+D7-D8</f>
        <v>0</v>
      </c>
      <c r="E9" s="91">
        <f t="shared" ref="E9:G9" si="1">+E7-E8</f>
        <v>0</v>
      </c>
      <c r="F9" s="91">
        <f t="shared" si="1"/>
        <v>0</v>
      </c>
      <c r="G9" s="91">
        <f t="shared" si="1"/>
        <v>0</v>
      </c>
      <c r="H9" s="91">
        <f t="shared" si="0"/>
        <v>611585</v>
      </c>
      <c r="AH9" s="88" t="s">
        <v>59</v>
      </c>
      <c r="AI9" s="89" t="s">
        <v>58</v>
      </c>
      <c r="AJ9" s="81" t="s">
        <v>60</v>
      </c>
    </row>
    <row r="10" spans="1:36">
      <c r="A10" s="85">
        <v>4</v>
      </c>
      <c r="B10" s="88" t="s">
        <v>62</v>
      </c>
      <c r="C10" s="91">
        <f>C6*C33</f>
        <v>470741.679</v>
      </c>
      <c r="D10" s="91">
        <f>D6*D33</f>
        <v>0</v>
      </c>
      <c r="E10" s="91">
        <f t="shared" ref="E10:G10" si="2">E6*E33</f>
        <v>0</v>
      </c>
      <c r="F10" s="91">
        <f t="shared" si="2"/>
        <v>0</v>
      </c>
      <c r="G10" s="91">
        <f t="shared" si="2"/>
        <v>0</v>
      </c>
      <c r="H10" s="91">
        <f t="shared" si="0"/>
        <v>470741.679</v>
      </c>
      <c r="AH10" s="88" t="s">
        <v>61</v>
      </c>
      <c r="AI10" s="88" t="s">
        <v>62</v>
      </c>
      <c r="AJ10" s="81" t="s">
        <v>63</v>
      </c>
    </row>
    <row r="11" spans="1:36">
      <c r="A11" s="85">
        <v>5</v>
      </c>
      <c r="B11" s="88" t="s">
        <v>64</v>
      </c>
      <c r="C11" s="91">
        <f>+C6*C36</f>
        <v>7995</v>
      </c>
      <c r="D11" s="91">
        <f>+D6*D36</f>
        <v>0</v>
      </c>
      <c r="E11" s="91">
        <f t="shared" ref="E11:G11" si="3">+E6*E36</f>
        <v>0</v>
      </c>
      <c r="F11" s="91">
        <f t="shared" si="3"/>
        <v>0</v>
      </c>
      <c r="G11" s="91">
        <f t="shared" si="3"/>
        <v>0</v>
      </c>
      <c r="H11" s="91">
        <f t="shared" si="0"/>
        <v>7995</v>
      </c>
      <c r="AH11" s="88" t="s">
        <v>65</v>
      </c>
      <c r="AI11" s="88" t="s">
        <v>64</v>
      </c>
    </row>
    <row r="12" spans="1:36">
      <c r="A12" s="85">
        <v>6</v>
      </c>
      <c r="B12" s="88" t="s">
        <v>66</v>
      </c>
      <c r="C12" s="91">
        <f>+C6*C37</f>
        <v>7215.0000000000009</v>
      </c>
      <c r="D12" s="91">
        <f>+D6*D37</f>
        <v>0</v>
      </c>
      <c r="E12" s="91">
        <f t="shared" ref="E12:G12" si="4">+E6*E37</f>
        <v>0</v>
      </c>
      <c r="F12" s="91">
        <f t="shared" si="4"/>
        <v>0</v>
      </c>
      <c r="G12" s="91">
        <f t="shared" si="4"/>
        <v>0</v>
      </c>
      <c r="H12" s="91">
        <f t="shared" si="0"/>
        <v>7215.0000000000009</v>
      </c>
      <c r="AH12" s="88" t="s">
        <v>67</v>
      </c>
      <c r="AI12" s="88" t="s">
        <v>66</v>
      </c>
    </row>
    <row r="13" spans="1:36">
      <c r="A13" s="85">
        <v>7</v>
      </c>
      <c r="B13" s="88" t="s">
        <v>68</v>
      </c>
      <c r="C13" s="91">
        <f>+C6*C38</f>
        <v>10400</v>
      </c>
      <c r="D13" s="91">
        <f>+D6*D38</f>
        <v>0</v>
      </c>
      <c r="E13" s="91">
        <f t="shared" ref="E13:G13" si="5">+E6*E38</f>
        <v>0</v>
      </c>
      <c r="F13" s="91">
        <f t="shared" si="5"/>
        <v>0</v>
      </c>
      <c r="G13" s="91">
        <f t="shared" si="5"/>
        <v>0</v>
      </c>
      <c r="H13" s="91">
        <f t="shared" si="0"/>
        <v>10400</v>
      </c>
      <c r="AH13" s="88" t="s">
        <v>69</v>
      </c>
      <c r="AI13" s="88" t="s">
        <v>68</v>
      </c>
      <c r="AJ13" s="81" t="s">
        <v>52</v>
      </c>
    </row>
    <row r="14" spans="1:36">
      <c r="A14" s="85">
        <v>8</v>
      </c>
      <c r="B14" s="93" t="s">
        <v>70</v>
      </c>
      <c r="C14" s="91">
        <f>SUM(C11:C13)</f>
        <v>25610</v>
      </c>
      <c r="D14" s="91">
        <f>SUM(D11:D13)</f>
        <v>0</v>
      </c>
      <c r="E14" s="91">
        <f t="shared" ref="E14:H14" si="6">SUM(E11:E13)</f>
        <v>0</v>
      </c>
      <c r="F14" s="91">
        <f t="shared" si="6"/>
        <v>0</v>
      </c>
      <c r="G14" s="91">
        <f t="shared" si="6"/>
        <v>0</v>
      </c>
      <c r="H14" s="91">
        <f t="shared" si="6"/>
        <v>25610</v>
      </c>
      <c r="AH14" s="88" t="s">
        <v>71</v>
      </c>
      <c r="AI14" s="93" t="s">
        <v>70</v>
      </c>
    </row>
    <row r="15" spans="1:36">
      <c r="A15" s="85">
        <v>9</v>
      </c>
      <c r="B15" s="93" t="s">
        <v>72</v>
      </c>
      <c r="C15" s="91">
        <f>+C9-C10-C14</f>
        <v>115233.321</v>
      </c>
      <c r="D15" s="91">
        <f>+D9-D10-D14</f>
        <v>0</v>
      </c>
      <c r="E15" s="91">
        <f t="shared" ref="E15:H15" si="7">+E9-E10-E14</f>
        <v>0</v>
      </c>
      <c r="F15" s="91">
        <f t="shared" si="7"/>
        <v>0</v>
      </c>
      <c r="G15" s="91">
        <f t="shared" si="7"/>
        <v>0</v>
      </c>
      <c r="H15" s="91">
        <f t="shared" si="7"/>
        <v>115233.321</v>
      </c>
      <c r="AH15" s="88" t="s">
        <v>73</v>
      </c>
      <c r="AI15" s="93" t="s">
        <v>72</v>
      </c>
    </row>
    <row r="16" spans="1:36">
      <c r="A16" s="85">
        <v>10</v>
      </c>
      <c r="B16" s="88" t="s">
        <v>74</v>
      </c>
      <c r="C16" s="94">
        <f>+C15/C9</f>
        <v>0.18841750696959539</v>
      </c>
      <c r="D16" s="94" t="e">
        <f>+D15/D9</f>
        <v>#DIV/0!</v>
      </c>
      <c r="E16" s="94" t="e">
        <f t="shared" ref="E16:G16" si="8">+E15/E9</f>
        <v>#DIV/0!</v>
      </c>
      <c r="F16" s="94" t="e">
        <f t="shared" si="8"/>
        <v>#DIV/0!</v>
      </c>
      <c r="G16" s="94" t="e">
        <f t="shared" si="8"/>
        <v>#DIV/0!</v>
      </c>
      <c r="H16" s="94">
        <f>+H15/H9</f>
        <v>0.18841750696959539</v>
      </c>
      <c r="AH16" s="88" t="s">
        <v>75</v>
      </c>
      <c r="AI16" s="88" t="s">
        <v>74</v>
      </c>
    </row>
    <row r="17" spans="1:36">
      <c r="A17" s="85">
        <v>11</v>
      </c>
      <c r="B17" s="88" t="s">
        <v>76</v>
      </c>
      <c r="C17" s="91">
        <f>C6*C43+C18</f>
        <v>56090</v>
      </c>
      <c r="D17" s="91">
        <f>D6*D43+D18</f>
        <v>0</v>
      </c>
      <c r="E17" s="91">
        <f t="shared" ref="E17:G17" si="9">E6*E43+E18</f>
        <v>0</v>
      </c>
      <c r="F17" s="91">
        <f t="shared" si="9"/>
        <v>0</v>
      </c>
      <c r="G17" s="91">
        <f t="shared" si="9"/>
        <v>0</v>
      </c>
      <c r="H17" s="91">
        <f>+SUM(C17:G17)</f>
        <v>56090</v>
      </c>
      <c r="I17" s="92"/>
      <c r="AH17" s="88" t="s">
        <v>77</v>
      </c>
      <c r="AI17" s="88" t="s">
        <v>76</v>
      </c>
    </row>
    <row r="18" spans="1:36" s="82" customFormat="1">
      <c r="A18" s="85">
        <v>12</v>
      </c>
      <c r="B18" s="96" t="s">
        <v>146</v>
      </c>
      <c r="C18" s="97">
        <f>$H$18/$H$6*C6</f>
        <v>32299.999999999996</v>
      </c>
      <c r="D18" s="97">
        <f>$H$18/$H$6*D6</f>
        <v>0</v>
      </c>
      <c r="E18" s="97">
        <f t="shared" ref="E18:G18" si="10">$H$18/$H$6*E6</f>
        <v>0</v>
      </c>
      <c r="F18" s="97">
        <f t="shared" si="10"/>
        <v>0</v>
      </c>
      <c r="G18" s="97">
        <f t="shared" si="10"/>
        <v>0</v>
      </c>
      <c r="H18" s="91">
        <f>项目投资!F26</f>
        <v>32300</v>
      </c>
      <c r="I18" s="98" t="s">
        <v>147</v>
      </c>
      <c r="J18" s="98"/>
      <c r="K18" s="98"/>
    </row>
    <row r="19" spans="1:36">
      <c r="A19" s="85">
        <v>13</v>
      </c>
      <c r="B19" s="88" t="s">
        <v>78</v>
      </c>
      <c r="C19" s="91">
        <f>C6*C44</f>
        <v>5460</v>
      </c>
      <c r="D19" s="91">
        <f>D6*D44</f>
        <v>0</v>
      </c>
      <c r="E19" s="91">
        <f t="shared" ref="E19:G19" si="11">E6*E44</f>
        <v>0</v>
      </c>
      <c r="F19" s="91">
        <f t="shared" si="11"/>
        <v>0</v>
      </c>
      <c r="G19" s="91">
        <f t="shared" si="11"/>
        <v>0</v>
      </c>
      <c r="H19" s="91">
        <f>+SUM(C19:G19)</f>
        <v>5460</v>
      </c>
      <c r="I19" s="82"/>
      <c r="AH19" s="88" t="s">
        <v>79</v>
      </c>
      <c r="AI19" s="88" t="s">
        <v>78</v>
      </c>
      <c r="AJ19" s="81" t="s">
        <v>52</v>
      </c>
    </row>
    <row r="20" spans="1:36">
      <c r="A20" s="85">
        <v>14</v>
      </c>
      <c r="B20" s="88" t="s">
        <v>80</v>
      </c>
      <c r="C20" s="91">
        <f>C6*C45</f>
        <v>20995</v>
      </c>
      <c r="D20" s="91">
        <f>D6*D45</f>
        <v>0</v>
      </c>
      <c r="E20" s="91">
        <f t="shared" ref="E20:G20" si="12">E6*E45</f>
        <v>0</v>
      </c>
      <c r="F20" s="91">
        <f t="shared" si="12"/>
        <v>0</v>
      </c>
      <c r="G20" s="91">
        <f t="shared" si="12"/>
        <v>0</v>
      </c>
      <c r="H20" s="91">
        <f>+SUM(C20:G20)</f>
        <v>20995</v>
      </c>
      <c r="AH20" s="88" t="s">
        <v>81</v>
      </c>
      <c r="AI20" s="88" t="s">
        <v>80</v>
      </c>
    </row>
    <row r="21" spans="1:36">
      <c r="A21" s="85">
        <v>15</v>
      </c>
      <c r="B21" s="88" t="s">
        <v>82</v>
      </c>
      <c r="C21" s="99">
        <f>$H$21/$H$6*C6</f>
        <v>2600</v>
      </c>
      <c r="D21" s="99">
        <f>$H$21/$H$6*D6</f>
        <v>0</v>
      </c>
      <c r="E21" s="99">
        <f t="shared" ref="E21:G21" si="13">$H$21/$H$6*E6</f>
        <v>0</v>
      </c>
      <c r="F21" s="99">
        <f t="shared" si="13"/>
        <v>0</v>
      </c>
      <c r="G21" s="99">
        <f t="shared" si="13"/>
        <v>0</v>
      </c>
      <c r="H21" s="91">
        <f>项目投资!F27</f>
        <v>2600</v>
      </c>
      <c r="AH21" s="88"/>
      <c r="AI21" s="88"/>
    </row>
    <row r="22" spans="1:36">
      <c r="A22" s="85">
        <v>16</v>
      </c>
      <c r="B22" s="88" t="s">
        <v>83</v>
      </c>
      <c r="C22" s="91">
        <f>C6*C47</f>
        <v>23075</v>
      </c>
      <c r="D22" s="91">
        <f>D6*D47</f>
        <v>0</v>
      </c>
      <c r="E22" s="91">
        <f t="shared" ref="E22:G22" si="14">E6*E47</f>
        <v>0</v>
      </c>
      <c r="F22" s="91">
        <f t="shared" si="14"/>
        <v>0</v>
      </c>
      <c r="G22" s="91">
        <f t="shared" si="14"/>
        <v>0</v>
      </c>
      <c r="H22" s="91">
        <f t="shared" ref="H22:H23" si="15">+SUM(C22:G22)</f>
        <v>23075</v>
      </c>
      <c r="AH22" s="88" t="s">
        <v>84</v>
      </c>
      <c r="AI22" s="88" t="s">
        <v>83</v>
      </c>
    </row>
    <row r="23" spans="1:36">
      <c r="A23" s="85">
        <v>17</v>
      </c>
      <c r="B23" s="93" t="s">
        <v>85</v>
      </c>
      <c r="C23" s="99">
        <f>+C22+C21+C20+C19+C17</f>
        <v>108220</v>
      </c>
      <c r="D23" s="99">
        <f>+D22+D21+D20+D19+D17</f>
        <v>0</v>
      </c>
      <c r="E23" s="99">
        <f t="shared" ref="E23:G23" si="16">+E22+E21+E20+E19+E17</f>
        <v>0</v>
      </c>
      <c r="F23" s="99">
        <f t="shared" si="16"/>
        <v>0</v>
      </c>
      <c r="G23" s="99">
        <f t="shared" si="16"/>
        <v>0</v>
      </c>
      <c r="H23" s="91">
        <f t="shared" si="15"/>
        <v>108220</v>
      </c>
      <c r="AH23" s="88" t="s">
        <v>86</v>
      </c>
      <c r="AI23" s="93" t="s">
        <v>85</v>
      </c>
    </row>
    <row r="24" spans="1:36">
      <c r="A24" s="85">
        <v>18</v>
      </c>
      <c r="B24" s="100" t="s">
        <v>87</v>
      </c>
      <c r="C24" s="99">
        <f>+C15-C23</f>
        <v>7013.3209999999963</v>
      </c>
      <c r="D24" s="99">
        <f>+D15-D23</f>
        <v>0</v>
      </c>
      <c r="E24" s="99">
        <f t="shared" ref="E24:G24" si="17">+E15-E23</f>
        <v>0</v>
      </c>
      <c r="F24" s="99">
        <f t="shared" si="17"/>
        <v>0</v>
      </c>
      <c r="G24" s="99">
        <f t="shared" si="17"/>
        <v>0</v>
      </c>
      <c r="H24" s="99">
        <f>+H15-H23</f>
        <v>7013.3209999999963</v>
      </c>
      <c r="J24" s="101"/>
      <c r="AH24" s="88" t="s">
        <v>88</v>
      </c>
      <c r="AI24" s="88" t="s">
        <v>87</v>
      </c>
    </row>
    <row r="25" spans="1:36">
      <c r="A25" s="85">
        <v>19</v>
      </c>
      <c r="B25" s="88" t="s">
        <v>302</v>
      </c>
      <c r="C25" s="99">
        <f>IF(C24&lt;0,0,C24*0.25)</f>
        <v>1753.3302499999991</v>
      </c>
      <c r="D25" s="99">
        <f t="shared" ref="D25:H25" si="18">IF(D24&lt;0,0,D24*0.25)</f>
        <v>0</v>
      </c>
      <c r="E25" s="99">
        <f t="shared" si="18"/>
        <v>0</v>
      </c>
      <c r="F25" s="99">
        <f t="shared" si="18"/>
        <v>0</v>
      </c>
      <c r="G25" s="99">
        <f t="shared" si="18"/>
        <v>0</v>
      </c>
      <c r="H25" s="99">
        <f t="shared" si="18"/>
        <v>1753.3302499999991</v>
      </c>
      <c r="I25" s="2"/>
      <c r="J25" s="2"/>
      <c r="K25" s="2"/>
      <c r="AH25" s="88" t="s">
        <v>89</v>
      </c>
      <c r="AI25" s="88" t="s">
        <v>34</v>
      </c>
    </row>
    <row r="26" spans="1:36">
      <c r="A26" s="85">
        <v>20</v>
      </c>
      <c r="B26" s="88" t="s">
        <v>90</v>
      </c>
      <c r="C26" s="99">
        <f>C24-C25</f>
        <v>5259.9907499999972</v>
      </c>
      <c r="D26" s="99">
        <f>D24-D25</f>
        <v>0</v>
      </c>
      <c r="E26" s="99">
        <f t="shared" ref="E26:H26" si="19">E24-E25</f>
        <v>0</v>
      </c>
      <c r="F26" s="99">
        <f t="shared" si="19"/>
        <v>0</v>
      </c>
      <c r="G26" s="99">
        <f t="shared" si="19"/>
        <v>0</v>
      </c>
      <c r="H26" s="99">
        <f t="shared" si="19"/>
        <v>5259.9907499999972</v>
      </c>
      <c r="I26" s="2"/>
      <c r="J26" s="2"/>
      <c r="K26" s="2"/>
      <c r="AH26" s="88" t="s">
        <v>91</v>
      </c>
      <c r="AI26" s="88" t="s">
        <v>90</v>
      </c>
    </row>
    <row r="27" spans="1:36">
      <c r="A27" s="85">
        <v>21</v>
      </c>
      <c r="B27" s="88" t="s">
        <v>94</v>
      </c>
      <c r="C27" s="102">
        <f>C26/C9</f>
        <v>8.6005882256759026E-3</v>
      </c>
      <c r="D27" s="102" t="e">
        <f t="shared" ref="D27:H27" si="20">D26/D9</f>
        <v>#DIV/0!</v>
      </c>
      <c r="E27" s="102" t="e">
        <f t="shared" si="20"/>
        <v>#DIV/0!</v>
      </c>
      <c r="F27" s="102" t="e">
        <f t="shared" si="20"/>
        <v>#DIV/0!</v>
      </c>
      <c r="G27" s="102" t="e">
        <f t="shared" si="20"/>
        <v>#DIV/0!</v>
      </c>
      <c r="H27" s="102">
        <f t="shared" si="20"/>
        <v>8.6005882256759026E-3</v>
      </c>
      <c r="I27" s="2"/>
      <c r="J27" s="2"/>
      <c r="K27" s="2"/>
      <c r="AH27" s="88" t="s">
        <v>93</v>
      </c>
      <c r="AI27" s="88" t="s">
        <v>94</v>
      </c>
    </row>
    <row r="28" spans="1:36">
      <c r="I28" s="2"/>
      <c r="J28" s="2"/>
      <c r="K28" s="2"/>
    </row>
    <row r="29" spans="1:36">
      <c r="A29" s="81" t="s">
        <v>95</v>
      </c>
      <c r="H29" s="84" t="s">
        <v>148</v>
      </c>
      <c r="I29" s="2"/>
      <c r="J29" s="2"/>
      <c r="K29" s="2"/>
      <c r="AH29" s="81" t="s">
        <v>95</v>
      </c>
    </row>
    <row r="30" spans="1:36">
      <c r="A30" s="88" t="s">
        <v>96</v>
      </c>
      <c r="B30" s="93" t="s">
        <v>97</v>
      </c>
      <c r="C30" s="99"/>
      <c r="D30" s="99"/>
      <c r="E30" s="99"/>
      <c r="F30" s="99"/>
      <c r="G30" s="99"/>
      <c r="H30" s="99"/>
      <c r="I30" s="2"/>
      <c r="J30" s="2"/>
      <c r="K30" s="2"/>
      <c r="M30" s="2"/>
      <c r="AH30" s="88" t="s">
        <v>98</v>
      </c>
      <c r="AI30" s="93" t="s">
        <v>97</v>
      </c>
    </row>
    <row r="31" spans="1:36">
      <c r="A31" s="85">
        <v>1</v>
      </c>
      <c r="B31" s="96" t="s">
        <v>99</v>
      </c>
      <c r="C31" s="103">
        <f>销量!C8</f>
        <v>650</v>
      </c>
      <c r="D31" s="103">
        <f>销量!D8</f>
        <v>0</v>
      </c>
      <c r="E31" s="103">
        <f>销量!E8</f>
        <v>0</v>
      </c>
      <c r="F31" s="103">
        <f>销量!F8</f>
        <v>0</v>
      </c>
      <c r="G31" s="103">
        <f>销量!G8</f>
        <v>0</v>
      </c>
      <c r="H31" s="99"/>
      <c r="I31" s="2"/>
      <c r="J31" s="2"/>
      <c r="K31" s="2"/>
      <c r="M31" s="2"/>
      <c r="AH31" s="88" t="s">
        <v>54</v>
      </c>
      <c r="AI31" s="88" t="s">
        <v>99</v>
      </c>
    </row>
    <row r="32" spans="1:36">
      <c r="A32" s="85">
        <v>2</v>
      </c>
      <c r="B32" s="88" t="s">
        <v>149</v>
      </c>
      <c r="C32" s="91">
        <f>C9/C6</f>
        <v>611.58500000000004</v>
      </c>
      <c r="D32" s="91" t="e">
        <f t="shared" ref="D32:G32" si="21">D9/D6</f>
        <v>#DIV/0!</v>
      </c>
      <c r="E32" s="91" t="e">
        <f t="shared" si="21"/>
        <v>#DIV/0!</v>
      </c>
      <c r="F32" s="91" t="e">
        <f t="shared" si="21"/>
        <v>#DIV/0!</v>
      </c>
      <c r="G32" s="91" t="e">
        <f t="shared" si="21"/>
        <v>#DIV/0!</v>
      </c>
      <c r="H32" s="99"/>
      <c r="I32" s="2"/>
      <c r="J32" s="2"/>
      <c r="K32" s="2"/>
      <c r="L32" s="2"/>
      <c r="M32" s="2"/>
      <c r="N32" s="2"/>
      <c r="O32" s="2"/>
      <c r="AH32" s="88"/>
      <c r="AI32" s="88"/>
    </row>
    <row r="33" spans="1:35">
      <c r="A33" s="85">
        <v>3</v>
      </c>
      <c r="B33" s="96" t="s">
        <v>100</v>
      </c>
      <c r="C33" s="91">
        <f>材料成本!D26</f>
        <v>470.74167899999998</v>
      </c>
      <c r="D33" s="91">
        <f>材料成本!E26</f>
        <v>0</v>
      </c>
      <c r="E33" s="91">
        <f>材料成本!F26</f>
        <v>0</v>
      </c>
      <c r="F33" s="91">
        <f>材料成本!G26</f>
        <v>0</v>
      </c>
      <c r="G33" s="91">
        <f>材料成本!H26</f>
        <v>0</v>
      </c>
      <c r="H33" s="99"/>
      <c r="J33" s="2"/>
      <c r="K33" s="2"/>
      <c r="L33" s="2"/>
      <c r="M33" s="2"/>
      <c r="N33" s="2"/>
      <c r="O33" s="2"/>
      <c r="AH33" s="88" t="s">
        <v>56</v>
      </c>
      <c r="AI33" s="88" t="s">
        <v>100</v>
      </c>
    </row>
    <row r="34" spans="1:35" ht="17.25" customHeight="1">
      <c r="A34" s="85">
        <v>4</v>
      </c>
      <c r="B34" s="88" t="s">
        <v>102</v>
      </c>
      <c r="C34" s="104">
        <f>C32-C33</f>
        <v>140.84332100000006</v>
      </c>
      <c r="D34" s="104" t="e">
        <f>D32-D33</f>
        <v>#DIV/0!</v>
      </c>
      <c r="E34" s="104" t="e">
        <f t="shared" ref="E34:G34" si="22">E32-E33</f>
        <v>#DIV/0!</v>
      </c>
      <c r="F34" s="104" t="e">
        <f t="shared" si="22"/>
        <v>#DIV/0!</v>
      </c>
      <c r="G34" s="104" t="e">
        <f t="shared" si="22"/>
        <v>#DIV/0!</v>
      </c>
      <c r="H34" s="99"/>
      <c r="J34" s="2"/>
      <c r="K34" s="2"/>
      <c r="L34" s="2"/>
      <c r="M34" s="2"/>
      <c r="N34" s="2"/>
      <c r="O34" s="2"/>
      <c r="AH34" s="88" t="s">
        <v>101</v>
      </c>
      <c r="AI34" s="88" t="s">
        <v>102</v>
      </c>
    </row>
    <row r="35" spans="1:35">
      <c r="A35" s="88" t="s">
        <v>98</v>
      </c>
      <c r="B35" s="93" t="s">
        <v>9</v>
      </c>
      <c r="C35" s="99"/>
      <c r="D35" s="99"/>
      <c r="E35" s="99"/>
      <c r="F35" s="99"/>
      <c r="G35" s="99"/>
      <c r="H35" s="99"/>
      <c r="I35" s="2"/>
      <c r="J35" s="2"/>
      <c r="K35" s="2"/>
      <c r="L35" s="2"/>
      <c r="M35" s="2"/>
      <c r="N35" s="2"/>
      <c r="O35" s="2"/>
      <c r="P35" s="2"/>
      <c r="Q35" s="2"/>
      <c r="R35" s="2"/>
      <c r="AH35" s="88" t="s">
        <v>104</v>
      </c>
      <c r="AI35" s="93" t="s">
        <v>9</v>
      </c>
    </row>
    <row r="36" spans="1:35">
      <c r="A36" s="85">
        <v>1</v>
      </c>
      <c r="B36" s="88" t="s">
        <v>105</v>
      </c>
      <c r="C36" s="97">
        <f>'2025年'!C36</f>
        <v>7.9950000000000001</v>
      </c>
      <c r="D36" s="97">
        <f>'2025年'!D36</f>
        <v>0</v>
      </c>
      <c r="E36" s="97">
        <f>'2025年'!E36</f>
        <v>0</v>
      </c>
      <c r="F36" s="97">
        <f>'2025年'!F36</f>
        <v>0</v>
      </c>
      <c r="G36" s="97">
        <f>'2025年'!G36</f>
        <v>0</v>
      </c>
      <c r="H36" s="103"/>
      <c r="I36" s="2"/>
      <c r="J36" s="2"/>
      <c r="K36" s="2"/>
      <c r="L36" s="2"/>
      <c r="M36" s="2"/>
      <c r="N36" s="2"/>
      <c r="O36" s="2"/>
      <c r="P36" s="2"/>
      <c r="Q36" s="2"/>
      <c r="R36" s="2"/>
      <c r="AH36" s="88" t="s">
        <v>101</v>
      </c>
      <c r="AI36" s="88" t="s">
        <v>105</v>
      </c>
    </row>
    <row r="37" spans="1:35">
      <c r="A37" s="85">
        <v>2</v>
      </c>
      <c r="B37" s="88" t="s">
        <v>106</v>
      </c>
      <c r="C37" s="97">
        <f>'2025年'!C37</f>
        <v>7.2150000000000007</v>
      </c>
      <c r="D37" s="97">
        <f>'2025年'!D37</f>
        <v>0</v>
      </c>
      <c r="E37" s="97">
        <f>'2025年'!E37</f>
        <v>0</v>
      </c>
      <c r="F37" s="97">
        <f>'2025年'!F37</f>
        <v>0</v>
      </c>
      <c r="G37" s="97">
        <f>'2025年'!G37</f>
        <v>0</v>
      </c>
      <c r="H37" s="103"/>
      <c r="I37" s="2"/>
      <c r="J37" s="2"/>
      <c r="K37" s="2"/>
      <c r="L37" s="2"/>
      <c r="M37" s="2"/>
      <c r="N37" s="2"/>
      <c r="O37" s="2"/>
      <c r="P37" s="2"/>
      <c r="Q37" s="2"/>
      <c r="R37" s="2"/>
      <c r="AH37" s="88" t="s">
        <v>59</v>
      </c>
      <c r="AI37" s="88" t="s">
        <v>106</v>
      </c>
    </row>
    <row r="38" spans="1:35">
      <c r="A38" s="85">
        <v>3</v>
      </c>
      <c r="B38" s="88" t="s">
        <v>107</v>
      </c>
      <c r="C38" s="97">
        <f>'2025年'!C38</f>
        <v>10.4</v>
      </c>
      <c r="D38" s="97">
        <f>'2025年'!D38</f>
        <v>0</v>
      </c>
      <c r="E38" s="97">
        <f>'2025年'!E38</f>
        <v>0</v>
      </c>
      <c r="F38" s="97">
        <f>'2025年'!F38</f>
        <v>0</v>
      </c>
      <c r="G38" s="97">
        <f>'2025年'!G38</f>
        <v>0</v>
      </c>
      <c r="H38" s="103"/>
      <c r="I38" s="2"/>
      <c r="J38" s="2"/>
      <c r="K38" s="2"/>
      <c r="L38" s="2"/>
      <c r="M38" s="2"/>
      <c r="N38" s="2"/>
      <c r="O38" s="2"/>
      <c r="P38" s="2"/>
      <c r="Q38" s="2"/>
      <c r="R38" s="2"/>
      <c r="AH38" s="88" t="s">
        <v>65</v>
      </c>
      <c r="AI38" s="88" t="s">
        <v>107</v>
      </c>
    </row>
    <row r="39" spans="1:35">
      <c r="A39" s="88" t="s">
        <v>104</v>
      </c>
      <c r="B39" s="93" t="s">
        <v>109</v>
      </c>
      <c r="C39" s="99"/>
      <c r="D39" s="99"/>
      <c r="E39" s="99"/>
      <c r="F39" s="99"/>
      <c r="G39" s="99"/>
      <c r="H39" s="99"/>
      <c r="AH39" s="88" t="s">
        <v>108</v>
      </c>
      <c r="AI39" s="93" t="s">
        <v>109</v>
      </c>
    </row>
    <row r="40" spans="1:35">
      <c r="A40" s="85">
        <v>1</v>
      </c>
      <c r="B40" s="88" t="s">
        <v>110</v>
      </c>
      <c r="C40" s="99">
        <f>C34-C36-C37-C38</f>
        <v>115.23332100000005</v>
      </c>
      <c r="D40" s="99" t="e">
        <f>D34-D36-D37-D38</f>
        <v>#DIV/0!</v>
      </c>
      <c r="E40" s="99" t="e">
        <f t="shared" ref="E40:G40" si="23">E34-E36-E37-E38</f>
        <v>#DIV/0!</v>
      </c>
      <c r="F40" s="99" t="e">
        <f t="shared" si="23"/>
        <v>#DIV/0!</v>
      </c>
      <c r="G40" s="99" t="e">
        <f t="shared" si="23"/>
        <v>#DIV/0!</v>
      </c>
      <c r="H40" s="99"/>
      <c r="AH40" s="88" t="s">
        <v>54</v>
      </c>
      <c r="AI40" s="88" t="s">
        <v>110</v>
      </c>
    </row>
    <row r="41" spans="1:35">
      <c r="A41" s="85">
        <v>2</v>
      </c>
      <c r="B41" s="88" t="s">
        <v>111</v>
      </c>
      <c r="C41" s="99"/>
      <c r="D41" s="99"/>
      <c r="E41" s="99"/>
      <c r="F41" s="99"/>
      <c r="G41" s="99"/>
      <c r="H41" s="99"/>
      <c r="AH41" s="88" t="s">
        <v>56</v>
      </c>
      <c r="AI41" s="88" t="s">
        <v>111</v>
      </c>
    </row>
    <row r="42" spans="1:35">
      <c r="A42" s="88" t="s">
        <v>108</v>
      </c>
      <c r="B42" s="93" t="s">
        <v>113</v>
      </c>
      <c r="C42" s="99"/>
      <c r="D42" s="99"/>
      <c r="E42" s="99"/>
      <c r="F42" s="99"/>
      <c r="G42" s="99"/>
      <c r="H42" s="99"/>
      <c r="AH42" s="88" t="s">
        <v>112</v>
      </c>
      <c r="AI42" s="93" t="s">
        <v>113</v>
      </c>
    </row>
    <row r="43" spans="1:35">
      <c r="A43" s="85">
        <v>1</v>
      </c>
      <c r="B43" s="100" t="s">
        <v>114</v>
      </c>
      <c r="C43" s="97">
        <f>'2025年'!C43</f>
        <v>23.79</v>
      </c>
      <c r="D43" s="97">
        <f>'2025年'!D43</f>
        <v>0</v>
      </c>
      <c r="E43" s="97">
        <f>'2025年'!E43</f>
        <v>0</v>
      </c>
      <c r="F43" s="97">
        <f>'2025年'!F43</f>
        <v>0</v>
      </c>
      <c r="G43" s="97">
        <f>'2025年'!G43</f>
        <v>0</v>
      </c>
      <c r="H43" s="99"/>
      <c r="AH43" s="88" t="s">
        <v>54</v>
      </c>
      <c r="AI43" s="88" t="s">
        <v>114</v>
      </c>
    </row>
    <row r="44" spans="1:35">
      <c r="A44" s="85">
        <v>2</v>
      </c>
      <c r="B44" s="100" t="s">
        <v>115</v>
      </c>
      <c r="C44" s="97">
        <f>'2025年'!C44</f>
        <v>5.46</v>
      </c>
      <c r="D44" s="97">
        <f>'2025年'!D44</f>
        <v>0</v>
      </c>
      <c r="E44" s="97">
        <f>'2025年'!E44</f>
        <v>0</v>
      </c>
      <c r="F44" s="97">
        <f>'2025年'!F44</f>
        <v>0</v>
      </c>
      <c r="G44" s="97">
        <f>'2025年'!G44</f>
        <v>0</v>
      </c>
      <c r="H44" s="99"/>
      <c r="AH44" s="88" t="s">
        <v>56</v>
      </c>
      <c r="AI44" s="88" t="s">
        <v>115</v>
      </c>
    </row>
    <row r="45" spans="1:35">
      <c r="A45" s="85">
        <v>3</v>
      </c>
      <c r="B45" s="100" t="s">
        <v>116</v>
      </c>
      <c r="C45" s="97">
        <f>'2025年'!C45</f>
        <v>20.995000000000001</v>
      </c>
      <c r="D45" s="97">
        <f>'2025年'!D45</f>
        <v>0</v>
      </c>
      <c r="E45" s="97">
        <f>'2025年'!E45</f>
        <v>0</v>
      </c>
      <c r="F45" s="97">
        <f>'2025年'!F45</f>
        <v>0</v>
      </c>
      <c r="G45" s="97">
        <f>'2025年'!G45</f>
        <v>0</v>
      </c>
      <c r="H45" s="99"/>
      <c r="AH45" s="88" t="s">
        <v>101</v>
      </c>
      <c r="AI45" s="88" t="s">
        <v>116</v>
      </c>
    </row>
    <row r="46" spans="1:35" s="83" customFormat="1">
      <c r="A46" s="85">
        <v>4</v>
      </c>
      <c r="B46" s="100" t="s">
        <v>117</v>
      </c>
      <c r="C46" s="105">
        <f>C21/C6</f>
        <v>2.6</v>
      </c>
      <c r="D46" s="105" t="e">
        <f>D21/D6</f>
        <v>#DIV/0!</v>
      </c>
      <c r="E46" s="105" t="e">
        <f t="shared" ref="E46:G46" si="24">E21/E6</f>
        <v>#DIV/0!</v>
      </c>
      <c r="F46" s="105" t="e">
        <f t="shared" si="24"/>
        <v>#DIV/0!</v>
      </c>
      <c r="G46" s="105" t="e">
        <f t="shared" si="24"/>
        <v>#DIV/0!</v>
      </c>
      <c r="H46" s="105"/>
      <c r="AH46" s="100" t="s">
        <v>61</v>
      </c>
      <c r="AI46" s="100" t="s">
        <v>119</v>
      </c>
    </row>
    <row r="47" spans="1:35" s="83" customFormat="1">
      <c r="A47" s="85">
        <v>5</v>
      </c>
      <c r="B47" s="100" t="s">
        <v>119</v>
      </c>
      <c r="C47" s="97">
        <f>'2025年'!C47</f>
        <v>23.074999999999999</v>
      </c>
      <c r="D47" s="97">
        <f>'2025年'!D47</f>
        <v>0</v>
      </c>
      <c r="E47" s="97">
        <f>'2025年'!E47</f>
        <v>0</v>
      </c>
      <c r="F47" s="97">
        <f>'2025年'!F47</f>
        <v>0</v>
      </c>
      <c r="G47" s="97">
        <f>'2025年'!G47</f>
        <v>0</v>
      </c>
      <c r="H47" s="105"/>
      <c r="AH47" s="100" t="s">
        <v>61</v>
      </c>
      <c r="AI47" s="100" t="s">
        <v>119</v>
      </c>
    </row>
    <row r="48" spans="1:35">
      <c r="A48" s="88" t="s">
        <v>112</v>
      </c>
      <c r="B48" s="93" t="s">
        <v>130</v>
      </c>
      <c r="C48" s="99">
        <f>C40-C43-C44-C45-C47-C46</f>
        <v>39.313321000000052</v>
      </c>
      <c r="D48" s="99" t="e">
        <f>D40-D43-D44-D45-D47-D46</f>
        <v>#DIV/0!</v>
      </c>
      <c r="E48" s="99" t="e">
        <f t="shared" ref="E48:G48" si="25">E40-E43-E44-E45-E47-E46</f>
        <v>#DIV/0!</v>
      </c>
      <c r="F48" s="99" t="e">
        <f t="shared" si="25"/>
        <v>#DIV/0!</v>
      </c>
      <c r="G48" s="99" t="e">
        <f t="shared" si="25"/>
        <v>#DIV/0!</v>
      </c>
      <c r="H48" s="99"/>
      <c r="AH48" s="88" t="s">
        <v>129</v>
      </c>
      <c r="AI48" s="93" t="s">
        <v>130</v>
      </c>
    </row>
    <row r="51" spans="2:13">
      <c r="C51" s="106"/>
      <c r="D51" s="106"/>
      <c r="E51" s="106"/>
      <c r="F51" s="106"/>
      <c r="G51" s="106"/>
    </row>
    <row r="54" spans="2:13">
      <c r="B54" s="2"/>
      <c r="C54" s="107"/>
      <c r="D54" s="107"/>
      <c r="E54" s="107"/>
      <c r="F54" s="107"/>
      <c r="G54" s="107"/>
      <c r="H54" s="107"/>
      <c r="I54" s="2"/>
      <c r="J54" s="2"/>
      <c r="K54" s="2"/>
      <c r="L54" s="2"/>
      <c r="M54" s="2"/>
    </row>
    <row r="55" spans="2:13">
      <c r="B55" s="2"/>
      <c r="C55" s="107"/>
      <c r="D55" s="107"/>
      <c r="E55" s="107"/>
      <c r="F55" s="107"/>
      <c r="G55" s="107"/>
      <c r="H55" s="107"/>
      <c r="I55" s="2"/>
      <c r="J55" s="2"/>
      <c r="K55" s="2"/>
      <c r="L55" s="2"/>
      <c r="M55" s="2"/>
    </row>
    <row r="56" spans="2:13">
      <c r="B56" s="2"/>
      <c r="C56" s="107"/>
      <c r="D56" s="107"/>
      <c r="E56" s="107"/>
      <c r="F56" s="107"/>
      <c r="G56" s="107"/>
      <c r="H56" s="107"/>
      <c r="I56" s="2"/>
      <c r="J56" s="2"/>
      <c r="K56" s="2"/>
      <c r="L56" s="2"/>
      <c r="M56" s="2"/>
    </row>
    <row r="57" spans="2:13">
      <c r="B57" s="2"/>
      <c r="C57" s="107"/>
      <c r="D57" s="107"/>
      <c r="E57" s="107"/>
      <c r="F57" s="107"/>
      <c r="G57" s="107"/>
      <c r="H57" s="107"/>
      <c r="I57" s="2"/>
      <c r="J57" s="2"/>
      <c r="K57" s="2"/>
      <c r="L57" s="2"/>
      <c r="M57" s="2"/>
    </row>
    <row r="58" spans="2:13">
      <c r="B58" s="2"/>
      <c r="C58" s="107"/>
      <c r="D58" s="107"/>
      <c r="E58" s="107"/>
      <c r="F58" s="107"/>
      <c r="G58" s="107"/>
      <c r="H58" s="107"/>
      <c r="I58" s="2"/>
      <c r="J58" s="2"/>
      <c r="K58" s="2"/>
      <c r="L58" s="2"/>
      <c r="M58" s="2"/>
    </row>
    <row r="59" spans="2:13">
      <c r="B59" s="2"/>
      <c r="C59" s="107"/>
      <c r="D59" s="107"/>
      <c r="E59" s="107"/>
      <c r="F59" s="107"/>
      <c r="G59" s="107"/>
      <c r="H59" s="107"/>
      <c r="I59" s="2"/>
      <c r="J59" s="2"/>
      <c r="K59" s="2"/>
      <c r="L59" s="2"/>
      <c r="M59" s="2"/>
    </row>
    <row r="60" spans="2:13">
      <c r="B60" s="2"/>
      <c r="C60" s="107"/>
      <c r="D60" s="107"/>
      <c r="E60" s="107"/>
      <c r="F60" s="107"/>
      <c r="G60" s="107"/>
      <c r="H60" s="107"/>
      <c r="I60" s="2"/>
      <c r="J60" s="2"/>
      <c r="K60" s="2"/>
      <c r="L60" s="2"/>
      <c r="M60" s="2"/>
    </row>
    <row r="61" spans="2:13">
      <c r="B61" s="2"/>
      <c r="C61" s="107"/>
      <c r="D61" s="107"/>
      <c r="E61" s="107"/>
      <c r="F61" s="107"/>
      <c r="G61" s="107"/>
      <c r="H61" s="107"/>
      <c r="I61" s="2"/>
      <c r="J61" s="2"/>
      <c r="K61" s="2"/>
      <c r="L61" s="2"/>
      <c r="M61" s="2"/>
    </row>
    <row r="62" spans="2:13">
      <c r="B62" s="2"/>
      <c r="C62" s="107"/>
      <c r="D62" s="107"/>
      <c r="E62" s="107"/>
      <c r="F62" s="107"/>
      <c r="G62" s="107"/>
      <c r="H62" s="107"/>
      <c r="I62" s="2"/>
      <c r="J62" s="2"/>
      <c r="K62" s="2"/>
      <c r="L62" s="2"/>
      <c r="M62" s="2"/>
    </row>
    <row r="63" spans="2:13">
      <c r="B63" s="2"/>
      <c r="C63" s="107"/>
      <c r="D63" s="107"/>
      <c r="E63" s="107"/>
      <c r="F63" s="107"/>
      <c r="G63" s="107"/>
      <c r="H63" s="107"/>
      <c r="I63" s="2"/>
      <c r="J63" s="2"/>
      <c r="K63" s="2"/>
      <c r="L63" s="2"/>
      <c r="M63" s="2"/>
    </row>
    <row r="64" spans="2:13">
      <c r="B64" s="2"/>
      <c r="C64" s="107"/>
      <c r="D64" s="107"/>
      <c r="E64" s="107"/>
      <c r="F64" s="107"/>
      <c r="G64" s="107"/>
      <c r="H64" s="107"/>
      <c r="I64" s="2"/>
      <c r="J64" s="2"/>
      <c r="K64" s="2"/>
      <c r="L64" s="2"/>
      <c r="M64" s="2"/>
    </row>
    <row r="65" spans="2:13">
      <c r="B65" s="2"/>
      <c r="C65" s="107"/>
      <c r="D65" s="107"/>
      <c r="E65" s="107"/>
      <c r="F65" s="107"/>
      <c r="G65" s="107"/>
      <c r="H65" s="107"/>
      <c r="I65" s="2"/>
      <c r="J65" s="2"/>
      <c r="K65" s="2"/>
      <c r="L65" s="2"/>
      <c r="M65" s="2"/>
    </row>
    <row r="66" spans="2:13">
      <c r="B66" s="2"/>
      <c r="C66" s="107"/>
      <c r="D66" s="107"/>
      <c r="E66" s="107"/>
      <c r="F66" s="107"/>
      <c r="G66" s="107"/>
      <c r="H66" s="107"/>
      <c r="I66" s="2"/>
      <c r="J66" s="2"/>
      <c r="K66" s="2"/>
      <c r="L66" s="2"/>
      <c r="M66" s="2"/>
    </row>
    <row r="67" spans="2:13">
      <c r="B67" s="2"/>
      <c r="C67" s="107"/>
      <c r="D67" s="107"/>
      <c r="E67" s="107"/>
      <c r="F67" s="107"/>
      <c r="G67" s="107"/>
      <c r="H67" s="107"/>
      <c r="I67" s="2"/>
    </row>
    <row r="68" spans="2:13">
      <c r="B68" s="2"/>
      <c r="C68" s="107"/>
      <c r="D68" s="107"/>
      <c r="E68" s="107"/>
      <c r="F68" s="107"/>
      <c r="G68" s="107"/>
      <c r="H68" s="107"/>
      <c r="I68" s="2"/>
    </row>
    <row r="69" spans="2:13">
      <c r="B69" s="2"/>
      <c r="C69" s="107"/>
      <c r="D69" s="107"/>
      <c r="E69" s="107"/>
      <c r="F69" s="107"/>
      <c r="G69" s="107"/>
      <c r="H69" s="107"/>
      <c r="I69" s="2"/>
    </row>
    <row r="70" spans="2:13">
      <c r="B70" s="2"/>
      <c r="C70" s="107"/>
      <c r="D70" s="107"/>
      <c r="E70" s="107"/>
      <c r="F70" s="107"/>
      <c r="G70" s="107"/>
      <c r="H70" s="107"/>
      <c r="I70" s="2"/>
    </row>
    <row r="71" spans="2:13">
      <c r="B71" s="2"/>
      <c r="C71" s="107"/>
      <c r="D71" s="107"/>
      <c r="E71" s="107"/>
      <c r="F71" s="107"/>
      <c r="G71" s="107"/>
      <c r="H71" s="107"/>
      <c r="I71" s="2"/>
    </row>
    <row r="72" spans="2:13">
      <c r="B72" s="2"/>
      <c r="C72" s="107"/>
      <c r="D72" s="107"/>
      <c r="E72" s="107"/>
      <c r="F72" s="107"/>
      <c r="G72" s="107"/>
      <c r="H72" s="107"/>
      <c r="I72" s="2"/>
    </row>
    <row r="73" spans="2:13">
      <c r="B73" s="2"/>
      <c r="C73" s="107"/>
      <c r="D73" s="107"/>
      <c r="E73" s="107"/>
      <c r="F73" s="107"/>
      <c r="G73" s="107"/>
      <c r="H73" s="107"/>
      <c r="I73" s="2"/>
    </row>
    <row r="74" spans="2:13">
      <c r="B74" s="2"/>
      <c r="C74" s="107"/>
      <c r="D74" s="107"/>
      <c r="E74" s="107"/>
      <c r="F74" s="107"/>
      <c r="G74" s="107"/>
      <c r="H74" s="107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B25" sqref="B25:H25"/>
    </sheetView>
  </sheetViews>
  <sheetFormatPr defaultColWidth="9" defaultRowHeight="16.5"/>
  <cols>
    <col min="1" max="1" width="5.125" style="81" customWidth="1"/>
    <col min="2" max="2" width="17.5" style="81" customWidth="1"/>
    <col min="3" max="7" width="14.375" style="84" customWidth="1"/>
    <col min="8" max="8" width="18.75" style="84" customWidth="1"/>
    <col min="9" max="9" width="12.375" style="81" customWidth="1"/>
    <col min="10" max="10" width="10.125" style="81" customWidth="1"/>
    <col min="11" max="17" width="9" style="81" customWidth="1"/>
    <col min="18" max="33" width="9" style="81"/>
    <col min="34" max="34" width="4.375" style="81" customWidth="1"/>
    <col min="35" max="35" width="13.875" style="81" customWidth="1"/>
    <col min="36" max="16384" width="9" style="81"/>
  </cols>
  <sheetData>
    <row r="1" spans="1:36">
      <c r="A1" s="202" t="s">
        <v>140</v>
      </c>
      <c r="B1" s="202"/>
      <c r="C1" s="206" t="s">
        <v>263</v>
      </c>
      <c r="D1" s="207"/>
      <c r="E1" s="207"/>
      <c r="F1" s="207"/>
      <c r="G1" s="207"/>
      <c r="H1" s="208"/>
    </row>
    <row r="2" spans="1:36">
      <c r="A2" s="202" t="s">
        <v>141</v>
      </c>
      <c r="B2" s="202"/>
      <c r="C2" s="209" t="str">
        <f>'2025年'!$C$2</f>
        <v>一汽解放汽车有限公司</v>
      </c>
      <c r="D2" s="209"/>
      <c r="E2" s="209"/>
      <c r="F2" s="209"/>
      <c r="G2" s="209"/>
      <c r="H2" s="209"/>
    </row>
    <row r="3" spans="1:36">
      <c r="A3" s="202" t="s">
        <v>142</v>
      </c>
      <c r="B3" s="202"/>
      <c r="C3" s="86" t="str">
        <f>'2025年'!C3</f>
        <v>前座总成</v>
      </c>
      <c r="D3" s="86">
        <f>'2025年'!D3</f>
        <v>0</v>
      </c>
      <c r="E3" s="86">
        <f>'2025年'!E3</f>
        <v>0</v>
      </c>
      <c r="F3" s="86">
        <f>'2025年'!F3</f>
        <v>0</v>
      </c>
      <c r="G3" s="86">
        <f>'2025年'!G3</f>
        <v>0</v>
      </c>
      <c r="H3" s="203" t="s">
        <v>50</v>
      </c>
    </row>
    <row r="4" spans="1:36">
      <c r="A4" s="202" t="s">
        <v>143</v>
      </c>
      <c r="B4" s="202"/>
      <c r="C4" s="86" t="str">
        <f>'2025年'!C4</f>
        <v>6900010UH13J/A</v>
      </c>
      <c r="D4" s="86">
        <f>'2025年'!D4</f>
        <v>0</v>
      </c>
      <c r="E4" s="86">
        <f>'2025年'!E4</f>
        <v>0</v>
      </c>
      <c r="F4" s="86">
        <f>'2025年'!F4</f>
        <v>0</v>
      </c>
      <c r="G4" s="86">
        <f>'2025年'!G4</f>
        <v>0</v>
      </c>
      <c r="H4" s="204"/>
    </row>
    <row r="5" spans="1:36" ht="42.75">
      <c r="A5" s="202" t="s">
        <v>144</v>
      </c>
      <c r="B5" s="202"/>
      <c r="C5" s="87" t="str">
        <f>'2025年'!C5</f>
        <v>管梁副驾带安全带</v>
      </c>
      <c r="D5" s="87">
        <f>'2025年'!D5</f>
        <v>0</v>
      </c>
      <c r="E5" s="87">
        <f>'2025年'!E5</f>
        <v>0</v>
      </c>
      <c r="F5" s="87">
        <f>'2025年'!F5</f>
        <v>0</v>
      </c>
      <c r="G5" s="87">
        <f>'2025年'!G5</f>
        <v>0</v>
      </c>
      <c r="H5" s="205"/>
      <c r="AJ5" s="81" t="s">
        <v>51</v>
      </c>
    </row>
    <row r="6" spans="1:36" ht="17.25">
      <c r="A6" s="88" t="s">
        <v>17</v>
      </c>
      <c r="B6" s="89" t="s">
        <v>145</v>
      </c>
      <c r="C6" s="108">
        <f>销量!C12</f>
        <v>1000</v>
      </c>
      <c r="D6" s="108">
        <f>销量!D12</f>
        <v>0</v>
      </c>
      <c r="E6" s="108">
        <f>销量!E12</f>
        <v>0</v>
      </c>
      <c r="F6" s="108">
        <f>销量!F12</f>
        <v>0</v>
      </c>
      <c r="G6" s="108">
        <f>销量!G12</f>
        <v>0</v>
      </c>
      <c r="H6" s="91">
        <f>+SUM(C6:G6)</f>
        <v>1000</v>
      </c>
      <c r="AH6" s="88" t="s">
        <v>17</v>
      </c>
      <c r="AI6" s="89" t="s">
        <v>3</v>
      </c>
      <c r="AJ6" s="81" t="s">
        <v>52</v>
      </c>
    </row>
    <row r="7" spans="1:36">
      <c r="A7" s="85">
        <v>1</v>
      </c>
      <c r="B7" s="89" t="s">
        <v>53</v>
      </c>
      <c r="C7" s="91">
        <f>C6*销量!C8</f>
        <v>650000</v>
      </c>
      <c r="D7" s="91">
        <f>D6*销量!D8</f>
        <v>0</v>
      </c>
      <c r="E7" s="91">
        <f>E6*销量!E8</f>
        <v>0</v>
      </c>
      <c r="F7" s="91">
        <f>F6*销量!F8</f>
        <v>0</v>
      </c>
      <c r="G7" s="91">
        <f>G6*销量!G8</f>
        <v>0</v>
      </c>
      <c r="H7" s="91">
        <f t="shared" ref="H7:H13" si="0">+SUM(C7:G7)</f>
        <v>650000</v>
      </c>
      <c r="I7" s="84"/>
      <c r="AH7" s="88" t="s">
        <v>54</v>
      </c>
      <c r="AI7" s="89" t="s">
        <v>53</v>
      </c>
      <c r="AJ7" s="81" t="s">
        <v>52</v>
      </c>
    </row>
    <row r="8" spans="1:36">
      <c r="A8" s="85">
        <v>2</v>
      </c>
      <c r="B8" s="85" t="s">
        <v>55</v>
      </c>
      <c r="C8" s="91">
        <f>C7*(1-销量!$K$9)</f>
        <v>56762.549999999959</v>
      </c>
      <c r="D8" s="91">
        <f>D7*(1-销量!$K$9)</f>
        <v>0</v>
      </c>
      <c r="E8" s="91">
        <f>E7*(1-销量!$K$9)</f>
        <v>0</v>
      </c>
      <c r="F8" s="91">
        <f>F7*(1-销量!$K$9)</f>
        <v>0</v>
      </c>
      <c r="G8" s="91">
        <f>G7*(1-销量!$K$9)</f>
        <v>0</v>
      </c>
      <c r="H8" s="91">
        <f t="shared" si="0"/>
        <v>56762.549999999959</v>
      </c>
      <c r="I8" s="92"/>
      <c r="AH8" s="88" t="s">
        <v>56</v>
      </c>
      <c r="AI8" s="85" t="s">
        <v>57</v>
      </c>
      <c r="AJ8" s="81" t="s">
        <v>52</v>
      </c>
    </row>
    <row r="9" spans="1:36">
      <c r="A9" s="85">
        <v>3</v>
      </c>
      <c r="B9" s="89" t="s">
        <v>58</v>
      </c>
      <c r="C9" s="91">
        <f>+C7-C8</f>
        <v>593237.45000000007</v>
      </c>
      <c r="D9" s="91">
        <f>+D7-D8</f>
        <v>0</v>
      </c>
      <c r="E9" s="91">
        <f t="shared" ref="E9:H9" si="1">+E7-E8</f>
        <v>0</v>
      </c>
      <c r="F9" s="91">
        <f t="shared" si="1"/>
        <v>0</v>
      </c>
      <c r="G9" s="91">
        <f t="shared" si="1"/>
        <v>0</v>
      </c>
      <c r="H9" s="91">
        <f t="shared" si="1"/>
        <v>593237.45000000007</v>
      </c>
      <c r="AH9" s="88" t="s">
        <v>59</v>
      </c>
      <c r="AI9" s="89" t="s">
        <v>58</v>
      </c>
      <c r="AJ9" s="81" t="s">
        <v>60</v>
      </c>
    </row>
    <row r="10" spans="1:36">
      <c r="A10" s="85">
        <v>4</v>
      </c>
      <c r="B10" s="88" t="s">
        <v>62</v>
      </c>
      <c r="C10" s="91">
        <f>C6*C33</f>
        <v>456619.42862999998</v>
      </c>
      <c r="D10" s="91">
        <f>D6*D33</f>
        <v>0</v>
      </c>
      <c r="E10" s="91">
        <f t="shared" ref="E10:G10" si="2">E6*E33</f>
        <v>0</v>
      </c>
      <c r="F10" s="91">
        <f t="shared" si="2"/>
        <v>0</v>
      </c>
      <c r="G10" s="91">
        <f t="shared" si="2"/>
        <v>0</v>
      </c>
      <c r="H10" s="91">
        <f t="shared" si="0"/>
        <v>456619.42862999998</v>
      </c>
      <c r="AH10" s="88" t="s">
        <v>61</v>
      </c>
      <c r="AI10" s="88" t="s">
        <v>62</v>
      </c>
      <c r="AJ10" s="81" t="s">
        <v>63</v>
      </c>
    </row>
    <row r="11" spans="1:36">
      <c r="A11" s="85">
        <v>5</v>
      </c>
      <c r="B11" s="88" t="s">
        <v>64</v>
      </c>
      <c r="C11" s="91">
        <f>+C6*C36</f>
        <v>7995</v>
      </c>
      <c r="D11" s="91">
        <f>+D6*D36</f>
        <v>0</v>
      </c>
      <c r="E11" s="91">
        <f t="shared" ref="E11:G11" si="3">+E6*E36</f>
        <v>0</v>
      </c>
      <c r="F11" s="91">
        <f t="shared" si="3"/>
        <v>0</v>
      </c>
      <c r="G11" s="91">
        <f t="shared" si="3"/>
        <v>0</v>
      </c>
      <c r="H11" s="91">
        <f t="shared" si="0"/>
        <v>7995</v>
      </c>
      <c r="AH11" s="88" t="s">
        <v>65</v>
      </c>
      <c r="AI11" s="88" t="s">
        <v>64</v>
      </c>
    </row>
    <row r="12" spans="1:36">
      <c r="A12" s="85">
        <v>6</v>
      </c>
      <c r="B12" s="88" t="s">
        <v>66</v>
      </c>
      <c r="C12" s="91">
        <f>+C6*C37</f>
        <v>7215.0000000000009</v>
      </c>
      <c r="D12" s="91">
        <f>+D6*D37</f>
        <v>0</v>
      </c>
      <c r="E12" s="91">
        <f t="shared" ref="E12:G12" si="4">+E6*E37</f>
        <v>0</v>
      </c>
      <c r="F12" s="91">
        <f t="shared" si="4"/>
        <v>0</v>
      </c>
      <c r="G12" s="91">
        <f t="shared" si="4"/>
        <v>0</v>
      </c>
      <c r="H12" s="91">
        <f t="shared" si="0"/>
        <v>7215.0000000000009</v>
      </c>
      <c r="AH12" s="88" t="s">
        <v>67</v>
      </c>
      <c r="AI12" s="88" t="s">
        <v>66</v>
      </c>
    </row>
    <row r="13" spans="1:36">
      <c r="A13" s="85">
        <v>7</v>
      </c>
      <c r="B13" s="88" t="s">
        <v>68</v>
      </c>
      <c r="C13" s="91">
        <f>+C6*C38</f>
        <v>10400</v>
      </c>
      <c r="D13" s="91">
        <f>+D6*D38</f>
        <v>0</v>
      </c>
      <c r="E13" s="91">
        <f t="shared" ref="E13:G13" si="5">+E6*E38</f>
        <v>0</v>
      </c>
      <c r="F13" s="91">
        <f t="shared" si="5"/>
        <v>0</v>
      </c>
      <c r="G13" s="91">
        <f t="shared" si="5"/>
        <v>0</v>
      </c>
      <c r="H13" s="91">
        <f t="shared" si="0"/>
        <v>10400</v>
      </c>
      <c r="AH13" s="88" t="s">
        <v>69</v>
      </c>
      <c r="AI13" s="88" t="s">
        <v>68</v>
      </c>
      <c r="AJ13" s="81" t="s">
        <v>52</v>
      </c>
    </row>
    <row r="14" spans="1:36">
      <c r="A14" s="85">
        <v>8</v>
      </c>
      <c r="B14" s="93" t="s">
        <v>70</v>
      </c>
      <c r="C14" s="91">
        <f>SUM(C11:C13)</f>
        <v>25610</v>
      </c>
      <c r="D14" s="91">
        <f>SUM(D11:D13)</f>
        <v>0</v>
      </c>
      <c r="E14" s="91">
        <f t="shared" ref="E14:H14" si="6">SUM(E11:E13)</f>
        <v>0</v>
      </c>
      <c r="F14" s="91">
        <f t="shared" si="6"/>
        <v>0</v>
      </c>
      <c r="G14" s="91">
        <f t="shared" si="6"/>
        <v>0</v>
      </c>
      <c r="H14" s="91">
        <f t="shared" si="6"/>
        <v>25610</v>
      </c>
      <c r="AH14" s="88" t="s">
        <v>71</v>
      </c>
      <c r="AI14" s="93" t="s">
        <v>70</v>
      </c>
    </row>
    <row r="15" spans="1:36">
      <c r="A15" s="85">
        <v>9</v>
      </c>
      <c r="B15" s="93" t="s">
        <v>72</v>
      </c>
      <c r="C15" s="91">
        <f>+C9-C10-C14</f>
        <v>111008.02137000009</v>
      </c>
      <c r="D15" s="91">
        <f>+D9-D10-D14</f>
        <v>0</v>
      </c>
      <c r="E15" s="91">
        <f t="shared" ref="E15:H15" si="7">+E9-E10-E14</f>
        <v>0</v>
      </c>
      <c r="F15" s="91">
        <f t="shared" si="7"/>
        <v>0</v>
      </c>
      <c r="G15" s="91">
        <f t="shared" si="7"/>
        <v>0</v>
      </c>
      <c r="H15" s="91">
        <f t="shared" si="7"/>
        <v>111008.02137000009</v>
      </c>
      <c r="AH15" s="88" t="s">
        <v>73</v>
      </c>
      <c r="AI15" s="93" t="s">
        <v>72</v>
      </c>
    </row>
    <row r="16" spans="1:36">
      <c r="A16" s="85">
        <v>10</v>
      </c>
      <c r="B16" s="88" t="s">
        <v>74</v>
      </c>
      <c r="C16" s="94">
        <f>+C15/C9</f>
        <v>0.18712241004002711</v>
      </c>
      <c r="D16" s="94" t="e">
        <f>+D15/D9</f>
        <v>#DIV/0!</v>
      </c>
      <c r="E16" s="94" t="e">
        <f t="shared" ref="E16:G16" si="8">+E15/E9</f>
        <v>#DIV/0!</v>
      </c>
      <c r="F16" s="94" t="e">
        <f t="shared" si="8"/>
        <v>#DIV/0!</v>
      </c>
      <c r="G16" s="94" t="e">
        <f t="shared" si="8"/>
        <v>#DIV/0!</v>
      </c>
      <c r="H16" s="94">
        <f>+H15/H9</f>
        <v>0.18712241004002711</v>
      </c>
      <c r="I16" s="95"/>
      <c r="J16" s="95"/>
      <c r="K16" s="95"/>
      <c r="AH16" s="88" t="s">
        <v>75</v>
      </c>
      <c r="AI16" s="88" t="s">
        <v>74</v>
      </c>
    </row>
    <row r="17" spans="1:36">
      <c r="A17" s="85">
        <v>11</v>
      </c>
      <c r="B17" s="88" t="s">
        <v>76</v>
      </c>
      <c r="C17" s="91">
        <f>C6*C43+C18</f>
        <v>56090</v>
      </c>
      <c r="D17" s="91">
        <f>D6*D43+D18</f>
        <v>0</v>
      </c>
      <c r="E17" s="91">
        <f t="shared" ref="E17:G17" si="9">E6*E43+E18</f>
        <v>0</v>
      </c>
      <c r="F17" s="91">
        <f t="shared" si="9"/>
        <v>0</v>
      </c>
      <c r="G17" s="91">
        <f t="shared" si="9"/>
        <v>0</v>
      </c>
      <c r="H17" s="91">
        <f>+SUM(C17:G17)</f>
        <v>56090</v>
      </c>
      <c r="I17" s="92"/>
      <c r="AH17" s="88" t="s">
        <v>77</v>
      </c>
      <c r="AI17" s="88" t="s">
        <v>76</v>
      </c>
    </row>
    <row r="18" spans="1:36" s="82" customFormat="1">
      <c r="A18" s="85">
        <v>12</v>
      </c>
      <c r="B18" s="96" t="s">
        <v>146</v>
      </c>
      <c r="C18" s="97">
        <f>$H$18/$H$6*C6</f>
        <v>32299.999999999996</v>
      </c>
      <c r="D18" s="97">
        <f>$H$18/$H$6*D6</f>
        <v>0</v>
      </c>
      <c r="E18" s="97">
        <f t="shared" ref="E18:G18" si="10">$H$18/$H$6*E6</f>
        <v>0</v>
      </c>
      <c r="F18" s="97">
        <f t="shared" si="10"/>
        <v>0</v>
      </c>
      <c r="G18" s="97">
        <f t="shared" si="10"/>
        <v>0</v>
      </c>
      <c r="H18" s="91">
        <f>项目投资!G26</f>
        <v>32300</v>
      </c>
      <c r="I18" s="98" t="s">
        <v>147</v>
      </c>
      <c r="J18" s="98"/>
      <c r="K18" s="98"/>
    </row>
    <row r="19" spans="1:36">
      <c r="A19" s="85">
        <v>13</v>
      </c>
      <c r="B19" s="88" t="s">
        <v>78</v>
      </c>
      <c r="C19" s="91">
        <f>C6*C44</f>
        <v>5460</v>
      </c>
      <c r="D19" s="91">
        <f>D6*D44</f>
        <v>0</v>
      </c>
      <c r="E19" s="91">
        <f t="shared" ref="E19:G19" si="11">E6*E44</f>
        <v>0</v>
      </c>
      <c r="F19" s="91">
        <f t="shared" si="11"/>
        <v>0</v>
      </c>
      <c r="G19" s="91">
        <f t="shared" si="11"/>
        <v>0</v>
      </c>
      <c r="H19" s="91">
        <f t="shared" ref="H19:H20" si="12">+SUM(C19:G19)</f>
        <v>5460</v>
      </c>
      <c r="I19" s="82"/>
      <c r="AH19" s="88" t="s">
        <v>79</v>
      </c>
      <c r="AI19" s="88" t="s">
        <v>78</v>
      </c>
      <c r="AJ19" s="81" t="s">
        <v>52</v>
      </c>
    </row>
    <row r="20" spans="1:36">
      <c r="A20" s="85">
        <v>14</v>
      </c>
      <c r="B20" s="88" t="s">
        <v>80</v>
      </c>
      <c r="C20" s="91">
        <f>C6*C45</f>
        <v>20995</v>
      </c>
      <c r="D20" s="91">
        <f>D6*D45</f>
        <v>0</v>
      </c>
      <c r="E20" s="91">
        <f t="shared" ref="E20:G20" si="13">E6*E45</f>
        <v>0</v>
      </c>
      <c r="F20" s="91">
        <f t="shared" si="13"/>
        <v>0</v>
      </c>
      <c r="G20" s="91">
        <f t="shared" si="13"/>
        <v>0</v>
      </c>
      <c r="H20" s="91">
        <f t="shared" si="12"/>
        <v>20995</v>
      </c>
      <c r="AH20" s="88" t="s">
        <v>81</v>
      </c>
      <c r="AI20" s="88" t="s">
        <v>80</v>
      </c>
    </row>
    <row r="21" spans="1:36">
      <c r="A21" s="85">
        <v>15</v>
      </c>
      <c r="B21" s="88" t="s">
        <v>82</v>
      </c>
      <c r="C21" s="99">
        <f>$H$21/$H$6*C6</f>
        <v>2600</v>
      </c>
      <c r="D21" s="99">
        <f>$H$21/$H$6*D6</f>
        <v>0</v>
      </c>
      <c r="E21" s="99">
        <f t="shared" ref="E21:G21" si="14">$H$21/$H$6*E6</f>
        <v>0</v>
      </c>
      <c r="F21" s="99">
        <f t="shared" si="14"/>
        <v>0</v>
      </c>
      <c r="G21" s="99">
        <f t="shared" si="14"/>
        <v>0</v>
      </c>
      <c r="H21" s="91">
        <f>项目投资!G27</f>
        <v>2600</v>
      </c>
      <c r="AH21" s="88"/>
      <c r="AI21" s="88"/>
    </row>
    <row r="22" spans="1:36">
      <c r="A22" s="85">
        <v>16</v>
      </c>
      <c r="B22" s="88" t="s">
        <v>83</v>
      </c>
      <c r="C22" s="91">
        <f>C6*C47</f>
        <v>23075</v>
      </c>
      <c r="D22" s="91">
        <f>D6*D47</f>
        <v>0</v>
      </c>
      <c r="E22" s="91">
        <f t="shared" ref="E22:G22" si="15">E6*E47</f>
        <v>0</v>
      </c>
      <c r="F22" s="91">
        <f t="shared" si="15"/>
        <v>0</v>
      </c>
      <c r="G22" s="91">
        <f t="shared" si="15"/>
        <v>0</v>
      </c>
      <c r="H22" s="91">
        <f>+SUM(C22:G22)</f>
        <v>23075</v>
      </c>
      <c r="AH22" s="88" t="s">
        <v>84</v>
      </c>
      <c r="AI22" s="88" t="s">
        <v>83</v>
      </c>
    </row>
    <row r="23" spans="1:36">
      <c r="A23" s="85">
        <v>17</v>
      </c>
      <c r="B23" s="93" t="s">
        <v>85</v>
      </c>
      <c r="C23" s="99">
        <f>+C22+C21+C20+C19+C17</f>
        <v>108220</v>
      </c>
      <c r="D23" s="99">
        <f>+D22+D21+D20+D19+D17</f>
        <v>0</v>
      </c>
      <c r="E23" s="99">
        <f t="shared" ref="E23:G23" si="16">+E22+E21+E20+E19+E17</f>
        <v>0</v>
      </c>
      <c r="F23" s="99">
        <f t="shared" si="16"/>
        <v>0</v>
      </c>
      <c r="G23" s="99">
        <f t="shared" si="16"/>
        <v>0</v>
      </c>
      <c r="H23" s="99">
        <f>+H22+H21+H20+H19+H17</f>
        <v>108220</v>
      </c>
      <c r="AH23" s="88" t="s">
        <v>86</v>
      </c>
      <c r="AI23" s="93" t="s">
        <v>85</v>
      </c>
    </row>
    <row r="24" spans="1:36">
      <c r="A24" s="85">
        <v>18</v>
      </c>
      <c r="B24" s="100" t="s">
        <v>87</v>
      </c>
      <c r="C24" s="99">
        <f>+C15-C23</f>
        <v>2788.0213700000895</v>
      </c>
      <c r="D24" s="99">
        <f>+D15-D23</f>
        <v>0</v>
      </c>
      <c r="E24" s="99">
        <f t="shared" ref="E24:G24" si="17">+E15-E23</f>
        <v>0</v>
      </c>
      <c r="F24" s="99">
        <f t="shared" si="17"/>
        <v>0</v>
      </c>
      <c r="G24" s="99">
        <f t="shared" si="17"/>
        <v>0</v>
      </c>
      <c r="H24" s="99">
        <f>+H15-H23</f>
        <v>2788.0213700000895</v>
      </c>
      <c r="J24" s="101"/>
      <c r="AH24" s="88" t="s">
        <v>88</v>
      </c>
      <c r="AI24" s="88" t="s">
        <v>87</v>
      </c>
    </row>
    <row r="25" spans="1:36">
      <c r="A25" s="85">
        <v>19</v>
      </c>
      <c r="B25" s="88" t="s">
        <v>302</v>
      </c>
      <c r="C25" s="99">
        <f>IF(C24&lt;0,0,C24*0.25)</f>
        <v>697.00534250002238</v>
      </c>
      <c r="D25" s="99">
        <f t="shared" ref="D25:H25" si="18">IF(D24&lt;0,0,D24*0.25)</f>
        <v>0</v>
      </c>
      <c r="E25" s="99">
        <f t="shared" si="18"/>
        <v>0</v>
      </c>
      <c r="F25" s="99">
        <f t="shared" si="18"/>
        <v>0</v>
      </c>
      <c r="G25" s="99">
        <f t="shared" si="18"/>
        <v>0</v>
      </c>
      <c r="H25" s="99">
        <f t="shared" si="18"/>
        <v>697.00534250002238</v>
      </c>
      <c r="I25" s="2"/>
      <c r="J25" s="2"/>
      <c r="K25" s="2"/>
      <c r="AH25" s="88" t="s">
        <v>89</v>
      </c>
      <c r="AI25" s="88" t="s">
        <v>34</v>
      </c>
    </row>
    <row r="26" spans="1:36">
      <c r="A26" s="85">
        <v>20</v>
      </c>
      <c r="B26" s="88" t="s">
        <v>90</v>
      </c>
      <c r="C26" s="99">
        <f>C24-C25</f>
        <v>2091.0160275000671</v>
      </c>
      <c r="D26" s="99">
        <f>D24-D25</f>
        <v>0</v>
      </c>
      <c r="E26" s="99">
        <f t="shared" ref="E26:H26" si="19">E24-E25</f>
        <v>0</v>
      </c>
      <c r="F26" s="99">
        <f t="shared" si="19"/>
        <v>0</v>
      </c>
      <c r="G26" s="99">
        <f t="shared" si="19"/>
        <v>0</v>
      </c>
      <c r="H26" s="99">
        <f t="shared" si="19"/>
        <v>2091.0160275000671</v>
      </c>
      <c r="I26" s="2"/>
      <c r="J26" s="2"/>
      <c r="K26" s="2"/>
      <c r="AH26" s="88" t="s">
        <v>91</v>
      </c>
      <c r="AI26" s="88" t="s">
        <v>90</v>
      </c>
    </row>
    <row r="27" spans="1:36">
      <c r="A27" s="85">
        <v>21</v>
      </c>
      <c r="B27" s="88" t="s">
        <v>94</v>
      </c>
      <c r="C27" s="102">
        <f>C26/C9</f>
        <v>3.5247539202052517E-3</v>
      </c>
      <c r="D27" s="102" t="e">
        <f t="shared" ref="D27:H27" si="20">D26/D9</f>
        <v>#DIV/0!</v>
      </c>
      <c r="E27" s="102" t="e">
        <f t="shared" si="20"/>
        <v>#DIV/0!</v>
      </c>
      <c r="F27" s="102" t="e">
        <f t="shared" si="20"/>
        <v>#DIV/0!</v>
      </c>
      <c r="G27" s="102" t="e">
        <f t="shared" si="20"/>
        <v>#DIV/0!</v>
      </c>
      <c r="H27" s="102">
        <f t="shared" si="20"/>
        <v>3.5247539202052517E-3</v>
      </c>
      <c r="I27" s="2"/>
      <c r="J27" s="2"/>
      <c r="K27" s="2"/>
      <c r="AH27" s="88" t="s">
        <v>93</v>
      </c>
      <c r="AI27" s="88" t="s">
        <v>94</v>
      </c>
    </row>
    <row r="28" spans="1:36">
      <c r="I28" s="2"/>
      <c r="J28" s="2"/>
      <c r="K28" s="2"/>
    </row>
    <row r="29" spans="1:36">
      <c r="A29" s="81" t="s">
        <v>95</v>
      </c>
      <c r="H29" s="84" t="s">
        <v>148</v>
      </c>
      <c r="I29" s="2"/>
      <c r="J29" s="2"/>
      <c r="K29" s="2"/>
      <c r="AH29" s="81" t="s">
        <v>95</v>
      </c>
    </row>
    <row r="30" spans="1:36">
      <c r="A30" s="88" t="s">
        <v>96</v>
      </c>
      <c r="B30" s="93" t="s">
        <v>97</v>
      </c>
      <c r="C30" s="99"/>
      <c r="D30" s="99"/>
      <c r="E30" s="99"/>
      <c r="F30" s="99"/>
      <c r="G30" s="99"/>
      <c r="H30" s="99"/>
      <c r="I30" s="2"/>
      <c r="J30" s="2"/>
      <c r="K30" s="2"/>
      <c r="M30" s="2"/>
      <c r="AH30" s="88" t="s">
        <v>98</v>
      </c>
      <c r="AI30" s="93" t="s">
        <v>97</v>
      </c>
    </row>
    <row r="31" spans="1:36">
      <c r="A31" s="85">
        <v>1</v>
      </c>
      <c r="B31" s="96" t="s">
        <v>99</v>
      </c>
      <c r="C31" s="103">
        <f>销量!C8</f>
        <v>650</v>
      </c>
      <c r="D31" s="103">
        <f>销量!D8</f>
        <v>0</v>
      </c>
      <c r="E31" s="103">
        <f>销量!E8</f>
        <v>0</v>
      </c>
      <c r="F31" s="103">
        <f>销量!F8</f>
        <v>0</v>
      </c>
      <c r="G31" s="103">
        <f>销量!G8</f>
        <v>0</v>
      </c>
      <c r="H31" s="99"/>
      <c r="I31" s="2"/>
      <c r="J31" s="2"/>
      <c r="K31" s="2"/>
      <c r="M31" s="2"/>
      <c r="AH31" s="88" t="s">
        <v>54</v>
      </c>
      <c r="AI31" s="88" t="s">
        <v>99</v>
      </c>
    </row>
    <row r="32" spans="1:36">
      <c r="A32" s="85">
        <v>2</v>
      </c>
      <c r="B32" s="88" t="s">
        <v>149</v>
      </c>
      <c r="C32" s="91">
        <f>C9/C6</f>
        <v>593.23745000000008</v>
      </c>
      <c r="D32" s="91" t="e">
        <f t="shared" ref="D32:G32" si="21">D9/D6</f>
        <v>#DIV/0!</v>
      </c>
      <c r="E32" s="91" t="e">
        <f t="shared" si="21"/>
        <v>#DIV/0!</v>
      </c>
      <c r="F32" s="91" t="e">
        <f t="shared" si="21"/>
        <v>#DIV/0!</v>
      </c>
      <c r="G32" s="91" t="e">
        <f t="shared" si="21"/>
        <v>#DIV/0!</v>
      </c>
      <c r="H32" s="99"/>
      <c r="I32" s="2"/>
      <c r="J32" s="2"/>
      <c r="K32" s="2"/>
      <c r="L32" s="2"/>
      <c r="M32" s="2"/>
      <c r="N32" s="2"/>
      <c r="O32" s="2"/>
      <c r="AH32" s="88"/>
      <c r="AI32" s="88"/>
    </row>
    <row r="33" spans="1:35">
      <c r="A33" s="85">
        <v>3</v>
      </c>
      <c r="B33" s="96" t="s">
        <v>100</v>
      </c>
      <c r="C33" s="91">
        <f>材料成本!D27</f>
        <v>456.61942862999996</v>
      </c>
      <c r="D33" s="91">
        <f>材料成本!E27</f>
        <v>0</v>
      </c>
      <c r="E33" s="91">
        <f>材料成本!F27</f>
        <v>0</v>
      </c>
      <c r="F33" s="91">
        <f>材料成本!G27</f>
        <v>0</v>
      </c>
      <c r="G33" s="91">
        <f>材料成本!H27</f>
        <v>0</v>
      </c>
      <c r="H33" s="99"/>
      <c r="J33" s="2"/>
      <c r="K33" s="2"/>
      <c r="L33" s="2"/>
      <c r="M33" s="2"/>
      <c r="N33" s="2"/>
      <c r="O33" s="2"/>
      <c r="AH33" s="88" t="s">
        <v>56</v>
      </c>
      <c r="AI33" s="88" t="s">
        <v>100</v>
      </c>
    </row>
    <row r="34" spans="1:35" ht="17.25" customHeight="1">
      <c r="A34" s="85">
        <v>4</v>
      </c>
      <c r="B34" s="88" t="s">
        <v>102</v>
      </c>
      <c r="C34" s="104">
        <f>C32-C33</f>
        <v>136.61802137000012</v>
      </c>
      <c r="D34" s="104" t="e">
        <f>D32-D33</f>
        <v>#DIV/0!</v>
      </c>
      <c r="E34" s="104" t="e">
        <f t="shared" ref="E34:G34" si="22">E32-E33</f>
        <v>#DIV/0!</v>
      </c>
      <c r="F34" s="104" t="e">
        <f t="shared" si="22"/>
        <v>#DIV/0!</v>
      </c>
      <c r="G34" s="104" t="e">
        <f t="shared" si="22"/>
        <v>#DIV/0!</v>
      </c>
      <c r="H34" s="99"/>
      <c r="J34" s="2"/>
      <c r="K34" s="2"/>
      <c r="L34" s="2"/>
      <c r="M34" s="2"/>
      <c r="N34" s="2"/>
      <c r="O34" s="2"/>
      <c r="AH34" s="88" t="s">
        <v>101</v>
      </c>
      <c r="AI34" s="88" t="s">
        <v>102</v>
      </c>
    </row>
    <row r="35" spans="1:35">
      <c r="A35" s="88" t="s">
        <v>98</v>
      </c>
      <c r="B35" s="93" t="s">
        <v>9</v>
      </c>
      <c r="C35" s="99"/>
      <c r="D35" s="99"/>
      <c r="E35" s="99"/>
      <c r="F35" s="99"/>
      <c r="G35" s="99"/>
      <c r="H35" s="99"/>
      <c r="I35" s="2"/>
      <c r="J35" s="2"/>
      <c r="K35" s="2"/>
      <c r="L35" s="2"/>
      <c r="M35" s="2"/>
      <c r="N35" s="2"/>
      <c r="O35" s="2"/>
      <c r="P35" s="2"/>
      <c r="Q35" s="2"/>
      <c r="R35" s="2"/>
      <c r="AH35" s="88" t="s">
        <v>104</v>
      </c>
      <c r="AI35" s="93" t="s">
        <v>9</v>
      </c>
    </row>
    <row r="36" spans="1:35">
      <c r="A36" s="85">
        <v>1</v>
      </c>
      <c r="B36" s="88" t="s">
        <v>105</v>
      </c>
      <c r="C36" s="97">
        <f>'2025年'!C36</f>
        <v>7.9950000000000001</v>
      </c>
      <c r="D36" s="97">
        <f>'2025年'!D36</f>
        <v>0</v>
      </c>
      <c r="E36" s="97">
        <f>'2025年'!E36</f>
        <v>0</v>
      </c>
      <c r="F36" s="97">
        <f>'2025年'!F36</f>
        <v>0</v>
      </c>
      <c r="G36" s="97">
        <f>'2025年'!G36</f>
        <v>0</v>
      </c>
      <c r="H36" s="103"/>
      <c r="I36" s="2"/>
      <c r="J36" s="2"/>
      <c r="K36" s="2"/>
      <c r="L36" s="2"/>
      <c r="M36" s="2"/>
      <c r="N36" s="2"/>
      <c r="O36" s="2"/>
      <c r="P36" s="2"/>
      <c r="Q36" s="2"/>
      <c r="R36" s="2"/>
      <c r="AH36" s="88" t="s">
        <v>101</v>
      </c>
      <c r="AI36" s="88" t="s">
        <v>105</v>
      </c>
    </row>
    <row r="37" spans="1:35">
      <c r="A37" s="85">
        <v>2</v>
      </c>
      <c r="B37" s="88" t="s">
        <v>106</v>
      </c>
      <c r="C37" s="97">
        <f>'2025年'!C37</f>
        <v>7.2150000000000007</v>
      </c>
      <c r="D37" s="97">
        <f>'2025年'!D37</f>
        <v>0</v>
      </c>
      <c r="E37" s="97">
        <f>'2025年'!E37</f>
        <v>0</v>
      </c>
      <c r="F37" s="97">
        <f>'2025年'!F37</f>
        <v>0</v>
      </c>
      <c r="G37" s="97">
        <f>'2025年'!G37</f>
        <v>0</v>
      </c>
      <c r="H37" s="103"/>
      <c r="I37" s="2"/>
      <c r="J37" s="2"/>
      <c r="K37" s="2"/>
      <c r="L37" s="2"/>
      <c r="M37" s="2"/>
      <c r="N37" s="2"/>
      <c r="O37" s="2"/>
      <c r="P37" s="2"/>
      <c r="Q37" s="2"/>
      <c r="R37" s="2"/>
      <c r="AH37" s="88" t="s">
        <v>59</v>
      </c>
      <c r="AI37" s="88" t="s">
        <v>106</v>
      </c>
    </row>
    <row r="38" spans="1:35">
      <c r="A38" s="85">
        <v>3</v>
      </c>
      <c r="B38" s="88" t="s">
        <v>107</v>
      </c>
      <c r="C38" s="97">
        <f>'2025年'!C38</f>
        <v>10.4</v>
      </c>
      <c r="D38" s="97">
        <f>'2025年'!D38</f>
        <v>0</v>
      </c>
      <c r="E38" s="97">
        <f>'2025年'!E38</f>
        <v>0</v>
      </c>
      <c r="F38" s="97">
        <f>'2025年'!F38</f>
        <v>0</v>
      </c>
      <c r="G38" s="97">
        <f>'2025年'!G38</f>
        <v>0</v>
      </c>
      <c r="H38" s="103"/>
      <c r="I38" s="2"/>
      <c r="J38" s="2"/>
      <c r="K38" s="2"/>
      <c r="L38" s="2"/>
      <c r="M38" s="2"/>
      <c r="N38" s="2"/>
      <c r="O38" s="2"/>
      <c r="P38" s="2"/>
      <c r="Q38" s="2"/>
      <c r="R38" s="2"/>
      <c r="AH38" s="88" t="s">
        <v>65</v>
      </c>
      <c r="AI38" s="88" t="s">
        <v>107</v>
      </c>
    </row>
    <row r="39" spans="1:35">
      <c r="A39" s="88" t="s">
        <v>104</v>
      </c>
      <c r="B39" s="93" t="s">
        <v>109</v>
      </c>
      <c r="C39" s="99"/>
      <c r="D39" s="99"/>
      <c r="E39" s="99"/>
      <c r="F39" s="99"/>
      <c r="G39" s="99"/>
      <c r="H39" s="99"/>
      <c r="AH39" s="88" t="s">
        <v>108</v>
      </c>
      <c r="AI39" s="93" t="s">
        <v>109</v>
      </c>
    </row>
    <row r="40" spans="1:35">
      <c r="A40" s="85">
        <v>1</v>
      </c>
      <c r="B40" s="88" t="s">
        <v>110</v>
      </c>
      <c r="C40" s="99">
        <f>C34-C36-C37-C38</f>
        <v>111.00802137000011</v>
      </c>
      <c r="D40" s="99" t="e">
        <f>D34-D36-D37-D38</f>
        <v>#DIV/0!</v>
      </c>
      <c r="E40" s="99" t="e">
        <f t="shared" ref="E40:G40" si="23">E34-E36-E37-E38</f>
        <v>#DIV/0!</v>
      </c>
      <c r="F40" s="99" t="e">
        <f t="shared" si="23"/>
        <v>#DIV/0!</v>
      </c>
      <c r="G40" s="99" t="e">
        <f t="shared" si="23"/>
        <v>#DIV/0!</v>
      </c>
      <c r="H40" s="99"/>
      <c r="AH40" s="88" t="s">
        <v>54</v>
      </c>
      <c r="AI40" s="88" t="s">
        <v>110</v>
      </c>
    </row>
    <row r="41" spans="1:35">
      <c r="A41" s="85">
        <v>2</v>
      </c>
      <c r="B41" s="88" t="s">
        <v>111</v>
      </c>
      <c r="C41" s="99"/>
      <c r="D41" s="99"/>
      <c r="E41" s="99"/>
      <c r="F41" s="99"/>
      <c r="G41" s="99"/>
      <c r="H41" s="99"/>
      <c r="AH41" s="88" t="s">
        <v>56</v>
      </c>
      <c r="AI41" s="88" t="s">
        <v>111</v>
      </c>
    </row>
    <row r="42" spans="1:35">
      <c r="A42" s="88" t="s">
        <v>108</v>
      </c>
      <c r="B42" s="93" t="s">
        <v>113</v>
      </c>
      <c r="C42" s="99"/>
      <c r="D42" s="99"/>
      <c r="E42" s="99"/>
      <c r="F42" s="99"/>
      <c r="G42" s="99"/>
      <c r="H42" s="99"/>
      <c r="AH42" s="88" t="s">
        <v>112</v>
      </c>
      <c r="AI42" s="93" t="s">
        <v>113</v>
      </c>
    </row>
    <row r="43" spans="1:35">
      <c r="A43" s="85">
        <v>1</v>
      </c>
      <c r="B43" s="100" t="s">
        <v>114</v>
      </c>
      <c r="C43" s="97">
        <f>'2025年'!C43</f>
        <v>23.79</v>
      </c>
      <c r="D43" s="97">
        <f>'2025年'!D43</f>
        <v>0</v>
      </c>
      <c r="E43" s="97">
        <f>'2025年'!E43</f>
        <v>0</v>
      </c>
      <c r="F43" s="97">
        <f>'2025年'!F43</f>
        <v>0</v>
      </c>
      <c r="G43" s="97">
        <f>'2025年'!G43</f>
        <v>0</v>
      </c>
      <c r="H43" s="99"/>
      <c r="AH43" s="88" t="s">
        <v>54</v>
      </c>
      <c r="AI43" s="88" t="s">
        <v>114</v>
      </c>
    </row>
    <row r="44" spans="1:35">
      <c r="A44" s="85">
        <v>2</v>
      </c>
      <c r="B44" s="100" t="s">
        <v>115</v>
      </c>
      <c r="C44" s="97">
        <f>'2025年'!C44</f>
        <v>5.46</v>
      </c>
      <c r="D44" s="97">
        <f>'2025年'!D44</f>
        <v>0</v>
      </c>
      <c r="E44" s="97">
        <f>'2025年'!E44</f>
        <v>0</v>
      </c>
      <c r="F44" s="97">
        <f>'2025年'!F44</f>
        <v>0</v>
      </c>
      <c r="G44" s="97">
        <f>'2025年'!G44</f>
        <v>0</v>
      </c>
      <c r="H44" s="99"/>
      <c r="AH44" s="88" t="s">
        <v>56</v>
      </c>
      <c r="AI44" s="88" t="s">
        <v>115</v>
      </c>
    </row>
    <row r="45" spans="1:35">
      <c r="A45" s="85">
        <v>3</v>
      </c>
      <c r="B45" s="100" t="s">
        <v>116</v>
      </c>
      <c r="C45" s="97">
        <f>'2025年'!C45</f>
        <v>20.995000000000001</v>
      </c>
      <c r="D45" s="97">
        <f>'2025年'!D45</f>
        <v>0</v>
      </c>
      <c r="E45" s="97">
        <f>'2025年'!E45</f>
        <v>0</v>
      </c>
      <c r="F45" s="97">
        <f>'2025年'!F45</f>
        <v>0</v>
      </c>
      <c r="G45" s="97">
        <f>'2025年'!G45</f>
        <v>0</v>
      </c>
      <c r="H45" s="99"/>
      <c r="AH45" s="88" t="s">
        <v>101</v>
      </c>
      <c r="AI45" s="88" t="s">
        <v>116</v>
      </c>
    </row>
    <row r="46" spans="1:35" s="83" customFormat="1">
      <c r="A46" s="85">
        <v>4</v>
      </c>
      <c r="B46" s="100" t="s">
        <v>117</v>
      </c>
      <c r="C46" s="105">
        <f>C21/C6</f>
        <v>2.6</v>
      </c>
      <c r="D46" s="105" t="e">
        <f>D21/D6</f>
        <v>#DIV/0!</v>
      </c>
      <c r="E46" s="105" t="e">
        <f t="shared" ref="E46:G46" si="24">E21/E6</f>
        <v>#DIV/0!</v>
      </c>
      <c r="F46" s="105" t="e">
        <f t="shared" si="24"/>
        <v>#DIV/0!</v>
      </c>
      <c r="G46" s="105" t="e">
        <f t="shared" si="24"/>
        <v>#DIV/0!</v>
      </c>
      <c r="H46" s="105"/>
      <c r="AH46" s="100" t="s">
        <v>61</v>
      </c>
      <c r="AI46" s="100" t="s">
        <v>119</v>
      </c>
    </row>
    <row r="47" spans="1:35" s="83" customFormat="1">
      <c r="A47" s="85">
        <v>5</v>
      </c>
      <c r="B47" s="100" t="s">
        <v>119</v>
      </c>
      <c r="C47" s="97">
        <f>'2025年'!C47</f>
        <v>23.074999999999999</v>
      </c>
      <c r="D47" s="97">
        <f>'2025年'!D47</f>
        <v>0</v>
      </c>
      <c r="E47" s="97">
        <f>'2025年'!E47</f>
        <v>0</v>
      </c>
      <c r="F47" s="97">
        <f>'2025年'!F47</f>
        <v>0</v>
      </c>
      <c r="G47" s="97">
        <f>'2025年'!G47</f>
        <v>0</v>
      </c>
      <c r="H47" s="105"/>
      <c r="AH47" s="100" t="s">
        <v>61</v>
      </c>
      <c r="AI47" s="100" t="s">
        <v>119</v>
      </c>
    </row>
    <row r="48" spans="1:35">
      <c r="A48" s="88" t="s">
        <v>112</v>
      </c>
      <c r="B48" s="93" t="s">
        <v>130</v>
      </c>
      <c r="C48" s="99">
        <f>C40-C43-C44-C45-C47-C46</f>
        <v>35.088021370000114</v>
      </c>
      <c r="D48" s="99" t="e">
        <f>D40-D43-D44-D45-D47-D46</f>
        <v>#DIV/0!</v>
      </c>
      <c r="E48" s="99" t="e">
        <f t="shared" ref="E48:G48" si="25">E40-E43-E44-E45-E47-E46</f>
        <v>#DIV/0!</v>
      </c>
      <c r="F48" s="99" t="e">
        <f t="shared" si="25"/>
        <v>#DIV/0!</v>
      </c>
      <c r="G48" s="99" t="e">
        <f t="shared" si="25"/>
        <v>#DIV/0!</v>
      </c>
      <c r="H48" s="99"/>
      <c r="AH48" s="88" t="s">
        <v>129</v>
      </c>
      <c r="AI48" s="93" t="s">
        <v>130</v>
      </c>
    </row>
    <row r="51" spans="2:13">
      <c r="C51" s="106"/>
      <c r="D51" s="106"/>
      <c r="E51" s="106"/>
      <c r="F51" s="106"/>
      <c r="G51" s="106"/>
    </row>
    <row r="54" spans="2:13">
      <c r="B54" s="2"/>
      <c r="C54" s="107"/>
      <c r="D54" s="107"/>
      <c r="E54" s="107"/>
      <c r="F54" s="107"/>
      <c r="G54" s="107"/>
      <c r="H54" s="107"/>
      <c r="I54" s="2"/>
      <c r="J54" s="2"/>
      <c r="K54" s="2"/>
      <c r="L54" s="2"/>
      <c r="M54" s="2"/>
    </row>
    <row r="55" spans="2:13">
      <c r="B55" s="2"/>
      <c r="C55" s="107"/>
      <c r="D55" s="107"/>
      <c r="E55" s="107"/>
      <c r="F55" s="107"/>
      <c r="G55" s="107"/>
      <c r="H55" s="107"/>
      <c r="I55" s="2"/>
      <c r="J55" s="2"/>
      <c r="K55" s="2"/>
      <c r="L55" s="2"/>
      <c r="M55" s="2"/>
    </row>
    <row r="56" spans="2:13">
      <c r="B56" s="2"/>
      <c r="C56" s="107"/>
      <c r="D56" s="107"/>
      <c r="E56" s="107"/>
      <c r="F56" s="107"/>
      <c r="G56" s="107"/>
      <c r="H56" s="107"/>
      <c r="I56" s="2"/>
      <c r="J56" s="2"/>
      <c r="K56" s="2"/>
      <c r="L56" s="2"/>
      <c r="M56" s="2"/>
    </row>
    <row r="57" spans="2:13">
      <c r="B57" s="2"/>
      <c r="C57" s="107"/>
      <c r="D57" s="107"/>
      <c r="E57" s="107"/>
      <c r="F57" s="107"/>
      <c r="G57" s="107"/>
      <c r="H57" s="107"/>
      <c r="I57" s="2"/>
      <c r="J57" s="2"/>
      <c r="K57" s="2"/>
      <c r="L57" s="2"/>
      <c r="M57" s="2"/>
    </row>
    <row r="58" spans="2:13">
      <c r="B58" s="2"/>
      <c r="C58" s="107"/>
      <c r="D58" s="107"/>
      <c r="E58" s="107"/>
      <c r="F58" s="107"/>
      <c r="G58" s="107"/>
      <c r="H58" s="107"/>
      <c r="I58" s="2"/>
      <c r="J58" s="2"/>
      <c r="K58" s="2"/>
      <c r="L58" s="2"/>
      <c r="M58" s="2"/>
    </row>
    <row r="59" spans="2:13">
      <c r="B59" s="2"/>
      <c r="C59" s="107"/>
      <c r="D59" s="107"/>
      <c r="E59" s="107"/>
      <c r="F59" s="107"/>
      <c r="G59" s="107"/>
      <c r="H59" s="107"/>
      <c r="I59" s="2"/>
      <c r="J59" s="2"/>
      <c r="K59" s="2"/>
      <c r="L59" s="2"/>
      <c r="M59" s="2"/>
    </row>
    <row r="60" spans="2:13">
      <c r="B60" s="2"/>
      <c r="C60" s="107"/>
      <c r="D60" s="107"/>
      <c r="E60" s="107"/>
      <c r="F60" s="107"/>
      <c r="G60" s="107"/>
      <c r="H60" s="107"/>
      <c r="I60" s="2"/>
      <c r="J60" s="2"/>
      <c r="K60" s="2"/>
      <c r="L60" s="2"/>
      <c r="M60" s="2"/>
    </row>
    <row r="61" spans="2:13">
      <c r="B61" s="2"/>
      <c r="C61" s="107"/>
      <c r="D61" s="107"/>
      <c r="E61" s="107"/>
      <c r="F61" s="107"/>
      <c r="G61" s="107"/>
      <c r="H61" s="107"/>
      <c r="I61" s="2"/>
      <c r="J61" s="2"/>
      <c r="K61" s="2"/>
      <c r="L61" s="2"/>
      <c r="M61" s="2"/>
    </row>
    <row r="62" spans="2:13">
      <c r="B62" s="2"/>
      <c r="C62" s="107"/>
      <c r="D62" s="107"/>
      <c r="E62" s="107"/>
      <c r="F62" s="107"/>
      <c r="G62" s="107"/>
      <c r="H62" s="107"/>
      <c r="I62" s="2"/>
      <c r="J62" s="2"/>
      <c r="K62" s="2"/>
      <c r="L62" s="2"/>
      <c r="M62" s="2"/>
    </row>
    <row r="63" spans="2:13">
      <c r="B63" s="2"/>
      <c r="C63" s="107"/>
      <c r="D63" s="107"/>
      <c r="E63" s="107"/>
      <c r="F63" s="107"/>
      <c r="G63" s="107"/>
      <c r="H63" s="107"/>
      <c r="I63" s="2"/>
      <c r="J63" s="2"/>
      <c r="K63" s="2"/>
      <c r="L63" s="2"/>
      <c r="M63" s="2"/>
    </row>
    <row r="64" spans="2:13">
      <c r="B64" s="2"/>
      <c r="C64" s="107"/>
      <c r="D64" s="107"/>
      <c r="E64" s="107"/>
      <c r="F64" s="107"/>
      <c r="G64" s="107"/>
      <c r="H64" s="107"/>
      <c r="I64" s="2"/>
      <c r="J64" s="2"/>
      <c r="K64" s="2"/>
      <c r="L64" s="2"/>
      <c r="M64" s="2"/>
    </row>
    <row r="65" spans="2:13">
      <c r="B65" s="2"/>
      <c r="C65" s="107"/>
      <c r="D65" s="107"/>
      <c r="E65" s="107"/>
      <c r="F65" s="107"/>
      <c r="G65" s="107"/>
      <c r="H65" s="107"/>
      <c r="I65" s="2"/>
      <c r="J65" s="2"/>
      <c r="K65" s="2"/>
      <c r="L65" s="2"/>
      <c r="M65" s="2"/>
    </row>
    <row r="66" spans="2:13">
      <c r="B66" s="2"/>
      <c r="C66" s="107"/>
      <c r="D66" s="107"/>
      <c r="E66" s="107"/>
      <c r="F66" s="107"/>
      <c r="G66" s="107"/>
      <c r="H66" s="107"/>
      <c r="I66" s="2"/>
      <c r="J66" s="2"/>
      <c r="K66" s="2"/>
      <c r="L66" s="2"/>
      <c r="M66" s="2"/>
    </row>
    <row r="67" spans="2:13">
      <c r="B67" s="2"/>
      <c r="C67" s="107"/>
      <c r="D67" s="107"/>
      <c r="E67" s="107"/>
      <c r="F67" s="107"/>
      <c r="G67" s="107"/>
      <c r="H67" s="107"/>
      <c r="I67" s="2"/>
    </row>
    <row r="68" spans="2:13">
      <c r="B68" s="2"/>
      <c r="C68" s="107"/>
      <c r="D68" s="107"/>
      <c r="E68" s="107"/>
      <c r="F68" s="107"/>
      <c r="G68" s="107"/>
      <c r="H68" s="107"/>
      <c r="I68" s="2"/>
    </row>
    <row r="69" spans="2:13">
      <c r="B69" s="2"/>
      <c r="C69" s="107"/>
      <c r="D69" s="107"/>
      <c r="E69" s="107"/>
      <c r="F69" s="107"/>
      <c r="G69" s="107"/>
      <c r="H69" s="107"/>
      <c r="I69" s="2"/>
    </row>
    <row r="70" spans="2:13">
      <c r="B70" s="2"/>
      <c r="C70" s="107"/>
      <c r="D70" s="107"/>
      <c r="E70" s="107"/>
      <c r="F70" s="107"/>
      <c r="G70" s="107"/>
      <c r="H70" s="107"/>
      <c r="I70" s="2"/>
    </row>
    <row r="71" spans="2:13">
      <c r="B71" s="2"/>
      <c r="C71" s="107"/>
      <c r="D71" s="107"/>
      <c r="E71" s="107"/>
      <c r="F71" s="107"/>
      <c r="G71" s="107"/>
      <c r="H71" s="107"/>
      <c r="I71" s="2"/>
    </row>
    <row r="72" spans="2:13">
      <c r="B72" s="2"/>
      <c r="C72" s="107"/>
      <c r="D72" s="107"/>
      <c r="E72" s="107"/>
      <c r="F72" s="107"/>
      <c r="G72" s="107"/>
      <c r="H72" s="107"/>
      <c r="I72" s="2"/>
    </row>
    <row r="73" spans="2:13">
      <c r="B73" s="2"/>
      <c r="C73" s="107"/>
      <c r="D73" s="107"/>
      <c r="E73" s="107"/>
      <c r="F73" s="107"/>
      <c r="G73" s="107"/>
      <c r="H73" s="107"/>
      <c r="I73" s="2"/>
    </row>
    <row r="74" spans="2:13">
      <c r="B74" s="2"/>
      <c r="C74" s="107"/>
      <c r="D74" s="107"/>
      <c r="E74" s="107"/>
      <c r="F74" s="107"/>
      <c r="G74" s="107"/>
      <c r="H74" s="107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zoomScale="90" zoomScaleNormal="90" workbookViewId="0">
      <selection activeCell="B25" sqref="B25:H25"/>
    </sheetView>
  </sheetViews>
  <sheetFormatPr defaultColWidth="9" defaultRowHeight="16.5"/>
  <cols>
    <col min="1" max="1" width="5.125" style="81" customWidth="1"/>
    <col min="2" max="2" width="17.5" style="81" customWidth="1"/>
    <col min="3" max="7" width="14.375" style="84" customWidth="1"/>
    <col min="8" max="8" width="18.75" style="84" customWidth="1"/>
    <col min="9" max="9" width="12.375" style="81" customWidth="1"/>
    <col min="10" max="10" width="10.125" style="81" customWidth="1"/>
    <col min="11" max="17" width="9" style="81" customWidth="1"/>
    <col min="18" max="33" width="9" style="81"/>
    <col min="34" max="34" width="4.375" style="81" customWidth="1"/>
    <col min="35" max="35" width="13.875" style="81" customWidth="1"/>
    <col min="36" max="16384" width="9" style="81"/>
  </cols>
  <sheetData>
    <row r="1" spans="1:36">
      <c r="A1" s="202" t="s">
        <v>140</v>
      </c>
      <c r="B1" s="202"/>
      <c r="C1" s="206" t="s">
        <v>262</v>
      </c>
      <c r="D1" s="207"/>
      <c r="E1" s="207"/>
      <c r="F1" s="207"/>
      <c r="G1" s="207"/>
      <c r="H1" s="208"/>
    </row>
    <row r="2" spans="1:36">
      <c r="A2" s="202" t="s">
        <v>141</v>
      </c>
      <c r="B2" s="202"/>
      <c r="C2" s="209" t="str">
        <f>'2025年'!$C$2</f>
        <v>一汽解放汽车有限公司</v>
      </c>
      <c r="D2" s="209"/>
      <c r="E2" s="209"/>
      <c r="F2" s="209"/>
      <c r="G2" s="209"/>
      <c r="H2" s="209"/>
    </row>
    <row r="3" spans="1:36">
      <c r="A3" s="202" t="s">
        <v>142</v>
      </c>
      <c r="B3" s="202"/>
      <c r="C3" s="86" t="str">
        <f>'2025年'!C3</f>
        <v>前座总成</v>
      </c>
      <c r="D3" s="86">
        <f>'2025年'!D3</f>
        <v>0</v>
      </c>
      <c r="E3" s="86">
        <f>'2025年'!E3</f>
        <v>0</v>
      </c>
      <c r="F3" s="86">
        <f>'2025年'!F3</f>
        <v>0</v>
      </c>
      <c r="G3" s="86">
        <f>'2025年'!G3</f>
        <v>0</v>
      </c>
      <c r="H3" s="203" t="s">
        <v>50</v>
      </c>
    </row>
    <row r="4" spans="1:36">
      <c r="A4" s="202" t="s">
        <v>143</v>
      </c>
      <c r="B4" s="202"/>
      <c r="C4" s="86" t="str">
        <f>'2025年'!C4</f>
        <v>6900010UH13J/A</v>
      </c>
      <c r="D4" s="86">
        <f>'2025年'!D4</f>
        <v>0</v>
      </c>
      <c r="E4" s="86">
        <f>'2025年'!E4</f>
        <v>0</v>
      </c>
      <c r="F4" s="86">
        <f>'2025年'!F4</f>
        <v>0</v>
      </c>
      <c r="G4" s="86">
        <f>'2025年'!G4</f>
        <v>0</v>
      </c>
      <c r="H4" s="204"/>
    </row>
    <row r="5" spans="1:36" ht="42.75">
      <c r="A5" s="202" t="s">
        <v>144</v>
      </c>
      <c r="B5" s="202"/>
      <c r="C5" s="87" t="str">
        <f>'2025年'!C5</f>
        <v>管梁副驾带安全带</v>
      </c>
      <c r="D5" s="87">
        <f>'2025年'!D5</f>
        <v>0</v>
      </c>
      <c r="E5" s="87">
        <f>'2025年'!E5</f>
        <v>0</v>
      </c>
      <c r="F5" s="87">
        <f>'2025年'!F5</f>
        <v>0</v>
      </c>
      <c r="G5" s="87">
        <f>'2025年'!G5</f>
        <v>0</v>
      </c>
      <c r="H5" s="205"/>
      <c r="AJ5" s="81" t="s">
        <v>51</v>
      </c>
    </row>
    <row r="6" spans="1:36">
      <c r="A6" s="88" t="s">
        <v>17</v>
      </c>
      <c r="B6" s="89" t="s">
        <v>145</v>
      </c>
      <c r="C6" s="90">
        <f>销量!C13</f>
        <v>1000</v>
      </c>
      <c r="D6" s="90">
        <f>销量!D13</f>
        <v>0</v>
      </c>
      <c r="E6" s="90">
        <f>销量!E13</f>
        <v>0</v>
      </c>
      <c r="F6" s="90">
        <f>销量!F13</f>
        <v>0</v>
      </c>
      <c r="G6" s="90">
        <f>销量!G13</f>
        <v>0</v>
      </c>
      <c r="H6" s="91">
        <f>+SUM(C6:G6)</f>
        <v>1000</v>
      </c>
      <c r="AH6" s="88" t="s">
        <v>17</v>
      </c>
      <c r="AI6" s="89" t="s">
        <v>3</v>
      </c>
      <c r="AJ6" s="81" t="s">
        <v>52</v>
      </c>
    </row>
    <row r="7" spans="1:36">
      <c r="A7" s="85">
        <v>1</v>
      </c>
      <c r="B7" s="89" t="s">
        <v>53</v>
      </c>
      <c r="C7" s="91">
        <f>C6*销量!C8</f>
        <v>650000</v>
      </c>
      <c r="D7" s="91">
        <f>D6*销量!D8</f>
        <v>0</v>
      </c>
      <c r="E7" s="91">
        <f>E6*销量!E8</f>
        <v>0</v>
      </c>
      <c r="F7" s="91">
        <f>F6*销量!F8</f>
        <v>0</v>
      </c>
      <c r="G7" s="91">
        <f>G6*销量!G8</f>
        <v>0</v>
      </c>
      <c r="H7" s="91">
        <f t="shared" ref="H7:H13" si="0">+SUM(C7:G7)</f>
        <v>650000</v>
      </c>
      <c r="I7" s="84"/>
      <c r="AH7" s="88" t="s">
        <v>54</v>
      </c>
      <c r="AI7" s="89" t="s">
        <v>53</v>
      </c>
      <c r="AJ7" s="81" t="s">
        <v>52</v>
      </c>
    </row>
    <row r="8" spans="1:36">
      <c r="A8" s="85">
        <v>2</v>
      </c>
      <c r="B8" s="85" t="s">
        <v>55</v>
      </c>
      <c r="C8" s="91">
        <f>C7*(1-销量!$K$10)</f>
        <v>74559.673500000048</v>
      </c>
      <c r="D8" s="91">
        <f>D7*(1-销量!$K$10)</f>
        <v>0</v>
      </c>
      <c r="E8" s="91">
        <f>E7*(1-销量!$K$10)</f>
        <v>0</v>
      </c>
      <c r="F8" s="91">
        <f>F7*(1-销量!$K$10)</f>
        <v>0</v>
      </c>
      <c r="G8" s="91">
        <f>G7*(1-销量!$K$10)</f>
        <v>0</v>
      </c>
      <c r="H8" s="91">
        <f t="shared" si="0"/>
        <v>74559.673500000048</v>
      </c>
      <c r="I8" s="92"/>
      <c r="AH8" s="88" t="s">
        <v>56</v>
      </c>
      <c r="AI8" s="85" t="s">
        <v>57</v>
      </c>
      <c r="AJ8" s="81" t="s">
        <v>52</v>
      </c>
    </row>
    <row r="9" spans="1:36">
      <c r="A9" s="85">
        <v>3</v>
      </c>
      <c r="B9" s="89" t="s">
        <v>58</v>
      </c>
      <c r="C9" s="91">
        <f>+C7-C8</f>
        <v>575440.32649999997</v>
      </c>
      <c r="D9" s="91">
        <f>+D7-D8</f>
        <v>0</v>
      </c>
      <c r="E9" s="91">
        <f t="shared" ref="E9:H9" si="1">+E7-E8</f>
        <v>0</v>
      </c>
      <c r="F9" s="91">
        <f t="shared" si="1"/>
        <v>0</v>
      </c>
      <c r="G9" s="91">
        <f t="shared" si="1"/>
        <v>0</v>
      </c>
      <c r="H9" s="91">
        <f t="shared" si="1"/>
        <v>575440.32649999997</v>
      </c>
      <c r="AH9" s="88" t="s">
        <v>59</v>
      </c>
      <c r="AI9" s="89" t="s">
        <v>58</v>
      </c>
      <c r="AJ9" s="81" t="s">
        <v>60</v>
      </c>
    </row>
    <row r="10" spans="1:36">
      <c r="A10" s="85">
        <v>4</v>
      </c>
      <c r="B10" s="88" t="s">
        <v>62</v>
      </c>
      <c r="C10" s="91">
        <f>C6*C33</f>
        <v>442920.84577109996</v>
      </c>
      <c r="D10" s="91">
        <f>D6*D33</f>
        <v>0</v>
      </c>
      <c r="E10" s="91">
        <f t="shared" ref="E10:G10" si="2">E6*E33</f>
        <v>0</v>
      </c>
      <c r="F10" s="91">
        <f t="shared" si="2"/>
        <v>0</v>
      </c>
      <c r="G10" s="91">
        <f t="shared" si="2"/>
        <v>0</v>
      </c>
      <c r="H10" s="91">
        <f t="shared" si="0"/>
        <v>442920.84577109996</v>
      </c>
      <c r="AH10" s="88" t="s">
        <v>61</v>
      </c>
      <c r="AI10" s="88" t="s">
        <v>62</v>
      </c>
      <c r="AJ10" s="81" t="s">
        <v>63</v>
      </c>
    </row>
    <row r="11" spans="1:36">
      <c r="A11" s="85">
        <v>5</v>
      </c>
      <c r="B11" s="88" t="s">
        <v>64</v>
      </c>
      <c r="C11" s="91">
        <f>+C6*C36</f>
        <v>7995</v>
      </c>
      <c r="D11" s="91">
        <f>+D6*D36</f>
        <v>0</v>
      </c>
      <c r="E11" s="91">
        <f t="shared" ref="E11:G11" si="3">+E6*E36</f>
        <v>0</v>
      </c>
      <c r="F11" s="91">
        <f t="shared" si="3"/>
        <v>0</v>
      </c>
      <c r="G11" s="91">
        <f t="shared" si="3"/>
        <v>0</v>
      </c>
      <c r="H11" s="91">
        <f t="shared" si="0"/>
        <v>7995</v>
      </c>
      <c r="AH11" s="88" t="s">
        <v>65</v>
      </c>
      <c r="AI11" s="88" t="s">
        <v>64</v>
      </c>
    </row>
    <row r="12" spans="1:36">
      <c r="A12" s="85">
        <v>6</v>
      </c>
      <c r="B12" s="88" t="s">
        <v>66</v>
      </c>
      <c r="C12" s="91">
        <f>+C6*C37</f>
        <v>7215.0000000000009</v>
      </c>
      <c r="D12" s="91">
        <f>+D6*D37</f>
        <v>0</v>
      </c>
      <c r="E12" s="91">
        <f t="shared" ref="E12:G12" si="4">+E6*E37</f>
        <v>0</v>
      </c>
      <c r="F12" s="91">
        <f t="shared" si="4"/>
        <v>0</v>
      </c>
      <c r="G12" s="91">
        <f t="shared" si="4"/>
        <v>0</v>
      </c>
      <c r="H12" s="91">
        <f t="shared" si="0"/>
        <v>7215.0000000000009</v>
      </c>
      <c r="AH12" s="88" t="s">
        <v>67</v>
      </c>
      <c r="AI12" s="88" t="s">
        <v>66</v>
      </c>
    </row>
    <row r="13" spans="1:36">
      <c r="A13" s="85">
        <v>7</v>
      </c>
      <c r="B13" s="88" t="s">
        <v>68</v>
      </c>
      <c r="C13" s="91">
        <f>+C6*C38</f>
        <v>10400</v>
      </c>
      <c r="D13" s="91">
        <f>+D6*D38</f>
        <v>0</v>
      </c>
      <c r="E13" s="91">
        <f t="shared" ref="E13:G13" si="5">+E6*E38</f>
        <v>0</v>
      </c>
      <c r="F13" s="91">
        <f t="shared" si="5"/>
        <v>0</v>
      </c>
      <c r="G13" s="91">
        <f t="shared" si="5"/>
        <v>0</v>
      </c>
      <c r="H13" s="91">
        <f t="shared" si="0"/>
        <v>10400</v>
      </c>
      <c r="AH13" s="88" t="s">
        <v>69</v>
      </c>
      <c r="AI13" s="88" t="s">
        <v>68</v>
      </c>
      <c r="AJ13" s="81" t="s">
        <v>52</v>
      </c>
    </row>
    <row r="14" spans="1:36">
      <c r="A14" s="85">
        <v>8</v>
      </c>
      <c r="B14" s="93" t="s">
        <v>70</v>
      </c>
      <c r="C14" s="91">
        <f>SUM(C11:C13)</f>
        <v>25610</v>
      </c>
      <c r="D14" s="91">
        <f>SUM(D11:D13)</f>
        <v>0</v>
      </c>
      <c r="E14" s="91">
        <f t="shared" ref="E14:H14" si="6">SUM(E11:E13)</f>
        <v>0</v>
      </c>
      <c r="F14" s="91">
        <f t="shared" si="6"/>
        <v>0</v>
      </c>
      <c r="G14" s="91">
        <f t="shared" si="6"/>
        <v>0</v>
      </c>
      <c r="H14" s="91">
        <f t="shared" si="6"/>
        <v>25610</v>
      </c>
      <c r="AH14" s="88" t="s">
        <v>71</v>
      </c>
      <c r="AI14" s="93" t="s">
        <v>70</v>
      </c>
    </row>
    <row r="15" spans="1:36">
      <c r="A15" s="85">
        <v>9</v>
      </c>
      <c r="B15" s="93" t="s">
        <v>72</v>
      </c>
      <c r="C15" s="91">
        <f>+C9-C10-C14</f>
        <v>106909.4807289</v>
      </c>
      <c r="D15" s="91">
        <f>+D9-D10-D14</f>
        <v>0</v>
      </c>
      <c r="E15" s="91">
        <f t="shared" ref="E15:H15" si="7">+E9-E10-E14</f>
        <v>0</v>
      </c>
      <c r="F15" s="91">
        <f t="shared" si="7"/>
        <v>0</v>
      </c>
      <c r="G15" s="91">
        <f t="shared" si="7"/>
        <v>0</v>
      </c>
      <c r="H15" s="91">
        <f t="shared" si="7"/>
        <v>106909.4807289</v>
      </c>
      <c r="AH15" s="88" t="s">
        <v>73</v>
      </c>
      <c r="AI15" s="93" t="s">
        <v>72</v>
      </c>
    </row>
    <row r="16" spans="1:36">
      <c r="A16" s="85">
        <v>10</v>
      </c>
      <c r="B16" s="88" t="s">
        <v>74</v>
      </c>
      <c r="C16" s="94">
        <f>+C15/C9</f>
        <v>0.18578725856624512</v>
      </c>
      <c r="D16" s="94" t="e">
        <f>+D15/D9</f>
        <v>#DIV/0!</v>
      </c>
      <c r="E16" s="94" t="e">
        <f t="shared" ref="E16:G16" si="8">+E15/E9</f>
        <v>#DIV/0!</v>
      </c>
      <c r="F16" s="94" t="e">
        <f t="shared" si="8"/>
        <v>#DIV/0!</v>
      </c>
      <c r="G16" s="94" t="e">
        <f t="shared" si="8"/>
        <v>#DIV/0!</v>
      </c>
      <c r="H16" s="94">
        <f>+H15/H9</f>
        <v>0.18578725856624512</v>
      </c>
      <c r="I16" s="95"/>
      <c r="J16" s="95"/>
      <c r="K16" s="95"/>
      <c r="AH16" s="88" t="s">
        <v>75</v>
      </c>
      <c r="AI16" s="88" t="s">
        <v>74</v>
      </c>
    </row>
    <row r="17" spans="1:36">
      <c r="A17" s="85">
        <v>11</v>
      </c>
      <c r="B17" s="88" t="s">
        <v>76</v>
      </c>
      <c r="C17" s="91">
        <f>C6*C43+C18</f>
        <v>56090</v>
      </c>
      <c r="D17" s="91">
        <f>D6*D43+D18</f>
        <v>0</v>
      </c>
      <c r="E17" s="91">
        <f t="shared" ref="E17:G17" si="9">E6*E43+E18</f>
        <v>0</v>
      </c>
      <c r="F17" s="91">
        <f t="shared" si="9"/>
        <v>0</v>
      </c>
      <c r="G17" s="91">
        <f t="shared" si="9"/>
        <v>0</v>
      </c>
      <c r="H17" s="91">
        <f t="shared" ref="H17" si="10">+SUM(C17:G17)</f>
        <v>56090</v>
      </c>
      <c r="I17" s="92"/>
      <c r="AH17" s="88" t="s">
        <v>77</v>
      </c>
      <c r="AI17" s="88" t="s">
        <v>76</v>
      </c>
    </row>
    <row r="18" spans="1:36" s="82" customFormat="1">
      <c r="A18" s="85">
        <v>12</v>
      </c>
      <c r="B18" s="96" t="s">
        <v>146</v>
      </c>
      <c r="C18" s="97">
        <f>$H$18/$H$6*C6</f>
        <v>32299.999999999996</v>
      </c>
      <c r="D18" s="97">
        <f>$H$18/$H$6*D6</f>
        <v>0</v>
      </c>
      <c r="E18" s="97">
        <f t="shared" ref="E18:G18" si="11">$H$18/$H$6*E6</f>
        <v>0</v>
      </c>
      <c r="F18" s="97">
        <f t="shared" si="11"/>
        <v>0</v>
      </c>
      <c r="G18" s="97">
        <f t="shared" si="11"/>
        <v>0</v>
      </c>
      <c r="H18" s="91">
        <f>项目投资!H26</f>
        <v>32300</v>
      </c>
      <c r="I18" s="98" t="s">
        <v>147</v>
      </c>
      <c r="J18" s="98"/>
      <c r="K18" s="98"/>
    </row>
    <row r="19" spans="1:36">
      <c r="A19" s="85">
        <v>13</v>
      </c>
      <c r="B19" s="88" t="s">
        <v>78</v>
      </c>
      <c r="C19" s="91">
        <f>C6*C44</f>
        <v>5460</v>
      </c>
      <c r="D19" s="91">
        <f>D6*D44</f>
        <v>0</v>
      </c>
      <c r="E19" s="91">
        <f t="shared" ref="E19:G19" si="12">E6*E44</f>
        <v>0</v>
      </c>
      <c r="F19" s="91">
        <f t="shared" si="12"/>
        <v>0</v>
      </c>
      <c r="G19" s="91">
        <f t="shared" si="12"/>
        <v>0</v>
      </c>
      <c r="H19" s="91">
        <f t="shared" ref="H19:H20" si="13">+SUM(C19:G19)</f>
        <v>5460</v>
      </c>
      <c r="I19" s="82"/>
      <c r="AH19" s="88" t="s">
        <v>79</v>
      </c>
      <c r="AI19" s="88" t="s">
        <v>78</v>
      </c>
      <c r="AJ19" s="81" t="s">
        <v>52</v>
      </c>
    </row>
    <row r="20" spans="1:36">
      <c r="A20" s="85">
        <v>14</v>
      </c>
      <c r="B20" s="88" t="s">
        <v>80</v>
      </c>
      <c r="C20" s="91">
        <f>C6*C45</f>
        <v>20995</v>
      </c>
      <c r="D20" s="91">
        <f>D6*D45</f>
        <v>0</v>
      </c>
      <c r="E20" s="91">
        <f t="shared" ref="E20:G20" si="14">E6*E45</f>
        <v>0</v>
      </c>
      <c r="F20" s="91">
        <f t="shared" si="14"/>
        <v>0</v>
      </c>
      <c r="G20" s="91">
        <f t="shared" si="14"/>
        <v>0</v>
      </c>
      <c r="H20" s="91">
        <f t="shared" si="13"/>
        <v>20995</v>
      </c>
      <c r="AH20" s="88" t="s">
        <v>81</v>
      </c>
      <c r="AI20" s="88" t="s">
        <v>80</v>
      </c>
    </row>
    <row r="21" spans="1:36">
      <c r="A21" s="85">
        <v>15</v>
      </c>
      <c r="B21" s="88" t="s">
        <v>82</v>
      </c>
      <c r="C21" s="99">
        <f>$H$21/$H$6*C6</f>
        <v>2600</v>
      </c>
      <c r="D21" s="99">
        <f>$H$21/$H$6*D6</f>
        <v>0</v>
      </c>
      <c r="E21" s="99">
        <f t="shared" ref="E21:G21" si="15">$H$21/$H$6*E6</f>
        <v>0</v>
      </c>
      <c r="F21" s="99">
        <f t="shared" si="15"/>
        <v>0</v>
      </c>
      <c r="G21" s="99">
        <f t="shared" si="15"/>
        <v>0</v>
      </c>
      <c r="H21" s="91">
        <f>项目投资!H27</f>
        <v>2600</v>
      </c>
      <c r="AH21" s="88"/>
      <c r="AI21" s="88"/>
    </row>
    <row r="22" spans="1:36">
      <c r="A22" s="85">
        <v>16</v>
      </c>
      <c r="B22" s="88" t="s">
        <v>83</v>
      </c>
      <c r="C22" s="91">
        <f>C6*C47</f>
        <v>23075</v>
      </c>
      <c r="D22" s="91">
        <f>D6*D47</f>
        <v>0</v>
      </c>
      <c r="E22" s="91">
        <f t="shared" ref="E22:G22" si="16">E6*E47</f>
        <v>0</v>
      </c>
      <c r="F22" s="91">
        <f t="shared" si="16"/>
        <v>0</v>
      </c>
      <c r="G22" s="91">
        <f t="shared" si="16"/>
        <v>0</v>
      </c>
      <c r="H22" s="91">
        <f t="shared" ref="H22" si="17">+SUM(C22:G22)</f>
        <v>23075</v>
      </c>
      <c r="AH22" s="88" t="s">
        <v>84</v>
      </c>
      <c r="AI22" s="88" t="s">
        <v>83</v>
      </c>
    </row>
    <row r="23" spans="1:36">
      <c r="A23" s="85">
        <v>17</v>
      </c>
      <c r="B23" s="93" t="s">
        <v>85</v>
      </c>
      <c r="C23" s="99">
        <f>+C22+C21+C20+C19+C17</f>
        <v>108220</v>
      </c>
      <c r="D23" s="99">
        <f>+D22+D21+D20+D19+D17</f>
        <v>0</v>
      </c>
      <c r="E23" s="99">
        <f t="shared" ref="E23:G23" si="18">+E22+E21+E20+E19+E17</f>
        <v>0</v>
      </c>
      <c r="F23" s="99">
        <f t="shared" si="18"/>
        <v>0</v>
      </c>
      <c r="G23" s="99">
        <f t="shared" si="18"/>
        <v>0</v>
      </c>
      <c r="H23" s="99">
        <f>+H22+H21+H20+H19+H17</f>
        <v>108220</v>
      </c>
      <c r="AH23" s="88" t="s">
        <v>86</v>
      </c>
      <c r="AI23" s="93" t="s">
        <v>85</v>
      </c>
    </row>
    <row r="24" spans="1:36">
      <c r="A24" s="85">
        <v>18</v>
      </c>
      <c r="B24" s="100" t="s">
        <v>87</v>
      </c>
      <c r="C24" s="99">
        <f>+C15-C23</f>
        <v>-1310.5192710999982</v>
      </c>
      <c r="D24" s="99">
        <f>+D15-D23</f>
        <v>0</v>
      </c>
      <c r="E24" s="99">
        <f t="shared" ref="E24:G24" si="19">+E15-E23</f>
        <v>0</v>
      </c>
      <c r="F24" s="99">
        <f t="shared" si="19"/>
        <v>0</v>
      </c>
      <c r="G24" s="99">
        <f t="shared" si="19"/>
        <v>0</v>
      </c>
      <c r="H24" s="99">
        <f>+H15-H23</f>
        <v>-1310.5192710999982</v>
      </c>
      <c r="J24" s="101"/>
      <c r="AH24" s="88" t="s">
        <v>88</v>
      </c>
      <c r="AI24" s="88" t="s">
        <v>87</v>
      </c>
    </row>
    <row r="25" spans="1:36">
      <c r="A25" s="85">
        <v>19</v>
      </c>
      <c r="B25" s="88" t="s">
        <v>302</v>
      </c>
      <c r="C25" s="99">
        <f>IF(C24&lt;0,0,C24*0.25)</f>
        <v>0</v>
      </c>
      <c r="D25" s="99">
        <f t="shared" ref="D25:H25" si="20">IF(D24&lt;0,0,D24*0.25)</f>
        <v>0</v>
      </c>
      <c r="E25" s="99">
        <f t="shared" si="20"/>
        <v>0</v>
      </c>
      <c r="F25" s="99">
        <f t="shared" si="20"/>
        <v>0</v>
      </c>
      <c r="G25" s="99">
        <f t="shared" si="20"/>
        <v>0</v>
      </c>
      <c r="H25" s="99">
        <f t="shared" si="20"/>
        <v>0</v>
      </c>
      <c r="I25" s="2"/>
      <c r="J25" s="2"/>
      <c r="K25" s="2"/>
      <c r="AH25" s="88" t="s">
        <v>89</v>
      </c>
      <c r="AI25" s="88" t="s">
        <v>34</v>
      </c>
    </row>
    <row r="26" spans="1:36">
      <c r="A26" s="85">
        <v>20</v>
      </c>
      <c r="B26" s="88" t="s">
        <v>90</v>
      </c>
      <c r="C26" s="99">
        <f>C24-C25</f>
        <v>-1310.5192710999982</v>
      </c>
      <c r="D26" s="99">
        <f>D24-D25</f>
        <v>0</v>
      </c>
      <c r="E26" s="99">
        <f t="shared" ref="E26:H26" si="21">E24-E25</f>
        <v>0</v>
      </c>
      <c r="F26" s="99">
        <f t="shared" si="21"/>
        <v>0</v>
      </c>
      <c r="G26" s="99">
        <f t="shared" si="21"/>
        <v>0</v>
      </c>
      <c r="H26" s="99">
        <f t="shared" si="21"/>
        <v>-1310.5192710999982</v>
      </c>
      <c r="I26" s="2"/>
      <c r="J26" s="2"/>
      <c r="K26" s="2"/>
      <c r="AH26" s="88" t="s">
        <v>91</v>
      </c>
      <c r="AI26" s="88" t="s">
        <v>90</v>
      </c>
    </row>
    <row r="27" spans="1:36">
      <c r="A27" s="85">
        <v>21</v>
      </c>
      <c r="B27" s="88" t="s">
        <v>94</v>
      </c>
      <c r="C27" s="102">
        <f>C26/C9</f>
        <v>-2.2774199352189445E-3</v>
      </c>
      <c r="D27" s="102" t="e">
        <f t="shared" ref="D27:H27" si="22">D26/D9</f>
        <v>#DIV/0!</v>
      </c>
      <c r="E27" s="102" t="e">
        <f t="shared" si="22"/>
        <v>#DIV/0!</v>
      </c>
      <c r="F27" s="102" t="e">
        <f t="shared" si="22"/>
        <v>#DIV/0!</v>
      </c>
      <c r="G27" s="102" t="e">
        <f t="shared" si="22"/>
        <v>#DIV/0!</v>
      </c>
      <c r="H27" s="102">
        <f t="shared" si="22"/>
        <v>-2.2774199352189445E-3</v>
      </c>
      <c r="I27" s="2"/>
      <c r="J27" s="2"/>
      <c r="K27" s="2"/>
      <c r="AH27" s="88" t="s">
        <v>93</v>
      </c>
      <c r="AI27" s="88" t="s">
        <v>94</v>
      </c>
    </row>
    <row r="28" spans="1:36">
      <c r="I28" s="2"/>
      <c r="J28" s="2"/>
      <c r="K28" s="2"/>
    </row>
    <row r="29" spans="1:36">
      <c r="A29" s="81" t="s">
        <v>95</v>
      </c>
      <c r="H29" s="84" t="s">
        <v>148</v>
      </c>
      <c r="I29" s="2"/>
      <c r="J29" s="2"/>
      <c r="K29" s="2"/>
      <c r="AH29" s="81" t="s">
        <v>95</v>
      </c>
    </row>
    <row r="30" spans="1:36" ht="21" customHeight="1">
      <c r="A30" s="88" t="s">
        <v>96</v>
      </c>
      <c r="B30" s="93" t="s">
        <v>97</v>
      </c>
      <c r="C30" s="99"/>
      <c r="D30" s="99"/>
      <c r="E30" s="99"/>
      <c r="F30" s="99"/>
      <c r="G30" s="99"/>
      <c r="H30" s="99"/>
      <c r="I30" s="2"/>
      <c r="J30" s="2"/>
      <c r="K30" s="2"/>
      <c r="M30" s="2"/>
      <c r="AH30" s="88" t="s">
        <v>98</v>
      </c>
      <c r="AI30" s="93" t="s">
        <v>97</v>
      </c>
    </row>
    <row r="31" spans="1:36">
      <c r="A31" s="85">
        <v>1</v>
      </c>
      <c r="B31" s="96" t="s">
        <v>99</v>
      </c>
      <c r="C31" s="103">
        <f>销量!C8</f>
        <v>650</v>
      </c>
      <c r="D31" s="103">
        <f>销量!D8</f>
        <v>0</v>
      </c>
      <c r="E31" s="103">
        <f>销量!E8</f>
        <v>0</v>
      </c>
      <c r="F31" s="103">
        <f>销量!F8</f>
        <v>0</v>
      </c>
      <c r="G31" s="103">
        <f>销量!G8</f>
        <v>0</v>
      </c>
      <c r="H31" s="99"/>
      <c r="I31" s="2"/>
      <c r="J31" s="2"/>
      <c r="K31" s="2"/>
      <c r="M31" s="2"/>
      <c r="AH31" s="88" t="s">
        <v>54</v>
      </c>
      <c r="AI31" s="88" t="s">
        <v>99</v>
      </c>
    </row>
    <row r="32" spans="1:36">
      <c r="A32" s="85">
        <v>2</v>
      </c>
      <c r="B32" s="88" t="s">
        <v>149</v>
      </c>
      <c r="C32" s="91">
        <f>C9/C6</f>
        <v>575.44032649999997</v>
      </c>
      <c r="D32" s="91" t="e">
        <f t="shared" ref="D32:G32" si="23">D9/D6</f>
        <v>#DIV/0!</v>
      </c>
      <c r="E32" s="91" t="e">
        <f t="shared" si="23"/>
        <v>#DIV/0!</v>
      </c>
      <c r="F32" s="91" t="e">
        <f t="shared" si="23"/>
        <v>#DIV/0!</v>
      </c>
      <c r="G32" s="91" t="e">
        <f t="shared" si="23"/>
        <v>#DIV/0!</v>
      </c>
      <c r="H32" s="99"/>
      <c r="I32" s="2"/>
      <c r="J32" s="2"/>
      <c r="K32" s="2"/>
      <c r="L32" s="2"/>
      <c r="M32" s="2"/>
      <c r="N32" s="2"/>
      <c r="O32" s="2"/>
      <c r="AH32" s="88"/>
      <c r="AI32" s="88"/>
    </row>
    <row r="33" spans="1:35">
      <c r="A33" s="85">
        <v>3</v>
      </c>
      <c r="B33" s="96" t="s">
        <v>100</v>
      </c>
      <c r="C33" s="91">
        <f>材料成本!D28</f>
        <v>442.92084577109995</v>
      </c>
      <c r="D33" s="91">
        <f>材料成本!E28</f>
        <v>0</v>
      </c>
      <c r="E33" s="91">
        <f>材料成本!F28</f>
        <v>0</v>
      </c>
      <c r="F33" s="91">
        <f>材料成本!G28</f>
        <v>0</v>
      </c>
      <c r="G33" s="91">
        <f>材料成本!H28</f>
        <v>0</v>
      </c>
      <c r="H33" s="99"/>
      <c r="J33" s="2"/>
      <c r="K33" s="2"/>
      <c r="L33" s="2"/>
      <c r="M33" s="2"/>
      <c r="N33" s="2"/>
      <c r="O33" s="2"/>
      <c r="AH33" s="88" t="s">
        <v>56</v>
      </c>
      <c r="AI33" s="88" t="s">
        <v>100</v>
      </c>
    </row>
    <row r="34" spans="1:35" ht="17.25" customHeight="1">
      <c r="A34" s="85">
        <v>4</v>
      </c>
      <c r="B34" s="88" t="s">
        <v>102</v>
      </c>
      <c r="C34" s="104">
        <f>C32-C33</f>
        <v>132.51948072890002</v>
      </c>
      <c r="D34" s="104" t="e">
        <f>D32-D33</f>
        <v>#DIV/0!</v>
      </c>
      <c r="E34" s="104" t="e">
        <f t="shared" ref="E34:G34" si="24">E32-E33</f>
        <v>#DIV/0!</v>
      </c>
      <c r="F34" s="104" t="e">
        <f t="shared" si="24"/>
        <v>#DIV/0!</v>
      </c>
      <c r="G34" s="104" t="e">
        <f t="shared" si="24"/>
        <v>#DIV/0!</v>
      </c>
      <c r="H34" s="99"/>
      <c r="J34" s="2"/>
      <c r="K34" s="2"/>
      <c r="L34" s="2"/>
      <c r="M34" s="2"/>
      <c r="N34" s="2"/>
      <c r="O34" s="2"/>
      <c r="AH34" s="88" t="s">
        <v>101</v>
      </c>
      <c r="AI34" s="88" t="s">
        <v>102</v>
      </c>
    </row>
    <row r="35" spans="1:35">
      <c r="A35" s="88" t="s">
        <v>98</v>
      </c>
      <c r="B35" s="93" t="s">
        <v>9</v>
      </c>
      <c r="C35" s="99"/>
      <c r="D35" s="99"/>
      <c r="E35" s="99"/>
      <c r="F35" s="99"/>
      <c r="G35" s="99"/>
      <c r="H35" s="99"/>
      <c r="I35" s="2"/>
      <c r="J35" s="2"/>
      <c r="K35" s="2"/>
      <c r="L35" s="2"/>
      <c r="M35" s="2"/>
      <c r="N35" s="2"/>
      <c r="O35" s="2"/>
      <c r="P35" s="2"/>
      <c r="Q35" s="2"/>
      <c r="R35" s="2"/>
      <c r="AH35" s="88" t="s">
        <v>104</v>
      </c>
      <c r="AI35" s="93" t="s">
        <v>9</v>
      </c>
    </row>
    <row r="36" spans="1:35">
      <c r="A36" s="85">
        <v>1</v>
      </c>
      <c r="B36" s="88" t="s">
        <v>105</v>
      </c>
      <c r="C36" s="97">
        <f>'2025年'!C36</f>
        <v>7.9950000000000001</v>
      </c>
      <c r="D36" s="97">
        <f>'2025年'!D36</f>
        <v>0</v>
      </c>
      <c r="E36" s="97">
        <f>'2025年'!E36</f>
        <v>0</v>
      </c>
      <c r="F36" s="97">
        <f>'2025年'!F36</f>
        <v>0</v>
      </c>
      <c r="G36" s="97">
        <f>'2025年'!G36</f>
        <v>0</v>
      </c>
      <c r="H36" s="103"/>
      <c r="I36" s="2"/>
      <c r="J36" s="2"/>
      <c r="K36" s="2"/>
      <c r="L36" s="2"/>
      <c r="M36" s="2"/>
      <c r="N36" s="2"/>
      <c r="O36" s="2"/>
      <c r="P36" s="2"/>
      <c r="Q36" s="2"/>
      <c r="R36" s="2"/>
      <c r="AH36" s="88" t="s">
        <v>101</v>
      </c>
      <c r="AI36" s="88" t="s">
        <v>105</v>
      </c>
    </row>
    <row r="37" spans="1:35">
      <c r="A37" s="85">
        <v>2</v>
      </c>
      <c r="B37" s="88" t="s">
        <v>106</v>
      </c>
      <c r="C37" s="97">
        <f>'2025年'!C37</f>
        <v>7.2150000000000007</v>
      </c>
      <c r="D37" s="97">
        <f>'2025年'!D37</f>
        <v>0</v>
      </c>
      <c r="E37" s="97">
        <f>'2025年'!E37</f>
        <v>0</v>
      </c>
      <c r="F37" s="97">
        <f>'2025年'!F37</f>
        <v>0</v>
      </c>
      <c r="G37" s="97">
        <f>'2025年'!G37</f>
        <v>0</v>
      </c>
      <c r="H37" s="103"/>
      <c r="I37" s="2"/>
      <c r="J37" s="2"/>
      <c r="K37" s="2"/>
      <c r="L37" s="2"/>
      <c r="M37" s="2"/>
      <c r="N37" s="2"/>
      <c r="O37" s="2"/>
      <c r="P37" s="2"/>
      <c r="Q37" s="2"/>
      <c r="R37" s="2"/>
      <c r="AH37" s="88" t="s">
        <v>59</v>
      </c>
      <c r="AI37" s="88" t="s">
        <v>106</v>
      </c>
    </row>
    <row r="38" spans="1:35">
      <c r="A38" s="85">
        <v>3</v>
      </c>
      <c r="B38" s="88" t="s">
        <v>107</v>
      </c>
      <c r="C38" s="97">
        <f>'2025年'!C38</f>
        <v>10.4</v>
      </c>
      <c r="D38" s="97">
        <f>'2025年'!D38</f>
        <v>0</v>
      </c>
      <c r="E38" s="97">
        <f>'2025年'!E38</f>
        <v>0</v>
      </c>
      <c r="F38" s="97">
        <f>'2025年'!F38</f>
        <v>0</v>
      </c>
      <c r="G38" s="97">
        <f>'2025年'!G38</f>
        <v>0</v>
      </c>
      <c r="H38" s="103"/>
      <c r="I38" s="2"/>
      <c r="J38" s="2"/>
      <c r="K38" s="2"/>
      <c r="L38" s="2"/>
      <c r="M38" s="2"/>
      <c r="N38" s="2"/>
      <c r="O38" s="2"/>
      <c r="P38" s="2"/>
      <c r="Q38" s="2"/>
      <c r="R38" s="2"/>
      <c r="AH38" s="88" t="s">
        <v>65</v>
      </c>
      <c r="AI38" s="88" t="s">
        <v>107</v>
      </c>
    </row>
    <row r="39" spans="1:35">
      <c r="A39" s="88" t="s">
        <v>104</v>
      </c>
      <c r="B39" s="93" t="s">
        <v>109</v>
      </c>
      <c r="C39" s="99"/>
      <c r="D39" s="99"/>
      <c r="E39" s="99"/>
      <c r="F39" s="99"/>
      <c r="G39" s="99"/>
      <c r="H39" s="99"/>
      <c r="AH39" s="88" t="s">
        <v>108</v>
      </c>
      <c r="AI39" s="93" t="s">
        <v>109</v>
      </c>
    </row>
    <row r="40" spans="1:35">
      <c r="A40" s="85">
        <v>1</v>
      </c>
      <c r="B40" s="88" t="s">
        <v>110</v>
      </c>
      <c r="C40" s="99">
        <f>C34-C36-C37-C38</f>
        <v>106.90948072890001</v>
      </c>
      <c r="D40" s="99" t="e">
        <f>D34-D36-D37-D38</f>
        <v>#DIV/0!</v>
      </c>
      <c r="E40" s="99" t="e">
        <f t="shared" ref="E40:G40" si="25">E34-E36-E37-E38</f>
        <v>#DIV/0!</v>
      </c>
      <c r="F40" s="99" t="e">
        <f t="shared" si="25"/>
        <v>#DIV/0!</v>
      </c>
      <c r="G40" s="99" t="e">
        <f t="shared" si="25"/>
        <v>#DIV/0!</v>
      </c>
      <c r="H40" s="99"/>
      <c r="AH40" s="88" t="s">
        <v>54</v>
      </c>
      <c r="AI40" s="88" t="s">
        <v>110</v>
      </c>
    </row>
    <row r="41" spans="1:35">
      <c r="A41" s="85">
        <v>2</v>
      </c>
      <c r="B41" s="88" t="s">
        <v>111</v>
      </c>
      <c r="C41" s="99"/>
      <c r="D41" s="99"/>
      <c r="E41" s="99"/>
      <c r="F41" s="99"/>
      <c r="G41" s="99"/>
      <c r="H41" s="99"/>
      <c r="AH41" s="88" t="s">
        <v>56</v>
      </c>
      <c r="AI41" s="88" t="s">
        <v>111</v>
      </c>
    </row>
    <row r="42" spans="1:35">
      <c r="A42" s="88" t="s">
        <v>108</v>
      </c>
      <c r="B42" s="93" t="s">
        <v>113</v>
      </c>
      <c r="C42" s="99"/>
      <c r="D42" s="99"/>
      <c r="E42" s="99"/>
      <c r="F42" s="99"/>
      <c r="G42" s="99"/>
      <c r="H42" s="99"/>
      <c r="AH42" s="88" t="s">
        <v>112</v>
      </c>
      <c r="AI42" s="93" t="s">
        <v>113</v>
      </c>
    </row>
    <row r="43" spans="1:35">
      <c r="A43" s="85">
        <v>1</v>
      </c>
      <c r="B43" s="100" t="s">
        <v>114</v>
      </c>
      <c r="C43" s="97">
        <f>'2025年'!C43</f>
        <v>23.79</v>
      </c>
      <c r="D43" s="97">
        <f>'2025年'!D43</f>
        <v>0</v>
      </c>
      <c r="E43" s="97">
        <f>'2025年'!E43</f>
        <v>0</v>
      </c>
      <c r="F43" s="97">
        <f>'2025年'!F43</f>
        <v>0</v>
      </c>
      <c r="G43" s="97">
        <f>'2025年'!G43</f>
        <v>0</v>
      </c>
      <c r="H43" s="99"/>
      <c r="AH43" s="88" t="s">
        <v>54</v>
      </c>
      <c r="AI43" s="88" t="s">
        <v>114</v>
      </c>
    </row>
    <row r="44" spans="1:35">
      <c r="A44" s="85">
        <v>2</v>
      </c>
      <c r="B44" s="100" t="s">
        <v>115</v>
      </c>
      <c r="C44" s="97">
        <f>'2025年'!C44</f>
        <v>5.46</v>
      </c>
      <c r="D44" s="97">
        <f>'2025年'!D44</f>
        <v>0</v>
      </c>
      <c r="E44" s="97">
        <f>'2025年'!E44</f>
        <v>0</v>
      </c>
      <c r="F44" s="97">
        <f>'2025年'!F44</f>
        <v>0</v>
      </c>
      <c r="G44" s="97">
        <f>'2025年'!G44</f>
        <v>0</v>
      </c>
      <c r="H44" s="99"/>
      <c r="AH44" s="88" t="s">
        <v>56</v>
      </c>
      <c r="AI44" s="88" t="s">
        <v>115</v>
      </c>
    </row>
    <row r="45" spans="1:35">
      <c r="A45" s="85">
        <v>3</v>
      </c>
      <c r="B45" s="100" t="s">
        <v>116</v>
      </c>
      <c r="C45" s="97">
        <f>'2025年'!C45</f>
        <v>20.995000000000001</v>
      </c>
      <c r="D45" s="97">
        <f>'2025年'!D45</f>
        <v>0</v>
      </c>
      <c r="E45" s="97">
        <f>'2025年'!E45</f>
        <v>0</v>
      </c>
      <c r="F45" s="97">
        <f>'2025年'!F45</f>
        <v>0</v>
      </c>
      <c r="G45" s="97">
        <f>'2025年'!G45</f>
        <v>0</v>
      </c>
      <c r="H45" s="99"/>
      <c r="AH45" s="88" t="s">
        <v>101</v>
      </c>
      <c r="AI45" s="88" t="s">
        <v>116</v>
      </c>
    </row>
    <row r="46" spans="1:35" s="83" customFormat="1">
      <c r="A46" s="85">
        <v>4</v>
      </c>
      <c r="B46" s="100" t="s">
        <v>117</v>
      </c>
      <c r="C46" s="105">
        <f>C21/C6</f>
        <v>2.6</v>
      </c>
      <c r="D46" s="105" t="e">
        <f>D21/D6</f>
        <v>#DIV/0!</v>
      </c>
      <c r="E46" s="105" t="e">
        <f t="shared" ref="E46:G46" si="26">E21/E6</f>
        <v>#DIV/0!</v>
      </c>
      <c r="F46" s="105" t="e">
        <f t="shared" si="26"/>
        <v>#DIV/0!</v>
      </c>
      <c r="G46" s="105" t="e">
        <f t="shared" si="26"/>
        <v>#DIV/0!</v>
      </c>
      <c r="H46" s="105"/>
      <c r="AH46" s="100" t="s">
        <v>61</v>
      </c>
      <c r="AI46" s="100" t="s">
        <v>119</v>
      </c>
    </row>
    <row r="47" spans="1:35" s="83" customFormat="1">
      <c r="A47" s="85">
        <v>5</v>
      </c>
      <c r="B47" s="100" t="s">
        <v>119</v>
      </c>
      <c r="C47" s="97">
        <f>'2025年'!C47</f>
        <v>23.074999999999999</v>
      </c>
      <c r="D47" s="97">
        <f>'2025年'!D47</f>
        <v>0</v>
      </c>
      <c r="E47" s="97">
        <f>'2025年'!E47</f>
        <v>0</v>
      </c>
      <c r="F47" s="97">
        <f>'2025年'!F47</f>
        <v>0</v>
      </c>
      <c r="G47" s="97">
        <f>'2025年'!G47</f>
        <v>0</v>
      </c>
      <c r="H47" s="105"/>
      <c r="AH47" s="100" t="s">
        <v>61</v>
      </c>
      <c r="AI47" s="100" t="s">
        <v>119</v>
      </c>
    </row>
    <row r="48" spans="1:35">
      <c r="A48" s="88" t="s">
        <v>112</v>
      </c>
      <c r="B48" s="93" t="s">
        <v>130</v>
      </c>
      <c r="C48" s="99">
        <f>C40-C43-C44-C45-C47-C46</f>
        <v>30.989480728900013</v>
      </c>
      <c r="D48" s="99" t="e">
        <f>D40-D43-D44-D45-D47-D46</f>
        <v>#DIV/0!</v>
      </c>
      <c r="E48" s="99" t="e">
        <f t="shared" ref="E48:G48" si="27">E40-E43-E44-E45-E47-E46</f>
        <v>#DIV/0!</v>
      </c>
      <c r="F48" s="99" t="e">
        <f t="shared" si="27"/>
        <v>#DIV/0!</v>
      </c>
      <c r="G48" s="99" t="e">
        <f t="shared" si="27"/>
        <v>#DIV/0!</v>
      </c>
      <c r="H48" s="99"/>
      <c r="AH48" s="88" t="s">
        <v>129</v>
      </c>
      <c r="AI48" s="93" t="s">
        <v>130</v>
      </c>
    </row>
    <row r="51" spans="2:13">
      <c r="C51" s="106"/>
      <c r="D51" s="106"/>
      <c r="E51" s="106"/>
      <c r="F51" s="106"/>
      <c r="G51" s="106"/>
    </row>
    <row r="54" spans="2:13">
      <c r="B54" s="2"/>
      <c r="C54" s="107"/>
      <c r="D54" s="107"/>
      <c r="E54" s="107"/>
      <c r="F54" s="107"/>
      <c r="G54" s="107"/>
      <c r="H54" s="107"/>
      <c r="I54" s="2"/>
      <c r="J54" s="2"/>
      <c r="K54" s="2"/>
      <c r="L54" s="2"/>
      <c r="M54" s="2"/>
    </row>
    <row r="55" spans="2:13">
      <c r="B55" s="2"/>
      <c r="C55" s="107"/>
      <c r="D55" s="107"/>
      <c r="E55" s="107"/>
      <c r="F55" s="107"/>
      <c r="G55" s="107"/>
      <c r="H55" s="107"/>
      <c r="I55" s="2"/>
      <c r="J55" s="2"/>
      <c r="K55" s="2"/>
      <c r="L55" s="2"/>
      <c r="M55" s="2"/>
    </row>
    <row r="56" spans="2:13">
      <c r="B56" s="2"/>
      <c r="C56" s="107"/>
      <c r="D56" s="107"/>
      <c r="E56" s="107"/>
      <c r="F56" s="107"/>
      <c r="G56" s="107"/>
      <c r="H56" s="107"/>
      <c r="I56" s="2"/>
      <c r="J56" s="2"/>
      <c r="K56" s="2"/>
      <c r="L56" s="2"/>
      <c r="M56" s="2"/>
    </row>
    <row r="57" spans="2:13">
      <c r="B57" s="2"/>
      <c r="C57" s="107"/>
      <c r="D57" s="107"/>
      <c r="E57" s="107"/>
      <c r="F57" s="107"/>
      <c r="G57" s="107"/>
      <c r="H57" s="107"/>
      <c r="I57" s="2"/>
      <c r="J57" s="2"/>
      <c r="K57" s="2"/>
      <c r="L57" s="2"/>
      <c r="M57" s="2"/>
    </row>
    <row r="58" spans="2:13">
      <c r="B58" s="2"/>
      <c r="C58" s="107"/>
      <c r="D58" s="107"/>
      <c r="E58" s="107"/>
      <c r="F58" s="107"/>
      <c r="G58" s="107"/>
      <c r="H58" s="107"/>
      <c r="I58" s="2"/>
      <c r="J58" s="2"/>
      <c r="K58" s="2"/>
      <c r="L58" s="2"/>
      <c r="M58" s="2"/>
    </row>
    <row r="59" spans="2:13">
      <c r="B59" s="2"/>
      <c r="C59" s="107"/>
      <c r="D59" s="107"/>
      <c r="E59" s="107"/>
      <c r="F59" s="107"/>
      <c r="G59" s="107"/>
      <c r="H59" s="107"/>
      <c r="I59" s="2"/>
      <c r="J59" s="2"/>
      <c r="K59" s="2"/>
      <c r="L59" s="2"/>
      <c r="M59" s="2"/>
    </row>
    <row r="60" spans="2:13">
      <c r="B60" s="2"/>
      <c r="C60" s="107"/>
      <c r="D60" s="107"/>
      <c r="E60" s="107"/>
      <c r="F60" s="107"/>
      <c r="G60" s="107"/>
      <c r="H60" s="107"/>
      <c r="I60" s="2"/>
      <c r="J60" s="2"/>
      <c r="K60" s="2"/>
      <c r="L60" s="2"/>
      <c r="M60" s="2"/>
    </row>
    <row r="61" spans="2:13">
      <c r="B61" s="2"/>
      <c r="C61" s="107"/>
      <c r="D61" s="107"/>
      <c r="E61" s="107"/>
      <c r="F61" s="107"/>
      <c r="G61" s="107"/>
      <c r="H61" s="107"/>
      <c r="I61" s="2"/>
      <c r="J61" s="2"/>
      <c r="K61" s="2"/>
      <c r="L61" s="2"/>
      <c r="M61" s="2"/>
    </row>
    <row r="62" spans="2:13">
      <c r="B62" s="2"/>
      <c r="C62" s="107"/>
      <c r="D62" s="107"/>
      <c r="E62" s="107"/>
      <c r="F62" s="107"/>
      <c r="G62" s="107"/>
      <c r="H62" s="107"/>
      <c r="I62" s="2"/>
      <c r="J62" s="2"/>
      <c r="K62" s="2"/>
      <c r="L62" s="2"/>
      <c r="M62" s="2"/>
    </row>
    <row r="63" spans="2:13">
      <c r="B63" s="2"/>
      <c r="C63" s="107"/>
      <c r="D63" s="107"/>
      <c r="E63" s="107"/>
      <c r="F63" s="107"/>
      <c r="G63" s="107"/>
      <c r="H63" s="107"/>
      <c r="I63" s="2"/>
      <c r="J63" s="2"/>
      <c r="K63" s="2"/>
      <c r="L63" s="2"/>
      <c r="M63" s="2"/>
    </row>
    <row r="64" spans="2:13">
      <c r="B64" s="2"/>
      <c r="C64" s="107"/>
      <c r="D64" s="107"/>
      <c r="E64" s="107"/>
      <c r="F64" s="107"/>
      <c r="G64" s="107"/>
      <c r="H64" s="107"/>
      <c r="I64" s="2"/>
      <c r="J64" s="2"/>
      <c r="K64" s="2"/>
      <c r="L64" s="2"/>
      <c r="M64" s="2"/>
    </row>
    <row r="65" spans="2:13">
      <c r="B65" s="2"/>
      <c r="C65" s="107"/>
      <c r="D65" s="107"/>
      <c r="E65" s="107"/>
      <c r="F65" s="107"/>
      <c r="G65" s="107"/>
      <c r="H65" s="107"/>
      <c r="I65" s="2"/>
      <c r="J65" s="2"/>
      <c r="K65" s="2"/>
      <c r="L65" s="2"/>
      <c r="M65" s="2"/>
    </row>
    <row r="66" spans="2:13">
      <c r="B66" s="2"/>
      <c r="C66" s="107"/>
      <c r="D66" s="107"/>
      <c r="E66" s="107"/>
      <c r="F66" s="107"/>
      <c r="G66" s="107"/>
      <c r="H66" s="107"/>
      <c r="I66" s="2"/>
      <c r="J66" s="2"/>
      <c r="K66" s="2"/>
      <c r="L66" s="2"/>
      <c r="M66" s="2"/>
    </row>
    <row r="67" spans="2:13">
      <c r="B67" s="2"/>
      <c r="C67" s="107"/>
      <c r="D67" s="107"/>
      <c r="E67" s="107"/>
      <c r="F67" s="107"/>
      <c r="G67" s="107"/>
      <c r="H67" s="107"/>
      <c r="I67" s="2"/>
    </row>
    <row r="68" spans="2:13">
      <c r="B68" s="2"/>
      <c r="C68" s="107"/>
      <c r="D68" s="107"/>
      <c r="E68" s="107"/>
      <c r="F68" s="107"/>
      <c r="G68" s="107"/>
      <c r="H68" s="107"/>
      <c r="I68" s="2"/>
    </row>
    <row r="69" spans="2:13">
      <c r="B69" s="2"/>
      <c r="C69" s="107"/>
      <c r="D69" s="107"/>
      <c r="E69" s="107"/>
      <c r="F69" s="107"/>
      <c r="G69" s="107"/>
      <c r="H69" s="107"/>
      <c r="I69" s="2"/>
    </row>
    <row r="70" spans="2:13">
      <c r="B70" s="2"/>
      <c r="C70" s="107"/>
      <c r="D70" s="107"/>
      <c r="E70" s="107"/>
      <c r="F70" s="107"/>
      <c r="G70" s="107"/>
      <c r="H70" s="107"/>
      <c r="I70" s="2"/>
    </row>
    <row r="71" spans="2:13">
      <c r="B71" s="2"/>
      <c r="C71" s="107"/>
      <c r="D71" s="107"/>
      <c r="E71" s="107"/>
      <c r="F71" s="107"/>
      <c r="G71" s="107"/>
      <c r="H71" s="107"/>
      <c r="I71" s="2"/>
    </row>
    <row r="72" spans="2:13">
      <c r="B72" s="2"/>
      <c r="C72" s="107"/>
      <c r="D72" s="107"/>
      <c r="E72" s="107"/>
      <c r="F72" s="107"/>
      <c r="G72" s="107"/>
      <c r="H72" s="107"/>
      <c r="I72" s="2"/>
    </row>
    <row r="73" spans="2:13">
      <c r="B73" s="2"/>
      <c r="C73" s="107"/>
      <c r="D73" s="107"/>
      <c r="E73" s="107"/>
      <c r="F73" s="107"/>
      <c r="G73" s="107"/>
      <c r="H73" s="107"/>
      <c r="I73" s="2"/>
    </row>
    <row r="74" spans="2:13">
      <c r="B74" s="2"/>
      <c r="C74" s="107"/>
      <c r="D74" s="107"/>
      <c r="E74" s="107"/>
      <c r="F74" s="107"/>
      <c r="G74" s="107"/>
      <c r="H74" s="107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45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="80" zoomScaleNormal="80" workbookViewId="0">
      <pane xSplit="6" ySplit="2" topLeftCell="G3" activePane="bottomRight" state="frozen"/>
      <selection pane="topRight"/>
      <selection pane="bottomLeft"/>
      <selection pane="bottomRight" activeCell="A19" sqref="A19"/>
    </sheetView>
  </sheetViews>
  <sheetFormatPr defaultColWidth="9" defaultRowHeight="13.5"/>
  <cols>
    <col min="1" max="1" width="19.5" customWidth="1"/>
    <col min="2" max="2" width="14.875" style="54" customWidth="1"/>
    <col min="3" max="3" width="9.25" customWidth="1"/>
    <col min="4" max="4" width="15.5" customWidth="1"/>
    <col min="5" max="5" width="14.875" customWidth="1"/>
    <col min="6" max="6" width="15.5" customWidth="1"/>
    <col min="7" max="7" width="15.125" customWidth="1"/>
    <col min="8" max="8" width="13" customWidth="1"/>
    <col min="9" max="9" width="14.875" customWidth="1"/>
    <col min="10" max="10" width="13" customWidth="1"/>
    <col min="11" max="11" width="15.625"/>
    <col min="12" max="12" width="12.5"/>
  </cols>
  <sheetData>
    <row r="1" spans="1:10" ht="41.25" customHeight="1">
      <c r="A1" s="210" t="s">
        <v>150</v>
      </c>
      <c r="B1" s="210"/>
      <c r="C1" s="210"/>
      <c r="E1" s="211" t="s">
        <v>259</v>
      </c>
      <c r="F1" s="212"/>
      <c r="G1" s="212"/>
      <c r="H1" s="213"/>
    </row>
    <row r="2" spans="1:10" ht="23.45" customHeight="1">
      <c r="A2" s="55" t="s">
        <v>1</v>
      </c>
      <c r="B2" s="56" t="s">
        <v>151</v>
      </c>
      <c r="C2" s="57" t="s">
        <v>152</v>
      </c>
      <c r="E2" s="58" t="s">
        <v>153</v>
      </c>
      <c r="F2" s="58" t="s">
        <v>1</v>
      </c>
      <c r="G2" s="59" t="s">
        <v>154</v>
      </c>
      <c r="H2" s="58" t="s">
        <v>152</v>
      </c>
    </row>
    <row r="3" spans="1:10" ht="15.75" customHeight="1">
      <c r="A3" s="60" t="s">
        <v>155</v>
      </c>
      <c r="B3" s="61"/>
      <c r="C3" s="62"/>
      <c r="E3" s="218" t="s">
        <v>156</v>
      </c>
      <c r="F3" s="63" t="s">
        <v>157</v>
      </c>
      <c r="G3" s="64"/>
      <c r="H3" s="63"/>
    </row>
    <row r="4" spans="1:10" ht="15.75" customHeight="1">
      <c r="A4" s="60" t="s">
        <v>158</v>
      </c>
      <c r="B4" s="61"/>
      <c r="C4" s="65"/>
      <c r="E4" s="219"/>
      <c r="F4" s="63" t="s">
        <v>159</v>
      </c>
      <c r="G4" s="64"/>
      <c r="H4" s="63"/>
    </row>
    <row r="5" spans="1:10" ht="15.75" customHeight="1">
      <c r="A5" s="60" t="s">
        <v>160</v>
      </c>
      <c r="B5" s="66">
        <f>SUM(G3:G4)</f>
        <v>0</v>
      </c>
      <c r="C5" s="62"/>
      <c r="E5" s="220" t="s">
        <v>161</v>
      </c>
      <c r="F5" s="67" t="s">
        <v>162</v>
      </c>
      <c r="G5" s="64">
        <v>16</v>
      </c>
      <c r="H5" s="67" t="s">
        <v>300</v>
      </c>
    </row>
    <row r="6" spans="1:10" ht="15.75" customHeight="1">
      <c r="A6" s="60" t="s">
        <v>163</v>
      </c>
      <c r="B6" s="61"/>
      <c r="C6" s="62"/>
      <c r="E6" s="221"/>
      <c r="F6" s="67" t="s">
        <v>164</v>
      </c>
      <c r="G6" s="64">
        <v>1</v>
      </c>
      <c r="H6" s="181"/>
      <c r="J6">
        <v>10000</v>
      </c>
    </row>
    <row r="7" spans="1:10" ht="15.75" customHeight="1">
      <c r="A7" s="68" t="s">
        <v>165</v>
      </c>
      <c r="B7" s="66">
        <f>SUM(B3:B6)</f>
        <v>0</v>
      </c>
      <c r="C7" s="62"/>
      <c r="E7" s="221"/>
      <c r="F7" s="67" t="s">
        <v>166</v>
      </c>
      <c r="G7" s="64"/>
      <c r="H7" s="181"/>
    </row>
    <row r="8" spans="1:10" ht="15.75" customHeight="1">
      <c r="A8" s="69" t="s">
        <v>167</v>
      </c>
      <c r="B8" s="66">
        <f>SUM(G5:G12)</f>
        <v>17</v>
      </c>
      <c r="C8" s="70"/>
      <c r="E8" s="221"/>
      <c r="F8" s="67" t="s">
        <v>168</v>
      </c>
      <c r="G8" s="64"/>
      <c r="H8" s="181"/>
    </row>
    <row r="9" spans="1:10" ht="15.75" customHeight="1">
      <c r="A9" s="60" t="s">
        <v>169</v>
      </c>
      <c r="B9" s="66">
        <f>SUM(G13:G21)</f>
        <v>1.3</v>
      </c>
      <c r="C9" s="62"/>
      <c r="E9" s="221"/>
      <c r="F9" s="63" t="s">
        <v>170</v>
      </c>
      <c r="G9" s="64"/>
      <c r="H9" s="181"/>
    </row>
    <row r="10" spans="1:10" ht="15.75" customHeight="1">
      <c r="A10" s="65" t="s">
        <v>50</v>
      </c>
      <c r="B10" s="66">
        <f>B7+B8+B9</f>
        <v>18.3</v>
      </c>
      <c r="C10" s="62"/>
      <c r="E10" s="221"/>
      <c r="F10" s="63" t="s">
        <v>171</v>
      </c>
      <c r="G10" s="71"/>
      <c r="H10" s="181"/>
    </row>
    <row r="11" spans="1:10" ht="15.75" customHeight="1">
      <c r="E11" s="221"/>
      <c r="F11" s="63" t="s">
        <v>172</v>
      </c>
      <c r="G11" s="71"/>
      <c r="H11" s="181"/>
    </row>
    <row r="12" spans="1:10" ht="15.75" customHeight="1">
      <c r="E12" s="222"/>
      <c r="F12" s="63" t="s">
        <v>173</v>
      </c>
      <c r="G12" s="64" t="s">
        <v>27</v>
      </c>
      <c r="H12" s="181"/>
    </row>
    <row r="13" spans="1:10" ht="15.75" customHeight="1">
      <c r="E13" s="218" t="s">
        <v>82</v>
      </c>
      <c r="F13" s="63" t="s">
        <v>174</v>
      </c>
      <c r="G13" s="64"/>
      <c r="H13" s="182"/>
    </row>
    <row r="14" spans="1:10" ht="15.75" customHeight="1">
      <c r="E14" s="219"/>
      <c r="F14" s="63" t="s">
        <v>175</v>
      </c>
      <c r="G14" s="64">
        <v>0.3</v>
      </c>
      <c r="H14" s="184"/>
    </row>
    <row r="15" spans="1:10" ht="15.75" customHeight="1">
      <c r="E15" s="219"/>
      <c r="F15" s="63" t="s">
        <v>176</v>
      </c>
      <c r="G15" s="64">
        <v>0.3</v>
      </c>
      <c r="H15" s="184"/>
    </row>
    <row r="16" spans="1:10" ht="15.75" customHeight="1">
      <c r="E16" s="219"/>
      <c r="F16" s="63" t="s">
        <v>177</v>
      </c>
      <c r="G16" s="64">
        <v>0.2</v>
      </c>
      <c r="H16" s="184"/>
    </row>
    <row r="17" spans="1:12" ht="15.75" customHeight="1">
      <c r="E17" s="219"/>
      <c r="F17" s="63" t="s">
        <v>178</v>
      </c>
      <c r="G17" s="64"/>
      <c r="H17" s="182"/>
    </row>
    <row r="18" spans="1:12" ht="15.75" customHeight="1">
      <c r="E18" s="219"/>
      <c r="F18" s="63" t="s">
        <v>179</v>
      </c>
      <c r="G18" s="64">
        <v>0.2</v>
      </c>
      <c r="H18" s="183"/>
    </row>
    <row r="19" spans="1:12" ht="15.75" customHeight="1">
      <c r="E19" s="219"/>
      <c r="F19" s="63" t="s">
        <v>180</v>
      </c>
      <c r="G19" s="64">
        <v>0.3</v>
      </c>
      <c r="H19" s="183"/>
      <c r="I19" s="189"/>
    </row>
    <row r="20" spans="1:12" ht="15.75" customHeight="1">
      <c r="E20" s="219"/>
      <c r="F20" s="63" t="s">
        <v>181</v>
      </c>
      <c r="G20" s="64"/>
      <c r="H20" s="63"/>
    </row>
    <row r="21" spans="1:12" ht="15.75" customHeight="1">
      <c r="E21" s="223"/>
      <c r="F21" s="63" t="s">
        <v>35</v>
      </c>
      <c r="G21" s="64">
        <v>0</v>
      </c>
      <c r="H21" s="63"/>
      <c r="I21" s="258" t="s">
        <v>298</v>
      </c>
      <c r="J21" s="258" t="s">
        <v>299</v>
      </c>
    </row>
    <row r="22" spans="1:12" ht="21.75" customHeight="1">
      <c r="E22" s="58" t="s">
        <v>50</v>
      </c>
      <c r="F22" s="63"/>
      <c r="G22" s="59">
        <f>SUM(G3:G21)</f>
        <v>18.3</v>
      </c>
      <c r="H22" s="72"/>
      <c r="I22" s="259">
        <v>20250930</v>
      </c>
      <c r="J22" s="260">
        <f>G22*J6/销量!H16</f>
        <v>36.6</v>
      </c>
    </row>
    <row r="23" spans="1:12" ht="30.75" customHeight="1">
      <c r="E23" s="214" t="s">
        <v>182</v>
      </c>
      <c r="F23" s="214"/>
      <c r="G23" s="214"/>
      <c r="H23" s="214"/>
    </row>
    <row r="25" spans="1:12" ht="17.25">
      <c r="A25" s="73" t="s">
        <v>1</v>
      </c>
      <c r="B25" s="73" t="s">
        <v>151</v>
      </c>
      <c r="C25" s="73" t="s">
        <v>183</v>
      </c>
      <c r="D25" s="74" t="s">
        <v>274</v>
      </c>
      <c r="E25" s="74" t="s">
        <v>48</v>
      </c>
      <c r="F25" s="74" t="s">
        <v>49</v>
      </c>
      <c r="G25" s="74" t="s">
        <v>184</v>
      </c>
      <c r="H25" s="74" t="s">
        <v>185</v>
      </c>
      <c r="I25" s="74" t="s">
        <v>186</v>
      </c>
      <c r="J25" s="74" t="s">
        <v>261</v>
      </c>
      <c r="K25" s="74" t="s">
        <v>50</v>
      </c>
      <c r="L25" s="79" t="s">
        <v>187</v>
      </c>
    </row>
    <row r="26" spans="1:12" ht="16.5">
      <c r="A26" s="75" t="s">
        <v>146</v>
      </c>
      <c r="B26" s="76">
        <f>(B5+B8)*10000</f>
        <v>170000</v>
      </c>
      <c r="C26" s="77">
        <v>0.05</v>
      </c>
      <c r="D26" s="78">
        <f>B26*(1-C26)/5</f>
        <v>32300</v>
      </c>
      <c r="E26" s="78">
        <f t="shared" ref="E26:H26" si="0">D26</f>
        <v>32300</v>
      </c>
      <c r="F26" s="78">
        <f t="shared" si="0"/>
        <v>32300</v>
      </c>
      <c r="G26" s="78">
        <f t="shared" si="0"/>
        <v>32300</v>
      </c>
      <c r="H26" s="78">
        <f t="shared" si="0"/>
        <v>32300</v>
      </c>
      <c r="I26" s="78"/>
      <c r="J26" s="78"/>
      <c r="K26" s="78">
        <f>SUM(D26:J26)</f>
        <v>161500</v>
      </c>
      <c r="L26" s="78">
        <f>B26*0.05</f>
        <v>8500</v>
      </c>
    </row>
    <row r="27" spans="1:12" ht="16.5">
      <c r="A27" s="75" t="s">
        <v>188</v>
      </c>
      <c r="B27" s="76">
        <f>B9*10000</f>
        <v>13000</v>
      </c>
      <c r="C27" s="78"/>
      <c r="D27" s="78">
        <f>B27/5</f>
        <v>2600</v>
      </c>
      <c r="E27" s="78">
        <f t="shared" ref="E27:F27" si="1">D27</f>
        <v>2600</v>
      </c>
      <c r="F27" s="78">
        <f t="shared" si="1"/>
        <v>2600</v>
      </c>
      <c r="G27" s="78">
        <f>F27</f>
        <v>2600</v>
      </c>
      <c r="H27" s="78">
        <f>G27</f>
        <v>2600</v>
      </c>
      <c r="I27" s="78"/>
      <c r="J27" s="78"/>
      <c r="K27" s="78">
        <f>SUM(D27:J27)</f>
        <v>13000</v>
      </c>
      <c r="L27" s="78"/>
    </row>
    <row r="28" spans="1:12" ht="16.5">
      <c r="A28" s="215" t="s">
        <v>138</v>
      </c>
      <c r="B28" s="216"/>
      <c r="C28" s="217"/>
      <c r="D28" s="78">
        <f>SUM(D26:D27)</f>
        <v>34900</v>
      </c>
      <c r="E28" s="78">
        <f t="shared" ref="E28:K28" si="2">SUM(E26:E27)</f>
        <v>34900</v>
      </c>
      <c r="F28" s="78">
        <f t="shared" si="2"/>
        <v>34900</v>
      </c>
      <c r="G28" s="78">
        <f t="shared" si="2"/>
        <v>34900</v>
      </c>
      <c r="H28" s="78">
        <f t="shared" si="2"/>
        <v>34900</v>
      </c>
      <c r="I28" s="78">
        <f t="shared" si="2"/>
        <v>0</v>
      </c>
      <c r="J28" s="78">
        <f t="shared" si="2"/>
        <v>0</v>
      </c>
      <c r="K28" s="78">
        <f t="shared" si="2"/>
        <v>174500</v>
      </c>
      <c r="L28" s="80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4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4</vt:i4>
      </vt:variant>
    </vt:vector>
  </HeadingPairs>
  <TitlesOfParts>
    <vt:vector size="17" baseType="lpstr">
      <vt:lpstr>假设条件</vt:lpstr>
      <vt:lpstr>现金</vt:lpstr>
      <vt:lpstr>损益表</vt:lpstr>
      <vt:lpstr>2025年</vt:lpstr>
      <vt:lpstr>2026年</vt:lpstr>
      <vt:lpstr>2027年</vt:lpstr>
      <vt:lpstr>2028年</vt:lpstr>
      <vt:lpstr>2029年</vt:lpstr>
      <vt:lpstr>项目投资</vt:lpstr>
      <vt:lpstr>销量</vt:lpstr>
      <vt:lpstr>材料成本</vt:lpstr>
      <vt:lpstr>其他</vt:lpstr>
      <vt:lpstr>标准成本</vt:lpstr>
      <vt:lpstr>'2026年'!Print_Area</vt:lpstr>
      <vt:lpstr>'2027年'!Print_Area</vt:lpstr>
      <vt:lpstr>'2028年'!Print_Area</vt:lpstr>
      <vt:lpstr>项目投资!Print_Area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ghrc</cp:lastModifiedBy>
  <dcterms:created xsi:type="dcterms:W3CDTF">2006-09-13T11:21:00Z</dcterms:created>
  <dcterms:modified xsi:type="dcterms:W3CDTF">2025-07-31T06:07:55Z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9545D4B7266740A89BCEAE7E60B7E103</vt:lpwstr>
  </property>
</Properties>
</file>