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青岛解放-L135领途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6年" sheetId="61" r:id="rId4"/>
    <sheet name="2027年" sheetId="43" r:id="rId5"/>
    <sheet name="2028年" sheetId="57" r:id="rId6"/>
    <sheet name="2029年" sheetId="58" r:id="rId7"/>
    <sheet name="2030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'2027年'!$A$1:$T$48</definedName>
    <definedName name="_xlnm.Print_Area" localSheetId="5">'2028年'!$A$1:$T$48</definedName>
    <definedName name="_xlnm.Print_Area" localSheetId="6">'2029年'!$A$1:$T$48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50" l="1"/>
  <c r="I48" i="50"/>
  <c r="I35" i="50"/>
  <c r="I22" i="50"/>
  <c r="I10" i="50"/>
  <c r="H48" i="50" l="1"/>
  <c r="H49" i="50"/>
  <c r="J22" i="51" l="1"/>
  <c r="G8" i="55"/>
  <c r="G26" i="51" l="1"/>
  <c r="H26" i="51"/>
  <c r="G27" i="51"/>
  <c r="H27" i="51" s="1"/>
  <c r="D27" i="51"/>
  <c r="D26" i="51"/>
  <c r="R31" i="59" l="1"/>
  <c r="S31" i="59"/>
  <c r="S4" i="59"/>
  <c r="R6" i="59"/>
  <c r="S6" i="59"/>
  <c r="S7" i="59" s="1"/>
  <c r="R31" i="58"/>
  <c r="S31" i="58"/>
  <c r="R4" i="58"/>
  <c r="R6" i="58"/>
  <c r="R7" i="58" s="1"/>
  <c r="S6" i="58"/>
  <c r="S7" i="58"/>
  <c r="R31" i="57"/>
  <c r="S31" i="57"/>
  <c r="S4" i="57"/>
  <c r="R6" i="57"/>
  <c r="S6" i="57"/>
  <c r="S7" i="57" s="1"/>
  <c r="S31" i="43"/>
  <c r="R31" i="43"/>
  <c r="S4" i="43"/>
  <c r="R6" i="43"/>
  <c r="S6" i="43"/>
  <c r="S7" i="43"/>
  <c r="S31" i="61"/>
  <c r="R31" i="61"/>
  <c r="S3" i="61"/>
  <c r="S3" i="59" s="1"/>
  <c r="S4" i="61"/>
  <c r="S4" i="58" s="1"/>
  <c r="S5" i="61"/>
  <c r="S5" i="59" s="1"/>
  <c r="S6" i="61"/>
  <c r="S7" i="61" s="1"/>
  <c r="S9" i="61" s="1"/>
  <c r="S32" i="61" s="1"/>
  <c r="R3" i="61"/>
  <c r="R3" i="58" s="1"/>
  <c r="R4" i="61"/>
  <c r="R4" i="59" s="1"/>
  <c r="R5" i="61"/>
  <c r="R5" i="59" s="1"/>
  <c r="R6" i="61"/>
  <c r="R7" i="61" s="1"/>
  <c r="R9" i="61" s="1"/>
  <c r="R32" i="61" s="1"/>
  <c r="I210" i="50"/>
  <c r="E212" i="50" s="1"/>
  <c r="S43" i="61" s="1"/>
  <c r="I208" i="50"/>
  <c r="H218" i="50"/>
  <c r="H217" i="50"/>
  <c r="H216" i="50"/>
  <c r="H215" i="50"/>
  <c r="H214" i="50"/>
  <c r="H213" i="50"/>
  <c r="H212" i="50"/>
  <c r="H211" i="50"/>
  <c r="C209" i="50"/>
  <c r="T10" i="55"/>
  <c r="T11" i="55"/>
  <c r="T12" i="55"/>
  <c r="T13" i="55"/>
  <c r="T14" i="55"/>
  <c r="T15" i="55"/>
  <c r="T9" i="55"/>
  <c r="T8" i="55"/>
  <c r="T24" i="53"/>
  <c r="T25" i="53" s="1"/>
  <c r="T26" i="53" s="1"/>
  <c r="T27" i="53" s="1"/>
  <c r="T28" i="53" s="1"/>
  <c r="S33" i="59" s="1"/>
  <c r="S10" i="59" s="1"/>
  <c r="T4" i="53"/>
  <c r="T5" i="53"/>
  <c r="S33" i="57" l="1"/>
  <c r="S18" i="55"/>
  <c r="S19" i="55" s="1"/>
  <c r="S20" i="55" s="1"/>
  <c r="S33" i="61"/>
  <c r="S10" i="61" s="1"/>
  <c r="S33" i="58"/>
  <c r="S10" i="58" s="1"/>
  <c r="S33" i="43"/>
  <c r="S34" i="61"/>
  <c r="T16" i="55"/>
  <c r="S43" i="43"/>
  <c r="S43" i="59"/>
  <c r="S43" i="57"/>
  <c r="S43" i="58"/>
  <c r="E214" i="50"/>
  <c r="R3" i="43"/>
  <c r="S5" i="58"/>
  <c r="E211" i="50"/>
  <c r="S36" i="61" s="1"/>
  <c r="E216" i="50"/>
  <c r="S44" i="61" s="1"/>
  <c r="E213" i="50"/>
  <c r="S37" i="61" s="1"/>
  <c r="S5" i="43"/>
  <c r="R4" i="43"/>
  <c r="R7" i="57"/>
  <c r="S5" i="57"/>
  <c r="R4" i="57"/>
  <c r="R5" i="58"/>
  <c r="S3" i="58"/>
  <c r="R7" i="59"/>
  <c r="E217" i="50"/>
  <c r="S38" i="61" s="1"/>
  <c r="R3" i="57"/>
  <c r="R3" i="59"/>
  <c r="E218" i="50"/>
  <c r="S47" i="61" s="1"/>
  <c r="E215" i="50"/>
  <c r="S45" i="61" s="1"/>
  <c r="R5" i="43"/>
  <c r="S3" i="43"/>
  <c r="R5" i="57"/>
  <c r="S3" i="57"/>
  <c r="S10" i="57"/>
  <c r="S10" i="43"/>
  <c r="R7" i="43"/>
  <c r="S12" i="61"/>
  <c r="S20" i="61"/>
  <c r="S11" i="61"/>
  <c r="S40" i="61" l="1"/>
  <c r="S47" i="59"/>
  <c r="S22" i="59" s="1"/>
  <c r="S47" i="57"/>
  <c r="S22" i="57" s="1"/>
  <c r="S22" i="61"/>
  <c r="S47" i="58"/>
  <c r="S22" i="58" s="1"/>
  <c r="S47" i="43"/>
  <c r="S22" i="43" s="1"/>
  <c r="S38" i="58"/>
  <c r="S13" i="58" s="1"/>
  <c r="S38" i="43"/>
  <c r="S13" i="43" s="1"/>
  <c r="S38" i="59"/>
  <c r="S13" i="59" s="1"/>
  <c r="S38" i="57"/>
  <c r="S13" i="57" s="1"/>
  <c r="S13" i="61"/>
  <c r="S37" i="59"/>
  <c r="S12" i="59" s="1"/>
  <c r="S37" i="57"/>
  <c r="S12" i="57" s="1"/>
  <c r="S37" i="43"/>
  <c r="S12" i="43" s="1"/>
  <c r="S37" i="58"/>
  <c r="S12" i="58" s="1"/>
  <c r="S44" i="59"/>
  <c r="S19" i="59" s="1"/>
  <c r="S44" i="57"/>
  <c r="S19" i="57" s="1"/>
  <c r="S44" i="43"/>
  <c r="S19" i="43" s="1"/>
  <c r="S19" i="61"/>
  <c r="S44" i="58"/>
  <c r="S19" i="58" s="1"/>
  <c r="S45" i="58"/>
  <c r="S20" i="58" s="1"/>
  <c r="S45" i="59"/>
  <c r="S20" i="59" s="1"/>
  <c r="S45" i="43"/>
  <c r="S20" i="43" s="1"/>
  <c r="S45" i="57"/>
  <c r="S20" i="57" s="1"/>
  <c r="S36" i="59"/>
  <c r="S11" i="59" s="1"/>
  <c r="S14" i="59" s="1"/>
  <c r="S36" i="57"/>
  <c r="S11" i="57" s="1"/>
  <c r="S36" i="58"/>
  <c r="S11" i="58" s="1"/>
  <c r="S36" i="43"/>
  <c r="S11" i="43" s="1"/>
  <c r="S14" i="43" s="1"/>
  <c r="S14" i="61"/>
  <c r="S15" i="61" s="1"/>
  <c r="S16" i="61" s="1"/>
  <c r="S14" i="57" l="1"/>
  <c r="S14" i="58"/>
  <c r="J5" i="53"/>
  <c r="G6" i="59" l="1"/>
  <c r="H6" i="59"/>
  <c r="H7" i="59" s="1"/>
  <c r="I6" i="59"/>
  <c r="I7" i="59" s="1"/>
  <c r="J6" i="59"/>
  <c r="K6" i="59"/>
  <c r="K7" i="59" s="1"/>
  <c r="L6" i="59"/>
  <c r="L7" i="59" s="1"/>
  <c r="M6" i="59"/>
  <c r="N6" i="59"/>
  <c r="N7" i="59" s="1"/>
  <c r="O6" i="59"/>
  <c r="O7" i="59" s="1"/>
  <c r="P6" i="59"/>
  <c r="Q6" i="59"/>
  <c r="Q7" i="59" s="1"/>
  <c r="G7" i="59"/>
  <c r="J7" i="59"/>
  <c r="M7" i="59"/>
  <c r="P7" i="59"/>
  <c r="G31" i="59"/>
  <c r="H31" i="59"/>
  <c r="I31" i="59"/>
  <c r="J31" i="59"/>
  <c r="K31" i="59"/>
  <c r="L31" i="59"/>
  <c r="M31" i="59"/>
  <c r="N31" i="59"/>
  <c r="O31" i="59"/>
  <c r="P31" i="59"/>
  <c r="Q31" i="59"/>
  <c r="G6" i="58"/>
  <c r="H6" i="58"/>
  <c r="H7" i="58" s="1"/>
  <c r="I6" i="58"/>
  <c r="I7" i="58" s="1"/>
  <c r="J6" i="58"/>
  <c r="K6" i="58"/>
  <c r="K7" i="58" s="1"/>
  <c r="L6" i="58"/>
  <c r="L7" i="58" s="1"/>
  <c r="M6" i="58"/>
  <c r="N6" i="58"/>
  <c r="N7" i="58" s="1"/>
  <c r="O6" i="58"/>
  <c r="O7" i="58" s="1"/>
  <c r="P6" i="58"/>
  <c r="Q6" i="58"/>
  <c r="Q7" i="58" s="1"/>
  <c r="G7" i="58"/>
  <c r="J7" i="58"/>
  <c r="M7" i="58"/>
  <c r="P7" i="58"/>
  <c r="G31" i="58"/>
  <c r="H31" i="58"/>
  <c r="I31" i="58"/>
  <c r="J31" i="58"/>
  <c r="K31" i="58"/>
  <c r="L31" i="58"/>
  <c r="M31" i="58"/>
  <c r="N31" i="58"/>
  <c r="O31" i="58"/>
  <c r="P31" i="58"/>
  <c r="Q31" i="58"/>
  <c r="G6" i="57"/>
  <c r="H6" i="57"/>
  <c r="H7" i="57" s="1"/>
  <c r="I6" i="57"/>
  <c r="I7" i="57" s="1"/>
  <c r="J6" i="57"/>
  <c r="K6" i="57"/>
  <c r="K7" i="57" s="1"/>
  <c r="L6" i="57"/>
  <c r="L7" i="57" s="1"/>
  <c r="M6" i="57"/>
  <c r="N6" i="57"/>
  <c r="N7" i="57" s="1"/>
  <c r="O6" i="57"/>
  <c r="O7" i="57" s="1"/>
  <c r="P6" i="57"/>
  <c r="Q6" i="57"/>
  <c r="Q7" i="57" s="1"/>
  <c r="G7" i="57"/>
  <c r="J7" i="57"/>
  <c r="M7" i="57"/>
  <c r="P7" i="57"/>
  <c r="G31" i="57"/>
  <c r="H31" i="57"/>
  <c r="I31" i="57"/>
  <c r="J31" i="57"/>
  <c r="K31" i="57"/>
  <c r="L31" i="57"/>
  <c r="M31" i="57"/>
  <c r="N31" i="57"/>
  <c r="O31" i="57"/>
  <c r="P31" i="57"/>
  <c r="Q31" i="57"/>
  <c r="G6" i="43"/>
  <c r="H6" i="43"/>
  <c r="H7" i="43" s="1"/>
  <c r="I6" i="43"/>
  <c r="I7" i="43" s="1"/>
  <c r="J6" i="43"/>
  <c r="K6" i="43"/>
  <c r="K7" i="43" s="1"/>
  <c r="L6" i="43"/>
  <c r="L7" i="43" s="1"/>
  <c r="M6" i="43"/>
  <c r="N6" i="43"/>
  <c r="N7" i="43" s="1"/>
  <c r="O6" i="43"/>
  <c r="O7" i="43" s="1"/>
  <c r="P6" i="43"/>
  <c r="Q6" i="43"/>
  <c r="Q7" i="43" s="1"/>
  <c r="G7" i="43"/>
  <c r="J7" i="43"/>
  <c r="M7" i="43"/>
  <c r="P7" i="43"/>
  <c r="G31" i="43"/>
  <c r="H31" i="43"/>
  <c r="I31" i="43"/>
  <c r="J31" i="43"/>
  <c r="K31" i="43"/>
  <c r="L31" i="43"/>
  <c r="M31" i="43"/>
  <c r="N31" i="43"/>
  <c r="O31" i="43"/>
  <c r="P31" i="43"/>
  <c r="Q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D6" i="61"/>
  <c r="D7" i="61" s="1"/>
  <c r="D9" i="61" s="1"/>
  <c r="D32" i="61" s="1"/>
  <c r="E6" i="61"/>
  <c r="E7" i="61" s="1"/>
  <c r="E9" i="61" s="1"/>
  <c r="E32" i="61" s="1"/>
  <c r="F6" i="61"/>
  <c r="F7" i="61" s="1"/>
  <c r="F9" i="61" s="1"/>
  <c r="F32" i="61" s="1"/>
  <c r="G6" i="61"/>
  <c r="G7" i="61" s="1"/>
  <c r="G9" i="61" s="1"/>
  <c r="G32" i="61" s="1"/>
  <c r="H6" i="61"/>
  <c r="I6" i="61"/>
  <c r="I7" i="61" s="1"/>
  <c r="I9" i="61" s="1"/>
  <c r="I32" i="61" s="1"/>
  <c r="J6" i="61"/>
  <c r="J7" i="61" s="1"/>
  <c r="J9" i="61" s="1"/>
  <c r="J32" i="61" s="1"/>
  <c r="K6" i="61"/>
  <c r="K7" i="61" s="1"/>
  <c r="K9" i="61" s="1"/>
  <c r="K32" i="61" s="1"/>
  <c r="L6" i="61"/>
  <c r="L7" i="61" s="1"/>
  <c r="L9" i="61" s="1"/>
  <c r="L32" i="61" s="1"/>
  <c r="M6" i="61"/>
  <c r="M7" i="61" s="1"/>
  <c r="M9" i="61" s="1"/>
  <c r="M32" i="61" s="1"/>
  <c r="N6" i="61"/>
  <c r="N7" i="61" s="1"/>
  <c r="N9" i="61" s="1"/>
  <c r="N32" i="61" s="1"/>
  <c r="O6" i="61"/>
  <c r="O7" i="61" s="1"/>
  <c r="O9" i="61" s="1"/>
  <c r="O32" i="61" s="1"/>
  <c r="P6" i="61"/>
  <c r="P7" i="61" s="1"/>
  <c r="P9" i="61" s="1"/>
  <c r="P32" i="61" s="1"/>
  <c r="Q6" i="61"/>
  <c r="Q7" i="61" s="1"/>
  <c r="Q9" i="61" s="1"/>
  <c r="Q32" i="61" s="1"/>
  <c r="H7" i="61"/>
  <c r="H9" i="61" s="1"/>
  <c r="H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R37" i="61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R12" i="61" l="1"/>
  <c r="R37" i="58"/>
  <c r="R12" i="58" s="1"/>
  <c r="R37" i="43"/>
  <c r="R12" i="43" s="1"/>
  <c r="R37" i="59"/>
  <c r="R12" i="59" s="1"/>
  <c r="R37" i="57"/>
  <c r="R12" i="57" s="1"/>
  <c r="E75" i="50"/>
  <c r="H47" i="61" s="1"/>
  <c r="H47" i="58" s="1"/>
  <c r="H22" i="58" s="1"/>
  <c r="E166" i="50"/>
  <c r="O47" i="61" s="1"/>
  <c r="O22" i="61" s="1"/>
  <c r="E205" i="50"/>
  <c r="R47" i="61" s="1"/>
  <c r="E114" i="50"/>
  <c r="K47" i="61" s="1"/>
  <c r="K47" i="57" s="1"/>
  <c r="K22" i="57" s="1"/>
  <c r="E69" i="50"/>
  <c r="H43" i="61" s="1"/>
  <c r="H43" i="57" s="1"/>
  <c r="E96" i="50"/>
  <c r="J37" i="61" s="1"/>
  <c r="J37" i="58" s="1"/>
  <c r="J12" i="58" s="1"/>
  <c r="E149" i="50"/>
  <c r="E163" i="50"/>
  <c r="O45" i="61" s="1"/>
  <c r="O45" i="57" s="1"/>
  <c r="O20" i="57" s="1"/>
  <c r="E189" i="50"/>
  <c r="Q45" i="61" s="1"/>
  <c r="Q45" i="57" s="1"/>
  <c r="Q20" i="57" s="1"/>
  <c r="E202" i="50"/>
  <c r="R45" i="61" s="1"/>
  <c r="E173" i="50"/>
  <c r="P43" i="61" s="1"/>
  <c r="P43" i="58" s="1"/>
  <c r="E111" i="50"/>
  <c r="K45" i="61" s="1"/>
  <c r="K45" i="43" s="1"/>
  <c r="K20" i="43" s="1"/>
  <c r="E140" i="50"/>
  <c r="M47" i="61" s="1"/>
  <c r="M47" i="58" s="1"/>
  <c r="M22" i="58" s="1"/>
  <c r="E146" i="50"/>
  <c r="N36" i="61" s="1"/>
  <c r="N36" i="59" s="1"/>
  <c r="N11" i="59" s="1"/>
  <c r="E179" i="50"/>
  <c r="P47" i="61" s="1"/>
  <c r="P47" i="59" s="1"/>
  <c r="P22" i="59" s="1"/>
  <c r="E186" i="50"/>
  <c r="Q43" i="61" s="1"/>
  <c r="Q43" i="57" s="1"/>
  <c r="E134" i="50"/>
  <c r="M43" i="61" s="1"/>
  <c r="M43" i="57" s="1"/>
  <c r="N11" i="61"/>
  <c r="E62" i="50"/>
  <c r="G47" i="61" s="1"/>
  <c r="G47" i="43" s="1"/>
  <c r="G22" i="43" s="1"/>
  <c r="E72" i="50"/>
  <c r="H45" i="61" s="1"/>
  <c r="H45" i="59" s="1"/>
  <c r="H20" i="59" s="1"/>
  <c r="E59" i="50"/>
  <c r="G45" i="61" s="1"/>
  <c r="G45" i="57" s="1"/>
  <c r="G20" i="57" s="1"/>
  <c r="E101" i="50"/>
  <c r="J47" i="61" s="1"/>
  <c r="J22" i="61" s="1"/>
  <c r="E107" i="50"/>
  <c r="K36" i="61" s="1"/>
  <c r="K11" i="61" s="1"/>
  <c r="E137" i="50"/>
  <c r="M45" i="61" s="1"/>
  <c r="M45" i="59" s="1"/>
  <c r="M20" i="59" s="1"/>
  <c r="N38" i="61"/>
  <c r="N38" i="59" s="1"/>
  <c r="N13" i="59" s="1"/>
  <c r="E160" i="50"/>
  <c r="O43" i="61" s="1"/>
  <c r="O43" i="58" s="1"/>
  <c r="E176" i="50"/>
  <c r="P45" i="61" s="1"/>
  <c r="P45" i="58" s="1"/>
  <c r="P20" i="58" s="1"/>
  <c r="E192" i="50"/>
  <c r="Q47" i="61" s="1"/>
  <c r="Q22" i="61" s="1"/>
  <c r="E199" i="50"/>
  <c r="R43" i="61" s="1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I43" i="59" s="1"/>
  <c r="E120" i="50"/>
  <c r="L36" i="61" s="1"/>
  <c r="L11" i="61" s="1"/>
  <c r="M43" i="59"/>
  <c r="M43" i="58"/>
  <c r="N36" i="58"/>
  <c r="N11" i="58" s="1"/>
  <c r="O45" i="59"/>
  <c r="O20" i="59" s="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L47" i="59" s="1"/>
  <c r="L22" i="59" s="1"/>
  <c r="E123" i="50"/>
  <c r="M38" i="61"/>
  <c r="E136" i="50"/>
  <c r="E151" i="50"/>
  <c r="N44" i="61" s="1"/>
  <c r="E148" i="50"/>
  <c r="N37" i="61" s="1"/>
  <c r="N12" i="61" s="1"/>
  <c r="O38" i="61"/>
  <c r="E162" i="50"/>
  <c r="P38" i="61"/>
  <c r="E175" i="50"/>
  <c r="Q38" i="61"/>
  <c r="Q13" i="61" s="1"/>
  <c r="E188" i="50"/>
  <c r="E204" i="50"/>
  <c r="R38" i="61" s="1"/>
  <c r="E201" i="50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L45" i="57" s="1"/>
  <c r="L20" i="57" s="1"/>
  <c r="O47" i="59"/>
  <c r="O22" i="59" s="1"/>
  <c r="O47" i="58"/>
  <c r="O22" i="58" s="1"/>
  <c r="P43" i="59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I47" i="58" s="1"/>
  <c r="I22" i="58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L38" i="6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R36" i="61" s="1"/>
  <c r="E203" i="50"/>
  <c r="R44" i="61" s="1"/>
  <c r="N20" i="61"/>
  <c r="Q12" i="61"/>
  <c r="O5" i="58"/>
  <c r="O5" i="57"/>
  <c r="O5" i="43"/>
  <c r="O5" i="59"/>
  <c r="L5" i="58"/>
  <c r="L5" i="57"/>
  <c r="L5" i="43"/>
  <c r="L5" i="59"/>
  <c r="I5" i="58"/>
  <c r="I5" i="57"/>
  <c r="I5" i="59"/>
  <c r="I5" i="43"/>
  <c r="O4" i="59"/>
  <c r="O4" i="57"/>
  <c r="O4" i="58"/>
  <c r="O4" i="43"/>
  <c r="L4" i="59"/>
  <c r="L4" i="58"/>
  <c r="L4" i="57"/>
  <c r="L4" i="43"/>
  <c r="I4" i="59"/>
  <c r="I4" i="58"/>
  <c r="I4" i="43"/>
  <c r="I4" i="57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8"/>
  <c r="H20" i="58" s="1"/>
  <c r="G43" i="58"/>
  <c r="G43" i="57"/>
  <c r="G43" i="43"/>
  <c r="G43" i="59"/>
  <c r="H47" i="43"/>
  <c r="H22" i="43" s="1"/>
  <c r="H43" i="43"/>
  <c r="G38" i="6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I45" i="43"/>
  <c r="I20" i="43" s="1"/>
  <c r="K37" i="59"/>
  <c r="K12" i="59" s="1"/>
  <c r="K37" i="43"/>
  <c r="K12" i="43" s="1"/>
  <c r="I38" i="61"/>
  <c r="J38" i="61"/>
  <c r="K38" i="61"/>
  <c r="E125" i="50"/>
  <c r="L44" i="61" s="1"/>
  <c r="L19" i="61" s="1"/>
  <c r="E71" i="50"/>
  <c r="E68" i="50"/>
  <c r="H36" i="61" s="1"/>
  <c r="E73" i="50"/>
  <c r="H44" i="61" s="1"/>
  <c r="K47" i="58" l="1"/>
  <c r="K22" i="58" s="1"/>
  <c r="J36" i="43"/>
  <c r="J11" i="43" s="1"/>
  <c r="H47" i="57"/>
  <c r="H22" i="57" s="1"/>
  <c r="G47" i="57"/>
  <c r="G22" i="57" s="1"/>
  <c r="I43" i="43"/>
  <c r="L20" i="61"/>
  <c r="H47" i="59"/>
  <c r="H22" i="59" s="1"/>
  <c r="N38" i="57"/>
  <c r="N13" i="57" s="1"/>
  <c r="M47" i="59"/>
  <c r="M22" i="59" s="1"/>
  <c r="R45" i="58"/>
  <c r="R20" i="58" s="1"/>
  <c r="R45" i="59"/>
  <c r="R20" i="59" s="1"/>
  <c r="R45" i="57"/>
  <c r="R20" i="57" s="1"/>
  <c r="R45" i="43"/>
  <c r="R20" i="43" s="1"/>
  <c r="R20" i="61"/>
  <c r="R44" i="58"/>
  <c r="R19" i="58" s="1"/>
  <c r="R44" i="43"/>
  <c r="R19" i="43" s="1"/>
  <c r="R44" i="59"/>
  <c r="R19" i="59" s="1"/>
  <c r="R44" i="57"/>
  <c r="R19" i="57" s="1"/>
  <c r="R19" i="61"/>
  <c r="R13" i="61"/>
  <c r="R38" i="58"/>
  <c r="R13" i="58" s="1"/>
  <c r="R38" i="59"/>
  <c r="R13" i="59" s="1"/>
  <c r="R38" i="57"/>
  <c r="R13" i="57" s="1"/>
  <c r="R38" i="43"/>
  <c r="R13" i="43" s="1"/>
  <c r="R47" i="59"/>
  <c r="R22" i="59" s="1"/>
  <c r="R47" i="57"/>
  <c r="R22" i="57" s="1"/>
  <c r="R47" i="43"/>
  <c r="R22" i="43" s="1"/>
  <c r="R47" i="58"/>
  <c r="R22" i="58" s="1"/>
  <c r="R22" i="61"/>
  <c r="R11" i="61"/>
  <c r="R14" i="61" s="1"/>
  <c r="R36" i="59"/>
  <c r="R11" i="59" s="1"/>
  <c r="R14" i="59" s="1"/>
  <c r="R36" i="57"/>
  <c r="R11" i="57" s="1"/>
  <c r="R14" i="57" s="1"/>
  <c r="R36" i="43"/>
  <c r="R11" i="43" s="1"/>
  <c r="R36" i="58"/>
  <c r="R11" i="58" s="1"/>
  <c r="R14" i="58" s="1"/>
  <c r="R43" i="59"/>
  <c r="R43" i="57"/>
  <c r="R43" i="58"/>
  <c r="R43" i="43"/>
  <c r="L36" i="57"/>
  <c r="L11" i="57" s="1"/>
  <c r="L47" i="58"/>
  <c r="L22" i="58" s="1"/>
  <c r="I43" i="57"/>
  <c r="J44" i="58"/>
  <c r="J19" i="58" s="1"/>
  <c r="K45" i="58"/>
  <c r="K20" i="58" s="1"/>
  <c r="H43" i="59"/>
  <c r="O43" i="57"/>
  <c r="J44" i="59"/>
  <c r="J19" i="59" s="1"/>
  <c r="L38" i="57"/>
  <c r="L13" i="57" s="1"/>
  <c r="L14" i="57" s="1"/>
  <c r="L47" i="43"/>
  <c r="L22" i="43" s="1"/>
  <c r="G45" i="58"/>
  <c r="G20" i="58" s="1"/>
  <c r="Q45" i="58"/>
  <c r="Q20" i="58" s="1"/>
  <c r="P45" i="43"/>
  <c r="P20" i="43" s="1"/>
  <c r="J45" i="57"/>
  <c r="J20" i="57" s="1"/>
  <c r="I47" i="57"/>
  <c r="I22" i="57" s="1"/>
  <c r="K36" i="57"/>
  <c r="K11" i="57" s="1"/>
  <c r="K43" i="57"/>
  <c r="I45" i="57"/>
  <c r="I20" i="57" s="1"/>
  <c r="J37" i="59"/>
  <c r="J12" i="59" s="1"/>
  <c r="P43" i="57"/>
  <c r="O43" i="59"/>
  <c r="P20" i="61"/>
  <c r="O45" i="58"/>
  <c r="O20" i="58" s="1"/>
  <c r="I47" i="43"/>
  <c r="I22" i="43" s="1"/>
  <c r="L45" i="59"/>
  <c r="L20" i="59" s="1"/>
  <c r="I22" i="61"/>
  <c r="L38" i="43"/>
  <c r="L13" i="43" s="1"/>
  <c r="J37" i="43"/>
  <c r="J12" i="43" s="1"/>
  <c r="P47" i="43"/>
  <c r="P22" i="43" s="1"/>
  <c r="P45" i="59"/>
  <c r="P20" i="59" s="1"/>
  <c r="J45" i="59"/>
  <c r="J20" i="59" s="1"/>
  <c r="I43" i="58"/>
  <c r="I47" i="59"/>
  <c r="I22" i="59" s="1"/>
  <c r="K36" i="58"/>
  <c r="K11" i="58" s="1"/>
  <c r="J44" i="43"/>
  <c r="J19" i="43" s="1"/>
  <c r="L36" i="58"/>
  <c r="L11" i="58" s="1"/>
  <c r="L38" i="59"/>
  <c r="L13" i="59" s="1"/>
  <c r="K43" i="59"/>
  <c r="L47" i="57"/>
  <c r="L22" i="57" s="1"/>
  <c r="J36" i="58"/>
  <c r="J11" i="58" s="1"/>
  <c r="H43" i="58"/>
  <c r="G45" i="59"/>
  <c r="G20" i="59" s="1"/>
  <c r="H45" i="43"/>
  <c r="H20" i="43" s="1"/>
  <c r="M20" i="61"/>
  <c r="Q45" i="43"/>
  <c r="Q20" i="43" s="1"/>
  <c r="P43" i="43"/>
  <c r="O43" i="43"/>
  <c r="O47" i="43"/>
  <c r="O22" i="43" s="1"/>
  <c r="M45" i="43"/>
  <c r="M20" i="43" s="1"/>
  <c r="O45" i="43"/>
  <c r="O20" i="43" s="1"/>
  <c r="N36" i="57"/>
  <c r="N11" i="57" s="1"/>
  <c r="M43" i="43"/>
  <c r="L14" i="61"/>
  <c r="J12" i="61"/>
  <c r="L45" i="43"/>
  <c r="L20" i="43" s="1"/>
  <c r="I37" i="59"/>
  <c r="I12" i="59" s="1"/>
  <c r="L36" i="59"/>
  <c r="L11" i="59" s="1"/>
  <c r="K45" i="57"/>
  <c r="K20" i="57" s="1"/>
  <c r="K45" i="59"/>
  <c r="K20" i="59" s="1"/>
  <c r="J37" i="57"/>
  <c r="J12" i="57" s="1"/>
  <c r="G45" i="43"/>
  <c r="G20" i="43" s="1"/>
  <c r="Q20" i="61"/>
  <c r="Q45" i="59"/>
  <c r="Q20" i="59" s="1"/>
  <c r="P47" i="57"/>
  <c r="P22" i="57" s="1"/>
  <c r="M45" i="57"/>
  <c r="M20" i="57" s="1"/>
  <c r="P45" i="57"/>
  <c r="P20" i="57" s="1"/>
  <c r="K20" i="61"/>
  <c r="J45" i="58"/>
  <c r="J20" i="58" s="1"/>
  <c r="J45" i="43"/>
  <c r="J20" i="43" s="1"/>
  <c r="L45" i="58"/>
  <c r="L20" i="58" s="1"/>
  <c r="K36" i="43"/>
  <c r="K11" i="43" s="1"/>
  <c r="K36" i="59"/>
  <c r="K11" i="59" s="1"/>
  <c r="J44" i="57"/>
  <c r="J19" i="57" s="1"/>
  <c r="I36" i="59"/>
  <c r="I11" i="59" s="1"/>
  <c r="L22" i="61"/>
  <c r="L36" i="43"/>
  <c r="L11" i="43" s="1"/>
  <c r="L38" i="58"/>
  <c r="L13" i="58" s="1"/>
  <c r="K44" i="43"/>
  <c r="K19" i="43" s="1"/>
  <c r="G20" i="61"/>
  <c r="H45" i="57"/>
  <c r="H20" i="57" s="1"/>
  <c r="P22" i="61"/>
  <c r="P47" i="58"/>
  <c r="P22" i="58" s="1"/>
  <c r="O47" i="57"/>
  <c r="O22" i="57" s="1"/>
  <c r="M45" i="58"/>
  <c r="M20" i="58" s="1"/>
  <c r="N36" i="43"/>
  <c r="N11" i="43" s="1"/>
  <c r="K37" i="57"/>
  <c r="K12" i="57" s="1"/>
  <c r="I45" i="58"/>
  <c r="I20" i="58" s="1"/>
  <c r="L43" i="43"/>
  <c r="K44" i="59"/>
  <c r="K19" i="59" s="1"/>
  <c r="Q47" i="59"/>
  <c r="Q22" i="59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K43" i="43"/>
  <c r="J43" i="57"/>
  <c r="J11" i="61"/>
  <c r="I36" i="58"/>
  <c r="I11" i="58" s="1"/>
  <c r="I36" i="57"/>
  <c r="I11" i="57" s="1"/>
  <c r="J43" i="58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36" i="57"/>
  <c r="O11" i="57" s="1"/>
  <c r="O36" i="43"/>
  <c r="O11" i="43" s="1"/>
  <c r="O11" i="6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36" i="43"/>
  <c r="G11" i="43" s="1"/>
  <c r="G36" i="59"/>
  <c r="G11" i="59" s="1"/>
  <c r="G11" i="6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38" i="43"/>
  <c r="I13" i="43" s="1"/>
  <c r="I38" i="59"/>
  <c r="I13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38" i="58"/>
  <c r="K13" i="58" s="1"/>
  <c r="K38" i="57"/>
  <c r="K13" i="57" s="1"/>
  <c r="K38" i="43"/>
  <c r="K13" i="43" s="1"/>
  <c r="K13" i="61"/>
  <c r="K14" i="61" s="1"/>
  <c r="J38" i="43"/>
  <c r="J13" i="43" s="1"/>
  <c r="J38" i="58"/>
  <c r="J13" i="58" s="1"/>
  <c r="J14" i="58" s="1"/>
  <c r="J38" i="57"/>
  <c r="J13" i="57" s="1"/>
  <c r="J38" i="59"/>
  <c r="J13" i="59" s="1"/>
  <c r="J13" i="61"/>
  <c r="E24" i="53"/>
  <c r="F24" i="53"/>
  <c r="F25" i="53" s="1"/>
  <c r="F26" i="53" s="1"/>
  <c r="F27" i="53" s="1"/>
  <c r="F28" i="53" s="1"/>
  <c r="G24" i="53"/>
  <c r="G25" i="53" s="1"/>
  <c r="G26" i="53" s="1"/>
  <c r="G27" i="53" s="1"/>
  <c r="G28" i="53" s="1"/>
  <c r="H24" i="53"/>
  <c r="I24" i="53"/>
  <c r="J24" i="53"/>
  <c r="K24" i="53"/>
  <c r="L24" i="53"/>
  <c r="K18" i="55" s="1"/>
  <c r="K19" i="55" s="1"/>
  <c r="K20" i="55" s="1"/>
  <c r="M24" i="53"/>
  <c r="N24" i="53"/>
  <c r="O24" i="53"/>
  <c r="P24" i="53"/>
  <c r="Q24" i="53"/>
  <c r="R24" i="53"/>
  <c r="S24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L14" i="59" l="1"/>
  <c r="K14" i="57"/>
  <c r="G33" i="61"/>
  <c r="G10" i="61" s="1"/>
  <c r="G15" i="61" s="1"/>
  <c r="G16" i="61" s="1"/>
  <c r="H25" i="53"/>
  <c r="H26" i="53" s="1"/>
  <c r="H27" i="53" s="1"/>
  <c r="H28" i="53" s="1"/>
  <c r="D33" i="61"/>
  <c r="D10" i="61" s="1"/>
  <c r="E25" i="53"/>
  <c r="E26" i="53" s="1"/>
  <c r="E27" i="53" s="1"/>
  <c r="E28" i="53" s="1"/>
  <c r="H33" i="61"/>
  <c r="H10" i="61" s="1"/>
  <c r="I25" i="53"/>
  <c r="I26" i="53" s="1"/>
  <c r="I27" i="53" s="1"/>
  <c r="I28" i="53" s="1"/>
  <c r="R33" i="61"/>
  <c r="S25" i="53"/>
  <c r="S26" i="53" s="1"/>
  <c r="S27" i="53" s="1"/>
  <c r="I33" i="61"/>
  <c r="I10" i="61" s="1"/>
  <c r="I15" i="61" s="1"/>
  <c r="I16" i="61" s="1"/>
  <c r="J25" i="53"/>
  <c r="J26" i="53" s="1"/>
  <c r="J27" i="53" s="1"/>
  <c r="J28" i="53" s="1"/>
  <c r="P33" i="61"/>
  <c r="P34" i="61" s="1"/>
  <c r="P40" i="61" s="1"/>
  <c r="Q25" i="53"/>
  <c r="Q26" i="53" s="1"/>
  <c r="Q27" i="53" s="1"/>
  <c r="Q28" i="53" s="1"/>
  <c r="M33" i="61"/>
  <c r="N25" i="53"/>
  <c r="N26" i="53" s="1"/>
  <c r="N27" i="53" s="1"/>
  <c r="N28" i="53" s="1"/>
  <c r="J33" i="61"/>
  <c r="J10" i="61" s="1"/>
  <c r="K25" i="53"/>
  <c r="K26" i="53" s="1"/>
  <c r="K27" i="53" s="1"/>
  <c r="K28" i="53" s="1"/>
  <c r="O33" i="61"/>
  <c r="O34" i="61" s="1"/>
  <c r="O40" i="61" s="1"/>
  <c r="P25" i="53"/>
  <c r="P26" i="53" s="1"/>
  <c r="P27" i="53" s="1"/>
  <c r="P28" i="53" s="1"/>
  <c r="L33" i="61"/>
  <c r="L10" i="61" s="1"/>
  <c r="L15" i="61" s="1"/>
  <c r="L16" i="61" s="1"/>
  <c r="M25" i="53"/>
  <c r="M26" i="53" s="1"/>
  <c r="M27" i="53" s="1"/>
  <c r="M28" i="53" s="1"/>
  <c r="Q33" i="61"/>
  <c r="Q34" i="61" s="1"/>
  <c r="Q40" i="61" s="1"/>
  <c r="R25" i="53"/>
  <c r="R26" i="53" s="1"/>
  <c r="R27" i="53" s="1"/>
  <c r="R28" i="53" s="1"/>
  <c r="N33" i="61"/>
  <c r="N10" i="61" s="1"/>
  <c r="N15" i="61" s="1"/>
  <c r="N16" i="61" s="1"/>
  <c r="O25" i="53"/>
  <c r="O26" i="53" s="1"/>
  <c r="O27" i="53" s="1"/>
  <c r="O28" i="53" s="1"/>
  <c r="K33" i="61"/>
  <c r="K34" i="61" s="1"/>
  <c r="K40" i="61" s="1"/>
  <c r="L25" i="53"/>
  <c r="J18" i="55"/>
  <c r="J19" i="55" s="1"/>
  <c r="J20" i="55" s="1"/>
  <c r="R10" i="61"/>
  <c r="R15" i="61" s="1"/>
  <c r="R16" i="61" s="1"/>
  <c r="R34" i="61"/>
  <c r="R40" i="61" s="1"/>
  <c r="J14" i="57"/>
  <c r="R14" i="43"/>
  <c r="J14" i="43"/>
  <c r="L14" i="58"/>
  <c r="K14" i="43"/>
  <c r="I14" i="57"/>
  <c r="L14" i="43"/>
  <c r="K14" i="58"/>
  <c r="I14" i="43"/>
  <c r="G14" i="61"/>
  <c r="G14" i="57"/>
  <c r="N14" i="57"/>
  <c r="O14" i="61"/>
  <c r="O14" i="58"/>
  <c r="K14" i="59"/>
  <c r="I14" i="59"/>
  <c r="E33" i="61"/>
  <c r="E34" i="61" s="1"/>
  <c r="E18" i="55"/>
  <c r="F33" i="61"/>
  <c r="F10" i="61" s="1"/>
  <c r="F18" i="55"/>
  <c r="N14" i="43"/>
  <c r="J14" i="61"/>
  <c r="O14" i="57"/>
  <c r="N14" i="58"/>
  <c r="I14" i="58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M18" i="55"/>
  <c r="M19" i="55" s="1"/>
  <c r="M20" i="55" s="1"/>
  <c r="N18" i="55"/>
  <c r="N19" i="55" s="1"/>
  <c r="N20" i="55" s="1"/>
  <c r="Q18" i="55"/>
  <c r="Q19" i="55" s="1"/>
  <c r="Q20" i="55" s="1"/>
  <c r="L34" i="61"/>
  <c r="L40" i="61" s="1"/>
  <c r="L18" i="55"/>
  <c r="L19" i="55" s="1"/>
  <c r="L20" i="55" s="1"/>
  <c r="I18" i="55"/>
  <c r="I19" i="55" s="1"/>
  <c r="I20" i="55" s="1"/>
  <c r="I34" i="61"/>
  <c r="I40" i="61" s="1"/>
  <c r="R18" i="55"/>
  <c r="R19" i="55" s="1"/>
  <c r="R33" i="43"/>
  <c r="R10" i="43" s="1"/>
  <c r="O18" i="55"/>
  <c r="O19" i="55" s="1"/>
  <c r="O20" i="55" s="1"/>
  <c r="O10" i="61"/>
  <c r="M34" i="61"/>
  <c r="M40" i="61" s="1"/>
  <c r="M10" i="61"/>
  <c r="H18" i="55"/>
  <c r="H19" i="55" s="1"/>
  <c r="H20" i="55" s="1"/>
  <c r="G18" i="55"/>
  <c r="G19" i="55" s="1"/>
  <c r="G20" i="55" s="1"/>
  <c r="G34" i="61"/>
  <c r="G40" i="61" s="1"/>
  <c r="D34" i="61"/>
  <c r="H7" i="50"/>
  <c r="L7" i="50"/>
  <c r="H34" i="61" l="1"/>
  <c r="H40" i="61" s="1"/>
  <c r="M33" i="43"/>
  <c r="N34" i="61"/>
  <c r="N40" i="61" s="1"/>
  <c r="P10" i="61"/>
  <c r="Q33" i="43"/>
  <c r="K10" i="61"/>
  <c r="K15" i="61" s="1"/>
  <c r="K16" i="61" s="1"/>
  <c r="F34" i="61"/>
  <c r="S28" i="53"/>
  <c r="R33" i="59" s="1"/>
  <c r="R10" i="59" s="1"/>
  <c r="R33" i="58"/>
  <c r="R10" i="58" s="1"/>
  <c r="Q10" i="61"/>
  <c r="Q15" i="61" s="1"/>
  <c r="Q16" i="61" s="1"/>
  <c r="J34" i="61"/>
  <c r="J40" i="61" s="1"/>
  <c r="P33" i="43"/>
  <c r="P10" i="43" s="1"/>
  <c r="L26" i="53"/>
  <c r="L27" i="53" s="1"/>
  <c r="L28" i="53" s="1"/>
  <c r="K33" i="43"/>
  <c r="K10" i="43" s="1"/>
  <c r="J33" i="43"/>
  <c r="J10" i="43" s="1"/>
  <c r="J33" i="57"/>
  <c r="J10" i="57" s="1"/>
  <c r="R20" i="55"/>
  <c r="O15" i="61"/>
  <c r="O16" i="61" s="1"/>
  <c r="J15" i="61"/>
  <c r="J16" i="61" s="1"/>
  <c r="E10" i="61"/>
  <c r="M15" i="61"/>
  <c r="M16" i="61" s="1"/>
  <c r="P15" i="61"/>
  <c r="P16" i="61" s="1"/>
  <c r="H15" i="61"/>
  <c r="H16" i="61" s="1"/>
  <c r="P33" i="57"/>
  <c r="M10" i="43"/>
  <c r="H33" i="43"/>
  <c r="N33" i="43"/>
  <c r="O33" i="43"/>
  <c r="M33" i="57"/>
  <c r="Q10" i="43"/>
  <c r="G33" i="43"/>
  <c r="R33" i="57"/>
  <c r="R10" i="57" s="1"/>
  <c r="Q33" i="57"/>
  <c r="J33" i="58"/>
  <c r="J33" i="59"/>
  <c r="L33" i="43"/>
  <c r="K33" i="57"/>
  <c r="I33" i="43"/>
  <c r="F33" i="59"/>
  <c r="F33" i="58"/>
  <c r="F33" i="57"/>
  <c r="G33" i="57" l="1"/>
  <c r="O33" i="57"/>
  <c r="H10" i="43"/>
  <c r="P33" i="59"/>
  <c r="P33" i="58"/>
  <c r="M33" i="59"/>
  <c r="M33" i="58"/>
  <c r="N10" i="43"/>
  <c r="H33" i="57"/>
  <c r="Q33" i="59"/>
  <c r="Q33" i="58"/>
  <c r="M10" i="57"/>
  <c r="Q10" i="57"/>
  <c r="G10" i="43"/>
  <c r="O10" i="43"/>
  <c r="N33" i="57"/>
  <c r="P10" i="57"/>
  <c r="J10" i="59"/>
  <c r="K33" i="58"/>
  <c r="K33" i="59"/>
  <c r="L10" i="43"/>
  <c r="K10" i="57"/>
  <c r="L33" i="57"/>
  <c r="J10" i="58"/>
  <c r="I33" i="57"/>
  <c r="I10" i="43"/>
  <c r="E31" i="59"/>
  <c r="F31" i="59"/>
  <c r="E31" i="58"/>
  <c r="F31" i="58"/>
  <c r="E31" i="57"/>
  <c r="F31" i="57"/>
  <c r="D31" i="43"/>
  <c r="E31" i="43"/>
  <c r="F31" i="43"/>
  <c r="T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P10" i="59"/>
  <c r="O10" i="57"/>
  <c r="G33" i="59"/>
  <c r="G33" i="58"/>
  <c r="N33" i="59"/>
  <c r="N33" i="58"/>
  <c r="Q10" i="58"/>
  <c r="H33" i="59"/>
  <c r="H33" i="58"/>
  <c r="M10" i="58"/>
  <c r="O33" i="59"/>
  <c r="O33" i="58"/>
  <c r="Q10" i="59"/>
  <c r="M10" i="59"/>
  <c r="P10" i="58"/>
  <c r="G10" i="57"/>
  <c r="L10" i="57"/>
  <c r="K10" i="58"/>
  <c r="L33" i="58"/>
  <c r="L33" i="59"/>
  <c r="K10" i="59"/>
  <c r="I33" i="58"/>
  <c r="I33" i="59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O10" i="58" l="1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V7" i="55"/>
  <c r="V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T18" i="61" l="1"/>
  <c r="T21" i="61"/>
  <c r="T6" i="43"/>
  <c r="T6" i="57"/>
  <c r="E33" i="57"/>
  <c r="C18" i="55"/>
  <c r="T18" i="55" s="1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G17" i="36" s="1"/>
  <c r="G19" i="36" s="1"/>
  <c r="M12" i="36"/>
  <c r="T6" i="59"/>
  <c r="W7" i="55"/>
  <c r="T6" i="61"/>
  <c r="T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8" i="61"/>
  <c r="E13" i="61" s="1"/>
  <c r="E33" i="50"/>
  <c r="E45" i="61" s="1"/>
  <c r="E20" i="61" s="1"/>
  <c r="E36" i="50"/>
  <c r="E47" i="61" s="1"/>
  <c r="E22" i="61" s="1"/>
  <c r="F38" i="6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V9" i="55"/>
  <c r="W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S16" i="55"/>
  <c r="C33" i="61"/>
  <c r="C10" i="61" s="1"/>
  <c r="M14" i="36"/>
  <c r="M7" i="36"/>
  <c r="K10" i="36"/>
  <c r="K17" i="36" s="1"/>
  <c r="K19" i="36" s="1"/>
  <c r="M5" i="36"/>
  <c r="C10" i="36"/>
  <c r="E19" i="55"/>
  <c r="E20" i="55" s="1"/>
  <c r="E11" i="50"/>
  <c r="E8" i="50"/>
  <c r="C45" i="61" s="1"/>
  <c r="C38" i="6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S8" i="43" l="1"/>
  <c r="S9" i="43" s="1"/>
  <c r="R8" i="43"/>
  <c r="R9" i="43" s="1"/>
  <c r="S8" i="57"/>
  <c r="S9" i="57" s="1"/>
  <c r="R8" i="57"/>
  <c r="R9" i="57" s="1"/>
  <c r="S18" i="61"/>
  <c r="S17" i="61" s="1"/>
  <c r="S21" i="61"/>
  <c r="R18" i="61"/>
  <c r="R17" i="61" s="1"/>
  <c r="R21" i="61"/>
  <c r="R46" i="61" s="1"/>
  <c r="R48" i="61" s="1"/>
  <c r="D19" i="55"/>
  <c r="D20" i="55" s="1"/>
  <c r="C19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G8" i="57"/>
  <c r="G9" i="57" s="1"/>
  <c r="M8" i="57"/>
  <c r="M9" i="57" s="1"/>
  <c r="F14" i="61"/>
  <c r="F15" i="61" s="1"/>
  <c r="F16" i="61" s="1"/>
  <c r="E14" i="61"/>
  <c r="E15" i="61" s="1"/>
  <c r="E16" i="61" s="1"/>
  <c r="T7" i="43"/>
  <c r="D5" i="56" s="1"/>
  <c r="G4" i="56"/>
  <c r="F4" i="56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I21" i="61"/>
  <c r="L21" i="61"/>
  <c r="O21" i="61"/>
  <c r="E33" i="59"/>
  <c r="E33" i="58"/>
  <c r="C33" i="59"/>
  <c r="C10" i="59" s="1"/>
  <c r="C33" i="58"/>
  <c r="C10" i="58" s="1"/>
  <c r="D33" i="59"/>
  <c r="D33" i="58"/>
  <c r="T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T7" i="57"/>
  <c r="E5" i="56" s="1"/>
  <c r="T7" i="58"/>
  <c r="T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V10" i="55"/>
  <c r="W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T18" i="43" s="1"/>
  <c r="M18" i="43" s="1"/>
  <c r="M17" i="43" s="1"/>
  <c r="D28" i="51"/>
  <c r="E27" i="51"/>
  <c r="T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C20" i="55" l="1"/>
  <c r="T19" i="55"/>
  <c r="T20" i="55" s="1"/>
  <c r="R15" i="43"/>
  <c r="R16" i="43" s="1"/>
  <c r="R32" i="43"/>
  <c r="R34" i="43" s="1"/>
  <c r="R40" i="43" s="1"/>
  <c r="R8" i="58"/>
  <c r="R9" i="58" s="1"/>
  <c r="S8" i="58"/>
  <c r="S9" i="58" s="1"/>
  <c r="R15" i="57"/>
  <c r="R16" i="57" s="1"/>
  <c r="R32" i="57"/>
  <c r="R34" i="57" s="1"/>
  <c r="R40" i="57" s="1"/>
  <c r="S32" i="43"/>
  <c r="S34" i="43" s="1"/>
  <c r="S40" i="43" s="1"/>
  <c r="S15" i="43"/>
  <c r="S16" i="43" s="1"/>
  <c r="S32" i="57"/>
  <c r="S34" i="57" s="1"/>
  <c r="S40" i="57" s="1"/>
  <c r="S15" i="57"/>
  <c r="S16" i="57" s="1"/>
  <c r="S23" i="61"/>
  <c r="S24" i="61" s="1"/>
  <c r="S25" i="61" s="1"/>
  <c r="S26" i="61" s="1"/>
  <c r="S27" i="61" s="1"/>
  <c r="S46" i="61"/>
  <c r="S48" i="61" s="1"/>
  <c r="R18" i="43"/>
  <c r="R17" i="43" s="1"/>
  <c r="F23" i="61"/>
  <c r="F24" i="61" s="1"/>
  <c r="F25" i="61" s="1"/>
  <c r="F26" i="61" s="1"/>
  <c r="F27" i="61" s="1"/>
  <c r="S21" i="43"/>
  <c r="S46" i="43" s="1"/>
  <c r="R21" i="43"/>
  <c r="R46" i="43" s="1"/>
  <c r="S18" i="43"/>
  <c r="S17" i="43" s="1"/>
  <c r="R23" i="61"/>
  <c r="R24" i="61" s="1"/>
  <c r="R25" i="61" s="1"/>
  <c r="M32" i="57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I18" i="43"/>
  <c r="I17" i="43" s="1"/>
  <c r="O18" i="43"/>
  <c r="O17" i="43" s="1"/>
  <c r="K21" i="43"/>
  <c r="K46" i="43" s="1"/>
  <c r="N18" i="43"/>
  <c r="N17" i="43" s="1"/>
  <c r="P21" i="43"/>
  <c r="P46" i="43" s="1"/>
  <c r="P48" i="43" s="1"/>
  <c r="G21" i="43"/>
  <c r="G46" i="43" s="1"/>
  <c r="J18" i="43"/>
  <c r="J17" i="43" s="1"/>
  <c r="J23" i="43" s="1"/>
  <c r="I21" i="43"/>
  <c r="I46" i="43" s="1"/>
  <c r="L18" i="43"/>
  <c r="L17" i="43" s="1"/>
  <c r="Q21" i="43"/>
  <c r="Q46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O21" i="43"/>
  <c r="O46" i="43" s="1"/>
  <c r="N21" i="43"/>
  <c r="N46" i="43" s="1"/>
  <c r="Q18" i="43"/>
  <c r="Q17" i="43" s="1"/>
  <c r="H18" i="43"/>
  <c r="H17" i="43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T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T8" i="57"/>
  <c r="E6" i="56" s="1"/>
  <c r="F5" i="56"/>
  <c r="H5" i="56" s="1"/>
  <c r="C32" i="61"/>
  <c r="C34" i="61" s="1"/>
  <c r="T9" i="61"/>
  <c r="C7" i="56" s="1"/>
  <c r="E18" i="43"/>
  <c r="E17" i="43" s="1"/>
  <c r="F18" i="43"/>
  <c r="F17" i="43" s="1"/>
  <c r="E21" i="43"/>
  <c r="E46" i="43" s="1"/>
  <c r="F21" i="43"/>
  <c r="F46" i="43" s="1"/>
  <c r="T20" i="59"/>
  <c r="G18" i="56" s="1"/>
  <c r="G44" i="56" s="1"/>
  <c r="T10" i="61"/>
  <c r="C8" i="56" s="1"/>
  <c r="C31" i="56" s="1"/>
  <c r="F10" i="57"/>
  <c r="F34" i="57"/>
  <c r="F40" i="57" s="1"/>
  <c r="T13" i="61"/>
  <c r="C11" i="56" s="1"/>
  <c r="C37" i="56" s="1"/>
  <c r="E34" i="57"/>
  <c r="E40" i="57" s="1"/>
  <c r="E10" i="57"/>
  <c r="T12" i="57"/>
  <c r="E10" i="56" s="1"/>
  <c r="E36" i="56" s="1"/>
  <c r="T12" i="59"/>
  <c r="G10" i="56" s="1"/>
  <c r="G36" i="56" s="1"/>
  <c r="T13" i="43"/>
  <c r="D11" i="56" s="1"/>
  <c r="D37" i="56" s="1"/>
  <c r="E10" i="43"/>
  <c r="E34" i="43"/>
  <c r="E40" i="43" s="1"/>
  <c r="F10" i="43"/>
  <c r="F34" i="43"/>
  <c r="F40" i="43" s="1"/>
  <c r="T12" i="58"/>
  <c r="F11" i="43"/>
  <c r="F14" i="43" s="1"/>
  <c r="E11" i="58"/>
  <c r="T12" i="61"/>
  <c r="C10" i="56" s="1"/>
  <c r="C36" i="56" s="1"/>
  <c r="T13" i="58"/>
  <c r="F11" i="56" s="1"/>
  <c r="F37" i="56" s="1"/>
  <c r="F11" i="58"/>
  <c r="F14" i="58" s="1"/>
  <c r="F11" i="57"/>
  <c r="T13" i="57"/>
  <c r="E11" i="56" s="1"/>
  <c r="E37" i="56" s="1"/>
  <c r="E11" i="43"/>
  <c r="E11" i="59"/>
  <c r="T20" i="61"/>
  <c r="C18" i="56" s="1"/>
  <c r="C44" i="56" s="1"/>
  <c r="T20" i="58"/>
  <c r="F18" i="56" s="1"/>
  <c r="F44" i="56" s="1"/>
  <c r="T20" i="57"/>
  <c r="E18" i="56" s="1"/>
  <c r="E44" i="56" s="1"/>
  <c r="T12" i="43"/>
  <c r="D10" i="56" s="1"/>
  <c r="D36" i="56" s="1"/>
  <c r="T13" i="59"/>
  <c r="G11" i="56" s="1"/>
  <c r="G37" i="56" s="1"/>
  <c r="F11" i="59"/>
  <c r="F14" i="59" s="1"/>
  <c r="E11" i="57"/>
  <c r="E14" i="57" s="1"/>
  <c r="T20" i="43"/>
  <c r="D18" i="56" s="1"/>
  <c r="D44" i="56" s="1"/>
  <c r="V11" i="55"/>
  <c r="W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R48" i="43" l="1"/>
  <c r="S23" i="43"/>
  <c r="S24" i="43" s="1"/>
  <c r="S48" i="43"/>
  <c r="G48" i="43"/>
  <c r="K48" i="43"/>
  <c r="R15" i="58"/>
  <c r="R16" i="58" s="1"/>
  <c r="R32" i="58"/>
  <c r="R34" i="58" s="1"/>
  <c r="R40" i="58" s="1"/>
  <c r="R8" i="59"/>
  <c r="R9" i="59" s="1"/>
  <c r="S8" i="59"/>
  <c r="S9" i="59" s="1"/>
  <c r="O48" i="43"/>
  <c r="I48" i="43"/>
  <c r="Q48" i="43"/>
  <c r="S15" i="58"/>
  <c r="S16" i="58" s="1"/>
  <c r="S32" i="58"/>
  <c r="S34" i="58" s="1"/>
  <c r="S40" i="58" s="1"/>
  <c r="R23" i="43"/>
  <c r="R24" i="43" s="1"/>
  <c r="R25" i="43" s="1"/>
  <c r="R26" i="43" s="1"/>
  <c r="R27" i="43" s="1"/>
  <c r="T21" i="57"/>
  <c r="M21" i="57" s="1"/>
  <c r="T18" i="57"/>
  <c r="G18" i="57" s="1"/>
  <c r="G17" i="57" s="1"/>
  <c r="S25" i="43"/>
  <c r="S26" i="43" s="1"/>
  <c r="S27" i="43" s="1"/>
  <c r="R26" i="61"/>
  <c r="R27" i="61" s="1"/>
  <c r="G23" i="43"/>
  <c r="N48" i="43"/>
  <c r="L48" i="43"/>
  <c r="M24" i="43"/>
  <c r="M25" i="43" s="1"/>
  <c r="M26" i="43" s="1"/>
  <c r="M27" i="43" s="1"/>
  <c r="J24" i="43"/>
  <c r="J25" i="43" s="1"/>
  <c r="J26" i="43" s="1"/>
  <c r="J27" i="43" s="1"/>
  <c r="K23" i="43"/>
  <c r="K24" i="43" s="1"/>
  <c r="K25" i="43" s="1"/>
  <c r="K26" i="43" s="1"/>
  <c r="K27" i="43" s="1"/>
  <c r="H48" i="43"/>
  <c r="D40" i="58"/>
  <c r="P23" i="43"/>
  <c r="P24" i="43" s="1"/>
  <c r="P25" i="43" s="1"/>
  <c r="P26" i="43" s="1"/>
  <c r="P27" i="43" s="1"/>
  <c r="H23" i="43"/>
  <c r="H24" i="43" s="1"/>
  <c r="H25" i="43" s="1"/>
  <c r="H26" i="43" s="1"/>
  <c r="H27" i="43" s="1"/>
  <c r="J48" i="43"/>
  <c r="K32" i="58"/>
  <c r="K34" i="58" s="1"/>
  <c r="K40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Q32" i="58"/>
  <c r="Q34" i="58" s="1"/>
  <c r="Q40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15" i="58"/>
  <c r="H16" i="58" s="1"/>
  <c r="I32" i="58"/>
  <c r="I34" i="58" s="1"/>
  <c r="I40" i="58" s="1"/>
  <c r="I15" i="58"/>
  <c r="I16" i="58" s="1"/>
  <c r="L23" i="43"/>
  <c r="L24" i="43" s="1"/>
  <c r="L25" i="43" s="1"/>
  <c r="L26" i="43" s="1"/>
  <c r="L27" i="43" s="1"/>
  <c r="G24" i="43"/>
  <c r="G25" i="43" s="1"/>
  <c r="G26" i="43" s="1"/>
  <c r="G27" i="43" s="1"/>
  <c r="M32" i="58"/>
  <c r="M34" i="58" s="1"/>
  <c r="M40" i="58" s="1"/>
  <c r="M15" i="58"/>
  <c r="M16" i="58" s="1"/>
  <c r="N32" i="58"/>
  <c r="N34" i="58" s="1"/>
  <c r="N40" i="58" s="1"/>
  <c r="N15" i="58"/>
  <c r="N16" i="58" s="1"/>
  <c r="O32" i="58"/>
  <c r="O34" i="58" s="1"/>
  <c r="O40" i="58" s="1"/>
  <c r="O15" i="58"/>
  <c r="O16" i="58" s="1"/>
  <c r="N23" i="43"/>
  <c r="N24" i="43" s="1"/>
  <c r="N25" i="43" s="1"/>
  <c r="N26" i="43" s="1"/>
  <c r="N27" i="43" s="1"/>
  <c r="M46" i="43"/>
  <c r="M48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P18" i="57"/>
  <c r="P17" i="57" s="1"/>
  <c r="K18" i="57"/>
  <c r="K17" i="57" s="1"/>
  <c r="J18" i="57"/>
  <c r="J17" i="57" s="1"/>
  <c r="N18" i="57"/>
  <c r="N17" i="57" s="1"/>
  <c r="M18" i="57"/>
  <c r="M17" i="57" s="1"/>
  <c r="H18" i="57"/>
  <c r="H17" i="57" s="1"/>
  <c r="I18" i="57"/>
  <c r="I17" i="57" s="1"/>
  <c r="I23" i="43"/>
  <c r="I24" i="43" s="1"/>
  <c r="I25" i="43" s="1"/>
  <c r="I26" i="43" s="1"/>
  <c r="I27" i="43" s="1"/>
  <c r="Q21" i="57"/>
  <c r="K21" i="57"/>
  <c r="J21" i="57"/>
  <c r="N21" i="57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T22" i="61"/>
  <c r="C20" i="56" s="1"/>
  <c r="C46" i="56" s="1"/>
  <c r="T19" i="59"/>
  <c r="G17" i="56" s="1"/>
  <c r="G43" i="56" s="1"/>
  <c r="T22" i="59"/>
  <c r="G20" i="56" s="1"/>
  <c r="G46" i="56" s="1"/>
  <c r="T19" i="43"/>
  <c r="D17" i="56" s="1"/>
  <c r="D43" i="56" s="1"/>
  <c r="T19" i="61"/>
  <c r="C17" i="56" s="1"/>
  <c r="C43" i="56" s="1"/>
  <c r="E15" i="57"/>
  <c r="E16" i="57" s="1"/>
  <c r="F15" i="43"/>
  <c r="F16" i="43" s="1"/>
  <c r="T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T8" i="58"/>
  <c r="T10" i="43"/>
  <c r="T9" i="57"/>
  <c r="E7" i="56" s="1"/>
  <c r="E50" i="56" s="1"/>
  <c r="C32" i="57"/>
  <c r="C34" i="57" s="1"/>
  <c r="T9" i="43"/>
  <c r="C32" i="43"/>
  <c r="C34" i="43" s="1"/>
  <c r="T22" i="43"/>
  <c r="D20" i="56" s="1"/>
  <c r="D46" i="56" s="1"/>
  <c r="T22" i="58"/>
  <c r="F20" i="56" s="1"/>
  <c r="F46" i="56" s="1"/>
  <c r="T22" i="57"/>
  <c r="E20" i="56" s="1"/>
  <c r="F23" i="43"/>
  <c r="F48" i="43"/>
  <c r="E18" i="57"/>
  <c r="E17" i="57" s="1"/>
  <c r="E23" i="43"/>
  <c r="E48" i="43"/>
  <c r="E21" i="57"/>
  <c r="T19" i="57"/>
  <c r="E17" i="56" s="1"/>
  <c r="E43" i="56" s="1"/>
  <c r="D17" i="43"/>
  <c r="D23" i="43" s="1"/>
  <c r="D24" i="43" s="1"/>
  <c r="T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V12" i="55"/>
  <c r="W12" i="55" s="1"/>
  <c r="W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E19" i="56"/>
  <c r="E45" i="56" s="1"/>
  <c r="D21" i="57"/>
  <c r="T21" i="58"/>
  <c r="F28" i="51"/>
  <c r="C30" i="56"/>
  <c r="C32" i="56" s="1"/>
  <c r="C33" i="56" s="1"/>
  <c r="C50" i="56"/>
  <c r="D30" i="56"/>
  <c r="D51" i="56"/>
  <c r="D50" i="56"/>
  <c r="D18" i="57" l="1"/>
  <c r="D17" i="57" s="1"/>
  <c r="D23" i="57" s="1"/>
  <c r="D24" i="57" s="1"/>
  <c r="D25" i="57" s="1"/>
  <c r="F18" i="57"/>
  <c r="F17" i="57" s="1"/>
  <c r="Q18" i="57"/>
  <c r="Q17" i="57" s="1"/>
  <c r="O18" i="57"/>
  <c r="O17" i="57" s="1"/>
  <c r="L18" i="57"/>
  <c r="L17" i="57" s="1"/>
  <c r="C21" i="57"/>
  <c r="C23" i="57" s="1"/>
  <c r="F21" i="57"/>
  <c r="F23" i="57" s="1"/>
  <c r="F24" i="57" s="1"/>
  <c r="F25" i="57" s="1"/>
  <c r="F26" i="57" s="1"/>
  <c r="F27" i="57" s="1"/>
  <c r="O21" i="57"/>
  <c r="O46" i="57" s="1"/>
  <c r="O48" i="57" s="1"/>
  <c r="I21" i="57"/>
  <c r="P21" i="57"/>
  <c r="P23" i="57" s="1"/>
  <c r="P24" i="57" s="1"/>
  <c r="P25" i="57" s="1"/>
  <c r="P26" i="57" s="1"/>
  <c r="P27" i="57" s="1"/>
  <c r="H21" i="57"/>
  <c r="H46" i="57" s="1"/>
  <c r="H48" i="57" s="1"/>
  <c r="L21" i="57"/>
  <c r="L23" i="57" s="1"/>
  <c r="L24" i="57" s="1"/>
  <c r="L25" i="57" s="1"/>
  <c r="L26" i="57" s="1"/>
  <c r="L27" i="57" s="1"/>
  <c r="G21" i="57"/>
  <c r="G46" i="57" s="1"/>
  <c r="G48" i="57" s="1"/>
  <c r="R15" i="59"/>
  <c r="R16" i="59" s="1"/>
  <c r="R32" i="59"/>
  <c r="R34" i="59" s="1"/>
  <c r="R40" i="59" s="1"/>
  <c r="S15" i="59"/>
  <c r="S16" i="59" s="1"/>
  <c r="S32" i="59"/>
  <c r="S34" i="59" s="1"/>
  <c r="S40" i="59" s="1"/>
  <c r="S21" i="58"/>
  <c r="R21" i="58"/>
  <c r="S18" i="57"/>
  <c r="S17" i="57" s="1"/>
  <c r="R18" i="57"/>
  <c r="R17" i="57" s="1"/>
  <c r="R21" i="57"/>
  <c r="S21" i="57"/>
  <c r="J21" i="58"/>
  <c r="J46" i="58" s="1"/>
  <c r="J48" i="58" s="1"/>
  <c r="H21" i="58"/>
  <c r="H46" i="58" s="1"/>
  <c r="Q21" i="58"/>
  <c r="Q46" i="58" s="1"/>
  <c r="Q48" i="58" s="1"/>
  <c r="O21" i="58"/>
  <c r="O46" i="58" s="1"/>
  <c r="P21" i="58"/>
  <c r="P46" i="58" s="1"/>
  <c r="P48" i="58" s="1"/>
  <c r="M21" i="58"/>
  <c r="M46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N21" i="58"/>
  <c r="N46" i="58" s="1"/>
  <c r="N48" i="58" s="1"/>
  <c r="M48" i="58"/>
  <c r="O48" i="58"/>
  <c r="H48" i="58"/>
  <c r="I32" i="59"/>
  <c r="I34" i="59" s="1"/>
  <c r="I40" i="59" s="1"/>
  <c r="I15" i="59"/>
  <c r="M32" i="59"/>
  <c r="M34" i="59" s="1"/>
  <c r="M40" i="59" s="1"/>
  <c r="M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J32" i="59"/>
  <c r="J34" i="59" s="1"/>
  <c r="J40" i="59" s="1"/>
  <c r="J15" i="59"/>
  <c r="K32" i="59"/>
  <c r="K34" i="59" s="1"/>
  <c r="K40" i="59" s="1"/>
  <c r="K15" i="59"/>
  <c r="L32" i="59"/>
  <c r="L34" i="59" s="1"/>
  <c r="L40" i="59" s="1"/>
  <c r="L15" i="59"/>
  <c r="N32" i="59"/>
  <c r="N34" i="59" s="1"/>
  <c r="N40" i="59" s="1"/>
  <c r="N15" i="59"/>
  <c r="P32" i="59"/>
  <c r="P34" i="59" s="1"/>
  <c r="P40" i="59" s="1"/>
  <c r="P15" i="59"/>
  <c r="G32" i="59"/>
  <c r="G34" i="59" s="1"/>
  <c r="G40" i="59" s="1"/>
  <c r="G15" i="59"/>
  <c r="N46" i="57"/>
  <c r="N48" i="57" s="1"/>
  <c r="N23" i="57"/>
  <c r="N24" i="57" s="1"/>
  <c r="N25" i="57" s="1"/>
  <c r="N26" i="57" s="1"/>
  <c r="N27" i="57" s="1"/>
  <c r="L46" i="57"/>
  <c r="L48" i="57" s="1"/>
  <c r="G23" i="57"/>
  <c r="G24" i="57" s="1"/>
  <c r="G25" i="57" s="1"/>
  <c r="G26" i="57" s="1"/>
  <c r="G27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I23" i="57"/>
  <c r="I24" i="57" s="1"/>
  <c r="I25" i="57" s="1"/>
  <c r="I26" i="57" s="1"/>
  <c r="I27" i="57" s="1"/>
  <c r="I46" i="57"/>
  <c r="I48" i="57" s="1"/>
  <c r="H23" i="57"/>
  <c r="H24" i="57" s="1"/>
  <c r="H25" i="57" s="1"/>
  <c r="H26" i="57" s="1"/>
  <c r="H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T9" i="58"/>
  <c r="F7" i="56" s="1"/>
  <c r="F48" i="56" s="1"/>
  <c r="F6" i="56"/>
  <c r="E52" i="56"/>
  <c r="E15" i="59"/>
  <c r="E16" i="59" s="1"/>
  <c r="C52" i="56"/>
  <c r="T10" i="58"/>
  <c r="F8" i="56" s="1"/>
  <c r="D48" i="56"/>
  <c r="T8" i="59"/>
  <c r="T9" i="59" s="1"/>
  <c r="T17" i="43"/>
  <c r="T23" i="43" s="1"/>
  <c r="E21" i="58"/>
  <c r="F21" i="58"/>
  <c r="T18" i="59"/>
  <c r="T18" i="58"/>
  <c r="C18" i="58" s="1"/>
  <c r="C17" i="58" s="1"/>
  <c r="F46" i="57"/>
  <c r="F48" i="57" s="1"/>
  <c r="E46" i="57"/>
  <c r="E48" i="57" s="1"/>
  <c r="E23" i="57"/>
  <c r="E24" i="57" s="1"/>
  <c r="E25" i="57" s="1"/>
  <c r="E26" i="57" s="1"/>
  <c r="E27" i="57" s="1"/>
  <c r="C48" i="56"/>
  <c r="D48" i="43"/>
  <c r="D52" i="56"/>
  <c r="F16" i="59"/>
  <c r="T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F19" i="56"/>
  <c r="D21" i="58"/>
  <c r="C21" i="58"/>
  <c r="C46" i="57"/>
  <c r="G28" i="51"/>
  <c r="T21" i="59"/>
  <c r="D46" i="57"/>
  <c r="D48" i="57" s="1"/>
  <c r="T17" i="57" l="1"/>
  <c r="P46" i="57"/>
  <c r="P48" i="57" s="1"/>
  <c r="C18" i="59"/>
  <c r="C17" i="59" s="1"/>
  <c r="R18" i="59"/>
  <c r="R17" i="59" s="1"/>
  <c r="S18" i="59"/>
  <c r="S17" i="59" s="1"/>
  <c r="S46" i="57"/>
  <c r="S48" i="57" s="1"/>
  <c r="S23" i="57"/>
  <c r="S24" i="57" s="1"/>
  <c r="S25" i="57" s="1"/>
  <c r="S26" i="57" s="1"/>
  <c r="S27" i="57" s="1"/>
  <c r="R46" i="57"/>
  <c r="R48" i="57" s="1"/>
  <c r="R23" i="57"/>
  <c r="R24" i="57" s="1"/>
  <c r="R25" i="57" s="1"/>
  <c r="R26" i="57" s="1"/>
  <c r="R27" i="57" s="1"/>
  <c r="R46" i="58"/>
  <c r="R48" i="58" s="1"/>
  <c r="S21" i="59"/>
  <c r="R21" i="59"/>
  <c r="S18" i="58"/>
  <c r="S17" i="58" s="1"/>
  <c r="R18" i="58"/>
  <c r="R17" i="58" s="1"/>
  <c r="R23" i="58" s="1"/>
  <c r="R24" i="58" s="1"/>
  <c r="R25" i="58" s="1"/>
  <c r="R26" i="58" s="1"/>
  <c r="R27" i="58" s="1"/>
  <c r="S46" i="58"/>
  <c r="S48" i="58" s="1"/>
  <c r="S23" i="58"/>
  <c r="S24" i="58" s="1"/>
  <c r="S25" i="58" s="1"/>
  <c r="S26" i="58" s="1"/>
  <c r="S27" i="58" s="1"/>
  <c r="D21" i="59"/>
  <c r="D46" i="59" s="1"/>
  <c r="D48" i="59" s="1"/>
  <c r="M21" i="59"/>
  <c r="M46" i="59" s="1"/>
  <c r="M48" i="59" s="1"/>
  <c r="K21" i="59"/>
  <c r="K46" i="59" s="1"/>
  <c r="K48" i="59" s="1"/>
  <c r="O21" i="59"/>
  <c r="O46" i="59" s="1"/>
  <c r="H21" i="59"/>
  <c r="H46" i="59" s="1"/>
  <c r="H48" i="59" s="1"/>
  <c r="I21" i="59"/>
  <c r="I46" i="59" s="1"/>
  <c r="I48" i="59" s="1"/>
  <c r="G21" i="59"/>
  <c r="G46" i="59" s="1"/>
  <c r="G48" i="59" s="1"/>
  <c r="P21" i="59"/>
  <c r="P46" i="59" s="1"/>
  <c r="P48" i="59" s="1"/>
  <c r="N21" i="59"/>
  <c r="N46" i="59" s="1"/>
  <c r="N48" i="59" s="1"/>
  <c r="L21" i="59"/>
  <c r="L46" i="59" s="1"/>
  <c r="L48" i="59" s="1"/>
  <c r="J21" i="59"/>
  <c r="J46" i="59" s="1"/>
  <c r="J48" i="59" s="1"/>
  <c r="Q21" i="59"/>
  <c r="Q46" i="59" s="1"/>
  <c r="Q48" i="59" s="1"/>
  <c r="O48" i="59"/>
  <c r="D18" i="59"/>
  <c r="D17" i="59" s="1"/>
  <c r="M18" i="59"/>
  <c r="M17" i="59" s="1"/>
  <c r="H18" i="59"/>
  <c r="H17" i="59" s="1"/>
  <c r="Q18" i="59"/>
  <c r="Q17" i="59" s="1"/>
  <c r="Q23" i="59" s="1"/>
  <c r="Q24" i="59" s="1"/>
  <c r="Q25" i="59" s="1"/>
  <c r="Q26" i="59" s="1"/>
  <c r="Q27" i="59" s="1"/>
  <c r="L18" i="59"/>
  <c r="L17" i="59" s="1"/>
  <c r="G18" i="59"/>
  <c r="G17" i="59" s="1"/>
  <c r="P18" i="59"/>
  <c r="P17" i="59" s="1"/>
  <c r="K18" i="59"/>
  <c r="K17" i="59" s="1"/>
  <c r="J18" i="59"/>
  <c r="J17" i="59" s="1"/>
  <c r="N18" i="59"/>
  <c r="N17" i="59" s="1"/>
  <c r="N23" i="59" s="1"/>
  <c r="N24" i="59" s="1"/>
  <c r="N25" i="59" s="1"/>
  <c r="N26" i="59" s="1"/>
  <c r="N27" i="59" s="1"/>
  <c r="O18" i="59"/>
  <c r="O17" i="59" s="1"/>
  <c r="I18" i="59"/>
  <c r="I17" i="59" s="1"/>
  <c r="I23" i="59" s="1"/>
  <c r="I24" i="59" s="1"/>
  <c r="I25" i="59" s="1"/>
  <c r="I26" i="59" s="1"/>
  <c r="I27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O18" i="58"/>
  <c r="O17" i="58" s="1"/>
  <c r="O23" i="58" s="1"/>
  <c r="O24" i="58" s="1"/>
  <c r="O25" i="58" s="1"/>
  <c r="O26" i="58" s="1"/>
  <c r="O27" i="58" s="1"/>
  <c r="G18" i="58"/>
  <c r="G17" i="58" s="1"/>
  <c r="G23" i="58" s="1"/>
  <c r="G24" i="58" s="1"/>
  <c r="G25" i="58" s="1"/>
  <c r="G26" i="58" s="1"/>
  <c r="G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G16" i="59"/>
  <c r="O16" i="59"/>
  <c r="N16" i="59"/>
  <c r="Q16" i="59"/>
  <c r="I16" i="59"/>
  <c r="L16" i="59"/>
  <c r="J16" i="59"/>
  <c r="P16" i="59"/>
  <c r="K16" i="59"/>
  <c r="H16" i="59"/>
  <c r="M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F51" i="56"/>
  <c r="E15" i="56"/>
  <c r="H28" i="51"/>
  <c r="D46" i="58"/>
  <c r="D48" i="58" s="1"/>
  <c r="F45" i="56"/>
  <c r="D26" i="57"/>
  <c r="D27" i="57" s="1"/>
  <c r="C46" i="58"/>
  <c r="C23" i="58"/>
  <c r="D23" i="59" l="1"/>
  <c r="D24" i="59" s="1"/>
  <c r="D25" i="59" s="1"/>
  <c r="G50" i="56"/>
  <c r="O23" i="59"/>
  <c r="O24" i="59" s="1"/>
  <c r="O25" i="59" s="1"/>
  <c r="O26" i="59" s="1"/>
  <c r="O27" i="59" s="1"/>
  <c r="M23" i="59"/>
  <c r="M24" i="59" s="1"/>
  <c r="M25" i="59" s="1"/>
  <c r="M26" i="59" s="1"/>
  <c r="M27" i="59" s="1"/>
  <c r="T23" i="57"/>
  <c r="R46" i="59"/>
  <c r="R48" i="59" s="1"/>
  <c r="R23" i="59"/>
  <c r="R24" i="59" s="1"/>
  <c r="R25" i="59" s="1"/>
  <c r="R26" i="59" s="1"/>
  <c r="R27" i="59" s="1"/>
  <c r="S46" i="59"/>
  <c r="S48" i="59" s="1"/>
  <c r="S23" i="59"/>
  <c r="S24" i="59" s="1"/>
  <c r="S25" i="59" s="1"/>
  <c r="S26" i="59" s="1"/>
  <c r="S27" i="59" s="1"/>
  <c r="G23" i="59"/>
  <c r="G24" i="59" s="1"/>
  <c r="G25" i="59" s="1"/>
  <c r="G26" i="59" s="1"/>
  <c r="G27" i="59" s="1"/>
  <c r="L23" i="59"/>
  <c r="L24" i="59" s="1"/>
  <c r="L25" i="59" s="1"/>
  <c r="L26" i="59" s="1"/>
  <c r="L27" i="59" s="1"/>
  <c r="P23" i="59"/>
  <c r="P24" i="59" s="1"/>
  <c r="P25" i="59" s="1"/>
  <c r="P26" i="59" s="1"/>
  <c r="P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D21" i="56"/>
  <c r="G45" i="56"/>
  <c r="G48" i="56"/>
  <c r="H7" i="56"/>
  <c r="H52" i="56" s="1"/>
  <c r="G30" i="56"/>
  <c r="G32" i="56" s="1"/>
  <c r="G33" i="56" s="1"/>
  <c r="T17" i="59"/>
  <c r="G15" i="56" s="1"/>
  <c r="T17" i="58"/>
  <c r="F15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T23" i="58" l="1"/>
  <c r="H30" i="56"/>
  <c r="H32" i="56" s="1"/>
  <c r="H33" i="56" s="1"/>
  <c r="H48" i="56"/>
  <c r="H50" i="56"/>
  <c r="T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T11" i="58" s="1"/>
  <c r="T14" i="58" s="1"/>
  <c r="T15" i="58" s="1"/>
  <c r="C36" i="57"/>
  <c r="C40" i="57" s="1"/>
  <c r="C48" i="57" s="1"/>
  <c r="C36" i="43"/>
  <c r="C11" i="43" s="1"/>
  <c r="C11" i="61"/>
  <c r="C11" i="57"/>
  <c r="T11" i="57" s="1"/>
  <c r="T14" i="57" s="1"/>
  <c r="T15" i="57" s="1"/>
  <c r="C40" i="59" l="1"/>
  <c r="C48" i="59" s="1"/>
  <c r="T11" i="43"/>
  <c r="T14" i="43" s="1"/>
  <c r="T15" i="43" s="1"/>
  <c r="C40" i="43"/>
  <c r="C48" i="43" s="1"/>
  <c r="C14" i="59"/>
  <c r="C15" i="59" s="1"/>
  <c r="C16" i="59" s="1"/>
  <c r="T11" i="59"/>
  <c r="T14" i="59" s="1"/>
  <c r="T15" i="59" s="1"/>
  <c r="C14" i="61"/>
  <c r="C15" i="61" s="1"/>
  <c r="T11" i="61"/>
  <c r="T14" i="61" s="1"/>
  <c r="T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T24" i="43"/>
  <c r="C24" i="43"/>
  <c r="C25" i="43" s="1"/>
  <c r="C15" i="57"/>
  <c r="C15" i="58"/>
  <c r="C16" i="61"/>
  <c r="F35" i="56"/>
  <c r="F49" i="56"/>
  <c r="F12" i="56"/>
  <c r="G13" i="56"/>
  <c r="G14" i="56" s="1"/>
  <c r="T16" i="59"/>
  <c r="T24" i="59"/>
  <c r="G22" i="56" s="1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T25" i="59"/>
  <c r="T26" i="59" s="1"/>
  <c r="T27" i="59" s="1"/>
  <c r="T25" i="43"/>
  <c r="T26" i="43" s="1"/>
  <c r="T27" i="43" s="1"/>
  <c r="C26" i="43"/>
  <c r="C27" i="43" s="1"/>
  <c r="T16" i="43"/>
  <c r="G54" i="56"/>
  <c r="D22" i="56"/>
  <c r="D54" i="56" s="1"/>
  <c r="C24" i="57"/>
  <c r="C25" i="57" s="1"/>
  <c r="C16" i="57"/>
  <c r="T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T24" i="58"/>
  <c r="F22" i="56" s="1"/>
  <c r="F13" i="56"/>
  <c r="T16" i="58"/>
  <c r="C26" i="58"/>
  <c r="C27" i="58" s="1"/>
  <c r="C39" i="56"/>
  <c r="T16" i="57"/>
  <c r="T24" i="57"/>
  <c r="E13" i="56"/>
  <c r="T25" i="58" l="1"/>
  <c r="T26" i="58" s="1"/>
  <c r="T27" i="58" s="1"/>
  <c r="T25" i="57"/>
  <c r="T26" i="57" s="1"/>
  <c r="T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T17" i="61"/>
  <c r="C23" i="61"/>
  <c r="C24" i="61" s="1"/>
  <c r="C15" i="56" l="1"/>
  <c r="T23" i="61"/>
  <c r="T24" i="61" s="1"/>
  <c r="C25" i="61"/>
  <c r="C26" i="61" s="1"/>
  <c r="T26" i="61" l="1"/>
  <c r="T27" i="61" s="1"/>
  <c r="C27" i="61"/>
  <c r="C22" i="56"/>
  <c r="T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U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<sst xmlns="http://schemas.openxmlformats.org/spreadsheetml/2006/main" count="1507" uniqueCount="336">
  <si>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</si>
  <si>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</si>
  <si>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</si>
  <si>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</si>
  <si>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</si>
  <si>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</si>
  <si>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</si>
  <si>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</si>
  <si>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</si>
  <si>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</si>
  <si>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</si>
  <si>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</si>
  <si>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</si>
  <si>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</si>
  <si>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</si>
  <si>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</si>
  <si>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</si>
  <si>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</si>
  <si>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</si>
  <si>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</si>
  <si>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</si>
  <si>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</si>
  <si>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</si>
  <si>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</si>
  <si>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</si>
  <si>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</si>
  <si>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</si>
  <si>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</si>
  <si>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</si>
  <si>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</si>
  <si>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</si>
  <si>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</si>
  <si>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</si>
  <si>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</si>
  <si>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</si>
  <si>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</si>
  <si>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</si>
  <si>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</si>
  <si>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</si>
  <si>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</si>
  <si>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</si>
  <si>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</si>
  <si>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</si>
  <si>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</si>
  <si>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</si>
  <si>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</si>
  <si>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</si>
  <si>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</si>
  <si>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</si>
  <si>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</si>
  <si>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</si>
  <si>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</si>
  <si>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</si>
  <si>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</si>
  <si>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</si>
  <si>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</si>
  <si>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</si>
  <si>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</si>
  <si>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</si>
  <si>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</si>
  <si>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</si>
  <si>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</si>
  <si>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</si>
  <si>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</si>
  <si>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</si>
  <si>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</si>
  <si>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</si>
  <si>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</si>
  <si>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</si>
  <si>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</si>
  <si>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</si>
  <si>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</si>
  <si>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</si>
  <si>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</si>
  <si>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</si>
  <si>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</si>
  <si>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</si>
  <si>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</si>
  <si>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</si>
  <si>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</si>
  <si>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</si>
  <si>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</si>
  <si>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</si>
  <si>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</si>
  <si>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</si>
  <si>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</si>
  <si>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</si>
  <si>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</si>
  <si>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</si>
  <si>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</si>
  <si>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</si>
  <si>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</si>
  <si>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</si>
  <si>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</si>
  <si>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</si>
  <si>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</si>
  <si>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</si>
  <si>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</si>
  <si>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</si>
  <si>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</si>
  <si>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</si>
  <si>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</si>
  <si>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</si>
  <si>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</si>
  <si>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</si>
  <si>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</si>
  <si>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</si>
  <si>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</si>
  <si>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</si>
  <si>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</si>
  <si>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</si>
  <si>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</si>
  <si>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</si>
  <si>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</si>
  <si>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</si>
  <si>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</si>
  <si>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</si>
  <si>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</si>
  <si>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</si>
  <si>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</si>
  <si>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</si>
  <si>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</si>
  <si>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</si>
  <si>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</si>
  <si>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</si>
  <si>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</si>
  <si>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</si>
  <si>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</si>
  <si>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</si>
  <si>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</si>
  <si>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</si>
  <si>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</si>
  <si>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</si>
  <si>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</si>
  <si>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</si>
  <si>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</si>
  <si>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</si>
  <si>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</si>
  <si>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</si>
  <si>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</si>
  <si>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</si>
  <si>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</si>
  <si>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</si>
  <si>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</si>
  <si>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</si>
  <si>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</si>
  <si>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</si>
  <si>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</si>
  <si>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</si>
  <si>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</si>
  <si>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</si>
  <si>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</si>
  <si>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</si>
  <si>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</si>
  <si>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</si>
  <si>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</si>
  <si>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</si>
  <si>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</si>
  <si>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</si>
  <si>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</si>
  <si>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</si>
  <si>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</si>
  <si>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</si>
  <si>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</si>
  <si>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</si>
  <si>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</si>
  <si>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</si>
  <si>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</si>
  <si>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</si>
  <si>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</si>
  <si>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</si>
  <si>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</si>
  <si>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</si>
  <si>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</si>
  <si>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</si>
  <si>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</si>
  <si>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</si>
  <si>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</si>
  <si>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</si>
  <si>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</si>
  <si>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</si>
  <si>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</si>
  <si>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</si>
  <si>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</si>
  <si>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</si>
  <si>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</si>
  <si>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</si>
  <si>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</si>
  <si>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</si>
  <si>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</si>
  <si>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</si>
  <si>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</si>
  <si>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</si>
  <si>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</si>
  <si>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</si>
  <si>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</si>
  <si>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</si>
  <si>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</si>
  <si>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</si>
  <si>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</si>
  <si>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</si>
  <si>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</si>
  <si>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</si>
  <si>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</si>
  <si>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</si>
  <si>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</si>
  <si>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</si>
  <si>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</si>
  <si>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</si>
  <si>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</si>
  <si>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</si>
  <si>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</si>
  <si>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</si>
  <si>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</si>
  <si>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</si>
  <si>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</si>
  <si>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</si>
  <si>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</si>
  <si>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</si>
  <si>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</si>
  <si>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</si>
  <si>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</si>
  <si>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</si>
  <si>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</si>
  <si>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</si>
  <si>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</si>
  <si>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</si>
  <si>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</si>
  <si>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</si>
  <si>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</si>
  <si>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</si>
  <si>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</si>
  <si>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</si>
  <si>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</si>
  <si>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</si>
  <si>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</si>
  <si>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</si>
  <si>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</si>
  <si>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</si>
  <si>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</si>
  <si>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</si>
  <si>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</si>
  <si>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</si>
  <si>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</si>
  <si>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</si>
  <si>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</si>
  <si>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</si>
  <si>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</si>
  <si>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</si>
  <si>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</si>
  <si>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</si>
  <si>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</si>
  <si>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</si>
  <si>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</si>
  <si>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</si>
  <si>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</si>
  <si>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</si>
  <si>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</si>
  <si>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</si>
  <si>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</si>
  <si>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</si>
  <si>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</si>
  <si>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</si>
  <si>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</si>
  <si>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</si>
  <si>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</si>
  <si>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</si>
  <si>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</si>
  <si>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</si>
  <si>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</si>
  <si>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</si>
  <si>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</si>
  <si>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</si>
  <si>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</si>
  <si>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</si>
  <si>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</si>
  <si>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</si>
  <si>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</si>
  <si>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</si>
  <si>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</si>
  <si>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</si>
  <si>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</si>
  <si>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</si>
  <si>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</si>
  <si>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</si>
  <si>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</si>
  <si>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</si>
  <si>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</si>
  <si>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</si>
  <si>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</si>
  <si>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不含模摊</t>
    <phoneticPr fontId="45" type="noConversion"/>
  </si>
  <si>
    <t>合计</t>
    <phoneticPr fontId="45" type="noConversion"/>
  </si>
  <si>
    <t>青岛解放-L135领途座椅项目投资收益分析</t>
    <phoneticPr fontId="45" type="noConversion"/>
  </si>
  <si>
    <t>供应商年降：       年2 %</t>
    <phoneticPr fontId="45" type="noConversion"/>
  </si>
  <si>
    <t>一汽解放（青岛事业部）</t>
    <phoneticPr fontId="45" type="noConversion"/>
  </si>
  <si>
    <t>驾驶员座总成</t>
  </si>
  <si>
    <t>固定支架焊接总成-连接主副靠背</t>
  </si>
  <si>
    <t>前座座垫总成</t>
  </si>
  <si>
    <t>主靠背总成-前座</t>
  </si>
  <si>
    <t>副靠背总成-前座</t>
  </si>
  <si>
    <t>6800010-J36-C00</t>
  </si>
  <si>
    <t>6800010-J37-C00</t>
  </si>
  <si>
    <t>6800010AJ36-C00</t>
  </si>
  <si>
    <t>6800010AJ37-C00</t>
  </si>
  <si>
    <t>6800010BJ37-C00</t>
  </si>
  <si>
    <t>6900015-J37-C00</t>
  </si>
  <si>
    <t>6903010-J36-C00</t>
  </si>
  <si>
    <t>6903010-J37-C00</t>
  </si>
  <si>
    <t>6903010AJ37-C00</t>
  </si>
  <si>
    <t>6903010BJ37-C00</t>
  </si>
  <si>
    <t>6905020-J37-C00</t>
  </si>
  <si>
    <t>6905100-J36-C00</t>
  </si>
  <si>
    <t>6905100-J37-C00</t>
  </si>
  <si>
    <t>靠背角度调整，座椅前后调节，通风加热，通风织物，右侧单扶手，L型头枕，左侧半包围</t>
  </si>
  <si>
    <t>空气减震，靠背角度调整，座椅前后调节，气动腰托，通风加热，超纤皮，右侧单扶手，音乐头枕+靠背按摩，左侧半包围</t>
  </si>
  <si>
    <t>靠背角度调整，座椅前后调节，通风织物，右侧单扶手，L型头枕，左侧半包围</t>
  </si>
  <si>
    <t>空气减震，靠背角度调整，座椅前后调节，气动腰托，通风加热，超纤皮，右侧单扶手，L型头枕，左侧半包围</t>
  </si>
  <si>
    <t>通风织物，固定式</t>
  </si>
  <si>
    <t>抽拉功能，超纤</t>
  </si>
  <si>
    <t>抽拉功能，通风织物</t>
  </si>
  <si>
    <t>主靠背向前放平，中间座向前放平，L型头枕，中间座靠背集成放物盒</t>
  </si>
  <si>
    <t>参考6905020-H26-C00织物</t>
  </si>
  <si>
    <t>参考6905100-H22-C00织物</t>
  </si>
  <si>
    <r>
      <t>2026</t>
    </r>
    <r>
      <rPr>
        <b/>
        <sz val="10"/>
        <rFont val="宋体"/>
        <family val="3"/>
        <charset val="134"/>
      </rPr>
      <t>年</t>
    </r>
    <phoneticPr fontId="45" type="noConversion"/>
  </si>
  <si>
    <r>
      <t>2030年</t>
    </r>
    <r>
      <rPr>
        <b/>
        <sz val="10"/>
        <rFont val="宋体"/>
        <family val="3"/>
        <charset val="134"/>
      </rPr>
      <t/>
    </r>
  </si>
  <si>
    <t>2026年</t>
    <phoneticPr fontId="45" type="noConversion"/>
  </si>
  <si>
    <t>2032年</t>
  </si>
  <si>
    <t>青岛解放-L135领途座椅项目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</si>
  <si>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</si>
  <si>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开发费分摊</t>
    <phoneticPr fontId="45" type="noConversion"/>
  </si>
  <si>
    <t>面套自制</t>
    <phoneticPr fontId="45" type="noConversion"/>
  </si>
  <si>
    <t>根据马盼盼输入滑轨按司机座椅的调减30.00元，超纤的增加抽拉遮挡10.00元</t>
    <phoneticPr fontId="45" type="noConversion"/>
  </si>
  <si>
    <t>1、总体投资收益分析报告</t>
    <phoneticPr fontId="45" type="noConversion"/>
  </si>
  <si>
    <t>沟通会议</t>
    <phoneticPr fontId="45" type="noConversion"/>
  </si>
  <si>
    <t>2、成本细节沟通</t>
    <phoneticPr fontId="45" type="noConversion"/>
  </si>
  <si>
    <t>3、开发风险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</si>
</sst>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1"/>
      <color indexed="0"/>
      <name val="宋体"/>
      <family val="2"/>
      <scheme val="minor"/>
    </font>
    <font>
      <sz val="11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9"/>
      <color theme="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3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56" fillId="0" borderId="2" xfId="6" applyFont="1" applyBorder="1" applyAlignment="1">
      <alignment vertical="top"/>
    </xf>
    <xf numFmtId="0" fontId="55" fillId="0" borderId="2" xfId="6" applyFont="1" applyBorder="1" applyAlignment="1">
      <alignment horizontal="left" vertical="top" wrapText="1"/>
    </xf>
    <xf numFmtId="43" fontId="56" fillId="0" borderId="2" xfId="1" applyFont="1" applyFill="1" applyBorder="1" applyAlignment="1">
      <alignment vertical="top"/>
    </xf>
    <xf numFmtId="0" fontId="55" fillId="0" borderId="2" xfId="0" applyFont="1" applyBorder="1" applyAlignment="1">
      <alignment horizontal="center" vertical="center" wrapText="1" readingOrder="1"/>
    </xf>
    <xf numFmtId="43" fontId="55" fillId="10" borderId="2" xfId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3" fontId="59" fillId="0" borderId="2" xfId="1" applyFont="1" applyBorder="1" applyAlignment="1" applyProtection="1">
      <alignment vertical="center"/>
      <protection locked="0"/>
    </xf>
    <xf numFmtId="43" fontId="60" fillId="0" borderId="2" xfId="1" applyFont="1" applyBorder="1" applyAlignment="1" applyProtection="1">
      <alignment vertical="center"/>
      <protection locked="0"/>
    </xf>
    <xf numFmtId="43" fontId="59" fillId="0" borderId="2" xfId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>
      <alignment horizontal="center" vertical="center" wrapText="1" readingOrder="1"/>
    </xf>
    <xf numFmtId="0" fontId="57" fillId="0" borderId="2" xfId="0" applyFont="1" applyFill="1" applyBorder="1" applyAlignment="1">
      <alignment horizontal="center" vertical="center" wrapText="1" readingOrder="1"/>
    </xf>
    <xf numFmtId="0" fontId="9" fillId="10" borderId="2" xfId="0" applyFont="1" applyFill="1" applyBorder="1" applyAlignment="1">
      <alignment horizontal="center" vertical="center" wrapText="1" readingOrder="1"/>
    </xf>
    <xf numFmtId="43" fontId="20" fillId="0" borderId="2" xfId="1" applyFont="1" applyBorder="1" applyAlignment="1">
      <alignment vertical="center" shrinkToFit="1"/>
    </xf>
    <xf numFmtId="177" fontId="20" fillId="11" borderId="2" xfId="1" applyNumberFormat="1" applyFont="1" applyFill="1" applyBorder="1" applyAlignment="1">
      <alignment horizontal="center" vertical="center"/>
    </xf>
    <xf numFmtId="177" fontId="22" fillId="11" borderId="2" xfId="1" applyNumberFormat="1" applyFont="1" applyFill="1" applyBorder="1" applyAlignment="1">
      <alignment horizontal="center" vertical="center"/>
    </xf>
    <xf numFmtId="0" fontId="26" fillId="11" borderId="2" xfId="0" applyFont="1" applyFill="1" applyBorder="1">
      <alignment vertical="center"/>
    </xf>
    <xf numFmtId="0" fontId="30" fillId="11" borderId="2" xfId="0" applyFont="1" applyFill="1" applyBorder="1">
      <alignment vertical="center"/>
    </xf>
    <xf numFmtId="0" fontId="9" fillId="2" borderId="0" xfId="0" applyFont="1" applyFill="1" applyAlignment="1">
      <alignment vertical="center"/>
    </xf>
    <xf numFmtId="43" fontId="5" fillId="0" borderId="2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43" fontId="59" fillId="2" borderId="2" xfId="1" applyFont="1" applyFill="1" applyBorder="1" applyAlignment="1" applyProtection="1">
      <alignment vertical="center"/>
      <protection locked="0"/>
    </xf>
    <xf numFmtId="10" fontId="0" fillId="2" borderId="0" xfId="2" applyNumberFormat="1" applyFont="1" applyFill="1" applyAlignment="1">
      <alignment horizontal="center" vertical="center"/>
    </xf>
    <xf numFmtId="0" fontId="61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6" fillId="0" borderId="6" xfId="6" applyFont="1" applyBorder="1" applyAlignment="1">
      <alignment horizontal="center" vertical="center"/>
    </xf>
    <xf numFmtId="0" fontId="56" fillId="0" borderId="10" xfId="6" applyFont="1" applyBorder="1" applyAlignment="1">
      <alignment horizontal="center" vertical="center"/>
    </xf>
    <xf numFmtId="0" fontId="56" fillId="0" borderId="7" xfId="6" applyFont="1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13</xdr:row>
      <xdr:rowOff>0</xdr:rowOff>
    </xdr:from>
    <xdr:to>
      <xdr:col>16</xdr:col>
      <xdr:colOff>548435</xdr:colOff>
      <xdr:row>16</xdr:row>
      <xdr:rowOff>190500</xdr:rowOff>
    </xdr:to>
    <xdr:pic>
      <xdr:nvPicPr>
        <xdr:cNvPr id="2" name="图片 1" descr="C:\Users\ghrc\Documents\WXWork\1688851262543347\Cache\Image\2025-08\企业微信截图_1755052631605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8" y="3989294"/>
          <a:ext cx="5333346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="80" zoomScaleNormal="80" workbookViewId="0">
      <selection activeCell="E10" sqref="E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5" s="158" customFormat="1" ht="35.25" customHeight="1">
      <c r="A2" s="159" t="s">
        <v>0</v>
      </c>
      <c r="B2" s="159" t="s">
        <v>1</v>
      </c>
      <c r="C2" s="159" t="s">
        <v>2</v>
      </c>
      <c r="D2" s="160"/>
    </row>
    <row r="3" spans="1:5" s="158" customFormat="1" ht="33.75" customHeight="1">
      <c r="A3" s="161">
        <v>1</v>
      </c>
      <c r="B3" s="161" t="s">
        <v>3</v>
      </c>
      <c r="C3" s="162" t="s">
        <v>4</v>
      </c>
      <c r="D3" s="160"/>
    </row>
    <row r="4" spans="1:5" s="158" customFormat="1" ht="33.75" customHeight="1">
      <c r="A4" s="161">
        <v>2</v>
      </c>
      <c r="B4" s="161" t="s">
        <v>5</v>
      </c>
      <c r="C4" s="162" t="s">
        <v>6</v>
      </c>
    </row>
    <row r="5" spans="1:5" s="158" customFormat="1" ht="33.75" customHeight="1">
      <c r="A5" s="161">
        <v>3</v>
      </c>
      <c r="B5" s="238" t="s">
        <v>7</v>
      </c>
      <c r="C5" s="163" t="s">
        <v>8</v>
      </c>
      <c r="E5" s="236" t="s">
        <v>330</v>
      </c>
    </row>
    <row r="6" spans="1:5" s="158" customFormat="1" ht="33.75" customHeight="1">
      <c r="A6" s="161">
        <v>4</v>
      </c>
      <c r="B6" s="239"/>
      <c r="C6" s="162" t="s">
        <v>279</v>
      </c>
    </row>
    <row r="7" spans="1:5" s="158" customFormat="1" ht="33.75" customHeight="1">
      <c r="A7" s="161">
        <v>5</v>
      </c>
      <c r="B7" s="164" t="s">
        <v>9</v>
      </c>
      <c r="C7" s="162" t="s">
        <v>280</v>
      </c>
    </row>
    <row r="8" spans="1:5" s="158" customFormat="1" ht="33.75" customHeight="1">
      <c r="A8" s="161">
        <v>6</v>
      </c>
      <c r="B8" s="238" t="s">
        <v>10</v>
      </c>
      <c r="C8" s="162" t="s">
        <v>11</v>
      </c>
    </row>
    <row r="9" spans="1:5" s="158" customFormat="1" ht="33.75" customHeight="1">
      <c r="A9" s="161">
        <v>7</v>
      </c>
      <c r="B9" s="239"/>
      <c r="C9" s="162" t="s">
        <v>12</v>
      </c>
    </row>
    <row r="10" spans="1:5" s="158" customFormat="1" ht="33.75" customHeight="1">
      <c r="A10" s="161">
        <v>8</v>
      </c>
      <c r="B10" s="239"/>
      <c r="C10" s="163" t="s">
        <v>273</v>
      </c>
    </row>
    <row r="11" spans="1:5" s="158" customFormat="1" ht="33.75" customHeight="1">
      <c r="A11" s="161">
        <v>9</v>
      </c>
      <c r="B11" s="239"/>
      <c r="C11" s="162" t="s">
        <v>13</v>
      </c>
    </row>
    <row r="12" spans="1:5" s="158" customFormat="1" ht="33.75" customHeight="1">
      <c r="A12" s="161">
        <v>10</v>
      </c>
      <c r="B12" s="164" t="s">
        <v>14</v>
      </c>
      <c r="C12" s="162" t="s">
        <v>15</v>
      </c>
    </row>
    <row r="13" spans="1:5" ht="33.75" customHeight="1"/>
    <row r="14" spans="1:5" ht="33.75" customHeight="1"/>
    <row r="15" spans="1:5" ht="33.75" customHeight="1">
      <c r="C15" s="165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8" sqref="J8"/>
    </sheetView>
  </sheetViews>
  <sheetFormatPr defaultColWidth="9" defaultRowHeight="16.5"/>
  <cols>
    <col min="1" max="1" width="14" style="176" customWidth="1"/>
    <col min="2" max="2" width="14.125" style="176" customWidth="1"/>
    <col min="3" max="18" width="14.25" style="176" customWidth="1"/>
    <col min="19" max="20" width="13.875" style="176" customWidth="1"/>
    <col min="21" max="21" width="9.25" style="176" customWidth="1"/>
    <col min="22" max="22" width="9.125" style="177" customWidth="1"/>
    <col min="23" max="23" width="9.625" style="177" customWidth="1"/>
    <col min="24" max="16384" width="9" style="176"/>
  </cols>
  <sheetData>
    <row r="1" spans="1:23" ht="29.25" customHeight="1">
      <c r="A1" s="269" t="s">
        <v>190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01"/>
    </row>
    <row r="2" spans="1:23" ht="24" customHeight="1">
      <c r="A2" s="40" t="s">
        <v>191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3">
      <c r="C3" s="176" t="s">
        <v>192</v>
      </c>
      <c r="D3" s="175" t="s">
        <v>193</v>
      </c>
      <c r="E3" s="179">
        <v>0.02</v>
      </c>
    </row>
    <row r="4" spans="1:23">
      <c r="G4" s="230">
        <v>779.44</v>
      </c>
    </row>
    <row r="5" spans="1:23" s="197" customFormat="1" ht="45" customHeight="1">
      <c r="A5" s="271" t="s">
        <v>194</v>
      </c>
      <c r="B5" s="41" t="s">
        <v>143</v>
      </c>
      <c r="C5" s="210" t="s">
        <v>295</v>
      </c>
      <c r="D5" s="211" t="s">
        <v>295</v>
      </c>
      <c r="E5" s="212" t="s">
        <v>295</v>
      </c>
      <c r="F5" s="210" t="s">
        <v>295</v>
      </c>
      <c r="G5" s="212" t="s">
        <v>295</v>
      </c>
      <c r="H5" s="210" t="s">
        <v>296</v>
      </c>
      <c r="I5" s="212" t="s">
        <v>297</v>
      </c>
      <c r="J5" s="210" t="s">
        <v>297</v>
      </c>
      <c r="K5" s="210" t="s">
        <v>297</v>
      </c>
      <c r="L5" s="210" t="s">
        <v>297</v>
      </c>
      <c r="M5" s="210" t="s">
        <v>298</v>
      </c>
      <c r="N5" s="210" t="s">
        <v>298</v>
      </c>
      <c r="O5" s="210" t="s">
        <v>299</v>
      </c>
      <c r="P5" s="210" t="s">
        <v>299</v>
      </c>
      <c r="Q5" s="210" t="s">
        <v>299</v>
      </c>
      <c r="R5" s="204"/>
      <c r="S5" s="204"/>
      <c r="T5" s="266" t="s">
        <v>291</v>
      </c>
      <c r="V5" s="198"/>
      <c r="W5" s="198"/>
    </row>
    <row r="6" spans="1:23" ht="31.5" customHeight="1">
      <c r="A6" s="271"/>
      <c r="B6" s="199" t="s">
        <v>144</v>
      </c>
      <c r="C6" s="213" t="s">
        <v>300</v>
      </c>
      <c r="D6" s="211" t="s">
        <v>301</v>
      </c>
      <c r="E6" s="214" t="s">
        <v>302</v>
      </c>
      <c r="F6" s="215" t="s">
        <v>303</v>
      </c>
      <c r="G6" s="216" t="s">
        <v>304</v>
      </c>
      <c r="H6" s="210" t="s">
        <v>305</v>
      </c>
      <c r="I6" s="213" t="s">
        <v>306</v>
      </c>
      <c r="J6" s="215" t="s">
        <v>307</v>
      </c>
      <c r="K6" s="216" t="s">
        <v>308</v>
      </c>
      <c r="L6" s="210" t="s">
        <v>309</v>
      </c>
      <c r="M6" s="210" t="s">
        <v>310</v>
      </c>
      <c r="N6" s="210"/>
      <c r="O6" s="210" t="s">
        <v>311</v>
      </c>
      <c r="P6" s="210" t="s">
        <v>312</v>
      </c>
      <c r="Q6" s="217"/>
      <c r="R6" s="204"/>
      <c r="S6" s="204"/>
      <c r="T6" s="267"/>
      <c r="V6" s="177">
        <v>100</v>
      </c>
    </row>
    <row r="7" spans="1:23" ht="32.25" customHeight="1">
      <c r="A7" s="271"/>
      <c r="B7" s="200" t="s">
        <v>195</v>
      </c>
      <c r="C7" s="210" t="s">
        <v>313</v>
      </c>
      <c r="D7" s="211" t="s">
        <v>314</v>
      </c>
      <c r="E7" s="210" t="s">
        <v>315</v>
      </c>
      <c r="F7" s="210" t="s">
        <v>316</v>
      </c>
      <c r="G7" s="210" t="s">
        <v>313</v>
      </c>
      <c r="H7" s="210"/>
      <c r="I7" s="212" t="s">
        <v>317</v>
      </c>
      <c r="J7" s="210" t="s">
        <v>318</v>
      </c>
      <c r="K7" s="210" t="s">
        <v>319</v>
      </c>
      <c r="L7" s="210" t="s">
        <v>317</v>
      </c>
      <c r="M7" s="210" t="s">
        <v>320</v>
      </c>
      <c r="N7" s="210" t="s">
        <v>321</v>
      </c>
      <c r="O7" s="210" t="s">
        <v>320</v>
      </c>
      <c r="P7" s="210" t="s">
        <v>320</v>
      </c>
      <c r="Q7" s="218" t="s">
        <v>322</v>
      </c>
      <c r="R7" s="205"/>
      <c r="S7" s="205"/>
      <c r="T7" s="268"/>
      <c r="U7" s="176">
        <v>2026</v>
      </c>
      <c r="V7" s="177">
        <f>V6*(1-$E$3)</f>
        <v>98</v>
      </c>
      <c r="W7" s="177">
        <f>V7/$V$6</f>
        <v>0.98</v>
      </c>
    </row>
    <row r="8" spans="1:23" ht="33">
      <c r="A8" s="271"/>
      <c r="B8" s="15" t="s">
        <v>196</v>
      </c>
      <c r="C8" s="219">
        <v>771.27</v>
      </c>
      <c r="D8" s="220">
        <v>1785.88</v>
      </c>
      <c r="E8" s="219">
        <v>407</v>
      </c>
      <c r="F8" s="219">
        <v>1212.2</v>
      </c>
      <c r="G8" s="219">
        <f>C8</f>
        <v>771.27</v>
      </c>
      <c r="H8" s="221">
        <v>9</v>
      </c>
      <c r="I8" s="219">
        <v>127.86</v>
      </c>
      <c r="J8" s="219">
        <v>316.24</v>
      </c>
      <c r="K8" s="219">
        <v>290.22000000000003</v>
      </c>
      <c r="L8" s="219">
        <v>139.91</v>
      </c>
      <c r="M8" s="221">
        <v>154.81</v>
      </c>
      <c r="N8" s="221">
        <v>120.31</v>
      </c>
      <c r="O8" s="221">
        <v>106.42</v>
      </c>
      <c r="P8" s="221">
        <v>144.27000000000001</v>
      </c>
      <c r="Q8" s="234">
        <v>126</v>
      </c>
      <c r="R8" s="206"/>
      <c r="S8" s="206"/>
      <c r="T8" s="206">
        <f>SUM(C8:S8)</f>
        <v>6482.6600000000017</v>
      </c>
      <c r="U8" s="176">
        <v>2027</v>
      </c>
      <c r="V8" s="177">
        <f>V7*(1-$E$3)</f>
        <v>96.039999999999992</v>
      </c>
      <c r="W8" s="177">
        <f>V8/$V$6</f>
        <v>0.96039999999999992</v>
      </c>
    </row>
    <row r="9" spans="1:23" ht="17.25">
      <c r="A9" s="272" t="s">
        <v>197</v>
      </c>
      <c r="B9" s="181" t="s">
        <v>48</v>
      </c>
      <c r="C9" s="222">
        <v>3600</v>
      </c>
      <c r="D9" s="223">
        <v>0</v>
      </c>
      <c r="E9" s="222">
        <v>3600</v>
      </c>
      <c r="F9" s="222">
        <v>14400</v>
      </c>
      <c r="G9" s="222">
        <v>14400</v>
      </c>
      <c r="H9" s="222">
        <v>36000</v>
      </c>
      <c r="I9" s="224">
        <v>7200</v>
      </c>
      <c r="J9" s="224">
        <v>14400</v>
      </c>
      <c r="K9" s="224">
        <v>7200</v>
      </c>
      <c r="L9" s="224">
        <v>7200</v>
      </c>
      <c r="M9" s="222">
        <v>14400</v>
      </c>
      <c r="N9" s="222">
        <v>21600</v>
      </c>
      <c r="O9" s="222">
        <v>7200</v>
      </c>
      <c r="P9" s="222">
        <v>14400</v>
      </c>
      <c r="Q9" s="222">
        <v>14400</v>
      </c>
      <c r="R9" s="207"/>
      <c r="S9" s="207"/>
      <c r="T9" s="207">
        <f>SUM(C9:S9)</f>
        <v>180000</v>
      </c>
      <c r="U9" s="176">
        <v>2028</v>
      </c>
      <c r="V9" s="177">
        <f>V8*(1-E3)</f>
        <v>94.119199999999992</v>
      </c>
      <c r="W9" s="177">
        <f>V9/$V$6</f>
        <v>0.94119199999999992</v>
      </c>
    </row>
    <row r="10" spans="1:23" ht="17.25">
      <c r="A10" s="273"/>
      <c r="B10" s="181" t="s">
        <v>49</v>
      </c>
      <c r="C10" s="222">
        <v>3600</v>
      </c>
      <c r="D10" s="223">
        <v>0</v>
      </c>
      <c r="E10" s="222">
        <v>3600</v>
      </c>
      <c r="F10" s="222">
        <v>14400</v>
      </c>
      <c r="G10" s="222">
        <v>14400</v>
      </c>
      <c r="H10" s="222">
        <v>36000</v>
      </c>
      <c r="I10" s="224">
        <v>7200</v>
      </c>
      <c r="J10" s="224">
        <v>14400</v>
      </c>
      <c r="K10" s="224">
        <v>7200</v>
      </c>
      <c r="L10" s="224">
        <v>7200</v>
      </c>
      <c r="M10" s="222">
        <v>14400</v>
      </c>
      <c r="N10" s="222">
        <v>21600</v>
      </c>
      <c r="O10" s="222">
        <v>7200</v>
      </c>
      <c r="P10" s="222">
        <v>14400</v>
      </c>
      <c r="Q10" s="222">
        <v>14400</v>
      </c>
      <c r="R10" s="207"/>
      <c r="S10" s="207"/>
      <c r="T10" s="207">
        <f t="shared" ref="T10:T15" si="0">SUM(C10:S10)</f>
        <v>180000</v>
      </c>
      <c r="U10" s="176">
        <v>2029</v>
      </c>
      <c r="V10" s="177">
        <f>V9*(1-$E$3)</f>
        <v>92.23681599999999</v>
      </c>
      <c r="W10" s="177">
        <f>V10/$V$6</f>
        <v>0.92236815999999988</v>
      </c>
    </row>
    <row r="11" spans="1:23" ht="17.25">
      <c r="A11" s="273"/>
      <c r="B11" s="181" t="s">
        <v>50</v>
      </c>
      <c r="C11" s="222">
        <v>3600</v>
      </c>
      <c r="D11" s="223">
        <v>0</v>
      </c>
      <c r="E11" s="222">
        <v>3600</v>
      </c>
      <c r="F11" s="222">
        <v>14400</v>
      </c>
      <c r="G11" s="222">
        <v>14400</v>
      </c>
      <c r="H11" s="222">
        <v>36000</v>
      </c>
      <c r="I11" s="224">
        <v>7200</v>
      </c>
      <c r="J11" s="224">
        <v>14400</v>
      </c>
      <c r="K11" s="224">
        <v>7200</v>
      </c>
      <c r="L11" s="224">
        <v>7200</v>
      </c>
      <c r="M11" s="222">
        <v>14400</v>
      </c>
      <c r="N11" s="222">
        <v>21600</v>
      </c>
      <c r="O11" s="222">
        <v>7200</v>
      </c>
      <c r="P11" s="222">
        <v>14400</v>
      </c>
      <c r="Q11" s="222">
        <v>14400</v>
      </c>
      <c r="R11" s="207"/>
      <c r="S11" s="207"/>
      <c r="T11" s="207">
        <f t="shared" si="0"/>
        <v>180000</v>
      </c>
      <c r="U11" s="176">
        <v>2030</v>
      </c>
      <c r="V11" s="177">
        <f>V10*(1-$E$3)</f>
        <v>90.392079679999995</v>
      </c>
      <c r="W11" s="177">
        <f t="shared" ref="W11:W12" si="1">V11/$V$6</f>
        <v>0.90392079679999993</v>
      </c>
    </row>
    <row r="12" spans="1:23" ht="17.25">
      <c r="A12" s="273"/>
      <c r="B12" s="181" t="s">
        <v>185</v>
      </c>
      <c r="C12" s="222">
        <v>3600</v>
      </c>
      <c r="D12" s="223">
        <v>0</v>
      </c>
      <c r="E12" s="222">
        <v>3600</v>
      </c>
      <c r="F12" s="222">
        <v>14400</v>
      </c>
      <c r="G12" s="222">
        <v>14400</v>
      </c>
      <c r="H12" s="222">
        <v>36000</v>
      </c>
      <c r="I12" s="224">
        <v>7200</v>
      </c>
      <c r="J12" s="224">
        <v>14400</v>
      </c>
      <c r="K12" s="224">
        <v>7200</v>
      </c>
      <c r="L12" s="224">
        <v>7200</v>
      </c>
      <c r="M12" s="222">
        <v>14400</v>
      </c>
      <c r="N12" s="222">
        <v>21600</v>
      </c>
      <c r="O12" s="222">
        <v>7200</v>
      </c>
      <c r="P12" s="222">
        <v>14400</v>
      </c>
      <c r="Q12" s="222">
        <v>14400</v>
      </c>
      <c r="R12" s="182"/>
      <c r="S12" s="180"/>
      <c r="T12" s="207">
        <f t="shared" si="0"/>
        <v>180000</v>
      </c>
      <c r="U12" s="176">
        <v>2031</v>
      </c>
      <c r="V12" s="177">
        <f>V11*(1-$E$3)</f>
        <v>88.584238086399992</v>
      </c>
      <c r="W12" s="177">
        <f t="shared" si="1"/>
        <v>0.88584238086399991</v>
      </c>
    </row>
    <row r="13" spans="1:23" ht="17.25">
      <c r="A13" s="273"/>
      <c r="B13" s="181" t="s">
        <v>186</v>
      </c>
      <c r="C13" s="222">
        <v>3600</v>
      </c>
      <c r="D13" s="223">
        <v>0</v>
      </c>
      <c r="E13" s="222">
        <v>3600</v>
      </c>
      <c r="F13" s="222">
        <v>14400</v>
      </c>
      <c r="G13" s="222">
        <v>14400</v>
      </c>
      <c r="H13" s="222">
        <v>36000</v>
      </c>
      <c r="I13" s="224">
        <v>7200</v>
      </c>
      <c r="J13" s="224">
        <v>14400</v>
      </c>
      <c r="K13" s="224">
        <v>7200</v>
      </c>
      <c r="L13" s="224">
        <v>7200</v>
      </c>
      <c r="M13" s="222">
        <v>14400</v>
      </c>
      <c r="N13" s="222">
        <v>21600</v>
      </c>
      <c r="O13" s="222">
        <v>7200</v>
      </c>
      <c r="P13" s="222">
        <v>14400</v>
      </c>
      <c r="Q13" s="222">
        <v>14400</v>
      </c>
      <c r="R13" s="182"/>
      <c r="S13" s="180"/>
      <c r="T13" s="207">
        <f t="shared" si="0"/>
        <v>180000</v>
      </c>
    </row>
    <row r="14" spans="1:23" ht="17.25">
      <c r="A14" s="273"/>
      <c r="B14" s="181" t="s">
        <v>187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0"/>
      <c r="T14" s="207">
        <f t="shared" si="0"/>
        <v>0</v>
      </c>
    </row>
    <row r="15" spans="1:23" ht="17.25">
      <c r="A15" s="274"/>
      <c r="B15" s="181" t="s">
        <v>259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0"/>
      <c r="T15" s="207">
        <f t="shared" si="0"/>
        <v>0</v>
      </c>
    </row>
    <row r="16" spans="1:23" ht="24" customHeight="1">
      <c r="A16" s="270" t="s">
        <v>51</v>
      </c>
      <c r="B16" s="270"/>
      <c r="C16" s="184">
        <f t="shared" ref="C16:T16" si="2">SUM(C9:C15)</f>
        <v>18000</v>
      </c>
      <c r="D16" s="184">
        <f t="shared" si="2"/>
        <v>0</v>
      </c>
      <c r="E16" s="184">
        <f t="shared" si="2"/>
        <v>18000</v>
      </c>
      <c r="F16" s="184">
        <f t="shared" si="2"/>
        <v>72000</v>
      </c>
      <c r="G16" s="184">
        <f t="shared" ref="G16:R16" si="3">SUM(G9:G15)</f>
        <v>72000</v>
      </c>
      <c r="H16" s="184">
        <f t="shared" si="3"/>
        <v>180000</v>
      </c>
      <c r="I16" s="184">
        <f t="shared" si="3"/>
        <v>36000</v>
      </c>
      <c r="J16" s="184">
        <f t="shared" si="3"/>
        <v>72000</v>
      </c>
      <c r="K16" s="184">
        <f t="shared" si="3"/>
        <v>36000</v>
      </c>
      <c r="L16" s="184">
        <f t="shared" si="3"/>
        <v>36000</v>
      </c>
      <c r="M16" s="184">
        <f t="shared" si="3"/>
        <v>72000</v>
      </c>
      <c r="N16" s="184">
        <f t="shared" si="3"/>
        <v>108000</v>
      </c>
      <c r="O16" s="184">
        <f t="shared" si="3"/>
        <v>36000</v>
      </c>
      <c r="P16" s="184">
        <f t="shared" si="3"/>
        <v>72000</v>
      </c>
      <c r="Q16" s="184">
        <f t="shared" si="3"/>
        <v>72000</v>
      </c>
      <c r="R16" s="184">
        <f t="shared" si="3"/>
        <v>0</v>
      </c>
      <c r="S16" s="184">
        <f t="shared" si="2"/>
        <v>0</v>
      </c>
      <c r="T16" s="184">
        <f t="shared" si="2"/>
        <v>900000</v>
      </c>
    </row>
    <row r="17" spans="1:20" ht="18">
      <c r="A17" s="185"/>
      <c r="B17" s="185"/>
      <c r="C17" s="42"/>
    </row>
    <row r="18" spans="1:20" ht="24.75" customHeight="1">
      <c r="A18" s="176" t="s">
        <v>290</v>
      </c>
      <c r="B18" s="186" t="s">
        <v>198</v>
      </c>
      <c r="C18" s="187">
        <f>材料成本!D24</f>
        <v>614.49</v>
      </c>
      <c r="D18" s="187">
        <f>材料成本!E24</f>
        <v>0</v>
      </c>
      <c r="E18" s="187">
        <f>材料成本!F24</f>
        <v>300.89</v>
      </c>
      <c r="F18" s="187">
        <f>材料成本!G24</f>
        <v>851.17256154530003</v>
      </c>
      <c r="G18" s="187">
        <f>材料成本!H24</f>
        <v>614.49</v>
      </c>
      <c r="H18" s="187">
        <f>材料成本!I24</f>
        <v>4.92</v>
      </c>
      <c r="I18" s="187">
        <f>材料成本!J24</f>
        <v>89.528581386599996</v>
      </c>
      <c r="J18" s="187">
        <f>材料成本!K24</f>
        <v>288.24</v>
      </c>
      <c r="K18" s="187">
        <f>材料成本!L24</f>
        <v>254.68</v>
      </c>
      <c r="L18" s="187">
        <f>材料成本!M24</f>
        <v>91.068570006000002</v>
      </c>
      <c r="M18" s="187">
        <f>材料成本!N24</f>
        <v>130.89256449999999</v>
      </c>
      <c r="N18" s="187">
        <f>材料成本!O24</f>
        <v>113.24</v>
      </c>
      <c r="O18" s="187">
        <f>材料成本!P24</f>
        <v>77.092777001900004</v>
      </c>
      <c r="P18" s="187">
        <f>材料成本!Q24</f>
        <v>99.552501245900004</v>
      </c>
      <c r="Q18" s="187">
        <f>材料成本!R24</f>
        <v>88.25</v>
      </c>
      <c r="R18" s="187">
        <f>材料成本!S24</f>
        <v>0</v>
      </c>
      <c r="S18" s="187">
        <f>材料成本!T24</f>
        <v>0</v>
      </c>
      <c r="T18" s="188">
        <f>SUM(C18:S18)</f>
        <v>3618.5075556856991</v>
      </c>
    </row>
    <row r="19" spans="1:20" ht="24.75" customHeight="1">
      <c r="B19" s="186" t="s">
        <v>98</v>
      </c>
      <c r="C19" s="187">
        <f>C8-C18</f>
        <v>156.77999999999997</v>
      </c>
      <c r="D19" s="187">
        <f>D8-D18</f>
        <v>1785.88</v>
      </c>
      <c r="E19" s="187">
        <f>E8-E18</f>
        <v>106.11000000000001</v>
      </c>
      <c r="F19" s="187">
        <f>F8-F18</f>
        <v>361.02743845470002</v>
      </c>
      <c r="G19" s="187">
        <f t="shared" ref="G19:R19" si="4">G8-G18</f>
        <v>156.77999999999997</v>
      </c>
      <c r="H19" s="187">
        <f t="shared" si="4"/>
        <v>4.08</v>
      </c>
      <c r="I19" s="187">
        <f t="shared" si="4"/>
        <v>38.331418613400004</v>
      </c>
      <c r="J19" s="187">
        <f t="shared" si="4"/>
        <v>28</v>
      </c>
      <c r="K19" s="187">
        <f t="shared" si="4"/>
        <v>35.54000000000002</v>
      </c>
      <c r="L19" s="187">
        <f t="shared" si="4"/>
        <v>48.841429993999995</v>
      </c>
      <c r="M19" s="187">
        <f t="shared" si="4"/>
        <v>23.917435500000011</v>
      </c>
      <c r="N19" s="187">
        <f t="shared" si="4"/>
        <v>7.0700000000000074</v>
      </c>
      <c r="O19" s="187">
        <f t="shared" si="4"/>
        <v>29.327222998099998</v>
      </c>
      <c r="P19" s="187">
        <f t="shared" si="4"/>
        <v>44.717498754100006</v>
      </c>
      <c r="Q19" s="187">
        <f t="shared" si="4"/>
        <v>37.75</v>
      </c>
      <c r="R19" s="187">
        <f t="shared" si="4"/>
        <v>0</v>
      </c>
      <c r="S19" s="187">
        <f t="shared" ref="S19" si="5">S8-S18</f>
        <v>0</v>
      </c>
      <c r="T19" s="188">
        <f>SUM(C19:S19)</f>
        <v>2864.1524443142998</v>
      </c>
    </row>
    <row r="20" spans="1:20" ht="24.75" customHeight="1">
      <c r="B20" s="186" t="s">
        <v>199</v>
      </c>
      <c r="C20" s="189">
        <f t="shared" ref="C20:F20" si="6">C19/C8</f>
        <v>0.20327511766307516</v>
      </c>
      <c r="D20" s="189">
        <f t="shared" si="6"/>
        <v>1</v>
      </c>
      <c r="E20" s="189">
        <f t="shared" si="6"/>
        <v>0.26071253071253075</v>
      </c>
      <c r="F20" s="189">
        <f t="shared" si="6"/>
        <v>0.29782827788706484</v>
      </c>
      <c r="G20" s="189">
        <f t="shared" ref="G20:R20" si="7">G19/G8</f>
        <v>0.20327511766307516</v>
      </c>
      <c r="H20" s="189">
        <f t="shared" si="7"/>
        <v>0.45333333333333337</v>
      </c>
      <c r="I20" s="189">
        <f t="shared" si="7"/>
        <v>0.29979210553261382</v>
      </c>
      <c r="J20" s="189">
        <f t="shared" si="7"/>
        <v>8.8540349101947885E-2</v>
      </c>
      <c r="K20" s="189">
        <f t="shared" si="7"/>
        <v>0.1224588243401558</v>
      </c>
      <c r="L20" s="189">
        <f t="shared" si="7"/>
        <v>0.34909177323993995</v>
      </c>
      <c r="M20" s="189">
        <f t="shared" si="7"/>
        <v>0.15449541696272856</v>
      </c>
      <c r="N20" s="189">
        <f t="shared" si="7"/>
        <v>5.8764857451583469E-2</v>
      </c>
      <c r="O20" s="189">
        <f t="shared" si="7"/>
        <v>0.27557999434410824</v>
      </c>
      <c r="P20" s="189">
        <f t="shared" si="7"/>
        <v>0.3099570163866362</v>
      </c>
      <c r="Q20" s="189">
        <f t="shared" si="7"/>
        <v>0.29960317460317459</v>
      </c>
      <c r="R20" s="189" t="e">
        <f t="shared" si="7"/>
        <v>#DIV/0!</v>
      </c>
      <c r="S20" s="189" t="e">
        <f t="shared" ref="S20:T20" si="8">S19/S8</f>
        <v>#DIV/0!</v>
      </c>
      <c r="T20" s="189">
        <f t="shared" si="8"/>
        <v>0.4418174706546848</v>
      </c>
    </row>
  </sheetData>
  <mergeCells count="5">
    <mergeCell ref="T5:T7"/>
    <mergeCell ref="A1:S1"/>
    <mergeCell ref="A16:B16"/>
    <mergeCell ref="A5:A8"/>
    <mergeCell ref="A9:A15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V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9"/>
  <sheetViews>
    <sheetView workbookViewId="0">
      <pane xSplit="3" ySplit="5" topLeftCell="K16" activePane="bottomRight" state="frozen"/>
      <selection pane="topRight"/>
      <selection pane="bottomLeft"/>
      <selection pane="bottomRight" activeCell="O31" sqref="O31"/>
    </sheetView>
  </sheetViews>
  <sheetFormatPr defaultColWidth="9" defaultRowHeight="16.5"/>
  <cols>
    <col min="1" max="2" width="4.375" style="24" customWidth="1"/>
    <col min="3" max="3" width="10" style="24" customWidth="1"/>
    <col min="4" max="21" width="12" style="25" customWidth="1"/>
    <col min="22" max="22" width="12.25" style="24" customWidth="1"/>
    <col min="23" max="23" width="13.25" style="24" customWidth="1"/>
    <col min="24" max="24" width="16" style="24" customWidth="1"/>
    <col min="25" max="16384" width="9" style="24"/>
  </cols>
  <sheetData>
    <row r="1" spans="1:24" s="23" customFormat="1" ht="28.5" customHeight="1">
      <c r="A1" s="281" t="s">
        <v>7</v>
      </c>
      <c r="B1" s="281"/>
      <c r="C1" s="26"/>
      <c r="D1" s="27"/>
      <c r="E1" s="236" t="s">
        <v>330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X1" s="37"/>
    </row>
    <row r="2" spans="1:24" ht="29.25" customHeight="1">
      <c r="A2" s="292" t="s">
        <v>200</v>
      </c>
      <c r="B2" s="292"/>
      <c r="C2" s="292"/>
      <c r="D2" s="292"/>
      <c r="E2" s="292"/>
      <c r="F2" s="289" t="s">
        <v>293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1"/>
    </row>
    <row r="3" spans="1:24" ht="22.5" customHeight="1">
      <c r="A3" s="280" t="s">
        <v>18</v>
      </c>
      <c r="B3" s="280" t="s">
        <v>201</v>
      </c>
      <c r="C3" s="30" t="s">
        <v>202</v>
      </c>
      <c r="D3" s="282" t="s">
        <v>327</v>
      </c>
      <c r="E3" s="282"/>
      <c r="F3" s="29" t="s">
        <v>203</v>
      </c>
      <c r="G3" s="283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5"/>
      <c r="T3" s="202"/>
      <c r="U3" s="286" t="s">
        <v>153</v>
      </c>
    </row>
    <row r="4" spans="1:24" ht="28.5">
      <c r="A4" s="280"/>
      <c r="B4" s="280"/>
      <c r="C4" s="30" t="s">
        <v>143</v>
      </c>
      <c r="D4" s="31" t="str">
        <f>销量!C5</f>
        <v>驾驶员座总成</v>
      </c>
      <c r="E4" s="31" t="str">
        <f>销量!D5</f>
        <v>驾驶员座总成</v>
      </c>
      <c r="F4" s="31" t="str">
        <f>销量!E5</f>
        <v>驾驶员座总成</v>
      </c>
      <c r="G4" s="31" t="str">
        <f>销量!F5</f>
        <v>驾驶员座总成</v>
      </c>
      <c r="H4" s="31" t="str">
        <f>销量!G5</f>
        <v>驾驶员座总成</v>
      </c>
      <c r="I4" s="31" t="str">
        <f>销量!H5</f>
        <v>固定支架焊接总成-连接主副靠背</v>
      </c>
      <c r="J4" s="31" t="str">
        <f>销量!I5</f>
        <v>前座座垫总成</v>
      </c>
      <c r="K4" s="31" t="str">
        <f>销量!J5</f>
        <v>前座座垫总成</v>
      </c>
      <c r="L4" s="31" t="str">
        <f>销量!K5</f>
        <v>前座座垫总成</v>
      </c>
      <c r="M4" s="31" t="str">
        <f>销量!L5</f>
        <v>前座座垫总成</v>
      </c>
      <c r="N4" s="31" t="str">
        <f>销量!M5</f>
        <v>主靠背总成-前座</v>
      </c>
      <c r="O4" s="31" t="str">
        <f>销量!N5</f>
        <v>主靠背总成-前座</v>
      </c>
      <c r="P4" s="31" t="str">
        <f>销量!O5</f>
        <v>副靠背总成-前座</v>
      </c>
      <c r="Q4" s="31" t="str">
        <f>销量!P5</f>
        <v>副靠背总成-前座</v>
      </c>
      <c r="R4" s="31" t="str">
        <f>销量!Q5</f>
        <v>副靠背总成-前座</v>
      </c>
      <c r="S4" s="31">
        <f>销量!R5</f>
        <v>0</v>
      </c>
      <c r="T4" s="31">
        <f>销量!S5</f>
        <v>0</v>
      </c>
      <c r="U4" s="287"/>
    </row>
    <row r="5" spans="1:24" ht="28.5">
      <c r="A5" s="280"/>
      <c r="B5" s="280"/>
      <c r="C5" s="30" t="s">
        <v>144</v>
      </c>
      <c r="D5" s="31" t="str">
        <f>销量!C6</f>
        <v>6800010-J36-C00</v>
      </c>
      <c r="E5" s="31" t="str">
        <f>销量!D6</f>
        <v>6800010-J37-C00</v>
      </c>
      <c r="F5" s="31" t="str">
        <f>销量!E6</f>
        <v>6800010AJ36-C00</v>
      </c>
      <c r="G5" s="31" t="str">
        <f>销量!F6</f>
        <v>6800010AJ37-C00</v>
      </c>
      <c r="H5" s="31" t="str">
        <f>销量!G6</f>
        <v>6800010BJ37-C00</v>
      </c>
      <c r="I5" s="31" t="str">
        <f>销量!H6</f>
        <v>6900015-J37-C00</v>
      </c>
      <c r="J5" s="31" t="str">
        <f>销量!I6</f>
        <v>6903010-J36-C00</v>
      </c>
      <c r="K5" s="31" t="str">
        <f>销量!J6</f>
        <v>6903010-J37-C00</v>
      </c>
      <c r="L5" s="31" t="str">
        <f>销量!K6</f>
        <v>6903010AJ37-C00</v>
      </c>
      <c r="M5" s="31" t="str">
        <f>销量!L6</f>
        <v>6903010BJ37-C00</v>
      </c>
      <c r="N5" s="31" t="str">
        <f>销量!M6</f>
        <v>6905020-J37-C00</v>
      </c>
      <c r="O5" s="31">
        <f>销量!N6</f>
        <v>0</v>
      </c>
      <c r="P5" s="31" t="str">
        <f>销量!O6</f>
        <v>6905100-J36-C00</v>
      </c>
      <c r="Q5" s="31" t="str">
        <f>销量!P6</f>
        <v>6905100-J37-C00</v>
      </c>
      <c r="R5" s="31">
        <f>销量!Q6</f>
        <v>0</v>
      </c>
      <c r="S5" s="31">
        <f>销量!R6</f>
        <v>0</v>
      </c>
      <c r="T5" s="31">
        <f>销量!S6</f>
        <v>0</v>
      </c>
      <c r="U5" s="288"/>
    </row>
    <row r="6" spans="1:24">
      <c r="A6" s="33">
        <v>1</v>
      </c>
      <c r="B6" s="275" t="s">
        <v>204</v>
      </c>
      <c r="C6" s="276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8"/>
    </row>
    <row r="7" spans="1:24">
      <c r="A7" s="33">
        <v>2</v>
      </c>
      <c r="B7" s="275" t="s">
        <v>205</v>
      </c>
      <c r="C7" s="276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8"/>
    </row>
    <row r="8" spans="1:24">
      <c r="A8" s="33">
        <v>3</v>
      </c>
      <c r="B8" s="275" t="s">
        <v>206</v>
      </c>
      <c r="C8" s="27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8"/>
    </row>
    <row r="9" spans="1:24">
      <c r="A9" s="33">
        <v>4</v>
      </c>
      <c r="B9" s="275" t="s">
        <v>207</v>
      </c>
      <c r="C9" s="276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8"/>
    </row>
    <row r="10" spans="1:24">
      <c r="A10" s="33">
        <v>5</v>
      </c>
      <c r="B10" s="275" t="s">
        <v>208</v>
      </c>
      <c r="C10" s="276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8"/>
    </row>
    <row r="11" spans="1:24">
      <c r="A11" s="33">
        <v>6</v>
      </c>
      <c r="B11" s="275" t="s">
        <v>209</v>
      </c>
      <c r="C11" s="276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8"/>
    </row>
    <row r="12" spans="1:24">
      <c r="A12" s="33">
        <v>7</v>
      </c>
      <c r="B12" s="275" t="s">
        <v>210</v>
      </c>
      <c r="C12" s="276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8"/>
    </row>
    <row r="13" spans="1:24">
      <c r="A13" s="33">
        <v>8</v>
      </c>
      <c r="B13" s="275" t="s">
        <v>211</v>
      </c>
      <c r="C13" s="276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8"/>
    </row>
    <row r="14" spans="1:24">
      <c r="A14" s="33">
        <v>9</v>
      </c>
      <c r="B14" s="275" t="s">
        <v>212</v>
      </c>
      <c r="C14" s="276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8"/>
    </row>
    <row r="15" spans="1:24">
      <c r="A15" s="33">
        <v>10</v>
      </c>
      <c r="B15" s="275" t="s">
        <v>213</v>
      </c>
      <c r="C15" s="276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8"/>
    </row>
    <row r="16" spans="1:24">
      <c r="A16" s="33">
        <v>11</v>
      </c>
      <c r="B16" s="275" t="s">
        <v>214</v>
      </c>
      <c r="C16" s="276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8"/>
    </row>
    <row r="17" spans="1:21">
      <c r="A17" s="33">
        <v>12</v>
      </c>
      <c r="B17" s="275" t="s">
        <v>215</v>
      </c>
      <c r="C17" s="276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8"/>
    </row>
    <row r="18" spans="1:21">
      <c r="A18" s="33">
        <v>13</v>
      </c>
      <c r="B18" s="275" t="s">
        <v>216</v>
      </c>
      <c r="C18" s="276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8"/>
    </row>
    <row r="19" spans="1:21">
      <c r="A19" s="33">
        <v>14</v>
      </c>
      <c r="B19" s="275" t="s">
        <v>217</v>
      </c>
      <c r="C19" s="276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8"/>
    </row>
    <row r="20" spans="1:21">
      <c r="A20" s="33">
        <v>15</v>
      </c>
      <c r="B20" s="275" t="s">
        <v>218</v>
      </c>
      <c r="C20" s="276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8"/>
    </row>
    <row r="21" spans="1:21">
      <c r="A21" s="33">
        <v>16</v>
      </c>
      <c r="B21" s="275" t="s">
        <v>219</v>
      </c>
      <c r="C21" s="276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8"/>
    </row>
    <row r="22" spans="1:21" ht="71.25">
      <c r="A22" s="33">
        <v>17</v>
      </c>
      <c r="B22" s="275" t="s">
        <v>36</v>
      </c>
      <c r="C22" s="276"/>
      <c r="D22" s="34"/>
      <c r="E22" s="32"/>
      <c r="F22" s="32"/>
      <c r="G22" s="32"/>
      <c r="H22" s="32"/>
      <c r="I22" s="32"/>
      <c r="J22" s="32"/>
      <c r="K22" s="32">
        <v>-20</v>
      </c>
      <c r="L22" s="32">
        <v>-30</v>
      </c>
      <c r="M22" s="32"/>
      <c r="N22" s="32"/>
      <c r="O22" s="32"/>
      <c r="P22" s="32"/>
      <c r="Q22" s="32"/>
      <c r="R22" s="32"/>
      <c r="S22" s="32"/>
      <c r="T22" s="32"/>
      <c r="U22" s="237" t="s">
        <v>331</v>
      </c>
    </row>
    <row r="23" spans="1:21">
      <c r="A23" s="33">
        <v>18</v>
      </c>
      <c r="B23" s="275" t="s">
        <v>220</v>
      </c>
      <c r="C23" s="276"/>
      <c r="D23" s="231">
        <v>614.49</v>
      </c>
      <c r="E23" s="231"/>
      <c r="F23" s="231">
        <v>300.89</v>
      </c>
      <c r="G23" s="231">
        <v>851.17256154530003</v>
      </c>
      <c r="H23" s="231">
        <v>614.49</v>
      </c>
      <c r="I23" s="231">
        <v>4.92</v>
      </c>
      <c r="J23" s="231">
        <v>89.528581386599996</v>
      </c>
      <c r="K23" s="231">
        <v>308.24</v>
      </c>
      <c r="L23" s="231">
        <v>284.68</v>
      </c>
      <c r="M23" s="231">
        <v>91.068570006000002</v>
      </c>
      <c r="N23" s="231">
        <v>130.89256449999999</v>
      </c>
      <c r="O23" s="231">
        <v>113.24</v>
      </c>
      <c r="P23" s="231">
        <v>77.092777001900004</v>
      </c>
      <c r="Q23" s="231">
        <v>99.552501245900004</v>
      </c>
      <c r="R23" s="231">
        <v>88.25</v>
      </c>
      <c r="S23" s="208"/>
      <c r="T23" s="208"/>
      <c r="U23" s="208"/>
    </row>
    <row r="24" spans="1:21" ht="31.5" customHeight="1">
      <c r="A24" s="277" t="s">
        <v>221</v>
      </c>
      <c r="B24" s="278"/>
      <c r="C24" s="279"/>
      <c r="D24" s="35">
        <f>SUM(D6:D23)</f>
        <v>614.49</v>
      </c>
      <c r="E24" s="35">
        <f t="shared" ref="E24:S24" si="0">SUM(E6:E23)</f>
        <v>0</v>
      </c>
      <c r="F24" s="35">
        <f t="shared" si="0"/>
        <v>300.89</v>
      </c>
      <c r="G24" s="35">
        <f t="shared" si="0"/>
        <v>851.17256154530003</v>
      </c>
      <c r="H24" s="35">
        <f t="shared" si="0"/>
        <v>614.49</v>
      </c>
      <c r="I24" s="35">
        <f t="shared" si="0"/>
        <v>4.92</v>
      </c>
      <c r="J24" s="35">
        <f t="shared" si="0"/>
        <v>89.528581386599996</v>
      </c>
      <c r="K24" s="35">
        <f t="shared" si="0"/>
        <v>288.24</v>
      </c>
      <c r="L24" s="35">
        <f t="shared" si="0"/>
        <v>254.68</v>
      </c>
      <c r="M24" s="35">
        <f t="shared" si="0"/>
        <v>91.068570006000002</v>
      </c>
      <c r="N24" s="35">
        <f t="shared" si="0"/>
        <v>130.89256449999999</v>
      </c>
      <c r="O24" s="35">
        <f t="shared" si="0"/>
        <v>113.24</v>
      </c>
      <c r="P24" s="35">
        <f t="shared" si="0"/>
        <v>77.092777001900004</v>
      </c>
      <c r="Q24" s="35">
        <f t="shared" si="0"/>
        <v>99.552501245900004</v>
      </c>
      <c r="R24" s="35">
        <f t="shared" si="0"/>
        <v>88.25</v>
      </c>
      <c r="S24" s="35">
        <f t="shared" si="0"/>
        <v>0</v>
      </c>
      <c r="T24" s="35">
        <f t="shared" ref="T24" si="1">SUM(T6:T23)</f>
        <v>0</v>
      </c>
      <c r="U24" s="39"/>
    </row>
    <row r="25" spans="1:21" ht="20.25" customHeight="1">
      <c r="C25" s="24" t="s">
        <v>50</v>
      </c>
      <c r="D25" s="36">
        <f t="shared" ref="D25:J25" si="2">D24*0.98</f>
        <v>602.2002</v>
      </c>
      <c r="E25" s="36">
        <f t="shared" si="2"/>
        <v>0</v>
      </c>
      <c r="F25" s="36">
        <f t="shared" si="2"/>
        <v>294.87219999999996</v>
      </c>
      <c r="G25" s="36">
        <f t="shared" si="2"/>
        <v>834.14911031439397</v>
      </c>
      <c r="H25" s="36">
        <f t="shared" si="2"/>
        <v>602.2002</v>
      </c>
      <c r="I25" s="36">
        <f t="shared" si="2"/>
        <v>4.8216000000000001</v>
      </c>
      <c r="J25" s="36">
        <f t="shared" si="2"/>
        <v>87.738009758867989</v>
      </c>
      <c r="K25" s="36">
        <f>K24*0.98</f>
        <v>282.47520000000003</v>
      </c>
      <c r="L25" s="36">
        <f t="shared" ref="L25:T25" si="3">L24*0.98</f>
        <v>249.5864</v>
      </c>
      <c r="M25" s="36">
        <f t="shared" si="3"/>
        <v>89.247198605880001</v>
      </c>
      <c r="N25" s="36">
        <f t="shared" si="3"/>
        <v>128.27471320999999</v>
      </c>
      <c r="O25" s="36">
        <f t="shared" si="3"/>
        <v>110.97519999999999</v>
      </c>
      <c r="P25" s="36">
        <f t="shared" si="3"/>
        <v>75.550921461862004</v>
      </c>
      <c r="Q25" s="36">
        <f t="shared" si="3"/>
        <v>97.561451220982008</v>
      </c>
      <c r="R25" s="36">
        <f t="shared" si="3"/>
        <v>86.484999999999999</v>
      </c>
      <c r="S25" s="36">
        <f t="shared" si="3"/>
        <v>0</v>
      </c>
      <c r="T25" s="36">
        <f t="shared" si="3"/>
        <v>0</v>
      </c>
    </row>
    <row r="26" spans="1:21" ht="20.25" customHeight="1">
      <c r="C26" s="24" t="s">
        <v>185</v>
      </c>
      <c r="D26" s="36">
        <f t="shared" ref="D26:D28" si="4">D25*0.98</f>
        <v>590.15619600000002</v>
      </c>
      <c r="E26" s="36">
        <f t="shared" ref="E26:E28" si="5">E25*0.98</f>
        <v>0</v>
      </c>
      <c r="F26" s="36">
        <f t="shared" ref="F26:F28" si="6">F25*0.98</f>
        <v>288.97475599999996</v>
      </c>
      <c r="G26" s="36">
        <f t="shared" ref="G26:G28" si="7">G25*0.98</f>
        <v>817.46612810810609</v>
      </c>
      <c r="H26" s="36">
        <f t="shared" ref="H26:H28" si="8">H25*0.98</f>
        <v>590.15619600000002</v>
      </c>
      <c r="I26" s="36">
        <f t="shared" ref="I26:I28" si="9">I25*0.98</f>
        <v>4.725168</v>
      </c>
      <c r="J26" s="36">
        <f t="shared" ref="J26:J28" si="10">J25*0.98</f>
        <v>85.983249563690634</v>
      </c>
      <c r="K26" s="36">
        <f t="shared" ref="K26:K28" si="11">K25*0.98</f>
        <v>276.82569600000005</v>
      </c>
      <c r="L26" s="36">
        <f t="shared" ref="L26:L28" si="12">L25*0.98</f>
        <v>244.594672</v>
      </c>
      <c r="M26" s="36">
        <f t="shared" ref="M26:M28" si="13">M25*0.98</f>
        <v>87.462254633762399</v>
      </c>
      <c r="N26" s="36">
        <f t="shared" ref="N26:N28" si="14">N25*0.98</f>
        <v>125.70921894579999</v>
      </c>
      <c r="O26" s="36">
        <f t="shared" ref="O26:O28" si="15">O25*0.98</f>
        <v>108.75569599999999</v>
      </c>
      <c r="P26" s="36">
        <f t="shared" ref="P26:P28" si="16">P25*0.98</f>
        <v>74.039903032624764</v>
      </c>
      <c r="Q26" s="36">
        <f t="shared" ref="Q26:Q28" si="17">Q25*0.98</f>
        <v>95.610222196562361</v>
      </c>
      <c r="R26" s="36">
        <f t="shared" ref="R26:R28" si="18">R25*0.98</f>
        <v>84.755299999999991</v>
      </c>
      <c r="S26" s="36">
        <f t="shared" ref="S26:S28" si="19">S25*0.98</f>
        <v>0</v>
      </c>
      <c r="T26" s="36">
        <f t="shared" ref="T26:T28" si="20">T25*0.98</f>
        <v>0</v>
      </c>
    </row>
    <row r="27" spans="1:21" ht="20.25" customHeight="1">
      <c r="C27" s="24" t="s">
        <v>186</v>
      </c>
      <c r="D27" s="36">
        <f t="shared" si="4"/>
        <v>578.35307208000006</v>
      </c>
      <c r="E27" s="36">
        <f t="shared" si="5"/>
        <v>0</v>
      </c>
      <c r="F27" s="36">
        <f t="shared" si="6"/>
        <v>283.19526087999998</v>
      </c>
      <c r="G27" s="36">
        <f t="shared" si="7"/>
        <v>801.11680554594398</v>
      </c>
      <c r="H27" s="36">
        <f t="shared" si="8"/>
        <v>578.35307208000006</v>
      </c>
      <c r="I27" s="36">
        <f t="shared" si="9"/>
        <v>4.63066464</v>
      </c>
      <c r="J27" s="36">
        <f t="shared" si="10"/>
        <v>84.263584572416818</v>
      </c>
      <c r="K27" s="36">
        <f t="shared" si="11"/>
        <v>271.28918208000005</v>
      </c>
      <c r="L27" s="36">
        <f t="shared" si="12"/>
        <v>239.70277855999998</v>
      </c>
      <c r="M27" s="36">
        <f t="shared" si="13"/>
        <v>85.713009541087146</v>
      </c>
      <c r="N27" s="36">
        <f t="shared" si="14"/>
        <v>123.19503456688399</v>
      </c>
      <c r="O27" s="36">
        <f t="shared" si="15"/>
        <v>106.58058207999999</v>
      </c>
      <c r="P27" s="36">
        <f t="shared" si="16"/>
        <v>72.559104971972261</v>
      </c>
      <c r="Q27" s="36">
        <f t="shared" si="17"/>
        <v>93.698017752631117</v>
      </c>
      <c r="R27" s="36">
        <f t="shared" si="18"/>
        <v>83.060193999999996</v>
      </c>
      <c r="S27" s="36">
        <f t="shared" si="19"/>
        <v>0</v>
      </c>
      <c r="T27" s="36">
        <f t="shared" si="20"/>
        <v>0</v>
      </c>
    </row>
    <row r="28" spans="1:21" ht="20.25" customHeight="1">
      <c r="C28" s="24" t="s">
        <v>187</v>
      </c>
      <c r="D28" s="36">
        <f t="shared" si="4"/>
        <v>566.78601063840006</v>
      </c>
      <c r="E28" s="36">
        <f t="shared" si="5"/>
        <v>0</v>
      </c>
      <c r="F28" s="36">
        <f t="shared" si="6"/>
        <v>277.53135566239996</v>
      </c>
      <c r="G28" s="36">
        <f t="shared" si="7"/>
        <v>785.09446943502508</v>
      </c>
      <c r="H28" s="36">
        <f t="shared" si="8"/>
        <v>566.78601063840006</v>
      </c>
      <c r="I28" s="36">
        <f t="shared" si="9"/>
        <v>4.5380513471999997</v>
      </c>
      <c r="J28" s="36">
        <f t="shared" si="10"/>
        <v>82.578312880968483</v>
      </c>
      <c r="K28" s="36">
        <f t="shared" si="11"/>
        <v>265.86339843840005</v>
      </c>
      <c r="L28" s="36">
        <f t="shared" si="12"/>
        <v>234.90872298879998</v>
      </c>
      <c r="M28" s="36">
        <f t="shared" si="13"/>
        <v>83.998749350265399</v>
      </c>
      <c r="N28" s="36">
        <f t="shared" si="14"/>
        <v>120.73113387554631</v>
      </c>
      <c r="O28" s="36">
        <f t="shared" si="15"/>
        <v>104.44897043839998</v>
      </c>
      <c r="P28" s="36">
        <f t="shared" si="16"/>
        <v>71.107922872532811</v>
      </c>
      <c r="Q28" s="36">
        <f t="shared" si="17"/>
        <v>91.8240573975785</v>
      </c>
      <c r="R28" s="36">
        <f t="shared" si="18"/>
        <v>81.398990119999993</v>
      </c>
      <c r="S28" s="36">
        <f t="shared" si="19"/>
        <v>0</v>
      </c>
      <c r="T28" s="36">
        <f t="shared" si="20"/>
        <v>0</v>
      </c>
    </row>
    <row r="29" spans="1:21" ht="20.25" customHeight="1"/>
  </sheetData>
  <mergeCells count="27">
    <mergeCell ref="A1:B1"/>
    <mergeCell ref="D3:E3"/>
    <mergeCell ref="G3:S3"/>
    <mergeCell ref="U3:U5"/>
    <mergeCell ref="F2:U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8" sqref="D1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281</v>
      </c>
      <c r="D2" s="169"/>
    </row>
    <row r="3" spans="1:4" ht="24" customHeight="1">
      <c r="A3" s="17">
        <v>2</v>
      </c>
      <c r="B3" s="18" t="s">
        <v>226</v>
      </c>
      <c r="C3" s="20" t="s">
        <v>282</v>
      </c>
      <c r="D3" s="169" t="s">
        <v>227</v>
      </c>
    </row>
    <row r="4" spans="1:4" ht="19.5" customHeight="1">
      <c r="A4" s="17">
        <v>3</v>
      </c>
      <c r="B4" s="18" t="s">
        <v>228</v>
      </c>
      <c r="C4" s="19" t="s">
        <v>283</v>
      </c>
      <c r="D4" s="169"/>
    </row>
    <row r="5" spans="1:4" ht="21" customHeight="1">
      <c r="A5" s="17">
        <v>4</v>
      </c>
      <c r="B5" s="18" t="s">
        <v>229</v>
      </c>
      <c r="C5" s="19" t="s">
        <v>284</v>
      </c>
      <c r="D5" s="169"/>
    </row>
    <row r="6" spans="1:4" ht="21" customHeight="1">
      <c r="A6" s="17">
        <v>5</v>
      </c>
      <c r="B6" s="18" t="s">
        <v>230</v>
      </c>
      <c r="C6" s="19" t="s">
        <v>285</v>
      </c>
      <c r="D6" s="169"/>
    </row>
    <row r="7" spans="1:4" ht="27.75" customHeight="1">
      <c r="A7" s="17">
        <v>6</v>
      </c>
      <c r="B7" s="169" t="s">
        <v>231</v>
      </c>
      <c r="C7" s="20" t="s">
        <v>286</v>
      </c>
      <c r="D7" s="169"/>
    </row>
    <row r="8" spans="1:4" ht="25.5" customHeight="1">
      <c r="A8" s="17">
        <v>7</v>
      </c>
      <c r="B8" s="18" t="s">
        <v>232</v>
      </c>
      <c r="C8" s="21" t="s">
        <v>287</v>
      </c>
      <c r="D8" s="169"/>
    </row>
    <row r="9" spans="1:4" ht="25.5" customHeight="1">
      <c r="A9" s="17">
        <v>8</v>
      </c>
      <c r="B9" s="169" t="s">
        <v>233</v>
      </c>
      <c r="C9" s="21"/>
      <c r="D9" s="169"/>
    </row>
    <row r="10" spans="1:4" ht="25.5" customHeight="1">
      <c r="A10" s="17">
        <v>9</v>
      </c>
      <c r="B10" s="169" t="s">
        <v>234</v>
      </c>
      <c r="C10" s="21"/>
      <c r="D10" s="169"/>
    </row>
    <row r="11" spans="1:4" ht="25.5" customHeight="1">
      <c r="A11" s="17">
        <v>10</v>
      </c>
      <c r="B11" s="169" t="s">
        <v>235</v>
      </c>
      <c r="C11" s="21"/>
      <c r="D11" s="169" t="s">
        <v>236</v>
      </c>
    </row>
    <row r="12" spans="1:4" ht="25.5" customHeight="1">
      <c r="A12" s="17">
        <v>11</v>
      </c>
      <c r="B12" s="169" t="s">
        <v>237</v>
      </c>
      <c r="C12" s="21"/>
      <c r="D12" s="169"/>
    </row>
    <row r="13" spans="1:4" ht="24" customHeight="1">
      <c r="A13" s="17">
        <v>12</v>
      </c>
      <c r="B13" s="18" t="s">
        <v>238</v>
      </c>
      <c r="C13" s="21">
        <v>5000</v>
      </c>
      <c r="D13" s="169"/>
    </row>
    <row r="14" spans="1:4" ht="24" customHeight="1">
      <c r="A14" s="17">
        <v>13</v>
      </c>
      <c r="B14" s="18" t="s">
        <v>239</v>
      </c>
      <c r="C14" s="21" t="s">
        <v>288</v>
      </c>
      <c r="D14" s="169"/>
    </row>
    <row r="15" spans="1:4" ht="24" customHeight="1">
      <c r="A15" s="17">
        <v>14</v>
      </c>
      <c r="B15" s="18" t="s">
        <v>240</v>
      </c>
      <c r="C15" s="21" t="s">
        <v>289</v>
      </c>
      <c r="D15" s="169"/>
    </row>
    <row r="16" spans="1:4" ht="24" customHeight="1">
      <c r="A16" s="17">
        <v>15</v>
      </c>
      <c r="B16" s="169" t="s">
        <v>36</v>
      </c>
      <c r="C16" s="169"/>
      <c r="D16" s="169"/>
    </row>
    <row r="17" spans="2:2" ht="16.5">
      <c r="B17" s="22" t="s">
        <v>241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18"/>
  <sheetViews>
    <sheetView zoomScale="85" zoomScaleNormal="85" workbookViewId="0">
      <selection activeCell="I17" sqref="I17"/>
    </sheetView>
  </sheetViews>
  <sheetFormatPr defaultColWidth="9" defaultRowHeight="13.5"/>
  <cols>
    <col min="1" max="1" width="9" style="2"/>
    <col min="2" max="2" width="6.625" style="2" customWidth="1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93" t="s">
        <v>242</v>
      </c>
      <c r="H1" s="293"/>
      <c r="I1" s="15" t="str">
        <f>销量!C6</f>
        <v>6800010-J36-C00</v>
      </c>
    </row>
    <row r="2" spans="1:15" ht="39" customHeight="1">
      <c r="A2" s="294" t="s">
        <v>243</v>
      </c>
      <c r="B2" s="294"/>
      <c r="C2" s="295" t="s">
        <v>274</v>
      </c>
      <c r="D2" s="296"/>
      <c r="E2" s="296"/>
      <c r="F2" s="296"/>
      <c r="G2" s="296"/>
      <c r="H2" s="297"/>
      <c r="I2" s="3" t="s">
        <v>244</v>
      </c>
    </row>
    <row r="3" spans="1:15" ht="34.5" customHeight="1">
      <c r="A3" s="294"/>
      <c r="B3" s="294"/>
      <c r="C3" s="4" t="s">
        <v>245</v>
      </c>
      <c r="D3" s="4" t="s">
        <v>246</v>
      </c>
      <c r="E3" s="4" t="s">
        <v>247</v>
      </c>
      <c r="F3" s="5" t="s">
        <v>248</v>
      </c>
      <c r="G3" s="5" t="s">
        <v>249</v>
      </c>
      <c r="H3" s="166" t="s">
        <v>258</v>
      </c>
      <c r="I3" s="14">
        <f>销量!C8</f>
        <v>771.27</v>
      </c>
      <c r="J3" s="166" t="s">
        <v>278</v>
      </c>
      <c r="K3" s="166" t="s">
        <v>272</v>
      </c>
      <c r="L3" s="166" t="s">
        <v>277</v>
      </c>
      <c r="M3" s="191" t="s">
        <v>275</v>
      </c>
    </row>
    <row r="4" spans="1:15" ht="24" customHeight="1">
      <c r="A4" s="298" t="s">
        <v>251</v>
      </c>
      <c r="B4" s="298"/>
      <c r="C4" s="7"/>
      <c r="D4" s="8"/>
      <c r="E4" s="9">
        <f>$I$3*H4</f>
        <v>53.526138000000003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2">
        <v>6.9400000000000003E-2</v>
      </c>
    </row>
    <row r="5" spans="1:15" ht="24" customHeight="1">
      <c r="A5" s="298" t="s">
        <v>252</v>
      </c>
      <c r="B5" s="6" t="s">
        <v>253</v>
      </c>
      <c r="C5" s="7"/>
      <c r="D5" s="8"/>
      <c r="E5" s="9">
        <f>$I$3*H5</f>
        <v>63.629775000000002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2">
        <v>8.2500000000000004E-2</v>
      </c>
    </row>
    <row r="6" spans="1:15" ht="24" customHeight="1">
      <c r="A6" s="298"/>
      <c r="B6" s="6" t="s">
        <v>254</v>
      </c>
      <c r="C6" s="7"/>
      <c r="D6" s="8"/>
      <c r="E6" s="9">
        <f t="shared" ref="E6:E11" si="0">$I$3*H6</f>
        <v>33.473117999999999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2">
        <v>4.3400000000000001E-2</v>
      </c>
    </row>
    <row r="7" spans="1:15" ht="24" customHeight="1">
      <c r="A7" s="295" t="s">
        <v>255</v>
      </c>
      <c r="B7" s="297"/>
      <c r="C7" s="11"/>
      <c r="D7" s="12"/>
      <c r="E7" s="9">
        <f t="shared" si="0"/>
        <v>150.629031</v>
      </c>
      <c r="F7" s="9"/>
      <c r="G7" s="9"/>
      <c r="H7" s="193">
        <f>SUM(H4:H6)</f>
        <v>0.1953</v>
      </c>
      <c r="J7" s="193">
        <f t="shared" ref="J7:K7" si="1">SUM(J4:J6)</f>
        <v>0.06</v>
      </c>
      <c r="K7" s="193">
        <f t="shared" si="1"/>
        <v>0.1027</v>
      </c>
      <c r="L7" s="193">
        <f>SUM(L4:L6)</f>
        <v>0.1953</v>
      </c>
      <c r="M7" s="192"/>
    </row>
    <row r="8" spans="1:15" ht="24" customHeight="1">
      <c r="A8" s="298" t="s">
        <v>81</v>
      </c>
      <c r="B8" s="298"/>
      <c r="C8" s="7"/>
      <c r="D8" s="8"/>
      <c r="E8" s="9">
        <f t="shared" si="0"/>
        <v>20.361528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2">
        <v>2.64E-2</v>
      </c>
      <c r="N8" s="174" t="s">
        <v>276</v>
      </c>
    </row>
    <row r="9" spans="1:15" ht="24" customHeight="1">
      <c r="A9" s="299" t="s">
        <v>256</v>
      </c>
      <c r="B9" s="6" t="s">
        <v>253</v>
      </c>
      <c r="C9" s="7"/>
      <c r="D9" s="8"/>
      <c r="E9" s="9">
        <f t="shared" si="0"/>
        <v>13.265844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4">
        <v>1.72E-2</v>
      </c>
      <c r="N9" s="195">
        <v>2.1100000000000001E-2</v>
      </c>
      <c r="O9" s="195">
        <v>0.10340000000000001</v>
      </c>
    </row>
    <row r="10" spans="1:15" ht="24" customHeight="1">
      <c r="A10" s="300"/>
      <c r="B10" s="6" t="s">
        <v>254</v>
      </c>
      <c r="C10" s="7"/>
      <c r="D10" s="8"/>
      <c r="E10" s="233">
        <v>15</v>
      </c>
      <c r="F10" s="9"/>
      <c r="G10" s="9"/>
      <c r="H10" s="13">
        <v>6.5100000000000005E-2</v>
      </c>
      <c r="I10" s="235">
        <f>E10/I3</f>
        <v>1.9448442179781401E-2</v>
      </c>
      <c r="J10" s="10">
        <v>1.6E-2</v>
      </c>
      <c r="K10" s="13">
        <v>4.1200000000000001E-2</v>
      </c>
      <c r="L10" s="13">
        <v>6.5100000000000005E-2</v>
      </c>
      <c r="M10" s="194">
        <v>6.5100000000000005E-2</v>
      </c>
      <c r="N10" s="196"/>
      <c r="O10" s="196"/>
    </row>
    <row r="11" spans="1:15" ht="24" customHeight="1">
      <c r="A11" s="298" t="s">
        <v>84</v>
      </c>
      <c r="B11" s="298"/>
      <c r="C11" s="7"/>
      <c r="D11" s="8"/>
      <c r="E11" s="9">
        <f t="shared" si="0"/>
        <v>27.380084999999998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2">
        <v>3.0099999999999998E-2</v>
      </c>
    </row>
    <row r="13" spans="1:15" s="1" customFormat="1" ht="18.75" customHeight="1">
      <c r="G13" s="293" t="s">
        <v>242</v>
      </c>
      <c r="H13" s="293"/>
      <c r="I13" s="15" t="str">
        <f>销量!D6</f>
        <v>6800010-J37-C00</v>
      </c>
    </row>
    <row r="14" spans="1:15" ht="39" customHeight="1">
      <c r="A14" s="294" t="s">
        <v>243</v>
      </c>
      <c r="B14" s="294"/>
      <c r="C14" s="295" t="str">
        <f>C2</f>
        <v>河北工厂平均值</v>
      </c>
      <c r="D14" s="296"/>
      <c r="E14" s="296"/>
      <c r="F14" s="296"/>
      <c r="G14" s="296"/>
      <c r="H14" s="297"/>
      <c r="I14" s="3" t="s">
        <v>244</v>
      </c>
    </row>
    <row r="15" spans="1:15" ht="34.5" customHeight="1">
      <c r="A15" s="294"/>
      <c r="B15" s="294"/>
      <c r="C15" s="4" t="s">
        <v>245</v>
      </c>
      <c r="D15" s="4" t="s">
        <v>246</v>
      </c>
      <c r="E15" s="4" t="s">
        <v>247</v>
      </c>
      <c r="F15" s="5" t="s">
        <v>248</v>
      </c>
      <c r="G15" s="5" t="s">
        <v>249</v>
      </c>
      <c r="H15" s="5" t="s">
        <v>250</v>
      </c>
      <c r="I15" s="14">
        <f>销量!D8</f>
        <v>1785.88</v>
      </c>
    </row>
    <row r="16" spans="1:15" ht="24" customHeight="1">
      <c r="A16" s="298" t="s">
        <v>251</v>
      </c>
      <c r="B16" s="298"/>
      <c r="C16" s="7"/>
      <c r="D16" s="8"/>
      <c r="E16" s="9">
        <f>$I$15*H16</f>
        <v>123.94007200000001</v>
      </c>
      <c r="F16" s="9"/>
      <c r="G16" s="9"/>
      <c r="H16" s="10">
        <f t="shared" ref="H16:H23" si="2">H4</f>
        <v>6.9400000000000003E-2</v>
      </c>
    </row>
    <row r="17" spans="1:9" ht="24" customHeight="1">
      <c r="A17" s="298" t="s">
        <v>252</v>
      </c>
      <c r="B17" s="6" t="s">
        <v>253</v>
      </c>
      <c r="C17" s="7"/>
      <c r="D17" s="8"/>
      <c r="E17" s="9">
        <f t="shared" ref="E17:E23" si="3">$I$15*H17</f>
        <v>147.33510000000001</v>
      </c>
      <c r="F17" s="9"/>
      <c r="G17" s="9"/>
      <c r="H17" s="10">
        <f t="shared" si="2"/>
        <v>8.2500000000000004E-2</v>
      </c>
    </row>
    <row r="18" spans="1:9" ht="24" customHeight="1">
      <c r="A18" s="298"/>
      <c r="B18" s="6" t="s">
        <v>254</v>
      </c>
      <c r="C18" s="7"/>
      <c r="D18" s="8"/>
      <c r="E18" s="9">
        <f t="shared" si="3"/>
        <v>77.507192000000003</v>
      </c>
      <c r="F18" s="9"/>
      <c r="G18" s="9"/>
      <c r="H18" s="10">
        <f t="shared" si="2"/>
        <v>4.3400000000000001E-2</v>
      </c>
    </row>
    <row r="19" spans="1:9" ht="24" customHeight="1">
      <c r="A19" s="295" t="s">
        <v>255</v>
      </c>
      <c r="B19" s="297"/>
      <c r="C19" s="11"/>
      <c r="D19" s="12"/>
      <c r="E19" s="9">
        <f t="shared" si="3"/>
        <v>348.78236400000003</v>
      </c>
      <c r="F19" s="9"/>
      <c r="G19" s="9"/>
      <c r="H19" s="13">
        <f t="shared" si="2"/>
        <v>0.1953</v>
      </c>
    </row>
    <row r="20" spans="1:9" ht="24" customHeight="1">
      <c r="A20" s="298" t="s">
        <v>81</v>
      </c>
      <c r="B20" s="298"/>
      <c r="C20" s="7"/>
      <c r="D20" s="8"/>
      <c r="E20" s="9">
        <f t="shared" si="3"/>
        <v>47.147232000000002</v>
      </c>
      <c r="F20" s="9"/>
      <c r="G20" s="9"/>
      <c r="H20" s="10">
        <f t="shared" si="2"/>
        <v>2.64E-2</v>
      </c>
    </row>
    <row r="21" spans="1:9" ht="24" customHeight="1">
      <c r="A21" s="299" t="s">
        <v>256</v>
      </c>
      <c r="B21" s="6" t="s">
        <v>253</v>
      </c>
      <c r="C21" s="7"/>
      <c r="D21" s="8"/>
      <c r="E21" s="9">
        <f t="shared" si="3"/>
        <v>30.717136000000004</v>
      </c>
      <c r="F21" s="9"/>
      <c r="G21" s="9"/>
      <c r="H21" s="10">
        <f t="shared" si="2"/>
        <v>1.72E-2</v>
      </c>
    </row>
    <row r="22" spans="1:9" ht="24" customHeight="1">
      <c r="A22" s="300"/>
      <c r="B22" s="6" t="s">
        <v>254</v>
      </c>
      <c r="C22" s="7"/>
      <c r="D22" s="8"/>
      <c r="E22" s="233">
        <v>23</v>
      </c>
      <c r="F22" s="9"/>
      <c r="G22" s="9"/>
      <c r="H22" s="10">
        <f t="shared" si="2"/>
        <v>6.5100000000000005E-2</v>
      </c>
      <c r="I22" s="235">
        <f>E22/I15</f>
        <v>1.2878804846910206E-2</v>
      </c>
    </row>
    <row r="23" spans="1:9" ht="24" customHeight="1">
      <c r="A23" s="298" t="s">
        <v>84</v>
      </c>
      <c r="B23" s="298"/>
      <c r="C23" s="7"/>
      <c r="D23" s="8"/>
      <c r="E23" s="9">
        <f t="shared" si="3"/>
        <v>63.398739999999997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93" t="s">
        <v>242</v>
      </c>
      <c r="H26" s="293"/>
      <c r="I26" s="15" t="str">
        <f>销量!E6</f>
        <v>6800010AJ36-C00</v>
      </c>
    </row>
    <row r="27" spans="1:9" ht="39" customHeight="1">
      <c r="A27" s="294" t="s">
        <v>243</v>
      </c>
      <c r="B27" s="294"/>
      <c r="C27" s="295" t="str">
        <f>C2</f>
        <v>河北工厂平均值</v>
      </c>
      <c r="D27" s="296"/>
      <c r="E27" s="296"/>
      <c r="F27" s="296"/>
      <c r="G27" s="296"/>
      <c r="H27" s="297"/>
      <c r="I27" s="3" t="s">
        <v>244</v>
      </c>
    </row>
    <row r="28" spans="1:9" ht="34.5" customHeight="1">
      <c r="A28" s="294"/>
      <c r="B28" s="294"/>
      <c r="C28" s="4" t="s">
        <v>245</v>
      </c>
      <c r="D28" s="4" t="s">
        <v>246</v>
      </c>
      <c r="E28" s="4" t="s">
        <v>247</v>
      </c>
      <c r="F28" s="5" t="s">
        <v>248</v>
      </c>
      <c r="G28" s="5" t="s">
        <v>249</v>
      </c>
      <c r="H28" s="5" t="s">
        <v>250</v>
      </c>
      <c r="I28" s="14">
        <f>销量!E8</f>
        <v>407</v>
      </c>
    </row>
    <row r="29" spans="1:9" ht="24" customHeight="1">
      <c r="A29" s="298" t="s">
        <v>251</v>
      </c>
      <c r="B29" s="298"/>
      <c r="C29" s="7"/>
      <c r="D29" s="8"/>
      <c r="E29" s="9">
        <f>$I$28*H29</f>
        <v>28.245800000000003</v>
      </c>
      <c r="F29" s="9"/>
      <c r="G29" s="9"/>
      <c r="H29" s="10">
        <f t="shared" ref="H29:H36" si="4">H4</f>
        <v>6.9400000000000003E-2</v>
      </c>
    </row>
    <row r="30" spans="1:9" ht="24" customHeight="1">
      <c r="A30" s="298" t="s">
        <v>252</v>
      </c>
      <c r="B30" s="6" t="s">
        <v>253</v>
      </c>
      <c r="C30" s="7"/>
      <c r="D30" s="8"/>
      <c r="E30" s="9">
        <f t="shared" ref="E30:E36" si="5">$I$28*H30</f>
        <v>33.577500000000001</v>
      </c>
      <c r="F30" s="9"/>
      <c r="G30" s="9"/>
      <c r="H30" s="10">
        <f t="shared" si="4"/>
        <v>8.2500000000000004E-2</v>
      </c>
    </row>
    <row r="31" spans="1:9" ht="24" customHeight="1">
      <c r="A31" s="298"/>
      <c r="B31" s="6" t="s">
        <v>254</v>
      </c>
      <c r="C31" s="7"/>
      <c r="D31" s="8"/>
      <c r="E31" s="9">
        <f t="shared" si="5"/>
        <v>17.663800000000002</v>
      </c>
      <c r="F31" s="9"/>
      <c r="G31" s="9"/>
      <c r="H31" s="10">
        <f t="shared" si="4"/>
        <v>4.3400000000000001E-2</v>
      </c>
    </row>
    <row r="32" spans="1:9" ht="24" customHeight="1">
      <c r="A32" s="295" t="s">
        <v>255</v>
      </c>
      <c r="B32" s="297"/>
      <c r="C32" s="11"/>
      <c r="D32" s="12"/>
      <c r="E32" s="9">
        <f t="shared" si="5"/>
        <v>79.487099999999998</v>
      </c>
      <c r="F32" s="9"/>
      <c r="G32" s="9"/>
      <c r="H32" s="13">
        <f t="shared" si="4"/>
        <v>0.1953</v>
      </c>
    </row>
    <row r="33" spans="1:9" ht="24" customHeight="1">
      <c r="A33" s="298" t="s">
        <v>81</v>
      </c>
      <c r="B33" s="298"/>
      <c r="C33" s="7"/>
      <c r="D33" s="8"/>
      <c r="E33" s="9">
        <f t="shared" si="5"/>
        <v>10.7448</v>
      </c>
      <c r="F33" s="9"/>
      <c r="G33" s="9"/>
      <c r="H33" s="10">
        <f t="shared" si="4"/>
        <v>2.64E-2</v>
      </c>
    </row>
    <row r="34" spans="1:9" ht="24" customHeight="1">
      <c r="A34" s="299" t="s">
        <v>256</v>
      </c>
      <c r="B34" s="6" t="s">
        <v>253</v>
      </c>
      <c r="C34" s="7"/>
      <c r="D34" s="8"/>
      <c r="E34" s="9">
        <f t="shared" si="5"/>
        <v>7.0004</v>
      </c>
      <c r="F34" s="9"/>
      <c r="G34" s="9"/>
      <c r="H34" s="10">
        <f t="shared" si="4"/>
        <v>1.72E-2</v>
      </c>
    </row>
    <row r="35" spans="1:9" ht="24" customHeight="1">
      <c r="A35" s="300"/>
      <c r="B35" s="6" t="s">
        <v>254</v>
      </c>
      <c r="C35" s="7"/>
      <c r="D35" s="8"/>
      <c r="E35" s="233">
        <v>15</v>
      </c>
      <c r="F35" s="9"/>
      <c r="G35" s="9"/>
      <c r="H35" s="10">
        <f t="shared" si="4"/>
        <v>6.5100000000000005E-2</v>
      </c>
      <c r="I35" s="235">
        <f>E35/I28</f>
        <v>3.6855036855036855E-2</v>
      </c>
    </row>
    <row r="36" spans="1:9" ht="24" customHeight="1">
      <c r="A36" s="298" t="s">
        <v>84</v>
      </c>
      <c r="B36" s="298"/>
      <c r="C36" s="7"/>
      <c r="D36" s="8"/>
      <c r="E36" s="9">
        <f t="shared" si="5"/>
        <v>14.448499999999999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93" t="s">
        <v>242</v>
      </c>
      <c r="H39" s="293"/>
      <c r="I39" s="15" t="str">
        <f>销量!F6</f>
        <v>6800010AJ37-C00</v>
      </c>
    </row>
    <row r="40" spans="1:9" ht="39" customHeight="1">
      <c r="A40" s="294" t="s">
        <v>243</v>
      </c>
      <c r="B40" s="294"/>
      <c r="C40" s="295" t="str">
        <f>C2</f>
        <v>河北工厂平均值</v>
      </c>
      <c r="D40" s="296"/>
      <c r="E40" s="296"/>
      <c r="F40" s="296"/>
      <c r="G40" s="296"/>
      <c r="H40" s="297"/>
      <c r="I40" s="3" t="s">
        <v>244</v>
      </c>
    </row>
    <row r="41" spans="1:9" ht="34.5" customHeight="1">
      <c r="A41" s="294"/>
      <c r="B41" s="294"/>
      <c r="C41" s="4" t="s">
        <v>245</v>
      </c>
      <c r="D41" s="4" t="s">
        <v>246</v>
      </c>
      <c r="E41" s="4" t="s">
        <v>247</v>
      </c>
      <c r="F41" s="5" t="s">
        <v>248</v>
      </c>
      <c r="G41" s="5" t="s">
        <v>249</v>
      </c>
      <c r="H41" s="5" t="s">
        <v>250</v>
      </c>
      <c r="I41" s="14">
        <f>销量!F8</f>
        <v>1212.2</v>
      </c>
    </row>
    <row r="42" spans="1:9" ht="24" customHeight="1">
      <c r="A42" s="298" t="s">
        <v>251</v>
      </c>
      <c r="B42" s="298"/>
      <c r="C42" s="7"/>
      <c r="D42" s="8"/>
      <c r="E42" s="9">
        <f>$I$41*H42</f>
        <v>84.126680000000007</v>
      </c>
      <c r="F42" s="9"/>
      <c r="G42" s="9"/>
      <c r="H42" s="10">
        <f t="shared" ref="H42:H49" si="6">H4</f>
        <v>6.9400000000000003E-2</v>
      </c>
    </row>
    <row r="43" spans="1:9" ht="24" customHeight="1">
      <c r="A43" s="298" t="s">
        <v>252</v>
      </c>
      <c r="B43" s="6" t="s">
        <v>253</v>
      </c>
      <c r="C43" s="7"/>
      <c r="D43" s="8"/>
      <c r="E43" s="9">
        <f t="shared" ref="E43:E49" si="7">$I$41*H43</f>
        <v>100.0065</v>
      </c>
      <c r="F43" s="9"/>
      <c r="G43" s="9"/>
      <c r="H43" s="10">
        <f t="shared" si="6"/>
        <v>8.2500000000000004E-2</v>
      </c>
    </row>
    <row r="44" spans="1:9" ht="24" customHeight="1">
      <c r="A44" s="298"/>
      <c r="B44" s="6" t="s">
        <v>254</v>
      </c>
      <c r="C44" s="7"/>
      <c r="D44" s="8"/>
      <c r="E44" s="9">
        <f t="shared" si="7"/>
        <v>52.609480000000005</v>
      </c>
      <c r="F44" s="9"/>
      <c r="G44" s="9"/>
      <c r="H44" s="10">
        <f t="shared" si="6"/>
        <v>4.3400000000000001E-2</v>
      </c>
    </row>
    <row r="45" spans="1:9" ht="24" customHeight="1">
      <c r="A45" s="295" t="s">
        <v>255</v>
      </c>
      <c r="B45" s="297"/>
      <c r="C45" s="11"/>
      <c r="D45" s="12"/>
      <c r="E45" s="9">
        <f t="shared" si="7"/>
        <v>236.74266</v>
      </c>
      <c r="F45" s="9"/>
      <c r="G45" s="9"/>
      <c r="H45" s="13">
        <f t="shared" si="6"/>
        <v>0.1953</v>
      </c>
    </row>
    <row r="46" spans="1:9" ht="24" customHeight="1">
      <c r="A46" s="298" t="s">
        <v>81</v>
      </c>
      <c r="B46" s="298"/>
      <c r="C46" s="7"/>
      <c r="D46" s="8"/>
      <c r="E46" s="9">
        <f t="shared" si="7"/>
        <v>32.002079999999999</v>
      </c>
      <c r="F46" s="9"/>
      <c r="G46" s="9"/>
      <c r="H46" s="10">
        <f t="shared" si="6"/>
        <v>2.64E-2</v>
      </c>
    </row>
    <row r="47" spans="1:9" ht="24" customHeight="1">
      <c r="A47" s="299" t="s">
        <v>256</v>
      </c>
      <c r="B47" s="6" t="s">
        <v>253</v>
      </c>
      <c r="C47" s="7"/>
      <c r="D47" s="8"/>
      <c r="E47" s="9">
        <f t="shared" si="7"/>
        <v>20.84984</v>
      </c>
      <c r="F47" s="9"/>
      <c r="G47" s="9"/>
      <c r="H47" s="10">
        <f t="shared" si="6"/>
        <v>1.72E-2</v>
      </c>
    </row>
    <row r="48" spans="1:9" ht="24" customHeight="1">
      <c r="A48" s="300"/>
      <c r="B48" s="6" t="s">
        <v>254</v>
      </c>
      <c r="C48" s="7"/>
      <c r="D48" s="8"/>
      <c r="E48" s="233">
        <v>23</v>
      </c>
      <c r="F48" s="9"/>
      <c r="G48" s="9"/>
      <c r="H48" s="10">
        <f t="shared" si="6"/>
        <v>6.5100000000000005E-2</v>
      </c>
      <c r="I48" s="235">
        <f>E48/I41</f>
        <v>1.8973766705164163E-2</v>
      </c>
    </row>
    <row r="49" spans="1:9" ht="24" customHeight="1">
      <c r="A49" s="298" t="s">
        <v>84</v>
      </c>
      <c r="B49" s="298"/>
      <c r="C49" s="7"/>
      <c r="D49" s="8"/>
      <c r="E49" s="9">
        <f t="shared" si="7"/>
        <v>43.033099999999997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93" t="s">
        <v>242</v>
      </c>
      <c r="H52" s="293"/>
      <c r="I52" s="15" t="str">
        <f>销量!G6</f>
        <v>6800010BJ37-C00</v>
      </c>
    </row>
    <row r="53" spans="1:9" ht="39" customHeight="1">
      <c r="A53" s="294" t="s">
        <v>243</v>
      </c>
      <c r="B53" s="294"/>
      <c r="C53" s="295" t="str">
        <f>C2</f>
        <v>河北工厂平均值</v>
      </c>
      <c r="D53" s="296"/>
      <c r="E53" s="296"/>
      <c r="F53" s="296"/>
      <c r="G53" s="296"/>
      <c r="H53" s="297"/>
      <c r="I53" s="3" t="s">
        <v>244</v>
      </c>
    </row>
    <row r="54" spans="1:9" ht="34.5" customHeight="1">
      <c r="A54" s="294"/>
      <c r="B54" s="294"/>
      <c r="C54" s="4" t="s">
        <v>245</v>
      </c>
      <c r="D54" s="4" t="s">
        <v>246</v>
      </c>
      <c r="E54" s="4" t="s">
        <v>247</v>
      </c>
      <c r="F54" s="5" t="s">
        <v>248</v>
      </c>
      <c r="G54" s="5" t="s">
        <v>249</v>
      </c>
      <c r="H54" s="5" t="s">
        <v>250</v>
      </c>
      <c r="I54" s="14">
        <f>销量!G8</f>
        <v>771.27</v>
      </c>
    </row>
    <row r="55" spans="1:9" ht="24" customHeight="1">
      <c r="A55" s="298" t="s">
        <v>251</v>
      </c>
      <c r="B55" s="298"/>
      <c r="C55" s="7"/>
      <c r="D55" s="8"/>
      <c r="E55" s="9">
        <f>$I$54*H55</f>
        <v>53.526138000000003</v>
      </c>
      <c r="F55" s="9"/>
      <c r="G55" s="9"/>
      <c r="H55" s="10">
        <f t="shared" ref="H55:H62" si="8">H4</f>
        <v>6.9400000000000003E-2</v>
      </c>
    </row>
    <row r="56" spans="1:9" ht="24" customHeight="1">
      <c r="A56" s="298" t="s">
        <v>252</v>
      </c>
      <c r="B56" s="6" t="s">
        <v>253</v>
      </c>
      <c r="C56" s="7"/>
      <c r="D56" s="8"/>
      <c r="E56" s="9">
        <f t="shared" ref="E56:E62" si="9">$I$54*H56</f>
        <v>63.629775000000002</v>
      </c>
      <c r="F56" s="9"/>
      <c r="G56" s="9"/>
      <c r="H56" s="10">
        <f t="shared" si="8"/>
        <v>8.2500000000000004E-2</v>
      </c>
    </row>
    <row r="57" spans="1:9" ht="24" customHeight="1">
      <c r="A57" s="298"/>
      <c r="B57" s="6" t="s">
        <v>254</v>
      </c>
      <c r="C57" s="7"/>
      <c r="D57" s="8"/>
      <c r="E57" s="9">
        <f t="shared" si="9"/>
        <v>33.473117999999999</v>
      </c>
      <c r="F57" s="9"/>
      <c r="G57" s="9"/>
      <c r="H57" s="10">
        <f t="shared" si="8"/>
        <v>4.3400000000000001E-2</v>
      </c>
    </row>
    <row r="58" spans="1:9" ht="24" customHeight="1">
      <c r="A58" s="295" t="s">
        <v>255</v>
      </c>
      <c r="B58" s="297"/>
      <c r="C58" s="11"/>
      <c r="D58" s="12"/>
      <c r="E58" s="9">
        <f t="shared" si="9"/>
        <v>150.629031</v>
      </c>
      <c r="F58" s="9"/>
      <c r="G58" s="9"/>
      <c r="H58" s="13">
        <f t="shared" si="8"/>
        <v>0.1953</v>
      </c>
    </row>
    <row r="59" spans="1:9" ht="24" customHeight="1">
      <c r="A59" s="298" t="s">
        <v>81</v>
      </c>
      <c r="B59" s="298"/>
      <c r="C59" s="7"/>
      <c r="D59" s="8"/>
      <c r="E59" s="9">
        <f t="shared" si="9"/>
        <v>20.361528</v>
      </c>
      <c r="F59" s="9"/>
      <c r="G59" s="9"/>
      <c r="H59" s="10">
        <f t="shared" si="8"/>
        <v>2.64E-2</v>
      </c>
    </row>
    <row r="60" spans="1:9" ht="24" customHeight="1">
      <c r="A60" s="299" t="s">
        <v>256</v>
      </c>
      <c r="B60" s="6" t="s">
        <v>253</v>
      </c>
      <c r="C60" s="7"/>
      <c r="D60" s="8"/>
      <c r="E60" s="9">
        <f t="shared" si="9"/>
        <v>13.265844</v>
      </c>
      <c r="F60" s="9"/>
      <c r="G60" s="9"/>
      <c r="H60" s="10">
        <f t="shared" si="8"/>
        <v>1.72E-2</v>
      </c>
    </row>
    <row r="61" spans="1:9" ht="24" customHeight="1">
      <c r="A61" s="300"/>
      <c r="B61" s="6" t="s">
        <v>254</v>
      </c>
      <c r="C61" s="7"/>
      <c r="D61" s="8"/>
      <c r="E61" s="233">
        <v>15</v>
      </c>
      <c r="F61" s="9"/>
      <c r="G61" s="9"/>
      <c r="H61" s="10">
        <f t="shared" si="8"/>
        <v>6.5100000000000005E-2</v>
      </c>
      <c r="I61" s="235">
        <f>E61/I54</f>
        <v>1.9448442179781401E-2</v>
      </c>
    </row>
    <row r="62" spans="1:9" ht="24" customHeight="1">
      <c r="A62" s="298" t="s">
        <v>84</v>
      </c>
      <c r="B62" s="298"/>
      <c r="C62" s="7"/>
      <c r="D62" s="8"/>
      <c r="E62" s="9">
        <f t="shared" si="9"/>
        <v>27.380084999999998</v>
      </c>
      <c r="F62" s="9"/>
      <c r="G62" s="9"/>
      <c r="H62" s="10">
        <f t="shared" si="8"/>
        <v>3.5499999999999997E-2</v>
      </c>
    </row>
    <row r="65" spans="1:9" ht="33">
      <c r="A65" s="1"/>
      <c r="B65" s="1"/>
      <c r="C65" s="1"/>
      <c r="D65" s="1"/>
      <c r="E65" s="1"/>
      <c r="F65" s="1"/>
      <c r="G65" s="293" t="s">
        <v>242</v>
      </c>
      <c r="H65" s="293"/>
      <c r="I65" s="15" t="str">
        <f>销量!H6</f>
        <v>6900015-J37-C00</v>
      </c>
    </row>
    <row r="66" spans="1:9">
      <c r="A66" s="294" t="s">
        <v>243</v>
      </c>
      <c r="B66" s="294"/>
      <c r="C66" s="295" t="str">
        <f t="shared" ref="C66" si="10">$C$2</f>
        <v>河北工厂平均值</v>
      </c>
      <c r="D66" s="296"/>
      <c r="E66" s="296"/>
      <c r="F66" s="296"/>
      <c r="G66" s="296"/>
      <c r="H66" s="297"/>
      <c r="I66" s="3" t="s">
        <v>244</v>
      </c>
    </row>
    <row r="67" spans="1:9" ht="27">
      <c r="A67" s="294"/>
      <c r="B67" s="294"/>
      <c r="C67" s="4" t="s">
        <v>245</v>
      </c>
      <c r="D67" s="4" t="s">
        <v>246</v>
      </c>
      <c r="E67" s="4" t="s">
        <v>247</v>
      </c>
      <c r="F67" s="5" t="s">
        <v>248</v>
      </c>
      <c r="G67" s="5" t="s">
        <v>249</v>
      </c>
      <c r="H67" s="5" t="s">
        <v>250</v>
      </c>
      <c r="I67" s="14">
        <f>销量!H8</f>
        <v>9</v>
      </c>
    </row>
    <row r="68" spans="1:9">
      <c r="A68" s="298" t="s">
        <v>251</v>
      </c>
      <c r="B68" s="298"/>
      <c r="C68" s="7"/>
      <c r="D68" s="8"/>
      <c r="E68" s="9">
        <f>$I$67*H68</f>
        <v>0.62460000000000004</v>
      </c>
      <c r="F68" s="9"/>
      <c r="G68" s="9"/>
      <c r="H68" s="10">
        <f t="shared" ref="H68:H75" si="11">H55</f>
        <v>6.9400000000000003E-2</v>
      </c>
    </row>
    <row r="69" spans="1:9">
      <c r="A69" s="298" t="s">
        <v>252</v>
      </c>
      <c r="B69" s="190" t="s">
        <v>253</v>
      </c>
      <c r="C69" s="7"/>
      <c r="D69" s="8"/>
      <c r="E69" s="9">
        <f t="shared" ref="E69:E75" si="12">$I$67*H69</f>
        <v>0.74250000000000005</v>
      </c>
      <c r="F69" s="9"/>
      <c r="G69" s="9"/>
      <c r="H69" s="10">
        <f t="shared" si="11"/>
        <v>8.2500000000000004E-2</v>
      </c>
    </row>
    <row r="70" spans="1:9">
      <c r="A70" s="298"/>
      <c r="B70" s="190" t="s">
        <v>254</v>
      </c>
      <c r="C70" s="7"/>
      <c r="D70" s="8"/>
      <c r="E70" s="9">
        <f t="shared" si="12"/>
        <v>0.3906</v>
      </c>
      <c r="F70" s="9"/>
      <c r="G70" s="9"/>
      <c r="H70" s="10">
        <f t="shared" si="11"/>
        <v>4.3400000000000001E-2</v>
      </c>
    </row>
    <row r="71" spans="1:9">
      <c r="A71" s="295" t="s">
        <v>255</v>
      </c>
      <c r="B71" s="297"/>
      <c r="C71" s="11"/>
      <c r="D71" s="12"/>
      <c r="E71" s="9">
        <f t="shared" si="12"/>
        <v>1.7577</v>
      </c>
      <c r="F71" s="9"/>
      <c r="G71" s="9"/>
      <c r="H71" s="13">
        <f t="shared" si="11"/>
        <v>0.1953</v>
      </c>
    </row>
    <row r="72" spans="1:9">
      <c r="A72" s="298" t="s">
        <v>81</v>
      </c>
      <c r="B72" s="298"/>
      <c r="C72" s="7"/>
      <c r="D72" s="8"/>
      <c r="E72" s="9">
        <f t="shared" si="12"/>
        <v>0.23760000000000001</v>
      </c>
      <c r="F72" s="9"/>
      <c r="G72" s="9"/>
      <c r="H72" s="10">
        <f t="shared" si="11"/>
        <v>2.64E-2</v>
      </c>
    </row>
    <row r="73" spans="1:9">
      <c r="A73" s="299" t="s">
        <v>256</v>
      </c>
      <c r="B73" s="190" t="s">
        <v>253</v>
      </c>
      <c r="C73" s="7"/>
      <c r="D73" s="8"/>
      <c r="E73" s="9">
        <f t="shared" si="12"/>
        <v>0.15479999999999999</v>
      </c>
      <c r="F73" s="9"/>
      <c r="G73" s="9"/>
      <c r="H73" s="10">
        <f t="shared" si="11"/>
        <v>1.72E-2</v>
      </c>
    </row>
    <row r="74" spans="1:9">
      <c r="A74" s="300"/>
      <c r="B74" s="190" t="s">
        <v>254</v>
      </c>
      <c r="C74" s="7"/>
      <c r="D74" s="8"/>
      <c r="E74" s="9">
        <f t="shared" si="12"/>
        <v>0.58590000000000009</v>
      </c>
      <c r="F74" s="9"/>
      <c r="G74" s="9"/>
      <c r="H74" s="10">
        <f t="shared" si="11"/>
        <v>6.5100000000000005E-2</v>
      </c>
    </row>
    <row r="75" spans="1:9">
      <c r="A75" s="298" t="s">
        <v>84</v>
      </c>
      <c r="B75" s="298"/>
      <c r="C75" s="7"/>
      <c r="D75" s="8"/>
      <c r="E75" s="9">
        <f t="shared" si="12"/>
        <v>0.31949999999999995</v>
      </c>
      <c r="F75" s="9"/>
      <c r="G75" s="9"/>
      <c r="H75" s="10">
        <f t="shared" si="11"/>
        <v>3.5499999999999997E-2</v>
      </c>
    </row>
    <row r="78" spans="1:9" ht="33">
      <c r="A78" s="1"/>
      <c r="B78" s="1"/>
      <c r="C78" s="1"/>
      <c r="D78" s="1"/>
      <c r="E78" s="1"/>
      <c r="F78" s="1"/>
      <c r="G78" s="293" t="s">
        <v>242</v>
      </c>
      <c r="H78" s="293"/>
      <c r="I78" s="15" t="str">
        <f>销量!I6</f>
        <v>6903010-J36-C00</v>
      </c>
    </row>
    <row r="79" spans="1:9">
      <c r="A79" s="294" t="s">
        <v>243</v>
      </c>
      <c r="B79" s="294"/>
      <c r="C79" s="295" t="str">
        <f t="shared" ref="C79" si="13">$C$2</f>
        <v>河北工厂平均值</v>
      </c>
      <c r="D79" s="296"/>
      <c r="E79" s="296"/>
      <c r="F79" s="296"/>
      <c r="G79" s="296"/>
      <c r="H79" s="297"/>
      <c r="I79" s="3" t="s">
        <v>244</v>
      </c>
    </row>
    <row r="80" spans="1:9" ht="27">
      <c r="A80" s="294"/>
      <c r="B80" s="294"/>
      <c r="C80" s="4" t="s">
        <v>245</v>
      </c>
      <c r="D80" s="4" t="s">
        <v>246</v>
      </c>
      <c r="E80" s="4" t="s">
        <v>247</v>
      </c>
      <c r="F80" s="5" t="s">
        <v>248</v>
      </c>
      <c r="G80" s="5" t="s">
        <v>249</v>
      </c>
      <c r="H80" s="5" t="s">
        <v>250</v>
      </c>
      <c r="I80" s="14">
        <f>销量!I8</f>
        <v>127.86</v>
      </c>
    </row>
    <row r="81" spans="1:9">
      <c r="A81" s="298" t="s">
        <v>251</v>
      </c>
      <c r="B81" s="298"/>
      <c r="C81" s="7"/>
      <c r="D81" s="8"/>
      <c r="E81" s="9">
        <f>$I$80*H81</f>
        <v>8.8734840000000013</v>
      </c>
      <c r="F81" s="9"/>
      <c r="G81" s="9"/>
      <c r="H81" s="10">
        <f t="shared" ref="H81:H88" si="14">H68</f>
        <v>6.9400000000000003E-2</v>
      </c>
    </row>
    <row r="82" spans="1:9">
      <c r="A82" s="298" t="s">
        <v>252</v>
      </c>
      <c r="B82" s="190" t="s">
        <v>253</v>
      </c>
      <c r="C82" s="7"/>
      <c r="D82" s="8"/>
      <c r="E82" s="9">
        <f t="shared" ref="E82:E88" si="15">$I$80*H82</f>
        <v>10.548450000000001</v>
      </c>
      <c r="F82" s="9"/>
      <c r="G82" s="9"/>
      <c r="H82" s="10">
        <f t="shared" si="14"/>
        <v>8.2500000000000004E-2</v>
      </c>
    </row>
    <row r="83" spans="1:9">
      <c r="A83" s="298"/>
      <c r="B83" s="190" t="s">
        <v>254</v>
      </c>
      <c r="C83" s="7"/>
      <c r="D83" s="8"/>
      <c r="E83" s="9">
        <f t="shared" si="15"/>
        <v>5.5491239999999999</v>
      </c>
      <c r="F83" s="9"/>
      <c r="G83" s="9"/>
      <c r="H83" s="10">
        <f t="shared" si="14"/>
        <v>4.3400000000000001E-2</v>
      </c>
    </row>
    <row r="84" spans="1:9">
      <c r="A84" s="295" t="s">
        <v>255</v>
      </c>
      <c r="B84" s="297"/>
      <c r="C84" s="11"/>
      <c r="D84" s="12"/>
      <c r="E84" s="9">
        <f t="shared" si="15"/>
        <v>24.971057999999999</v>
      </c>
      <c r="F84" s="9"/>
      <c r="G84" s="9"/>
      <c r="H84" s="13">
        <f t="shared" si="14"/>
        <v>0.1953</v>
      </c>
    </row>
    <row r="85" spans="1:9">
      <c r="A85" s="298" t="s">
        <v>81</v>
      </c>
      <c r="B85" s="298"/>
      <c r="C85" s="7"/>
      <c r="D85" s="8"/>
      <c r="E85" s="9">
        <f t="shared" si="15"/>
        <v>3.3755039999999998</v>
      </c>
      <c r="F85" s="9"/>
      <c r="G85" s="9"/>
      <c r="H85" s="10">
        <f t="shared" si="14"/>
        <v>2.64E-2</v>
      </c>
    </row>
    <row r="86" spans="1:9">
      <c r="A86" s="299" t="s">
        <v>256</v>
      </c>
      <c r="B86" s="190" t="s">
        <v>253</v>
      </c>
      <c r="C86" s="7"/>
      <c r="D86" s="8"/>
      <c r="E86" s="9">
        <f t="shared" si="15"/>
        <v>2.199192</v>
      </c>
      <c r="F86" s="9"/>
      <c r="G86" s="9"/>
      <c r="H86" s="10">
        <f t="shared" si="14"/>
        <v>1.72E-2</v>
      </c>
    </row>
    <row r="87" spans="1:9">
      <c r="A87" s="300"/>
      <c r="B87" s="190" t="s">
        <v>254</v>
      </c>
      <c r="C87" s="7"/>
      <c r="D87" s="8"/>
      <c r="E87" s="233">
        <v>10</v>
      </c>
      <c r="F87" s="9"/>
      <c r="G87" s="9"/>
      <c r="H87" s="10">
        <f t="shared" si="14"/>
        <v>6.5100000000000005E-2</v>
      </c>
    </row>
    <row r="88" spans="1:9">
      <c r="A88" s="298" t="s">
        <v>84</v>
      </c>
      <c r="B88" s="298"/>
      <c r="C88" s="7"/>
      <c r="D88" s="8"/>
      <c r="E88" s="9">
        <f t="shared" si="15"/>
        <v>4.5390299999999995</v>
      </c>
      <c r="F88" s="9"/>
      <c r="G88" s="9"/>
      <c r="H88" s="10">
        <f t="shared" si="14"/>
        <v>3.5499999999999997E-2</v>
      </c>
    </row>
    <row r="91" spans="1:9" ht="33">
      <c r="A91" s="1"/>
      <c r="B91" s="1"/>
      <c r="C91" s="1"/>
      <c r="D91" s="1"/>
      <c r="E91" s="1"/>
      <c r="F91" s="1"/>
      <c r="G91" s="293" t="s">
        <v>242</v>
      </c>
      <c r="H91" s="293"/>
      <c r="I91" s="15" t="str">
        <f>销量!J6</f>
        <v>6903010-J37-C00</v>
      </c>
    </row>
    <row r="92" spans="1:9">
      <c r="A92" s="294" t="s">
        <v>243</v>
      </c>
      <c r="B92" s="294"/>
      <c r="C92" s="295" t="str">
        <f t="shared" ref="C92" si="16">$C$2</f>
        <v>河北工厂平均值</v>
      </c>
      <c r="D92" s="296"/>
      <c r="E92" s="296"/>
      <c r="F92" s="296"/>
      <c r="G92" s="296"/>
      <c r="H92" s="297"/>
      <c r="I92" s="3" t="s">
        <v>244</v>
      </c>
    </row>
    <row r="93" spans="1:9" ht="27">
      <c r="A93" s="294"/>
      <c r="B93" s="294"/>
      <c r="C93" s="4" t="s">
        <v>245</v>
      </c>
      <c r="D93" s="4" t="s">
        <v>246</v>
      </c>
      <c r="E93" s="4" t="s">
        <v>247</v>
      </c>
      <c r="F93" s="5" t="s">
        <v>248</v>
      </c>
      <c r="G93" s="5" t="s">
        <v>249</v>
      </c>
      <c r="H93" s="5" t="s">
        <v>250</v>
      </c>
      <c r="I93" s="14">
        <f>销量!J8</f>
        <v>316.24</v>
      </c>
    </row>
    <row r="94" spans="1:9">
      <c r="A94" s="298" t="s">
        <v>251</v>
      </c>
      <c r="B94" s="298"/>
      <c r="C94" s="7"/>
      <c r="D94" s="8"/>
      <c r="E94" s="9">
        <f>$I$93*H94</f>
        <v>21.947056000000003</v>
      </c>
      <c r="F94" s="9"/>
      <c r="G94" s="9"/>
      <c r="H94" s="10">
        <f t="shared" ref="H94:H101" si="17">H81</f>
        <v>6.9400000000000003E-2</v>
      </c>
    </row>
    <row r="95" spans="1:9">
      <c r="A95" s="298" t="s">
        <v>252</v>
      </c>
      <c r="B95" s="190" t="s">
        <v>253</v>
      </c>
      <c r="C95" s="7"/>
      <c r="D95" s="8"/>
      <c r="E95" s="9">
        <f t="shared" ref="E95:E101" si="18">$I$93*H95</f>
        <v>26.0898</v>
      </c>
      <c r="F95" s="9"/>
      <c r="G95" s="9"/>
      <c r="H95" s="10">
        <f t="shared" si="17"/>
        <v>8.2500000000000004E-2</v>
      </c>
    </row>
    <row r="96" spans="1:9">
      <c r="A96" s="298"/>
      <c r="B96" s="190" t="s">
        <v>254</v>
      </c>
      <c r="C96" s="7"/>
      <c r="D96" s="8"/>
      <c r="E96" s="9">
        <f t="shared" si="18"/>
        <v>13.724816000000001</v>
      </c>
      <c r="F96" s="9"/>
      <c r="G96" s="9"/>
      <c r="H96" s="10">
        <f t="shared" si="17"/>
        <v>4.3400000000000001E-2</v>
      </c>
    </row>
    <row r="97" spans="1:9">
      <c r="A97" s="295" t="s">
        <v>255</v>
      </c>
      <c r="B97" s="297"/>
      <c r="C97" s="11"/>
      <c r="D97" s="12"/>
      <c r="E97" s="9">
        <f t="shared" si="18"/>
        <v>61.761672000000004</v>
      </c>
      <c r="F97" s="9"/>
      <c r="G97" s="9"/>
      <c r="H97" s="13">
        <f t="shared" si="17"/>
        <v>0.1953</v>
      </c>
    </row>
    <row r="98" spans="1:9">
      <c r="A98" s="298" t="s">
        <v>81</v>
      </c>
      <c r="B98" s="298"/>
      <c r="C98" s="7"/>
      <c r="D98" s="8"/>
      <c r="E98" s="9">
        <f t="shared" si="18"/>
        <v>8.3487360000000006</v>
      </c>
      <c r="F98" s="9"/>
      <c r="G98" s="9"/>
      <c r="H98" s="10">
        <f t="shared" si="17"/>
        <v>2.64E-2</v>
      </c>
    </row>
    <row r="99" spans="1:9">
      <c r="A99" s="299" t="s">
        <v>256</v>
      </c>
      <c r="B99" s="190" t="s">
        <v>253</v>
      </c>
      <c r="C99" s="7"/>
      <c r="D99" s="8"/>
      <c r="E99" s="9">
        <f t="shared" si="18"/>
        <v>5.4393279999999997</v>
      </c>
      <c r="F99" s="9"/>
      <c r="G99" s="9"/>
      <c r="H99" s="10">
        <f t="shared" si="17"/>
        <v>1.72E-2</v>
      </c>
    </row>
    <row r="100" spans="1:9">
      <c r="A100" s="300"/>
      <c r="B100" s="190" t="s">
        <v>254</v>
      </c>
      <c r="C100" s="7"/>
      <c r="D100" s="8"/>
      <c r="E100" s="233">
        <v>10</v>
      </c>
      <c r="F100" s="9"/>
      <c r="G100" s="9"/>
      <c r="H100" s="10">
        <f t="shared" si="17"/>
        <v>6.5100000000000005E-2</v>
      </c>
    </row>
    <row r="101" spans="1:9">
      <c r="A101" s="298" t="s">
        <v>84</v>
      </c>
      <c r="B101" s="298"/>
      <c r="C101" s="7"/>
      <c r="D101" s="8"/>
      <c r="E101" s="9">
        <f t="shared" si="18"/>
        <v>11.226519999999999</v>
      </c>
      <c r="F101" s="9"/>
      <c r="G101" s="9"/>
      <c r="H101" s="10">
        <f t="shared" si="17"/>
        <v>3.5499999999999997E-2</v>
      </c>
    </row>
    <row r="104" spans="1:9" ht="33">
      <c r="A104" s="1"/>
      <c r="B104" s="1"/>
      <c r="C104" s="1"/>
      <c r="D104" s="1"/>
      <c r="E104" s="1"/>
      <c r="F104" s="1"/>
      <c r="G104" s="293" t="s">
        <v>242</v>
      </c>
      <c r="H104" s="293"/>
      <c r="I104" s="15" t="str">
        <f>销量!K6</f>
        <v>6903010AJ37-C00</v>
      </c>
    </row>
    <row r="105" spans="1:9">
      <c r="A105" s="294" t="s">
        <v>243</v>
      </c>
      <c r="B105" s="294"/>
      <c r="C105" s="295" t="str">
        <f t="shared" ref="C105" si="19">$C$2</f>
        <v>河北工厂平均值</v>
      </c>
      <c r="D105" s="296"/>
      <c r="E105" s="296"/>
      <c r="F105" s="296"/>
      <c r="G105" s="296"/>
      <c r="H105" s="297"/>
      <c r="I105" s="3" t="s">
        <v>244</v>
      </c>
    </row>
    <row r="106" spans="1:9" ht="27">
      <c r="A106" s="294"/>
      <c r="B106" s="294"/>
      <c r="C106" s="4" t="s">
        <v>245</v>
      </c>
      <c r="D106" s="4" t="s">
        <v>246</v>
      </c>
      <c r="E106" s="4" t="s">
        <v>247</v>
      </c>
      <c r="F106" s="5" t="s">
        <v>248</v>
      </c>
      <c r="G106" s="5" t="s">
        <v>249</v>
      </c>
      <c r="H106" s="5" t="s">
        <v>250</v>
      </c>
      <c r="I106" s="14">
        <f>销量!K8</f>
        <v>290.22000000000003</v>
      </c>
    </row>
    <row r="107" spans="1:9">
      <c r="A107" s="298" t="s">
        <v>251</v>
      </c>
      <c r="B107" s="298"/>
      <c r="C107" s="7"/>
      <c r="D107" s="8"/>
      <c r="E107" s="9">
        <f>$I$106*H107</f>
        <v>20.141268000000004</v>
      </c>
      <c r="F107" s="9"/>
      <c r="G107" s="9"/>
      <c r="H107" s="10">
        <f t="shared" ref="H107:H114" si="20">H94</f>
        <v>6.9400000000000003E-2</v>
      </c>
    </row>
    <row r="108" spans="1:9">
      <c r="A108" s="298" t="s">
        <v>252</v>
      </c>
      <c r="B108" s="190" t="s">
        <v>253</v>
      </c>
      <c r="C108" s="7"/>
      <c r="D108" s="8"/>
      <c r="E108" s="9">
        <f t="shared" ref="E108:E114" si="21">$I$106*H108</f>
        <v>23.943150000000003</v>
      </c>
      <c r="F108" s="9"/>
      <c r="G108" s="9"/>
      <c r="H108" s="10">
        <f t="shared" si="20"/>
        <v>8.2500000000000004E-2</v>
      </c>
    </row>
    <row r="109" spans="1:9">
      <c r="A109" s="298"/>
      <c r="B109" s="190" t="s">
        <v>254</v>
      </c>
      <c r="C109" s="7"/>
      <c r="D109" s="8"/>
      <c r="E109" s="9">
        <f t="shared" si="21"/>
        <v>12.595548000000001</v>
      </c>
      <c r="F109" s="9"/>
      <c r="G109" s="9"/>
      <c r="H109" s="10">
        <f t="shared" si="20"/>
        <v>4.3400000000000001E-2</v>
      </c>
    </row>
    <row r="110" spans="1:9">
      <c r="A110" s="295" t="s">
        <v>255</v>
      </c>
      <c r="B110" s="297"/>
      <c r="C110" s="11"/>
      <c r="D110" s="12"/>
      <c r="E110" s="9">
        <f t="shared" si="21"/>
        <v>56.679966000000007</v>
      </c>
      <c r="F110" s="9"/>
      <c r="G110" s="9"/>
      <c r="H110" s="13">
        <f t="shared" si="20"/>
        <v>0.1953</v>
      </c>
    </row>
    <row r="111" spans="1:9">
      <c r="A111" s="298" t="s">
        <v>81</v>
      </c>
      <c r="B111" s="298"/>
      <c r="C111" s="7"/>
      <c r="D111" s="8"/>
      <c r="E111" s="9">
        <f t="shared" si="21"/>
        <v>7.6618080000000006</v>
      </c>
      <c r="F111" s="9"/>
      <c r="G111" s="9"/>
      <c r="H111" s="10">
        <f t="shared" si="20"/>
        <v>2.64E-2</v>
      </c>
    </row>
    <row r="112" spans="1:9">
      <c r="A112" s="299" t="s">
        <v>256</v>
      </c>
      <c r="B112" s="190" t="s">
        <v>253</v>
      </c>
      <c r="C112" s="7"/>
      <c r="D112" s="8"/>
      <c r="E112" s="9">
        <f t="shared" si="21"/>
        <v>4.9917840000000009</v>
      </c>
      <c r="F112" s="9"/>
      <c r="G112" s="9"/>
      <c r="H112" s="10">
        <f t="shared" si="20"/>
        <v>1.72E-2</v>
      </c>
    </row>
    <row r="113" spans="1:9">
      <c r="A113" s="300"/>
      <c r="B113" s="190" t="s">
        <v>254</v>
      </c>
      <c r="C113" s="7"/>
      <c r="D113" s="8"/>
      <c r="E113" s="233">
        <v>10</v>
      </c>
      <c r="F113" s="9"/>
      <c r="G113" s="9"/>
      <c r="H113" s="10">
        <f t="shared" si="20"/>
        <v>6.5100000000000005E-2</v>
      </c>
    </row>
    <row r="114" spans="1:9">
      <c r="A114" s="298" t="s">
        <v>84</v>
      </c>
      <c r="B114" s="298"/>
      <c r="C114" s="7"/>
      <c r="D114" s="8"/>
      <c r="E114" s="9">
        <f t="shared" si="21"/>
        <v>10.302810000000001</v>
      </c>
      <c r="F114" s="9"/>
      <c r="G114" s="9"/>
      <c r="H114" s="10">
        <f t="shared" si="20"/>
        <v>3.5499999999999997E-2</v>
      </c>
    </row>
    <row r="117" spans="1:9" ht="33">
      <c r="A117" s="1"/>
      <c r="B117" s="1"/>
      <c r="C117" s="1"/>
      <c r="D117" s="1"/>
      <c r="E117" s="1"/>
      <c r="F117" s="1"/>
      <c r="G117" s="293" t="s">
        <v>242</v>
      </c>
      <c r="H117" s="293"/>
      <c r="I117" s="15" t="str">
        <f>销量!L6</f>
        <v>6903010BJ37-C00</v>
      </c>
    </row>
    <row r="118" spans="1:9">
      <c r="A118" s="294" t="s">
        <v>243</v>
      </c>
      <c r="B118" s="294"/>
      <c r="C118" s="295" t="str">
        <f t="shared" ref="C118" si="22">$C$2</f>
        <v>河北工厂平均值</v>
      </c>
      <c r="D118" s="296"/>
      <c r="E118" s="296"/>
      <c r="F118" s="296"/>
      <c r="G118" s="296"/>
      <c r="H118" s="297"/>
      <c r="I118" s="3" t="s">
        <v>244</v>
      </c>
    </row>
    <row r="119" spans="1:9" ht="27">
      <c r="A119" s="294"/>
      <c r="B119" s="294"/>
      <c r="C119" s="4" t="s">
        <v>245</v>
      </c>
      <c r="D119" s="4" t="s">
        <v>246</v>
      </c>
      <c r="E119" s="4" t="s">
        <v>247</v>
      </c>
      <c r="F119" s="5" t="s">
        <v>248</v>
      </c>
      <c r="G119" s="5" t="s">
        <v>249</v>
      </c>
      <c r="H119" s="5" t="s">
        <v>250</v>
      </c>
      <c r="I119" s="14">
        <f>销量!L8</f>
        <v>139.91</v>
      </c>
    </row>
    <row r="120" spans="1:9">
      <c r="A120" s="298" t="s">
        <v>251</v>
      </c>
      <c r="B120" s="298"/>
      <c r="C120" s="7"/>
      <c r="D120" s="8"/>
      <c r="E120" s="9">
        <f>$I$119*H120</f>
        <v>9.7097540000000002</v>
      </c>
      <c r="F120" s="9"/>
      <c r="G120" s="9"/>
      <c r="H120" s="10">
        <f t="shared" ref="H120:H127" si="23">H107</f>
        <v>6.9400000000000003E-2</v>
      </c>
    </row>
    <row r="121" spans="1:9">
      <c r="A121" s="298" t="s">
        <v>252</v>
      </c>
      <c r="B121" s="190" t="s">
        <v>253</v>
      </c>
      <c r="C121" s="7"/>
      <c r="D121" s="8"/>
      <c r="E121" s="9">
        <f t="shared" ref="E121:E127" si="24">$I$119*H121</f>
        <v>11.542575000000001</v>
      </c>
      <c r="F121" s="9"/>
      <c r="G121" s="9"/>
      <c r="H121" s="10">
        <f t="shared" si="23"/>
        <v>8.2500000000000004E-2</v>
      </c>
    </row>
    <row r="122" spans="1:9">
      <c r="A122" s="298"/>
      <c r="B122" s="190" t="s">
        <v>254</v>
      </c>
      <c r="C122" s="7"/>
      <c r="D122" s="8"/>
      <c r="E122" s="9">
        <f t="shared" si="24"/>
        <v>6.0720939999999999</v>
      </c>
      <c r="F122" s="9"/>
      <c r="G122" s="9"/>
      <c r="H122" s="10">
        <f t="shared" si="23"/>
        <v>4.3400000000000001E-2</v>
      </c>
    </row>
    <row r="123" spans="1:9">
      <c r="A123" s="295" t="s">
        <v>255</v>
      </c>
      <c r="B123" s="297"/>
      <c r="C123" s="11"/>
      <c r="D123" s="12"/>
      <c r="E123" s="9">
        <f t="shared" si="24"/>
        <v>27.324422999999999</v>
      </c>
      <c r="F123" s="9"/>
      <c r="G123" s="9"/>
      <c r="H123" s="13">
        <f t="shared" si="23"/>
        <v>0.1953</v>
      </c>
    </row>
    <row r="124" spans="1:9">
      <c r="A124" s="298" t="s">
        <v>81</v>
      </c>
      <c r="B124" s="298"/>
      <c r="C124" s="7"/>
      <c r="D124" s="8"/>
      <c r="E124" s="9">
        <f t="shared" si="24"/>
        <v>3.6936239999999998</v>
      </c>
      <c r="F124" s="9"/>
      <c r="G124" s="9"/>
      <c r="H124" s="10">
        <f t="shared" si="23"/>
        <v>2.64E-2</v>
      </c>
    </row>
    <row r="125" spans="1:9">
      <c r="A125" s="299" t="s">
        <v>256</v>
      </c>
      <c r="B125" s="190" t="s">
        <v>253</v>
      </c>
      <c r="C125" s="7"/>
      <c r="D125" s="8"/>
      <c r="E125" s="9">
        <f t="shared" si="24"/>
        <v>2.4064519999999998</v>
      </c>
      <c r="F125" s="9"/>
      <c r="G125" s="9"/>
      <c r="H125" s="10">
        <f t="shared" si="23"/>
        <v>1.72E-2</v>
      </c>
    </row>
    <row r="126" spans="1:9">
      <c r="A126" s="300"/>
      <c r="B126" s="190" t="s">
        <v>254</v>
      </c>
      <c r="C126" s="7"/>
      <c r="D126" s="8"/>
      <c r="E126" s="233">
        <v>10</v>
      </c>
      <c r="F126" s="9"/>
      <c r="G126" s="9"/>
      <c r="H126" s="10">
        <f t="shared" si="23"/>
        <v>6.5100000000000005E-2</v>
      </c>
    </row>
    <row r="127" spans="1:9">
      <c r="A127" s="298" t="s">
        <v>84</v>
      </c>
      <c r="B127" s="298"/>
      <c r="C127" s="7"/>
      <c r="D127" s="8"/>
      <c r="E127" s="9">
        <f t="shared" si="24"/>
        <v>4.966804999999999</v>
      </c>
      <c r="F127" s="9"/>
      <c r="G127" s="9"/>
      <c r="H127" s="10">
        <f t="shared" si="23"/>
        <v>3.5499999999999997E-2</v>
      </c>
    </row>
    <row r="130" spans="1:9" ht="33">
      <c r="A130" s="1"/>
      <c r="B130" s="1"/>
      <c r="C130" s="1"/>
      <c r="D130" s="1"/>
      <c r="E130" s="1"/>
      <c r="F130" s="1"/>
      <c r="G130" s="293" t="s">
        <v>242</v>
      </c>
      <c r="H130" s="293"/>
      <c r="I130" s="15" t="str">
        <f>销量!M6</f>
        <v>6905020-J37-C00</v>
      </c>
    </row>
    <row r="131" spans="1:9">
      <c r="A131" s="294" t="s">
        <v>243</v>
      </c>
      <c r="B131" s="294"/>
      <c r="C131" s="295" t="str">
        <f t="shared" ref="C131" si="25">$C$2</f>
        <v>河北工厂平均值</v>
      </c>
      <c r="D131" s="296"/>
      <c r="E131" s="296"/>
      <c r="F131" s="296"/>
      <c r="G131" s="296"/>
      <c r="H131" s="297"/>
      <c r="I131" s="3" t="s">
        <v>244</v>
      </c>
    </row>
    <row r="132" spans="1:9" ht="27">
      <c r="A132" s="294"/>
      <c r="B132" s="294"/>
      <c r="C132" s="4" t="s">
        <v>245</v>
      </c>
      <c r="D132" s="4" t="s">
        <v>246</v>
      </c>
      <c r="E132" s="4" t="s">
        <v>247</v>
      </c>
      <c r="F132" s="5" t="s">
        <v>248</v>
      </c>
      <c r="G132" s="5" t="s">
        <v>249</v>
      </c>
      <c r="H132" s="5" t="s">
        <v>250</v>
      </c>
      <c r="I132" s="14">
        <f>销量!M8</f>
        <v>154.81</v>
      </c>
    </row>
    <row r="133" spans="1:9">
      <c r="A133" s="298" t="s">
        <v>251</v>
      </c>
      <c r="B133" s="298"/>
      <c r="C133" s="7"/>
      <c r="D133" s="8"/>
      <c r="E133" s="9">
        <f>$I$132*H133</f>
        <v>10.743814</v>
      </c>
      <c r="F133" s="9"/>
      <c r="G133" s="9"/>
      <c r="H133" s="10">
        <f t="shared" ref="H133:H140" si="26">H120</f>
        <v>6.9400000000000003E-2</v>
      </c>
    </row>
    <row r="134" spans="1:9">
      <c r="A134" s="298" t="s">
        <v>252</v>
      </c>
      <c r="B134" s="190" t="s">
        <v>253</v>
      </c>
      <c r="C134" s="7"/>
      <c r="D134" s="8"/>
      <c r="E134" s="9">
        <f t="shared" ref="E134:E140" si="27">$I$132*H134</f>
        <v>12.771825000000002</v>
      </c>
      <c r="F134" s="9"/>
      <c r="G134" s="9"/>
      <c r="H134" s="10">
        <f t="shared" si="26"/>
        <v>8.2500000000000004E-2</v>
      </c>
    </row>
    <row r="135" spans="1:9">
      <c r="A135" s="298"/>
      <c r="B135" s="190" t="s">
        <v>254</v>
      </c>
      <c r="C135" s="7"/>
      <c r="D135" s="8"/>
      <c r="E135" s="9">
        <f t="shared" si="27"/>
        <v>6.7187540000000006</v>
      </c>
      <c r="F135" s="9"/>
      <c r="G135" s="9"/>
      <c r="H135" s="10">
        <f t="shared" si="26"/>
        <v>4.3400000000000001E-2</v>
      </c>
    </row>
    <row r="136" spans="1:9">
      <c r="A136" s="295" t="s">
        <v>255</v>
      </c>
      <c r="B136" s="297"/>
      <c r="C136" s="11"/>
      <c r="D136" s="12"/>
      <c r="E136" s="9">
        <f t="shared" si="27"/>
        <v>30.234393000000001</v>
      </c>
      <c r="F136" s="9"/>
      <c r="G136" s="9"/>
      <c r="H136" s="13">
        <f t="shared" si="26"/>
        <v>0.1953</v>
      </c>
    </row>
    <row r="137" spans="1:9">
      <c r="A137" s="298" t="s">
        <v>81</v>
      </c>
      <c r="B137" s="298"/>
      <c r="C137" s="7"/>
      <c r="D137" s="8"/>
      <c r="E137" s="9">
        <f t="shared" si="27"/>
        <v>4.0869840000000002</v>
      </c>
      <c r="F137" s="9"/>
      <c r="G137" s="9"/>
      <c r="H137" s="10">
        <f t="shared" si="26"/>
        <v>2.64E-2</v>
      </c>
    </row>
    <row r="138" spans="1:9">
      <c r="A138" s="299" t="s">
        <v>256</v>
      </c>
      <c r="B138" s="190" t="s">
        <v>253</v>
      </c>
      <c r="C138" s="7"/>
      <c r="D138" s="8"/>
      <c r="E138" s="9">
        <f t="shared" si="27"/>
        <v>2.6627320000000001</v>
      </c>
      <c r="F138" s="9"/>
      <c r="G138" s="9"/>
      <c r="H138" s="10">
        <f t="shared" si="26"/>
        <v>1.72E-2</v>
      </c>
    </row>
    <row r="139" spans="1:9">
      <c r="A139" s="300"/>
      <c r="B139" s="190" t="s">
        <v>254</v>
      </c>
      <c r="C139" s="7"/>
      <c r="D139" s="8"/>
      <c r="E139" s="233">
        <v>6</v>
      </c>
      <c r="F139" s="9"/>
      <c r="G139" s="9"/>
      <c r="H139" s="10">
        <f t="shared" si="26"/>
        <v>6.5100000000000005E-2</v>
      </c>
    </row>
    <row r="140" spans="1:9">
      <c r="A140" s="298" t="s">
        <v>84</v>
      </c>
      <c r="B140" s="298"/>
      <c r="C140" s="7"/>
      <c r="D140" s="8"/>
      <c r="E140" s="9">
        <f t="shared" si="27"/>
        <v>5.4957549999999999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93" t="s">
        <v>242</v>
      </c>
      <c r="H143" s="293"/>
      <c r="I143" s="15">
        <f>销量!N6</f>
        <v>0</v>
      </c>
    </row>
    <row r="144" spans="1:9">
      <c r="A144" s="294" t="s">
        <v>243</v>
      </c>
      <c r="B144" s="294"/>
      <c r="C144" s="295" t="str">
        <f t="shared" ref="C144" si="28">$C$2</f>
        <v>河北工厂平均值</v>
      </c>
      <c r="D144" s="296"/>
      <c r="E144" s="296"/>
      <c r="F144" s="296"/>
      <c r="G144" s="296"/>
      <c r="H144" s="297"/>
      <c r="I144" s="3" t="s">
        <v>244</v>
      </c>
    </row>
    <row r="145" spans="1:9" ht="27">
      <c r="A145" s="294"/>
      <c r="B145" s="294"/>
      <c r="C145" s="4" t="s">
        <v>245</v>
      </c>
      <c r="D145" s="4" t="s">
        <v>246</v>
      </c>
      <c r="E145" s="4" t="s">
        <v>247</v>
      </c>
      <c r="F145" s="5" t="s">
        <v>248</v>
      </c>
      <c r="G145" s="5" t="s">
        <v>249</v>
      </c>
      <c r="H145" s="5" t="s">
        <v>250</v>
      </c>
      <c r="I145" s="14">
        <f>销量!N8</f>
        <v>120.31</v>
      </c>
    </row>
    <row r="146" spans="1:9">
      <c r="A146" s="298" t="s">
        <v>251</v>
      </c>
      <c r="B146" s="298"/>
      <c r="C146" s="7"/>
      <c r="D146" s="8"/>
      <c r="E146" s="9">
        <f>$I$145*H146</f>
        <v>8.349514000000001</v>
      </c>
      <c r="F146" s="9"/>
      <c r="G146" s="9"/>
      <c r="H146" s="10">
        <f t="shared" ref="H146:H153" si="29">H133</f>
        <v>6.9400000000000003E-2</v>
      </c>
    </row>
    <row r="147" spans="1:9">
      <c r="A147" s="298" t="s">
        <v>252</v>
      </c>
      <c r="B147" s="190" t="s">
        <v>253</v>
      </c>
      <c r="C147" s="7"/>
      <c r="D147" s="8"/>
      <c r="E147" s="9">
        <f t="shared" ref="E147:E153" si="30">$I$145*H147</f>
        <v>9.9255750000000003</v>
      </c>
      <c r="F147" s="9"/>
      <c r="G147" s="9"/>
      <c r="H147" s="10">
        <f t="shared" si="29"/>
        <v>8.2500000000000004E-2</v>
      </c>
    </row>
    <row r="148" spans="1:9">
      <c r="A148" s="298"/>
      <c r="B148" s="190" t="s">
        <v>254</v>
      </c>
      <c r="C148" s="7"/>
      <c r="D148" s="8"/>
      <c r="E148" s="9">
        <f t="shared" si="30"/>
        <v>5.2214540000000005</v>
      </c>
      <c r="F148" s="9"/>
      <c r="G148" s="9"/>
      <c r="H148" s="10">
        <f t="shared" si="29"/>
        <v>4.3400000000000001E-2</v>
      </c>
    </row>
    <row r="149" spans="1:9">
      <c r="A149" s="295" t="s">
        <v>255</v>
      </c>
      <c r="B149" s="297"/>
      <c r="C149" s="11"/>
      <c r="D149" s="12"/>
      <c r="E149" s="9">
        <f t="shared" si="30"/>
        <v>23.496542999999999</v>
      </c>
      <c r="F149" s="9"/>
      <c r="G149" s="9"/>
      <c r="H149" s="13">
        <f t="shared" si="29"/>
        <v>0.1953</v>
      </c>
    </row>
    <row r="150" spans="1:9">
      <c r="A150" s="298" t="s">
        <v>81</v>
      </c>
      <c r="B150" s="298"/>
      <c r="C150" s="7"/>
      <c r="D150" s="8"/>
      <c r="E150" s="9">
        <f t="shared" si="30"/>
        <v>3.1761840000000001</v>
      </c>
      <c r="F150" s="9"/>
      <c r="G150" s="9"/>
      <c r="H150" s="10">
        <f t="shared" si="29"/>
        <v>2.64E-2</v>
      </c>
    </row>
    <row r="151" spans="1:9">
      <c r="A151" s="299" t="s">
        <v>256</v>
      </c>
      <c r="B151" s="190" t="s">
        <v>253</v>
      </c>
      <c r="C151" s="7"/>
      <c r="D151" s="8"/>
      <c r="E151" s="9">
        <f t="shared" si="30"/>
        <v>2.0693320000000002</v>
      </c>
      <c r="F151" s="9"/>
      <c r="G151" s="9"/>
      <c r="H151" s="10">
        <f t="shared" si="29"/>
        <v>1.72E-2</v>
      </c>
    </row>
    <row r="152" spans="1:9">
      <c r="A152" s="300"/>
      <c r="B152" s="190" t="s">
        <v>254</v>
      </c>
      <c r="C152" s="7"/>
      <c r="D152" s="8"/>
      <c r="E152" s="233">
        <v>6</v>
      </c>
      <c r="F152" s="9"/>
      <c r="G152" s="9"/>
      <c r="H152" s="10">
        <f t="shared" si="29"/>
        <v>6.5100000000000005E-2</v>
      </c>
    </row>
    <row r="153" spans="1:9">
      <c r="A153" s="298" t="s">
        <v>84</v>
      </c>
      <c r="B153" s="298"/>
      <c r="C153" s="7"/>
      <c r="D153" s="8"/>
      <c r="E153" s="9">
        <f t="shared" si="30"/>
        <v>4.2710049999999997</v>
      </c>
      <c r="F153" s="9"/>
      <c r="G153" s="9"/>
      <c r="H153" s="10">
        <f t="shared" si="29"/>
        <v>3.5499999999999997E-2</v>
      </c>
    </row>
    <row r="156" spans="1:9" ht="33">
      <c r="A156" s="1"/>
      <c r="B156" s="1"/>
      <c r="C156" s="1"/>
      <c r="D156" s="1"/>
      <c r="E156" s="1"/>
      <c r="F156" s="1"/>
      <c r="G156" s="293" t="s">
        <v>242</v>
      </c>
      <c r="H156" s="293"/>
      <c r="I156" s="15" t="str">
        <f>销量!O6</f>
        <v>6905100-J36-C00</v>
      </c>
    </row>
    <row r="157" spans="1:9">
      <c r="A157" s="294" t="s">
        <v>243</v>
      </c>
      <c r="B157" s="294"/>
      <c r="C157" s="295" t="str">
        <f t="shared" ref="C157" si="31">$C$2</f>
        <v>河北工厂平均值</v>
      </c>
      <c r="D157" s="296"/>
      <c r="E157" s="296"/>
      <c r="F157" s="296"/>
      <c r="G157" s="296"/>
      <c r="H157" s="297"/>
      <c r="I157" s="3" t="s">
        <v>244</v>
      </c>
    </row>
    <row r="158" spans="1:9" ht="27">
      <c r="A158" s="294"/>
      <c r="B158" s="294"/>
      <c r="C158" s="4" t="s">
        <v>245</v>
      </c>
      <c r="D158" s="4" t="s">
        <v>246</v>
      </c>
      <c r="E158" s="4" t="s">
        <v>247</v>
      </c>
      <c r="F158" s="5" t="s">
        <v>248</v>
      </c>
      <c r="G158" s="5" t="s">
        <v>249</v>
      </c>
      <c r="H158" s="5" t="s">
        <v>250</v>
      </c>
      <c r="I158" s="14">
        <f>销量!O8</f>
        <v>106.42</v>
      </c>
    </row>
    <row r="159" spans="1:9">
      <c r="A159" s="298" t="s">
        <v>251</v>
      </c>
      <c r="B159" s="298"/>
      <c r="C159" s="7"/>
      <c r="D159" s="8"/>
      <c r="E159" s="9">
        <f>$I$158*H159</f>
        <v>7.3855480000000009</v>
      </c>
      <c r="F159" s="9"/>
      <c r="G159" s="9"/>
      <c r="H159" s="10">
        <f t="shared" ref="H159:H166" si="32">H146</f>
        <v>6.9400000000000003E-2</v>
      </c>
    </row>
    <row r="160" spans="1:9">
      <c r="A160" s="298" t="s">
        <v>252</v>
      </c>
      <c r="B160" s="190" t="s">
        <v>253</v>
      </c>
      <c r="C160" s="7"/>
      <c r="D160" s="8"/>
      <c r="E160" s="9">
        <f t="shared" ref="E160:E166" si="33">$I$158*H160</f>
        <v>8.7796500000000002</v>
      </c>
      <c r="F160" s="9"/>
      <c r="G160" s="9"/>
      <c r="H160" s="10">
        <f t="shared" si="32"/>
        <v>8.2500000000000004E-2</v>
      </c>
    </row>
    <row r="161" spans="1:9">
      <c r="A161" s="298"/>
      <c r="B161" s="190" t="s">
        <v>254</v>
      </c>
      <c r="C161" s="7"/>
      <c r="D161" s="8"/>
      <c r="E161" s="9">
        <f t="shared" si="33"/>
        <v>4.6186280000000002</v>
      </c>
      <c r="F161" s="9"/>
      <c r="G161" s="9"/>
      <c r="H161" s="10">
        <f t="shared" si="32"/>
        <v>4.3400000000000001E-2</v>
      </c>
    </row>
    <row r="162" spans="1:9">
      <c r="A162" s="295" t="s">
        <v>255</v>
      </c>
      <c r="B162" s="297"/>
      <c r="C162" s="11"/>
      <c r="D162" s="12"/>
      <c r="E162" s="9">
        <f t="shared" si="33"/>
        <v>20.783826000000001</v>
      </c>
      <c r="F162" s="9"/>
      <c r="G162" s="9"/>
      <c r="H162" s="13">
        <f t="shared" si="32"/>
        <v>0.1953</v>
      </c>
    </row>
    <row r="163" spans="1:9">
      <c r="A163" s="298" t="s">
        <v>81</v>
      </c>
      <c r="B163" s="298"/>
      <c r="C163" s="7"/>
      <c r="D163" s="8"/>
      <c r="E163" s="9">
        <f t="shared" si="33"/>
        <v>2.809488</v>
      </c>
      <c r="F163" s="9"/>
      <c r="G163" s="9"/>
      <c r="H163" s="10">
        <f t="shared" si="32"/>
        <v>2.64E-2</v>
      </c>
    </row>
    <row r="164" spans="1:9">
      <c r="A164" s="299" t="s">
        <v>256</v>
      </c>
      <c r="B164" s="190" t="s">
        <v>253</v>
      </c>
      <c r="C164" s="7"/>
      <c r="D164" s="8"/>
      <c r="E164" s="9">
        <f t="shared" si="33"/>
        <v>1.8304240000000001</v>
      </c>
      <c r="F164" s="9"/>
      <c r="G164" s="9"/>
      <c r="H164" s="10">
        <f t="shared" si="32"/>
        <v>1.72E-2</v>
      </c>
    </row>
    <row r="165" spans="1:9">
      <c r="A165" s="300"/>
      <c r="B165" s="190" t="s">
        <v>254</v>
      </c>
      <c r="C165" s="7"/>
      <c r="D165" s="8"/>
      <c r="E165" s="233">
        <v>4</v>
      </c>
      <c r="F165" s="9"/>
      <c r="G165" s="9"/>
      <c r="H165" s="10">
        <f t="shared" si="32"/>
        <v>6.5100000000000005E-2</v>
      </c>
    </row>
    <row r="166" spans="1:9">
      <c r="A166" s="298" t="s">
        <v>84</v>
      </c>
      <c r="B166" s="298"/>
      <c r="C166" s="7"/>
      <c r="D166" s="8"/>
      <c r="E166" s="9">
        <f t="shared" si="33"/>
        <v>3.7779099999999999</v>
      </c>
      <c r="F166" s="9"/>
      <c r="G166" s="9"/>
      <c r="H166" s="10">
        <f t="shared" si="32"/>
        <v>3.5499999999999997E-2</v>
      </c>
    </row>
    <row r="169" spans="1:9" ht="33">
      <c r="A169" s="1"/>
      <c r="B169" s="1"/>
      <c r="C169" s="1"/>
      <c r="D169" s="1"/>
      <c r="E169" s="1"/>
      <c r="F169" s="1"/>
      <c r="G169" s="293" t="s">
        <v>242</v>
      </c>
      <c r="H169" s="293"/>
      <c r="I169" s="15" t="str">
        <f>销量!P6</f>
        <v>6905100-J37-C00</v>
      </c>
    </row>
    <row r="170" spans="1:9">
      <c r="A170" s="294" t="s">
        <v>243</v>
      </c>
      <c r="B170" s="294"/>
      <c r="C170" s="295" t="str">
        <f t="shared" ref="C170" si="34">$C$2</f>
        <v>河北工厂平均值</v>
      </c>
      <c r="D170" s="296"/>
      <c r="E170" s="296"/>
      <c r="F170" s="296"/>
      <c r="G170" s="296"/>
      <c r="H170" s="297"/>
      <c r="I170" s="3" t="s">
        <v>244</v>
      </c>
    </row>
    <row r="171" spans="1:9" ht="27">
      <c r="A171" s="294"/>
      <c r="B171" s="294"/>
      <c r="C171" s="4" t="s">
        <v>245</v>
      </c>
      <c r="D171" s="4" t="s">
        <v>246</v>
      </c>
      <c r="E171" s="4" t="s">
        <v>247</v>
      </c>
      <c r="F171" s="5" t="s">
        <v>248</v>
      </c>
      <c r="G171" s="5" t="s">
        <v>249</v>
      </c>
      <c r="H171" s="5" t="s">
        <v>250</v>
      </c>
      <c r="I171" s="14">
        <f>销量!P8</f>
        <v>144.27000000000001</v>
      </c>
    </row>
    <row r="172" spans="1:9">
      <c r="A172" s="298" t="s">
        <v>251</v>
      </c>
      <c r="B172" s="298"/>
      <c r="C172" s="7"/>
      <c r="D172" s="8"/>
      <c r="E172" s="9">
        <f>$I$171*H172</f>
        <v>10.012338000000002</v>
      </c>
      <c r="F172" s="9"/>
      <c r="G172" s="9"/>
      <c r="H172" s="10">
        <f t="shared" ref="H172:H179" si="35">H159</f>
        <v>6.9400000000000003E-2</v>
      </c>
    </row>
    <row r="173" spans="1:9">
      <c r="A173" s="298" t="s">
        <v>252</v>
      </c>
      <c r="B173" s="190" t="s">
        <v>253</v>
      </c>
      <c r="C173" s="7"/>
      <c r="D173" s="8"/>
      <c r="E173" s="9">
        <f t="shared" ref="E173:E179" si="36">$I$171*H173</f>
        <v>11.902275000000001</v>
      </c>
      <c r="F173" s="9"/>
      <c r="G173" s="9"/>
      <c r="H173" s="10">
        <f t="shared" si="35"/>
        <v>8.2500000000000004E-2</v>
      </c>
    </row>
    <row r="174" spans="1:9">
      <c r="A174" s="298"/>
      <c r="B174" s="190" t="s">
        <v>254</v>
      </c>
      <c r="C174" s="7"/>
      <c r="D174" s="8"/>
      <c r="E174" s="9">
        <f t="shared" si="36"/>
        <v>6.2613180000000002</v>
      </c>
      <c r="F174" s="9"/>
      <c r="G174" s="9"/>
      <c r="H174" s="10">
        <f t="shared" si="35"/>
        <v>4.3400000000000001E-2</v>
      </c>
    </row>
    <row r="175" spans="1:9">
      <c r="A175" s="295" t="s">
        <v>255</v>
      </c>
      <c r="B175" s="297"/>
      <c r="C175" s="11"/>
      <c r="D175" s="12"/>
      <c r="E175" s="9">
        <f t="shared" si="36"/>
        <v>28.175931000000002</v>
      </c>
      <c r="F175" s="9"/>
      <c r="G175" s="9"/>
      <c r="H175" s="13">
        <f t="shared" si="35"/>
        <v>0.1953</v>
      </c>
    </row>
    <row r="176" spans="1:9">
      <c r="A176" s="298" t="s">
        <v>81</v>
      </c>
      <c r="B176" s="298"/>
      <c r="C176" s="7"/>
      <c r="D176" s="8"/>
      <c r="E176" s="9">
        <f t="shared" si="36"/>
        <v>3.8087280000000003</v>
      </c>
      <c r="F176" s="9"/>
      <c r="G176" s="9"/>
      <c r="H176" s="10">
        <f t="shared" si="35"/>
        <v>2.64E-2</v>
      </c>
    </row>
    <row r="177" spans="1:9">
      <c r="A177" s="299" t="s">
        <v>256</v>
      </c>
      <c r="B177" s="190" t="s">
        <v>253</v>
      </c>
      <c r="C177" s="7"/>
      <c r="D177" s="8"/>
      <c r="E177" s="9">
        <f t="shared" si="36"/>
        <v>2.4814440000000002</v>
      </c>
      <c r="F177" s="9"/>
      <c r="G177" s="9"/>
      <c r="H177" s="10">
        <f t="shared" si="35"/>
        <v>1.72E-2</v>
      </c>
    </row>
    <row r="178" spans="1:9">
      <c r="A178" s="300"/>
      <c r="B178" s="190" t="s">
        <v>254</v>
      </c>
      <c r="C178" s="7"/>
      <c r="D178" s="8"/>
      <c r="E178" s="233">
        <v>4</v>
      </c>
      <c r="F178" s="9"/>
      <c r="G178" s="9"/>
      <c r="H178" s="10">
        <f t="shared" si="35"/>
        <v>6.5100000000000005E-2</v>
      </c>
    </row>
    <row r="179" spans="1:9">
      <c r="A179" s="298" t="s">
        <v>84</v>
      </c>
      <c r="B179" s="298"/>
      <c r="C179" s="7"/>
      <c r="D179" s="8"/>
      <c r="E179" s="9">
        <f t="shared" si="36"/>
        <v>5.1215849999999996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93" t="s">
        <v>242</v>
      </c>
      <c r="H182" s="293"/>
      <c r="I182" s="15">
        <f>销量!Q6</f>
        <v>0</v>
      </c>
    </row>
    <row r="183" spans="1:9">
      <c r="A183" s="294" t="s">
        <v>243</v>
      </c>
      <c r="B183" s="294"/>
      <c r="C183" s="295" t="str">
        <f t="shared" ref="C183" si="37">$C$2</f>
        <v>河北工厂平均值</v>
      </c>
      <c r="D183" s="296"/>
      <c r="E183" s="296"/>
      <c r="F183" s="296"/>
      <c r="G183" s="296"/>
      <c r="H183" s="297"/>
      <c r="I183" s="3" t="s">
        <v>244</v>
      </c>
    </row>
    <row r="184" spans="1:9" ht="27">
      <c r="A184" s="294"/>
      <c r="B184" s="294"/>
      <c r="C184" s="4" t="s">
        <v>245</v>
      </c>
      <c r="D184" s="4" t="s">
        <v>246</v>
      </c>
      <c r="E184" s="4" t="s">
        <v>247</v>
      </c>
      <c r="F184" s="5" t="s">
        <v>248</v>
      </c>
      <c r="G184" s="5" t="s">
        <v>249</v>
      </c>
      <c r="H184" s="5" t="s">
        <v>250</v>
      </c>
      <c r="I184" s="14">
        <f>销量!Q8</f>
        <v>126</v>
      </c>
    </row>
    <row r="185" spans="1:9">
      <c r="A185" s="298" t="s">
        <v>251</v>
      </c>
      <c r="B185" s="298"/>
      <c r="C185" s="7"/>
      <c r="D185" s="8"/>
      <c r="E185" s="9">
        <f>$I$184*H185</f>
        <v>8.7444000000000006</v>
      </c>
      <c r="F185" s="9"/>
      <c r="G185" s="9"/>
      <c r="H185" s="10">
        <f t="shared" ref="H185:H192" si="38">H172</f>
        <v>6.9400000000000003E-2</v>
      </c>
    </row>
    <row r="186" spans="1:9">
      <c r="A186" s="298" t="s">
        <v>252</v>
      </c>
      <c r="B186" s="190" t="s">
        <v>253</v>
      </c>
      <c r="C186" s="7"/>
      <c r="D186" s="8"/>
      <c r="E186" s="9">
        <f t="shared" ref="E186:E192" si="39">$I$184*H186</f>
        <v>10.395000000000001</v>
      </c>
      <c r="F186" s="9"/>
      <c r="G186" s="9"/>
      <c r="H186" s="10">
        <f t="shared" si="38"/>
        <v>8.2500000000000004E-2</v>
      </c>
    </row>
    <row r="187" spans="1:9">
      <c r="A187" s="298"/>
      <c r="B187" s="190" t="s">
        <v>254</v>
      </c>
      <c r="C187" s="7"/>
      <c r="D187" s="8"/>
      <c r="E187" s="9">
        <f t="shared" si="39"/>
        <v>5.4683999999999999</v>
      </c>
      <c r="F187" s="9"/>
      <c r="G187" s="9"/>
      <c r="H187" s="10">
        <f t="shared" si="38"/>
        <v>4.3400000000000001E-2</v>
      </c>
    </row>
    <row r="188" spans="1:9">
      <c r="A188" s="295" t="s">
        <v>255</v>
      </c>
      <c r="B188" s="297"/>
      <c r="C188" s="11"/>
      <c r="D188" s="12"/>
      <c r="E188" s="9">
        <f t="shared" si="39"/>
        <v>24.607800000000001</v>
      </c>
      <c r="F188" s="9"/>
      <c r="G188" s="9"/>
      <c r="H188" s="13">
        <f t="shared" si="38"/>
        <v>0.1953</v>
      </c>
    </row>
    <row r="189" spans="1:9">
      <c r="A189" s="298" t="s">
        <v>81</v>
      </c>
      <c r="B189" s="298"/>
      <c r="C189" s="7"/>
      <c r="D189" s="8"/>
      <c r="E189" s="9">
        <f t="shared" si="39"/>
        <v>3.3264</v>
      </c>
      <c r="F189" s="9"/>
      <c r="G189" s="9"/>
      <c r="H189" s="10">
        <f t="shared" si="38"/>
        <v>2.64E-2</v>
      </c>
    </row>
    <row r="190" spans="1:9">
      <c r="A190" s="299" t="s">
        <v>256</v>
      </c>
      <c r="B190" s="190" t="s">
        <v>253</v>
      </c>
      <c r="C190" s="7"/>
      <c r="D190" s="8"/>
      <c r="E190" s="9">
        <f t="shared" si="39"/>
        <v>2.1671999999999998</v>
      </c>
      <c r="F190" s="9"/>
      <c r="G190" s="9"/>
      <c r="H190" s="10">
        <f t="shared" si="38"/>
        <v>1.72E-2</v>
      </c>
    </row>
    <row r="191" spans="1:9">
      <c r="A191" s="300"/>
      <c r="B191" s="190" t="s">
        <v>254</v>
      </c>
      <c r="C191" s="7"/>
      <c r="D191" s="8"/>
      <c r="E191" s="233">
        <v>4</v>
      </c>
      <c r="F191" s="9"/>
      <c r="G191" s="9"/>
      <c r="H191" s="10">
        <f t="shared" si="38"/>
        <v>6.5100000000000005E-2</v>
      </c>
    </row>
    <row r="192" spans="1:9">
      <c r="A192" s="298" t="s">
        <v>84</v>
      </c>
      <c r="B192" s="298"/>
      <c r="C192" s="7"/>
      <c r="D192" s="8"/>
      <c r="E192" s="9">
        <f t="shared" si="39"/>
        <v>4.4729999999999999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93" t="s">
        <v>242</v>
      </c>
      <c r="H195" s="293"/>
      <c r="I195" s="15">
        <f>销量!R6</f>
        <v>0</v>
      </c>
    </row>
    <row r="196" spans="1:9">
      <c r="A196" s="294" t="s">
        <v>243</v>
      </c>
      <c r="B196" s="294"/>
      <c r="C196" s="295" t="str">
        <f t="shared" ref="C196" si="40">$C$2</f>
        <v>河北工厂平均值</v>
      </c>
      <c r="D196" s="296"/>
      <c r="E196" s="296"/>
      <c r="F196" s="296"/>
      <c r="G196" s="296"/>
      <c r="H196" s="297"/>
      <c r="I196" s="3" t="s">
        <v>244</v>
      </c>
    </row>
    <row r="197" spans="1:9" ht="27">
      <c r="A197" s="294"/>
      <c r="B197" s="294"/>
      <c r="C197" s="4" t="s">
        <v>245</v>
      </c>
      <c r="D197" s="4" t="s">
        <v>246</v>
      </c>
      <c r="E197" s="4" t="s">
        <v>247</v>
      </c>
      <c r="F197" s="5" t="s">
        <v>248</v>
      </c>
      <c r="G197" s="5" t="s">
        <v>249</v>
      </c>
      <c r="H197" s="5" t="s">
        <v>250</v>
      </c>
      <c r="I197" s="14">
        <f>销量!R8</f>
        <v>0</v>
      </c>
    </row>
    <row r="198" spans="1:9">
      <c r="A198" s="298" t="s">
        <v>251</v>
      </c>
      <c r="B198" s="298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98" t="s">
        <v>252</v>
      </c>
      <c r="B199" s="190" t="s">
        <v>253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98"/>
      <c r="B200" s="190" t="s">
        <v>254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95" t="s">
        <v>255</v>
      </c>
      <c r="B201" s="297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98" t="s">
        <v>81</v>
      </c>
      <c r="B202" s="298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99" t="s">
        <v>256</v>
      </c>
      <c r="B203" s="190" t="s">
        <v>253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300"/>
      <c r="B204" s="190" t="s">
        <v>254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98" t="s">
        <v>84</v>
      </c>
      <c r="B205" s="298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  <row r="208" spans="1:9" ht="16.5">
      <c r="A208" s="1"/>
      <c r="B208" s="1"/>
      <c r="C208" s="1"/>
      <c r="D208" s="1"/>
      <c r="E208" s="1"/>
      <c r="F208" s="1"/>
      <c r="G208" s="293" t="s">
        <v>242</v>
      </c>
      <c r="H208" s="293"/>
      <c r="I208" s="15">
        <f>销量!S6</f>
        <v>0</v>
      </c>
    </row>
    <row r="209" spans="1:9">
      <c r="A209" s="294" t="s">
        <v>243</v>
      </c>
      <c r="B209" s="294"/>
      <c r="C209" s="295" t="str">
        <f t="shared" ref="C209" si="43">$C$2</f>
        <v>河北工厂平均值</v>
      </c>
      <c r="D209" s="296"/>
      <c r="E209" s="296"/>
      <c r="F209" s="296"/>
      <c r="G209" s="296"/>
      <c r="H209" s="297"/>
      <c r="I209" s="3" t="s">
        <v>244</v>
      </c>
    </row>
    <row r="210" spans="1:9" ht="27">
      <c r="A210" s="294"/>
      <c r="B210" s="294"/>
      <c r="C210" s="4" t="s">
        <v>245</v>
      </c>
      <c r="D210" s="4" t="s">
        <v>246</v>
      </c>
      <c r="E210" s="4" t="s">
        <v>247</v>
      </c>
      <c r="F210" s="5" t="s">
        <v>248</v>
      </c>
      <c r="G210" s="5" t="s">
        <v>249</v>
      </c>
      <c r="H210" s="5" t="s">
        <v>250</v>
      </c>
      <c r="I210" s="14">
        <f>销量!S8</f>
        <v>0</v>
      </c>
    </row>
    <row r="211" spans="1:9">
      <c r="A211" s="298" t="s">
        <v>251</v>
      </c>
      <c r="B211" s="298"/>
      <c r="C211" s="7"/>
      <c r="D211" s="8"/>
      <c r="E211" s="9">
        <f>$I$210*H211</f>
        <v>0</v>
      </c>
      <c r="F211" s="9"/>
      <c r="G211" s="9"/>
      <c r="H211" s="10">
        <f t="shared" ref="H211:H218" si="44">H198</f>
        <v>6.9400000000000003E-2</v>
      </c>
    </row>
    <row r="212" spans="1:9">
      <c r="A212" s="298" t="s">
        <v>252</v>
      </c>
      <c r="B212" s="203" t="s">
        <v>253</v>
      </c>
      <c r="C212" s="7"/>
      <c r="D212" s="8"/>
      <c r="E212" s="9">
        <f t="shared" ref="E212:E218" si="45">$I$210*H212</f>
        <v>0</v>
      </c>
      <c r="F212" s="9"/>
      <c r="G212" s="9"/>
      <c r="H212" s="10">
        <f t="shared" si="44"/>
        <v>8.2500000000000004E-2</v>
      </c>
    </row>
    <row r="213" spans="1:9">
      <c r="A213" s="298"/>
      <c r="B213" s="203" t="s">
        <v>254</v>
      </c>
      <c r="C213" s="7"/>
      <c r="D213" s="8"/>
      <c r="E213" s="9">
        <f t="shared" si="45"/>
        <v>0</v>
      </c>
      <c r="F213" s="9"/>
      <c r="G213" s="9"/>
      <c r="H213" s="10">
        <f t="shared" si="44"/>
        <v>4.3400000000000001E-2</v>
      </c>
    </row>
    <row r="214" spans="1:9">
      <c r="A214" s="295" t="s">
        <v>255</v>
      </c>
      <c r="B214" s="297"/>
      <c r="C214" s="11"/>
      <c r="D214" s="12"/>
      <c r="E214" s="9">
        <f t="shared" si="45"/>
        <v>0</v>
      </c>
      <c r="F214" s="9"/>
      <c r="G214" s="9"/>
      <c r="H214" s="13">
        <f t="shared" si="44"/>
        <v>0.1953</v>
      </c>
    </row>
    <row r="215" spans="1:9">
      <c r="A215" s="298" t="s">
        <v>81</v>
      </c>
      <c r="B215" s="298"/>
      <c r="C215" s="7"/>
      <c r="D215" s="8"/>
      <c r="E215" s="9">
        <f t="shared" si="45"/>
        <v>0</v>
      </c>
      <c r="F215" s="9"/>
      <c r="G215" s="9"/>
      <c r="H215" s="10">
        <f t="shared" si="44"/>
        <v>2.64E-2</v>
      </c>
    </row>
    <row r="216" spans="1:9">
      <c r="A216" s="299" t="s">
        <v>256</v>
      </c>
      <c r="B216" s="203" t="s">
        <v>253</v>
      </c>
      <c r="C216" s="7"/>
      <c r="D216" s="8"/>
      <c r="E216" s="9">
        <f t="shared" si="45"/>
        <v>0</v>
      </c>
      <c r="F216" s="9"/>
      <c r="G216" s="9"/>
      <c r="H216" s="10">
        <f t="shared" si="44"/>
        <v>1.72E-2</v>
      </c>
    </row>
    <row r="217" spans="1:9">
      <c r="A217" s="300"/>
      <c r="B217" s="203" t="s">
        <v>254</v>
      </c>
      <c r="C217" s="7"/>
      <c r="D217" s="8"/>
      <c r="E217" s="9">
        <f t="shared" si="45"/>
        <v>0</v>
      </c>
      <c r="F217" s="9"/>
      <c r="G217" s="9"/>
      <c r="H217" s="10">
        <f t="shared" si="44"/>
        <v>6.5100000000000005E-2</v>
      </c>
    </row>
    <row r="218" spans="1:9">
      <c r="A218" s="298" t="s">
        <v>84</v>
      </c>
      <c r="B218" s="298"/>
      <c r="C218" s="7"/>
      <c r="D218" s="8"/>
      <c r="E218" s="9">
        <f t="shared" si="45"/>
        <v>0</v>
      </c>
      <c r="F218" s="9"/>
      <c r="G218" s="9"/>
      <c r="H218" s="10">
        <f t="shared" si="44"/>
        <v>3.5499999999999997E-2</v>
      </c>
    </row>
  </sheetData>
  <mergeCells count="153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208:H208"/>
    <mergeCell ref="A209:B210"/>
    <mergeCell ref="C209:H209"/>
    <mergeCell ref="A211:B211"/>
    <mergeCell ref="A212:A213"/>
    <mergeCell ref="A214:B214"/>
    <mergeCell ref="A215:B215"/>
    <mergeCell ref="A216:A217"/>
    <mergeCell ref="A218:B218"/>
  </mergeCells>
  <phoneticPr fontId="45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3" customWidth="1"/>
    <col min="2" max="2" width="28.5" style="123" customWidth="1"/>
    <col min="3" max="4" width="9.125" style="123"/>
    <col min="5" max="5" width="13.875" style="123" customWidth="1"/>
    <col min="6" max="12" width="16.125" style="123" customWidth="1"/>
    <col min="13" max="13" width="10.625" style="123" customWidth="1"/>
    <col min="14" max="254" width="9.125" style="123"/>
    <col min="255" max="255" width="8" style="123" customWidth="1"/>
    <col min="256" max="256" width="28.5" style="123" customWidth="1"/>
    <col min="257" max="268" width="9.125" style="123"/>
    <col min="269" max="269" width="10.625" style="123" customWidth="1"/>
    <col min="270" max="510" width="9.125" style="123"/>
    <col min="511" max="511" width="8" style="123" customWidth="1"/>
    <col min="512" max="512" width="28.5" style="123" customWidth="1"/>
    <col min="513" max="524" width="9.125" style="123"/>
    <col min="525" max="525" width="10.625" style="123" customWidth="1"/>
    <col min="526" max="766" width="9.125" style="123"/>
    <col min="767" max="767" width="8" style="123" customWidth="1"/>
    <col min="768" max="768" width="28.5" style="123" customWidth="1"/>
    <col min="769" max="780" width="9.125" style="123"/>
    <col min="781" max="781" width="10.625" style="123" customWidth="1"/>
    <col min="782" max="1022" width="9.125" style="123"/>
    <col min="1023" max="1023" width="8" style="123" customWidth="1"/>
    <col min="1024" max="1024" width="28.5" style="123" customWidth="1"/>
    <col min="1025" max="1036" width="9.125" style="123"/>
    <col min="1037" max="1037" width="10.625" style="123" customWidth="1"/>
    <col min="1038" max="1278" width="9.125" style="123"/>
    <col min="1279" max="1279" width="8" style="123" customWidth="1"/>
    <col min="1280" max="1280" width="28.5" style="123" customWidth="1"/>
    <col min="1281" max="1292" width="9.125" style="123"/>
    <col min="1293" max="1293" width="10.625" style="123" customWidth="1"/>
    <col min="1294" max="1534" width="9.125" style="123"/>
    <col min="1535" max="1535" width="8" style="123" customWidth="1"/>
    <col min="1536" max="1536" width="28.5" style="123" customWidth="1"/>
    <col min="1537" max="1548" width="9.125" style="123"/>
    <col min="1549" max="1549" width="10.625" style="123" customWidth="1"/>
    <col min="1550" max="1790" width="9.125" style="123"/>
    <col min="1791" max="1791" width="8" style="123" customWidth="1"/>
    <col min="1792" max="1792" width="28.5" style="123" customWidth="1"/>
    <col min="1793" max="1804" width="9.125" style="123"/>
    <col min="1805" max="1805" width="10.625" style="123" customWidth="1"/>
    <col min="1806" max="2046" width="9.125" style="123"/>
    <col min="2047" max="2047" width="8" style="123" customWidth="1"/>
    <col min="2048" max="2048" width="28.5" style="123" customWidth="1"/>
    <col min="2049" max="2060" width="9.125" style="123"/>
    <col min="2061" max="2061" width="10.625" style="123" customWidth="1"/>
    <col min="2062" max="2302" width="9.125" style="123"/>
    <col min="2303" max="2303" width="8" style="123" customWidth="1"/>
    <col min="2304" max="2304" width="28.5" style="123" customWidth="1"/>
    <col min="2305" max="2316" width="9.125" style="123"/>
    <col min="2317" max="2317" width="10.625" style="123" customWidth="1"/>
    <col min="2318" max="2558" width="9.125" style="123"/>
    <col min="2559" max="2559" width="8" style="123" customWidth="1"/>
    <col min="2560" max="2560" width="28.5" style="123" customWidth="1"/>
    <col min="2561" max="2572" width="9.125" style="123"/>
    <col min="2573" max="2573" width="10.625" style="123" customWidth="1"/>
    <col min="2574" max="2814" width="9.125" style="123"/>
    <col min="2815" max="2815" width="8" style="123" customWidth="1"/>
    <col min="2816" max="2816" width="28.5" style="123" customWidth="1"/>
    <col min="2817" max="2828" width="9.125" style="123"/>
    <col min="2829" max="2829" width="10.625" style="123" customWidth="1"/>
    <col min="2830" max="3070" width="9.125" style="123"/>
    <col min="3071" max="3071" width="8" style="123" customWidth="1"/>
    <col min="3072" max="3072" width="28.5" style="123" customWidth="1"/>
    <col min="3073" max="3084" width="9.125" style="123"/>
    <col min="3085" max="3085" width="10.625" style="123" customWidth="1"/>
    <col min="3086" max="3326" width="9.125" style="123"/>
    <col min="3327" max="3327" width="8" style="123" customWidth="1"/>
    <col min="3328" max="3328" width="28.5" style="123" customWidth="1"/>
    <col min="3329" max="3340" width="9.125" style="123"/>
    <col min="3341" max="3341" width="10.625" style="123" customWidth="1"/>
    <col min="3342" max="3582" width="9.125" style="123"/>
    <col min="3583" max="3583" width="8" style="123" customWidth="1"/>
    <col min="3584" max="3584" width="28.5" style="123" customWidth="1"/>
    <col min="3585" max="3596" width="9.125" style="123"/>
    <col min="3597" max="3597" width="10.625" style="123" customWidth="1"/>
    <col min="3598" max="3838" width="9.125" style="123"/>
    <col min="3839" max="3839" width="8" style="123" customWidth="1"/>
    <col min="3840" max="3840" width="28.5" style="123" customWidth="1"/>
    <col min="3841" max="3852" width="9.125" style="123"/>
    <col min="3853" max="3853" width="10.625" style="123" customWidth="1"/>
    <col min="3854" max="4094" width="9.125" style="123"/>
    <col min="4095" max="4095" width="8" style="123" customWidth="1"/>
    <col min="4096" max="4096" width="28.5" style="123" customWidth="1"/>
    <col min="4097" max="4108" width="9.125" style="123"/>
    <col min="4109" max="4109" width="10.625" style="123" customWidth="1"/>
    <col min="4110" max="4350" width="9.125" style="123"/>
    <col min="4351" max="4351" width="8" style="123" customWidth="1"/>
    <col min="4352" max="4352" width="28.5" style="123" customWidth="1"/>
    <col min="4353" max="4364" width="9.125" style="123"/>
    <col min="4365" max="4365" width="10.625" style="123" customWidth="1"/>
    <col min="4366" max="4606" width="9.125" style="123"/>
    <col min="4607" max="4607" width="8" style="123" customWidth="1"/>
    <col min="4608" max="4608" width="28.5" style="123" customWidth="1"/>
    <col min="4609" max="4620" width="9.125" style="123"/>
    <col min="4621" max="4621" width="10.625" style="123" customWidth="1"/>
    <col min="4622" max="4862" width="9.125" style="123"/>
    <col min="4863" max="4863" width="8" style="123" customWidth="1"/>
    <col min="4864" max="4864" width="28.5" style="123" customWidth="1"/>
    <col min="4865" max="4876" width="9.125" style="123"/>
    <col min="4877" max="4877" width="10.625" style="123" customWidth="1"/>
    <col min="4878" max="5118" width="9.125" style="123"/>
    <col min="5119" max="5119" width="8" style="123" customWidth="1"/>
    <col min="5120" max="5120" width="28.5" style="123" customWidth="1"/>
    <col min="5121" max="5132" width="9.125" style="123"/>
    <col min="5133" max="5133" width="10.625" style="123" customWidth="1"/>
    <col min="5134" max="5374" width="9.125" style="123"/>
    <col min="5375" max="5375" width="8" style="123" customWidth="1"/>
    <col min="5376" max="5376" width="28.5" style="123" customWidth="1"/>
    <col min="5377" max="5388" width="9.125" style="123"/>
    <col min="5389" max="5389" width="10.625" style="123" customWidth="1"/>
    <col min="5390" max="5630" width="9.125" style="123"/>
    <col min="5631" max="5631" width="8" style="123" customWidth="1"/>
    <col min="5632" max="5632" width="28.5" style="123" customWidth="1"/>
    <col min="5633" max="5644" width="9.125" style="123"/>
    <col min="5645" max="5645" width="10.625" style="123" customWidth="1"/>
    <col min="5646" max="5886" width="9.125" style="123"/>
    <col min="5887" max="5887" width="8" style="123" customWidth="1"/>
    <col min="5888" max="5888" width="28.5" style="123" customWidth="1"/>
    <col min="5889" max="5900" width="9.125" style="123"/>
    <col min="5901" max="5901" width="10.625" style="123" customWidth="1"/>
    <col min="5902" max="6142" width="9.125" style="123"/>
    <col min="6143" max="6143" width="8" style="123" customWidth="1"/>
    <col min="6144" max="6144" width="28.5" style="123" customWidth="1"/>
    <col min="6145" max="6156" width="9.125" style="123"/>
    <col min="6157" max="6157" width="10.625" style="123" customWidth="1"/>
    <col min="6158" max="6398" width="9.125" style="123"/>
    <col min="6399" max="6399" width="8" style="123" customWidth="1"/>
    <col min="6400" max="6400" width="28.5" style="123" customWidth="1"/>
    <col min="6401" max="6412" width="9.125" style="123"/>
    <col min="6413" max="6413" width="10.625" style="123" customWidth="1"/>
    <col min="6414" max="6654" width="9.125" style="123"/>
    <col min="6655" max="6655" width="8" style="123" customWidth="1"/>
    <col min="6656" max="6656" width="28.5" style="123" customWidth="1"/>
    <col min="6657" max="6668" width="9.125" style="123"/>
    <col min="6669" max="6669" width="10.625" style="123" customWidth="1"/>
    <col min="6670" max="6910" width="9.125" style="123"/>
    <col min="6911" max="6911" width="8" style="123" customWidth="1"/>
    <col min="6912" max="6912" width="28.5" style="123" customWidth="1"/>
    <col min="6913" max="6924" width="9.125" style="123"/>
    <col min="6925" max="6925" width="10.625" style="123" customWidth="1"/>
    <col min="6926" max="7166" width="9.125" style="123"/>
    <col min="7167" max="7167" width="8" style="123" customWidth="1"/>
    <col min="7168" max="7168" width="28.5" style="123" customWidth="1"/>
    <col min="7169" max="7180" width="9.125" style="123"/>
    <col min="7181" max="7181" width="10.625" style="123" customWidth="1"/>
    <col min="7182" max="7422" width="9.125" style="123"/>
    <col min="7423" max="7423" width="8" style="123" customWidth="1"/>
    <col min="7424" max="7424" width="28.5" style="123" customWidth="1"/>
    <col min="7425" max="7436" width="9.125" style="123"/>
    <col min="7437" max="7437" width="10.625" style="123" customWidth="1"/>
    <col min="7438" max="7678" width="9.125" style="123"/>
    <col min="7679" max="7679" width="8" style="123" customWidth="1"/>
    <col min="7680" max="7680" width="28.5" style="123" customWidth="1"/>
    <col min="7681" max="7692" width="9.125" style="123"/>
    <col min="7693" max="7693" width="10.625" style="123" customWidth="1"/>
    <col min="7694" max="7934" width="9.125" style="123"/>
    <col min="7935" max="7935" width="8" style="123" customWidth="1"/>
    <col min="7936" max="7936" width="28.5" style="123" customWidth="1"/>
    <col min="7937" max="7948" width="9.125" style="123"/>
    <col min="7949" max="7949" width="10.625" style="123" customWidth="1"/>
    <col min="7950" max="8190" width="9.125" style="123"/>
    <col min="8191" max="8191" width="8" style="123" customWidth="1"/>
    <col min="8192" max="8192" width="28.5" style="123" customWidth="1"/>
    <col min="8193" max="8204" width="9.125" style="123"/>
    <col min="8205" max="8205" width="10.625" style="123" customWidth="1"/>
    <col min="8206" max="8446" width="9.125" style="123"/>
    <col min="8447" max="8447" width="8" style="123" customWidth="1"/>
    <col min="8448" max="8448" width="28.5" style="123" customWidth="1"/>
    <col min="8449" max="8460" width="9.125" style="123"/>
    <col min="8461" max="8461" width="10.625" style="123" customWidth="1"/>
    <col min="8462" max="8702" width="9.125" style="123"/>
    <col min="8703" max="8703" width="8" style="123" customWidth="1"/>
    <col min="8704" max="8704" width="28.5" style="123" customWidth="1"/>
    <col min="8705" max="8716" width="9.125" style="123"/>
    <col min="8717" max="8717" width="10.625" style="123" customWidth="1"/>
    <col min="8718" max="8958" width="9.125" style="123"/>
    <col min="8959" max="8959" width="8" style="123" customWidth="1"/>
    <col min="8960" max="8960" width="28.5" style="123" customWidth="1"/>
    <col min="8961" max="8972" width="9.125" style="123"/>
    <col min="8973" max="8973" width="10.625" style="123" customWidth="1"/>
    <col min="8974" max="9214" width="9.125" style="123"/>
    <col min="9215" max="9215" width="8" style="123" customWidth="1"/>
    <col min="9216" max="9216" width="28.5" style="123" customWidth="1"/>
    <col min="9217" max="9228" width="9.125" style="123"/>
    <col min="9229" max="9229" width="10.625" style="123" customWidth="1"/>
    <col min="9230" max="9470" width="9.125" style="123"/>
    <col min="9471" max="9471" width="8" style="123" customWidth="1"/>
    <col min="9472" max="9472" width="28.5" style="123" customWidth="1"/>
    <col min="9473" max="9484" width="9.125" style="123"/>
    <col min="9485" max="9485" width="10.625" style="123" customWidth="1"/>
    <col min="9486" max="9726" width="9.125" style="123"/>
    <col min="9727" max="9727" width="8" style="123" customWidth="1"/>
    <col min="9728" max="9728" width="28.5" style="123" customWidth="1"/>
    <col min="9729" max="9740" width="9.125" style="123"/>
    <col min="9741" max="9741" width="10.625" style="123" customWidth="1"/>
    <col min="9742" max="9982" width="9.125" style="123"/>
    <col min="9983" max="9983" width="8" style="123" customWidth="1"/>
    <col min="9984" max="9984" width="28.5" style="123" customWidth="1"/>
    <col min="9985" max="9996" width="9.125" style="123"/>
    <col min="9997" max="9997" width="10.625" style="123" customWidth="1"/>
    <col min="9998" max="10238" width="9.125" style="123"/>
    <col min="10239" max="10239" width="8" style="123" customWidth="1"/>
    <col min="10240" max="10240" width="28.5" style="123" customWidth="1"/>
    <col min="10241" max="10252" width="9.125" style="123"/>
    <col min="10253" max="10253" width="10.625" style="123" customWidth="1"/>
    <col min="10254" max="10494" width="9.125" style="123"/>
    <col min="10495" max="10495" width="8" style="123" customWidth="1"/>
    <col min="10496" max="10496" width="28.5" style="123" customWidth="1"/>
    <col min="10497" max="10508" width="9.125" style="123"/>
    <col min="10509" max="10509" width="10.625" style="123" customWidth="1"/>
    <col min="10510" max="10750" width="9.125" style="123"/>
    <col min="10751" max="10751" width="8" style="123" customWidth="1"/>
    <col min="10752" max="10752" width="28.5" style="123" customWidth="1"/>
    <col min="10753" max="10764" width="9.125" style="123"/>
    <col min="10765" max="10765" width="10.625" style="123" customWidth="1"/>
    <col min="10766" max="11006" width="9.125" style="123"/>
    <col min="11007" max="11007" width="8" style="123" customWidth="1"/>
    <col min="11008" max="11008" width="28.5" style="123" customWidth="1"/>
    <col min="11009" max="11020" width="9.125" style="123"/>
    <col min="11021" max="11021" width="10.625" style="123" customWidth="1"/>
    <col min="11022" max="11262" width="9.125" style="123"/>
    <col min="11263" max="11263" width="8" style="123" customWidth="1"/>
    <col min="11264" max="11264" width="28.5" style="123" customWidth="1"/>
    <col min="11265" max="11276" width="9.125" style="123"/>
    <col min="11277" max="11277" width="10.625" style="123" customWidth="1"/>
    <col min="11278" max="11518" width="9.125" style="123"/>
    <col min="11519" max="11519" width="8" style="123" customWidth="1"/>
    <col min="11520" max="11520" width="28.5" style="123" customWidth="1"/>
    <col min="11521" max="11532" width="9.125" style="123"/>
    <col min="11533" max="11533" width="10.625" style="123" customWidth="1"/>
    <col min="11534" max="11774" width="9.125" style="123"/>
    <col min="11775" max="11775" width="8" style="123" customWidth="1"/>
    <col min="11776" max="11776" width="28.5" style="123" customWidth="1"/>
    <col min="11777" max="11788" width="9.125" style="123"/>
    <col min="11789" max="11789" width="10.625" style="123" customWidth="1"/>
    <col min="11790" max="12030" width="9.125" style="123"/>
    <col min="12031" max="12031" width="8" style="123" customWidth="1"/>
    <col min="12032" max="12032" width="28.5" style="123" customWidth="1"/>
    <col min="12033" max="12044" width="9.125" style="123"/>
    <col min="12045" max="12045" width="10.625" style="123" customWidth="1"/>
    <col min="12046" max="12286" width="9.125" style="123"/>
    <col min="12287" max="12287" width="8" style="123" customWidth="1"/>
    <col min="12288" max="12288" width="28.5" style="123" customWidth="1"/>
    <col min="12289" max="12300" width="9.125" style="123"/>
    <col min="12301" max="12301" width="10.625" style="123" customWidth="1"/>
    <col min="12302" max="12542" width="9.125" style="123"/>
    <col min="12543" max="12543" width="8" style="123" customWidth="1"/>
    <col min="12544" max="12544" width="28.5" style="123" customWidth="1"/>
    <col min="12545" max="12556" width="9.125" style="123"/>
    <col min="12557" max="12557" width="10.625" style="123" customWidth="1"/>
    <col min="12558" max="12798" width="9.125" style="123"/>
    <col min="12799" max="12799" width="8" style="123" customWidth="1"/>
    <col min="12800" max="12800" width="28.5" style="123" customWidth="1"/>
    <col min="12801" max="12812" width="9.125" style="123"/>
    <col min="12813" max="12813" width="10.625" style="123" customWidth="1"/>
    <col min="12814" max="13054" width="9.125" style="123"/>
    <col min="13055" max="13055" width="8" style="123" customWidth="1"/>
    <col min="13056" max="13056" width="28.5" style="123" customWidth="1"/>
    <col min="13057" max="13068" width="9.125" style="123"/>
    <col min="13069" max="13069" width="10.625" style="123" customWidth="1"/>
    <col min="13070" max="13310" width="9.125" style="123"/>
    <col min="13311" max="13311" width="8" style="123" customWidth="1"/>
    <col min="13312" max="13312" width="28.5" style="123" customWidth="1"/>
    <col min="13313" max="13324" width="9.125" style="123"/>
    <col min="13325" max="13325" width="10.625" style="123" customWidth="1"/>
    <col min="13326" max="13566" width="9.125" style="123"/>
    <col min="13567" max="13567" width="8" style="123" customWidth="1"/>
    <col min="13568" max="13568" width="28.5" style="123" customWidth="1"/>
    <col min="13569" max="13580" width="9.125" style="123"/>
    <col min="13581" max="13581" width="10.625" style="123" customWidth="1"/>
    <col min="13582" max="13822" width="9.125" style="123"/>
    <col min="13823" max="13823" width="8" style="123" customWidth="1"/>
    <col min="13824" max="13824" width="28.5" style="123" customWidth="1"/>
    <col min="13825" max="13836" width="9.125" style="123"/>
    <col min="13837" max="13837" width="10.625" style="123" customWidth="1"/>
    <col min="13838" max="14078" width="9.125" style="123"/>
    <col min="14079" max="14079" width="8" style="123" customWidth="1"/>
    <col min="14080" max="14080" width="28.5" style="123" customWidth="1"/>
    <col min="14081" max="14092" width="9.125" style="123"/>
    <col min="14093" max="14093" width="10.625" style="123" customWidth="1"/>
    <col min="14094" max="14334" width="9.125" style="123"/>
    <col min="14335" max="14335" width="8" style="123" customWidth="1"/>
    <col min="14336" max="14336" width="28.5" style="123" customWidth="1"/>
    <col min="14337" max="14348" width="9.125" style="123"/>
    <col min="14349" max="14349" width="10.625" style="123" customWidth="1"/>
    <col min="14350" max="14590" width="9.125" style="123"/>
    <col min="14591" max="14591" width="8" style="123" customWidth="1"/>
    <col min="14592" max="14592" width="28.5" style="123" customWidth="1"/>
    <col min="14593" max="14604" width="9.125" style="123"/>
    <col min="14605" max="14605" width="10.625" style="123" customWidth="1"/>
    <col min="14606" max="14846" width="9.125" style="123"/>
    <col min="14847" max="14847" width="8" style="123" customWidth="1"/>
    <col min="14848" max="14848" width="28.5" style="123" customWidth="1"/>
    <col min="14849" max="14860" width="9.125" style="123"/>
    <col min="14861" max="14861" width="10.625" style="123" customWidth="1"/>
    <col min="14862" max="15102" width="9.125" style="123"/>
    <col min="15103" max="15103" width="8" style="123" customWidth="1"/>
    <col min="15104" max="15104" width="28.5" style="123" customWidth="1"/>
    <col min="15105" max="15116" width="9.125" style="123"/>
    <col min="15117" max="15117" width="10.625" style="123" customWidth="1"/>
    <col min="15118" max="15358" width="9.125" style="123"/>
    <col min="15359" max="15359" width="8" style="123" customWidth="1"/>
    <col min="15360" max="15360" width="28.5" style="123" customWidth="1"/>
    <col min="15361" max="15372" width="9.125" style="123"/>
    <col min="15373" max="15373" width="10.625" style="123" customWidth="1"/>
    <col min="15374" max="15614" width="9.125" style="123"/>
    <col min="15615" max="15615" width="8" style="123" customWidth="1"/>
    <col min="15616" max="15616" width="28.5" style="123" customWidth="1"/>
    <col min="15617" max="15628" width="9.125" style="123"/>
    <col min="15629" max="15629" width="10.625" style="123" customWidth="1"/>
    <col min="15630" max="15870" width="9.125" style="123"/>
    <col min="15871" max="15871" width="8" style="123" customWidth="1"/>
    <col min="15872" max="15872" width="28.5" style="123" customWidth="1"/>
    <col min="15873" max="15884" width="9.125" style="123"/>
    <col min="15885" max="15885" width="10.625" style="123" customWidth="1"/>
    <col min="15886" max="16126" width="9.125" style="123"/>
    <col min="16127" max="16127" width="8" style="123" customWidth="1"/>
    <col min="16128" max="16128" width="28.5" style="123" customWidth="1"/>
    <col min="16129" max="16140" width="9.125" style="123"/>
    <col min="16141" max="16141" width="10.625" style="123" customWidth="1"/>
    <col min="16142" max="16384" width="9.125" style="123"/>
  </cols>
  <sheetData>
    <row r="1" spans="1:13" ht="18.75">
      <c r="A1" s="124" t="s">
        <v>16</v>
      </c>
      <c r="B1" s="125"/>
      <c r="C1" s="126"/>
      <c r="D1" s="126"/>
      <c r="E1" s="125"/>
      <c r="F1" s="126"/>
      <c r="G1" s="126"/>
      <c r="H1" s="125"/>
      <c r="I1" s="126"/>
      <c r="J1" s="126"/>
      <c r="K1" s="126"/>
      <c r="L1" s="126"/>
      <c r="M1" s="126"/>
    </row>
    <row r="2" spans="1:13" ht="12">
      <c r="A2" s="123" t="s">
        <v>17</v>
      </c>
      <c r="B2" s="127"/>
    </row>
    <row r="3" spans="1:13" ht="16.899999999999999" customHeight="1">
      <c r="A3" s="128" t="s">
        <v>18</v>
      </c>
      <c r="B3" s="128" t="s">
        <v>19</v>
      </c>
      <c r="C3" s="240" t="s">
        <v>20</v>
      </c>
      <c r="D3" s="240"/>
      <c r="E3" s="240"/>
      <c r="F3" s="130"/>
      <c r="G3" s="131"/>
      <c r="H3" s="132"/>
      <c r="I3" s="132"/>
      <c r="J3" s="132" t="s">
        <v>21</v>
      </c>
      <c r="K3" s="132"/>
      <c r="L3" s="132"/>
      <c r="M3" s="153"/>
    </row>
    <row r="4" spans="1:13" ht="16.149999999999999" customHeight="1">
      <c r="A4" s="133"/>
      <c r="B4" s="133" t="s">
        <v>22</v>
      </c>
      <c r="C4" s="129">
        <v>2017</v>
      </c>
      <c r="D4" s="129">
        <f t="shared" ref="D4:L4" si="0">C4+1</f>
        <v>2018</v>
      </c>
      <c r="E4" s="129">
        <f t="shared" si="0"/>
        <v>2019</v>
      </c>
      <c r="F4" s="129">
        <f t="shared" si="0"/>
        <v>2020</v>
      </c>
      <c r="G4" s="129">
        <f t="shared" si="0"/>
        <v>2021</v>
      </c>
      <c r="H4" s="134">
        <f t="shared" si="0"/>
        <v>2022</v>
      </c>
      <c r="I4" s="134">
        <f t="shared" si="0"/>
        <v>2023</v>
      </c>
      <c r="J4" s="134">
        <f t="shared" si="0"/>
        <v>2024</v>
      </c>
      <c r="K4" s="134">
        <f t="shared" si="0"/>
        <v>2025</v>
      </c>
      <c r="L4" s="134">
        <f t="shared" si="0"/>
        <v>2026</v>
      </c>
      <c r="M4" s="154" t="s">
        <v>23</v>
      </c>
    </row>
    <row r="5" spans="1:13" ht="15.6" customHeight="1">
      <c r="A5" s="135">
        <v>1</v>
      </c>
      <c r="B5" s="136" t="s">
        <v>24</v>
      </c>
      <c r="C5" s="137">
        <f>SUM(C6:C9)</f>
        <v>0</v>
      </c>
      <c r="D5" s="137">
        <f t="shared" ref="D5:L5" si="1">SUM(D6:D9)</f>
        <v>0</v>
      </c>
      <c r="E5" s="137" t="e">
        <f t="shared" si="1"/>
        <v>#REF!</v>
      </c>
      <c r="F5" s="137" t="e">
        <f t="shared" si="1"/>
        <v>#REF!</v>
      </c>
      <c r="G5" s="137" t="e">
        <f t="shared" si="1"/>
        <v>#REF!</v>
      </c>
      <c r="H5" s="137" t="e">
        <f t="shared" si="1"/>
        <v>#REF!</v>
      </c>
      <c r="I5" s="137" t="e">
        <f t="shared" si="1"/>
        <v>#REF!</v>
      </c>
      <c r="J5" s="137" t="e">
        <f t="shared" si="1"/>
        <v>#REF!</v>
      </c>
      <c r="K5" s="137" t="e">
        <f t="shared" si="1"/>
        <v>#REF!</v>
      </c>
      <c r="L5" s="137" t="e">
        <f t="shared" si="1"/>
        <v>#REF!</v>
      </c>
      <c r="M5" s="141" t="e">
        <f t="shared" ref="M5:M17" si="2">SUM(C5:L5)</f>
        <v>#REF!</v>
      </c>
    </row>
    <row r="6" spans="1:13" ht="15.6" customHeight="1">
      <c r="A6" s="135">
        <v>1.1000000000000001</v>
      </c>
      <c r="B6" s="138" t="s">
        <v>25</v>
      </c>
      <c r="C6" s="139"/>
      <c r="D6" s="139"/>
      <c r="E6" s="139" t="e">
        <f>#REF!</f>
        <v>#REF!</v>
      </c>
      <c r="F6" s="139" t="e">
        <f>#REF!</f>
        <v>#REF!</v>
      </c>
      <c r="G6" s="139" t="e">
        <f>#REF!</f>
        <v>#REF!</v>
      </c>
      <c r="H6" s="139" t="e">
        <f>#REF!</f>
        <v>#REF!</v>
      </c>
      <c r="I6" s="139" t="e">
        <f>#REF!</f>
        <v>#REF!</v>
      </c>
      <c r="J6" s="139" t="e">
        <f>#REF!</f>
        <v>#REF!</v>
      </c>
      <c r="K6" s="139" t="e">
        <f>#REF!</f>
        <v>#REF!</v>
      </c>
      <c r="L6" s="139" t="e">
        <f>#REF!</f>
        <v>#REF!</v>
      </c>
      <c r="M6" s="141" t="e">
        <f t="shared" si="2"/>
        <v>#REF!</v>
      </c>
    </row>
    <row r="7" spans="1:13" ht="15.6" customHeight="1">
      <c r="A7" s="135">
        <v>1.2</v>
      </c>
      <c r="B7" s="138" t="s">
        <v>26</v>
      </c>
      <c r="C7" s="139"/>
      <c r="D7" s="139"/>
      <c r="E7" s="139">
        <f>[1]折、摊!G18</f>
        <v>0</v>
      </c>
      <c r="F7" s="139">
        <f>[1]折、摊!H18</f>
        <v>0</v>
      </c>
      <c r="G7" s="139">
        <f>[1]折、摊!I18</f>
        <v>0</v>
      </c>
      <c r="H7" s="139">
        <f>[1]折、摊!J18</f>
        <v>0</v>
      </c>
      <c r="I7" s="139">
        <f>[1]折、摊!K18</f>
        <v>0</v>
      </c>
      <c r="J7" s="139">
        <f>[1]折、摊!L18</f>
        <v>0</v>
      </c>
      <c r="K7" s="139">
        <f>[1]折、摊!M18</f>
        <v>0</v>
      </c>
      <c r="L7" s="139">
        <f>[1]折、摊!N18</f>
        <v>0</v>
      </c>
      <c r="M7" s="141">
        <f t="shared" si="2"/>
        <v>0</v>
      </c>
    </row>
    <row r="8" spans="1:13" ht="15.6" customHeight="1">
      <c r="A8" s="135">
        <v>1.3</v>
      </c>
      <c r="B8" s="138" t="s">
        <v>27</v>
      </c>
      <c r="C8" s="139" t="s">
        <v>28</v>
      </c>
      <c r="D8" s="139" t="s">
        <v>28</v>
      </c>
      <c r="E8" s="139" t="s">
        <v>28</v>
      </c>
      <c r="F8" s="139" t="s">
        <v>28</v>
      </c>
      <c r="G8" s="139" t="s">
        <v>28</v>
      </c>
      <c r="H8" s="139" t="s">
        <v>28</v>
      </c>
      <c r="I8" s="139" t="s">
        <v>28</v>
      </c>
      <c r="J8" s="139" t="s">
        <v>28</v>
      </c>
      <c r="K8" s="139" t="s">
        <v>28</v>
      </c>
      <c r="L8" s="139"/>
      <c r="M8" s="141">
        <f t="shared" si="2"/>
        <v>0</v>
      </c>
    </row>
    <row r="9" spans="1:13" s="122" customFormat="1" ht="15.6" customHeight="1">
      <c r="A9" s="140">
        <v>1.4</v>
      </c>
      <c r="B9" s="141" t="s">
        <v>29</v>
      </c>
      <c r="C9" s="139" t="s">
        <v>28</v>
      </c>
      <c r="D9" s="139" t="s">
        <v>28</v>
      </c>
      <c r="E9" s="139" t="s">
        <v>28</v>
      </c>
      <c r="F9" s="139" t="s">
        <v>28</v>
      </c>
      <c r="G9" s="139" t="s">
        <v>28</v>
      </c>
      <c r="H9" s="139" t="s">
        <v>28</v>
      </c>
      <c r="I9" s="139" t="s">
        <v>28</v>
      </c>
      <c r="J9" s="139" t="s">
        <v>28</v>
      </c>
      <c r="K9" s="139" t="s">
        <v>28</v>
      </c>
      <c r="L9" s="139" t="s">
        <v>28</v>
      </c>
      <c r="M9" s="141">
        <f t="shared" si="2"/>
        <v>0</v>
      </c>
    </row>
    <row r="10" spans="1:13" ht="15.6" customHeight="1">
      <c r="A10" s="140">
        <v>2</v>
      </c>
      <c r="B10" s="136" t="s">
        <v>30</v>
      </c>
      <c r="C10" s="137">
        <f t="shared" ref="C10:L10" si="3">SUM(C11:C16)</f>
        <v>0</v>
      </c>
      <c r="D10" s="137">
        <f t="shared" si="3"/>
        <v>0</v>
      </c>
      <c r="E10" s="137">
        <f t="shared" si="3"/>
        <v>0</v>
      </c>
      <c r="F10" s="137">
        <f t="shared" si="3"/>
        <v>0</v>
      </c>
      <c r="G10" s="137">
        <f t="shared" si="3"/>
        <v>0</v>
      </c>
      <c r="H10" s="137">
        <f t="shared" si="3"/>
        <v>0</v>
      </c>
      <c r="I10" s="137">
        <f t="shared" si="3"/>
        <v>0</v>
      </c>
      <c r="J10" s="137">
        <f t="shared" si="3"/>
        <v>0</v>
      </c>
      <c r="K10" s="137">
        <f t="shared" si="3"/>
        <v>0</v>
      </c>
      <c r="L10" s="137">
        <f t="shared" si="3"/>
        <v>0</v>
      </c>
      <c r="M10" s="141">
        <f t="shared" si="2"/>
        <v>0</v>
      </c>
    </row>
    <row r="11" spans="1:13" ht="15" customHeight="1">
      <c r="A11" s="135">
        <v>2.1</v>
      </c>
      <c r="B11" s="135" t="s">
        <v>31</v>
      </c>
      <c r="C11" s="139">
        <f>([1]计划!C6-[1]计划!C7)</f>
        <v>0</v>
      </c>
      <c r="D11" s="139">
        <f>([1]计划!D6-[1]计划!D7)</f>
        <v>0</v>
      </c>
      <c r="E11" s="139">
        <f>([1]计划!E6-[1]计划!E7)</f>
        <v>0</v>
      </c>
      <c r="F11" s="139">
        <f>([1]计划!F6-[1]计划!F7)</f>
        <v>0</v>
      </c>
      <c r="G11" s="139">
        <f>([1]计划!G6-[1]计划!G7)</f>
        <v>0</v>
      </c>
      <c r="H11" s="139">
        <f>([1]计划!H6-[1]计划!H7)</f>
        <v>0</v>
      </c>
      <c r="I11" s="139">
        <f>([1]计划!I6-[1]计划!I7)</f>
        <v>0</v>
      </c>
      <c r="J11" s="139">
        <f>([1]计划!J6-[1]计划!J7)</f>
        <v>0</v>
      </c>
      <c r="K11" s="139">
        <f>([1]计划!K6-[1]计划!K7)</f>
        <v>0</v>
      </c>
      <c r="L11" s="139">
        <f>([1]计划!L6-[1]计划!L7)</f>
        <v>0</v>
      </c>
      <c r="M11" s="141">
        <f t="shared" si="2"/>
        <v>0</v>
      </c>
    </row>
    <row r="12" spans="1:13" s="122" customFormat="1" ht="15" customHeight="1">
      <c r="A12" s="135">
        <v>2.2000000000000002</v>
      </c>
      <c r="B12" s="141" t="s">
        <v>32</v>
      </c>
      <c r="C12" s="139">
        <f>[1]计划!C8</f>
        <v>0</v>
      </c>
      <c r="D12" s="139">
        <f>[1]计划!D8</f>
        <v>0</v>
      </c>
      <c r="E12" s="139">
        <f>[1]计划!E8</f>
        <v>0</v>
      </c>
      <c r="F12" s="139">
        <f>[1]计划!F8</f>
        <v>0</v>
      </c>
      <c r="G12" s="139">
        <f>[1]计划!G8</f>
        <v>0</v>
      </c>
      <c r="H12" s="139">
        <f>[1]计划!H8</f>
        <v>0</v>
      </c>
      <c r="I12" s="139">
        <f>[1]计划!I8</f>
        <v>0</v>
      </c>
      <c r="J12" s="139">
        <f>[1]计划!J8</f>
        <v>0</v>
      </c>
      <c r="K12" s="139">
        <f>[1]计划!K8</f>
        <v>0</v>
      </c>
      <c r="L12" s="139">
        <f>[1]计划!L8</f>
        <v>0</v>
      </c>
      <c r="M12" s="141">
        <f t="shared" si="2"/>
        <v>0</v>
      </c>
    </row>
    <row r="13" spans="1:13" ht="15" customHeight="1">
      <c r="A13" s="135">
        <v>2.2999999999999998</v>
      </c>
      <c r="B13" s="138" t="s">
        <v>33</v>
      </c>
      <c r="C13" s="139">
        <f>[1]总成本!C22</f>
        <v>0</v>
      </c>
      <c r="D13" s="139">
        <f>[1]总成本!D22</f>
        <v>0</v>
      </c>
      <c r="E13" s="139">
        <f>[1]总成本!E22</f>
        <v>0</v>
      </c>
      <c r="F13" s="139">
        <f>[1]总成本!F22</f>
        <v>0</v>
      </c>
      <c r="G13" s="139">
        <f>[1]总成本!G22</f>
        <v>0</v>
      </c>
      <c r="H13" s="139">
        <f>[1]总成本!H22</f>
        <v>0</v>
      </c>
      <c r="I13" s="139">
        <f>[1]总成本!I22</f>
        <v>0</v>
      </c>
      <c r="J13" s="139">
        <f>[1]总成本!J22</f>
        <v>0</v>
      </c>
      <c r="K13" s="139">
        <f>[1]总成本!K22</f>
        <v>0</v>
      </c>
      <c r="L13" s="139">
        <f>[1]总成本!L22</f>
        <v>0</v>
      </c>
      <c r="M13" s="141">
        <f t="shared" si="2"/>
        <v>0</v>
      </c>
    </row>
    <row r="14" spans="1:13" ht="15" customHeight="1">
      <c r="A14" s="135">
        <v>2.4</v>
      </c>
      <c r="B14" s="138" t="s">
        <v>34</v>
      </c>
      <c r="C14" s="139">
        <f>[1]价格!D15</f>
        <v>0</v>
      </c>
      <c r="D14" s="139">
        <f>[1]价格!E15</f>
        <v>0</v>
      </c>
      <c r="E14" s="139">
        <f>[1]价格!F15</f>
        <v>0</v>
      </c>
      <c r="F14" s="139">
        <f>[1]价格!G15</f>
        <v>0</v>
      </c>
      <c r="G14" s="139">
        <f>[1]价格!H15</f>
        <v>0</v>
      </c>
      <c r="H14" s="139">
        <f>[1]价格!I15</f>
        <v>0</v>
      </c>
      <c r="I14" s="139">
        <f>[1]价格!J15</f>
        <v>0</v>
      </c>
      <c r="J14" s="139">
        <f>[1]价格!K15</f>
        <v>0</v>
      </c>
      <c r="K14" s="139">
        <f>[1]价格!L15</f>
        <v>0</v>
      </c>
      <c r="L14" s="139">
        <f>[1]价格!M15</f>
        <v>0</v>
      </c>
      <c r="M14" s="141">
        <f t="shared" si="2"/>
        <v>0</v>
      </c>
    </row>
    <row r="15" spans="1:13" ht="15" customHeight="1">
      <c r="A15" s="135">
        <v>2.5</v>
      </c>
      <c r="B15" s="138" t="s">
        <v>35</v>
      </c>
      <c r="C15" s="139">
        <f>[1]利润!C13</f>
        <v>0</v>
      </c>
      <c r="D15" s="139">
        <f>[1]利润!D13</f>
        <v>0</v>
      </c>
      <c r="E15" s="139">
        <f>[1]利润!E13</f>
        <v>0</v>
      </c>
      <c r="F15" s="139">
        <f>[1]利润!F13</f>
        <v>0</v>
      </c>
      <c r="G15" s="139">
        <f>[1]利润!G13</f>
        <v>0</v>
      </c>
      <c r="H15" s="139">
        <f>[1]利润!H13</f>
        <v>0</v>
      </c>
      <c r="I15" s="139">
        <f>[1]利润!I13</f>
        <v>0</v>
      </c>
      <c r="J15" s="139">
        <f>[1]利润!J13</f>
        <v>0</v>
      </c>
      <c r="K15" s="139">
        <f>[1]利润!K13</f>
        <v>0</v>
      </c>
      <c r="L15" s="139">
        <f>[1]利润!L13</f>
        <v>0</v>
      </c>
      <c r="M15" s="141">
        <f t="shared" si="2"/>
        <v>0</v>
      </c>
    </row>
    <row r="16" spans="1:13" ht="15" customHeight="1">
      <c r="A16" s="135">
        <v>2.6</v>
      </c>
      <c r="B16" s="138" t="s">
        <v>36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41">
        <f t="shared" si="2"/>
        <v>0</v>
      </c>
    </row>
    <row r="17" spans="1:18" ht="12">
      <c r="A17" s="135">
        <v>3</v>
      </c>
      <c r="B17" s="136" t="s">
        <v>37</v>
      </c>
      <c r="C17" s="137">
        <f t="shared" ref="C17:L17" si="4">C5-C10</f>
        <v>0</v>
      </c>
      <c r="D17" s="137">
        <f t="shared" si="4"/>
        <v>0</v>
      </c>
      <c r="E17" s="137" t="e">
        <f t="shared" si="4"/>
        <v>#REF!</v>
      </c>
      <c r="F17" s="137" t="e">
        <f t="shared" si="4"/>
        <v>#REF!</v>
      </c>
      <c r="G17" s="137" t="e">
        <f t="shared" si="4"/>
        <v>#REF!</v>
      </c>
      <c r="H17" s="137" t="e">
        <f t="shared" si="4"/>
        <v>#REF!</v>
      </c>
      <c r="I17" s="137" t="e">
        <f t="shared" si="4"/>
        <v>#REF!</v>
      </c>
      <c r="J17" s="137" t="e">
        <f t="shared" si="4"/>
        <v>#REF!</v>
      </c>
      <c r="K17" s="137" t="e">
        <f t="shared" si="4"/>
        <v>#REF!</v>
      </c>
      <c r="L17" s="137" t="e">
        <f t="shared" si="4"/>
        <v>#REF!</v>
      </c>
      <c r="M17" s="141" t="e">
        <f t="shared" si="2"/>
        <v>#REF!</v>
      </c>
    </row>
    <row r="18" spans="1:18" ht="12">
      <c r="A18" s="142">
        <v>4</v>
      </c>
      <c r="B18" s="138" t="s">
        <v>38</v>
      </c>
      <c r="C18" s="139">
        <f>C17</f>
        <v>0</v>
      </c>
      <c r="D18" s="139">
        <f t="shared" ref="D18:L18" si="5">C18+D17</f>
        <v>0</v>
      </c>
      <c r="E18" s="139" t="e">
        <f t="shared" si="5"/>
        <v>#REF!</v>
      </c>
      <c r="F18" s="139" t="e">
        <f t="shared" si="5"/>
        <v>#REF!</v>
      </c>
      <c r="G18" s="139" t="e">
        <f t="shared" si="5"/>
        <v>#REF!</v>
      </c>
      <c r="H18" s="139" t="e">
        <f t="shared" si="5"/>
        <v>#REF!</v>
      </c>
      <c r="I18" s="139" t="e">
        <f t="shared" si="5"/>
        <v>#REF!</v>
      </c>
      <c r="J18" s="139" t="e">
        <f t="shared" si="5"/>
        <v>#REF!</v>
      </c>
      <c r="K18" s="139" t="e">
        <f t="shared" si="5"/>
        <v>#REF!</v>
      </c>
      <c r="L18" s="139" t="e">
        <f t="shared" si="5"/>
        <v>#REF!</v>
      </c>
      <c r="M18" s="138" t="s">
        <v>28</v>
      </c>
    </row>
    <row r="19" spans="1:18" s="122" customFormat="1" ht="12">
      <c r="A19" s="142">
        <v>5</v>
      </c>
      <c r="B19" s="138" t="s">
        <v>39</v>
      </c>
      <c r="C19" s="139">
        <f t="shared" ref="C19:L19" si="6">C17+C15</f>
        <v>0</v>
      </c>
      <c r="D19" s="139">
        <f t="shared" si="6"/>
        <v>0</v>
      </c>
      <c r="E19" s="139" t="e">
        <f t="shared" si="6"/>
        <v>#REF!</v>
      </c>
      <c r="F19" s="139" t="e">
        <f t="shared" si="6"/>
        <v>#REF!</v>
      </c>
      <c r="G19" s="139" t="e">
        <f t="shared" si="6"/>
        <v>#REF!</v>
      </c>
      <c r="H19" s="139" t="e">
        <f t="shared" si="6"/>
        <v>#REF!</v>
      </c>
      <c r="I19" s="139" t="e">
        <f t="shared" si="6"/>
        <v>#REF!</v>
      </c>
      <c r="J19" s="139" t="e">
        <f t="shared" si="6"/>
        <v>#REF!</v>
      </c>
      <c r="K19" s="139" t="e">
        <f t="shared" si="6"/>
        <v>#REF!</v>
      </c>
      <c r="L19" s="139" t="e">
        <f t="shared" si="6"/>
        <v>#REF!</v>
      </c>
      <c r="M19" s="141" t="e">
        <f>SUM(C19:L19)</f>
        <v>#REF!</v>
      </c>
    </row>
    <row r="20" spans="1:18" s="122" customFormat="1" ht="12">
      <c r="A20" s="135">
        <v>6</v>
      </c>
      <c r="B20" s="138" t="s">
        <v>40</v>
      </c>
      <c r="C20" s="139">
        <f>C19</f>
        <v>0</v>
      </c>
      <c r="D20" s="139">
        <f t="shared" ref="D20:L20" si="7">C20+D19</f>
        <v>0</v>
      </c>
      <c r="E20" s="139" t="e">
        <f t="shared" si="7"/>
        <v>#REF!</v>
      </c>
      <c r="F20" s="139" t="e">
        <f t="shared" si="7"/>
        <v>#REF!</v>
      </c>
      <c r="G20" s="139" t="e">
        <f t="shared" si="7"/>
        <v>#REF!</v>
      </c>
      <c r="H20" s="139" t="e">
        <f t="shared" si="7"/>
        <v>#REF!</v>
      </c>
      <c r="I20" s="139" t="e">
        <f t="shared" si="7"/>
        <v>#REF!</v>
      </c>
      <c r="J20" s="139" t="e">
        <f t="shared" si="7"/>
        <v>#REF!</v>
      </c>
      <c r="K20" s="139" t="e">
        <f t="shared" si="7"/>
        <v>#REF!</v>
      </c>
      <c r="L20" s="139" t="e">
        <f t="shared" si="7"/>
        <v>#REF!</v>
      </c>
      <c r="M20" s="138" t="s">
        <v>28</v>
      </c>
    </row>
    <row r="21" spans="1:18" ht="12">
      <c r="A21" s="143"/>
      <c r="B21" s="144" t="s">
        <v>41</v>
      </c>
      <c r="C21" s="144"/>
      <c r="D21" s="144"/>
      <c r="E21" s="144" t="s">
        <v>42</v>
      </c>
      <c r="F21" s="144"/>
      <c r="G21" s="144"/>
      <c r="H21" s="144"/>
      <c r="I21" s="144" t="s">
        <v>43</v>
      </c>
      <c r="J21" s="144"/>
      <c r="K21" s="144"/>
      <c r="L21" s="144"/>
      <c r="M21" s="155"/>
    </row>
    <row r="22" spans="1:18" ht="12">
      <c r="A22" s="145"/>
      <c r="B22" s="146" t="s">
        <v>44</v>
      </c>
      <c r="C22" s="146"/>
      <c r="D22" s="147" t="s">
        <v>45</v>
      </c>
      <c r="E22" s="148" t="e">
        <f>IRR(C17:L17,0.15)</f>
        <v>#VALUE!</v>
      </c>
      <c r="F22" s="146"/>
      <c r="G22" s="146"/>
      <c r="H22" s="146"/>
      <c r="I22" s="148" t="e">
        <f>IRR(C19:L19,0.15)</f>
        <v>#VALUE!</v>
      </c>
      <c r="J22" s="146"/>
      <c r="K22" s="146"/>
      <c r="L22" s="146"/>
      <c r="M22" s="156"/>
    </row>
    <row r="23" spans="1:18" ht="12">
      <c r="A23" s="145"/>
      <c r="B23" s="146" t="s">
        <v>46</v>
      </c>
      <c r="C23" s="146"/>
      <c r="D23" s="146"/>
      <c r="E23" s="149" t="e">
        <f>NPV(0.12,C17:L17)</f>
        <v>#REF!</v>
      </c>
      <c r="F23" s="146"/>
      <c r="G23" s="146"/>
      <c r="H23" s="146"/>
      <c r="I23" s="149" t="e">
        <f>NPV(0.12,C19:L19)</f>
        <v>#REF!</v>
      </c>
      <c r="J23" s="146"/>
      <c r="K23" s="146"/>
      <c r="L23" s="146"/>
      <c r="M23" s="156"/>
      <c r="R23" s="123">
        <f>30.9-29.82</f>
        <v>1.08</v>
      </c>
    </row>
    <row r="24" spans="1:18" ht="12">
      <c r="A24" s="150"/>
      <c r="B24" s="151" t="s">
        <v>47</v>
      </c>
      <c r="C24" s="151"/>
      <c r="D24" s="151"/>
      <c r="E24" s="152" t="e">
        <f>6-H18/I17</f>
        <v>#REF!</v>
      </c>
      <c r="F24" s="151"/>
      <c r="G24" s="151"/>
      <c r="H24" s="151"/>
      <c r="I24" s="152" t="e">
        <f>6-H20/I19</f>
        <v>#REF!</v>
      </c>
      <c r="J24" s="151"/>
      <c r="K24" s="151"/>
      <c r="L24" s="151"/>
      <c r="M24" s="157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14" sqref="E14"/>
    </sheetView>
  </sheetViews>
  <sheetFormatPr defaultColWidth="9" defaultRowHeight="16.5"/>
  <cols>
    <col min="1" max="1" width="5.125" style="100" customWidth="1"/>
    <col min="2" max="2" width="19.625" style="100" customWidth="1"/>
    <col min="3" max="3" width="12.5" style="100" customWidth="1"/>
    <col min="4" max="7" width="12.5" style="101" customWidth="1"/>
    <col min="8" max="8" width="14.25" style="101" customWidth="1"/>
    <col min="9" max="34" width="9" style="100"/>
    <col min="35" max="35" width="4.375" style="100" customWidth="1"/>
    <col min="36" max="36" width="13.875" style="100" customWidth="1"/>
    <col min="37" max="16384" width="9" style="100"/>
  </cols>
  <sheetData>
    <row r="1" spans="1:37" ht="36.75" customHeight="1">
      <c r="A1" s="243" t="s">
        <v>292</v>
      </c>
      <c r="B1" s="243"/>
      <c r="C1" s="243"/>
      <c r="D1" s="243"/>
      <c r="E1" s="243"/>
      <c r="F1" s="243"/>
      <c r="G1" s="243"/>
      <c r="H1" s="243"/>
      <c r="I1" s="236" t="s">
        <v>330</v>
      </c>
    </row>
    <row r="2" spans="1:37" ht="22.5" customHeight="1">
      <c r="B2" s="167"/>
      <c r="C2" s="167"/>
      <c r="D2" s="167"/>
      <c r="E2" s="167"/>
      <c r="F2" s="167"/>
      <c r="G2" s="167" t="s">
        <v>268</v>
      </c>
      <c r="H2" s="167"/>
    </row>
    <row r="3" spans="1:37" ht="21.75" customHeight="1">
      <c r="A3" s="241" t="s">
        <v>18</v>
      </c>
      <c r="B3" s="102" t="s">
        <v>1</v>
      </c>
      <c r="C3" s="102" t="s">
        <v>323</v>
      </c>
      <c r="D3" s="102" t="s">
        <v>265</v>
      </c>
      <c r="E3" s="102" t="s">
        <v>266</v>
      </c>
      <c r="F3" s="102" t="s">
        <v>267</v>
      </c>
      <c r="G3" s="102" t="s">
        <v>324</v>
      </c>
      <c r="H3" s="118" t="s">
        <v>51</v>
      </c>
      <c r="AK3" s="100" t="s">
        <v>52</v>
      </c>
    </row>
    <row r="4" spans="1:37" s="70" customFormat="1" ht="15.75" customHeight="1">
      <c r="A4" s="242"/>
      <c r="B4" s="78" t="s">
        <v>3</v>
      </c>
      <c r="C4" s="103">
        <f>'2026年'!T6</f>
        <v>180000</v>
      </c>
      <c r="D4" s="103">
        <f>'2027年'!T6</f>
        <v>180000</v>
      </c>
      <c r="E4" s="103">
        <f>'2028年'!T6</f>
        <v>180000</v>
      </c>
      <c r="F4" s="103">
        <f>'2029年'!T6</f>
        <v>180000</v>
      </c>
      <c r="G4" s="103">
        <f>'2030年'!T6</f>
        <v>180000</v>
      </c>
      <c r="H4" s="103">
        <f t="shared" ref="H4:H11" si="0">SUM(C4:G4)</f>
        <v>900000</v>
      </c>
      <c r="AI4" s="77" t="s">
        <v>18</v>
      </c>
      <c r="AJ4" s="78" t="s">
        <v>3</v>
      </c>
      <c r="AK4" s="70" t="s">
        <v>53</v>
      </c>
    </row>
    <row r="5" spans="1:37" s="70" customFormat="1" ht="15.75" customHeight="1">
      <c r="A5" s="74">
        <v>1</v>
      </c>
      <c r="B5" s="209" t="s">
        <v>54</v>
      </c>
      <c r="C5" s="103">
        <f>'2026年'!T7</f>
        <v>51185196</v>
      </c>
      <c r="D5" s="103">
        <f>'2027年'!T7</f>
        <v>51185196</v>
      </c>
      <c r="E5" s="103">
        <f>'2028年'!T7</f>
        <v>51185196</v>
      </c>
      <c r="F5" s="103">
        <f>'2029年'!T7</f>
        <v>51185196</v>
      </c>
      <c r="G5" s="103">
        <f>'2030年'!T7</f>
        <v>51185196</v>
      </c>
      <c r="H5" s="103">
        <f t="shared" si="0"/>
        <v>255925980</v>
      </c>
      <c r="AI5" s="77" t="s">
        <v>55</v>
      </c>
      <c r="AJ5" s="78" t="s">
        <v>54</v>
      </c>
      <c r="AK5" s="70" t="s">
        <v>53</v>
      </c>
    </row>
    <row r="6" spans="1:37" s="70" customFormat="1" ht="15.75" customHeight="1">
      <c r="A6" s="74">
        <v>2</v>
      </c>
      <c r="B6" s="209" t="s">
        <v>56</v>
      </c>
      <c r="C6" s="103">
        <f>'2026年'!T8</f>
        <v>0</v>
      </c>
      <c r="D6" s="103">
        <f>'2027年'!T8</f>
        <v>1023703.9200000007</v>
      </c>
      <c r="E6" s="103">
        <f>'2028年'!T8</f>
        <v>2026933.761600004</v>
      </c>
      <c r="F6" s="103">
        <f>'2029年'!T8</f>
        <v>3010099.0063680043</v>
      </c>
      <c r="G6" s="103">
        <f>'2030年'!T8</f>
        <v>3973600.9462406458</v>
      </c>
      <c r="H6" s="103">
        <f t="shared" si="0"/>
        <v>10034337.634208655</v>
      </c>
      <c r="J6" s="70" t="s">
        <v>333</v>
      </c>
      <c r="AI6" s="77" t="s">
        <v>57</v>
      </c>
      <c r="AJ6" s="74" t="s">
        <v>58</v>
      </c>
      <c r="AK6" s="70" t="s">
        <v>53</v>
      </c>
    </row>
    <row r="7" spans="1:37" s="70" customFormat="1" ht="15.75" customHeight="1">
      <c r="A7" s="74">
        <v>3</v>
      </c>
      <c r="B7" s="78" t="s">
        <v>59</v>
      </c>
      <c r="C7" s="104">
        <f>'2026年'!T9</f>
        <v>51185196</v>
      </c>
      <c r="D7" s="104">
        <f>D5-D6</f>
        <v>50161492.079999998</v>
      </c>
      <c r="E7" s="104">
        <f>'2028年'!T9</f>
        <v>49158262.238399997</v>
      </c>
      <c r="F7" s="103">
        <f>'2029年'!T9</f>
        <v>48175096.993631996</v>
      </c>
      <c r="G7" s="103">
        <f>'2030年'!T9</f>
        <v>47211595.053759351</v>
      </c>
      <c r="H7" s="103">
        <f t="shared" si="0"/>
        <v>245891642.36579132</v>
      </c>
      <c r="J7" s="70" t="s">
        <v>332</v>
      </c>
      <c r="AI7" s="77" t="s">
        <v>60</v>
      </c>
      <c r="AJ7" s="78" t="s">
        <v>59</v>
      </c>
      <c r="AK7" s="70" t="s">
        <v>61</v>
      </c>
    </row>
    <row r="8" spans="1:37" s="70" customFormat="1" ht="15.75" customHeight="1">
      <c r="A8" s="74">
        <v>4</v>
      </c>
      <c r="B8" s="228" t="s">
        <v>269</v>
      </c>
      <c r="C8" s="226">
        <f>'2026年'!T10</f>
        <v>39452941.317433685</v>
      </c>
      <c r="D8" s="226">
        <f>'2027年'!T10</f>
        <v>38663882.491085008</v>
      </c>
      <c r="E8" s="227">
        <f>'2028年'!T10</f>
        <v>37890604.841263302</v>
      </c>
      <c r="F8" s="226">
        <f>'2029年'!T10</f>
        <v>37132792.744438037</v>
      </c>
      <c r="G8" s="226">
        <f>'2030年'!T10</f>
        <v>36390136.889549278</v>
      </c>
      <c r="H8" s="226">
        <f t="shared" si="0"/>
        <v>189530358.28376934</v>
      </c>
      <c r="J8" s="70" t="s">
        <v>334</v>
      </c>
      <c r="AI8" s="77" t="s">
        <v>62</v>
      </c>
      <c r="AJ8" s="77" t="s">
        <v>63</v>
      </c>
      <c r="AK8" s="70" t="s">
        <v>64</v>
      </c>
    </row>
    <row r="9" spans="1:37" s="70" customFormat="1" ht="15.75" customHeight="1">
      <c r="A9" s="74">
        <v>5</v>
      </c>
      <c r="B9" s="77" t="s">
        <v>65</v>
      </c>
      <c r="C9" s="103">
        <f>'2026年'!T11</f>
        <v>3552252.6024000002</v>
      </c>
      <c r="D9" s="103">
        <f>'2027年'!T11</f>
        <v>3552252.6024000002</v>
      </c>
      <c r="E9" s="104">
        <f>'2028年'!T11</f>
        <v>3552252.6024000002</v>
      </c>
      <c r="F9" s="103">
        <f>'2029年'!T11</f>
        <v>3552252.6024000002</v>
      </c>
      <c r="G9" s="103">
        <f>'2030年'!T11</f>
        <v>3552252.6024000002</v>
      </c>
      <c r="H9" s="103">
        <f t="shared" si="0"/>
        <v>17761263.012000002</v>
      </c>
      <c r="J9" s="70" t="s">
        <v>335</v>
      </c>
      <c r="AI9" s="77" t="s">
        <v>66</v>
      </c>
      <c r="AJ9" s="77" t="s">
        <v>65</v>
      </c>
    </row>
    <row r="10" spans="1:37" s="70" customFormat="1" ht="15.75" customHeight="1">
      <c r="A10" s="74">
        <v>6</v>
      </c>
      <c r="B10" s="77" t="s">
        <v>67</v>
      </c>
      <c r="C10" s="103">
        <f>'2026年'!T12</f>
        <v>2221437.5064000003</v>
      </c>
      <c r="D10" s="103">
        <f>'2027年'!T12</f>
        <v>2221437.5064000003</v>
      </c>
      <c r="E10" s="104">
        <f>'2028年'!T12</f>
        <v>2221437.5064000003</v>
      </c>
      <c r="F10" s="103">
        <f>'2029年'!T12</f>
        <v>2221437.5064000003</v>
      </c>
      <c r="G10" s="103">
        <f>'2030年'!T12</f>
        <v>2221437.5064000003</v>
      </c>
      <c r="H10" s="103">
        <f t="shared" si="0"/>
        <v>11107187.532000002</v>
      </c>
      <c r="AI10" s="77" t="s">
        <v>68</v>
      </c>
      <c r="AJ10" s="77" t="s">
        <v>67</v>
      </c>
    </row>
    <row r="11" spans="1:37" s="70" customFormat="1" ht="15.75" customHeight="1">
      <c r="A11" s="74">
        <v>7</v>
      </c>
      <c r="B11" s="77" t="s">
        <v>69</v>
      </c>
      <c r="C11" s="103">
        <f>'2026年'!T13</f>
        <v>1396292.4</v>
      </c>
      <c r="D11" s="103">
        <f>'2027年'!T13</f>
        <v>1396292.4</v>
      </c>
      <c r="E11" s="104">
        <f>'2028年'!T13</f>
        <v>1396292.4</v>
      </c>
      <c r="F11" s="103">
        <f>'2029年'!T13</f>
        <v>1396292.4</v>
      </c>
      <c r="G11" s="103">
        <f>'2030年'!T13</f>
        <v>1396292.4</v>
      </c>
      <c r="H11" s="103">
        <f t="shared" si="0"/>
        <v>6981462</v>
      </c>
      <c r="AI11" s="77" t="s">
        <v>70</v>
      </c>
      <c r="AJ11" s="77" t="s">
        <v>69</v>
      </c>
      <c r="AK11" s="70" t="s">
        <v>53</v>
      </c>
    </row>
    <row r="12" spans="1:37" s="70" customFormat="1" ht="15.75" customHeight="1">
      <c r="A12" s="74">
        <v>8</v>
      </c>
      <c r="B12" s="228" t="s">
        <v>71</v>
      </c>
      <c r="C12" s="227">
        <f>SUM(C9:C11)</f>
        <v>7169982.5088</v>
      </c>
      <c r="D12" s="227">
        <f t="shared" ref="D12:H12" si="1">SUM(D9:D11)</f>
        <v>7169982.5088</v>
      </c>
      <c r="E12" s="227">
        <f t="shared" si="1"/>
        <v>7169982.5088</v>
      </c>
      <c r="F12" s="227">
        <f t="shared" si="1"/>
        <v>7169982.5088</v>
      </c>
      <c r="G12" s="227">
        <f t="shared" si="1"/>
        <v>7169982.5088</v>
      </c>
      <c r="H12" s="227">
        <f t="shared" si="1"/>
        <v>35849912.544</v>
      </c>
      <c r="AI12" s="77" t="s">
        <v>72</v>
      </c>
      <c r="AJ12" s="82" t="s">
        <v>71</v>
      </c>
    </row>
    <row r="13" spans="1:37" s="70" customFormat="1" ht="15.75" customHeight="1">
      <c r="A13" s="74">
        <v>9</v>
      </c>
      <c r="B13" s="105" t="s">
        <v>73</v>
      </c>
      <c r="C13" s="103">
        <f>'2026年'!T15</f>
        <v>4562272.173766315</v>
      </c>
      <c r="D13" s="103">
        <f>'2027年'!T15</f>
        <v>4327627.0801149905</v>
      </c>
      <c r="E13" s="104">
        <f>'2028年'!T15</f>
        <v>4097674.8883366957</v>
      </c>
      <c r="F13" s="103">
        <f>'2029年'!T15</f>
        <v>3872321.740393959</v>
      </c>
      <c r="G13" s="103">
        <f>'2030年'!T15</f>
        <v>3651475.6554100737</v>
      </c>
      <c r="H13" s="103">
        <f>SUM(C13:G13)</f>
        <v>20511371.538022034</v>
      </c>
      <c r="J13" s="100"/>
      <c r="K13" s="100"/>
      <c r="L13" s="100"/>
      <c r="M13" s="100"/>
      <c r="N13" s="100"/>
      <c r="O13" s="100"/>
      <c r="AI13" s="77" t="s">
        <v>74</v>
      </c>
      <c r="AJ13" s="82" t="s">
        <v>73</v>
      </c>
    </row>
    <row r="14" spans="1:37" ht="15.75" customHeight="1">
      <c r="A14" s="74">
        <v>10</v>
      </c>
      <c r="B14" s="106" t="s">
        <v>75</v>
      </c>
      <c r="C14" s="107">
        <f>+C13/C7</f>
        <v>8.91326502640786E-2</v>
      </c>
      <c r="D14" s="107">
        <f>+D13/D7</f>
        <v>8.627389060144143E-2</v>
      </c>
      <c r="E14" s="107">
        <f t="shared" ref="E14:F14" si="2">+E13/E7</f>
        <v>8.3356788904872942E-2</v>
      </c>
      <c r="F14" s="107">
        <f t="shared" si="2"/>
        <v>8.0380154520619237E-2</v>
      </c>
      <c r="G14" s="107">
        <f>+G13/G7</f>
        <v>7.7342772495870488E-2</v>
      </c>
      <c r="H14" s="107">
        <f>+H13/H7</f>
        <v>8.3416302159261976E-2</v>
      </c>
      <c r="AI14" s="106" t="s">
        <v>76</v>
      </c>
      <c r="AJ14" s="106" t="s">
        <v>75</v>
      </c>
    </row>
    <row r="15" spans="1:37" ht="15.75" customHeight="1">
      <c r="A15" s="74">
        <v>11</v>
      </c>
      <c r="B15" s="106" t="s">
        <v>77</v>
      </c>
      <c r="C15" s="103">
        <f>'2026年'!T17</f>
        <v>4551478.67</v>
      </c>
      <c r="D15" s="103">
        <f>'2027年'!T17</f>
        <v>4551478.67</v>
      </c>
      <c r="E15" s="104">
        <f>'2028年'!T17</f>
        <v>4551478.67</v>
      </c>
      <c r="F15" s="103">
        <f>'2029年'!$T$17</f>
        <v>4551478.67</v>
      </c>
      <c r="G15" s="103">
        <f>'2030年'!$T$17</f>
        <v>4551478.67</v>
      </c>
      <c r="H15" s="103">
        <f>SUM(C15:G15)</f>
        <v>22757393.350000001</v>
      </c>
      <c r="AI15" s="106" t="s">
        <v>78</v>
      </c>
      <c r="AJ15" s="106" t="s">
        <v>77</v>
      </c>
    </row>
    <row r="16" spans="1:37" ht="15.75" hidden="1" customHeight="1">
      <c r="A16" s="74"/>
      <c r="B16" s="106"/>
      <c r="C16" s="103"/>
      <c r="D16" s="103"/>
      <c r="E16" s="103"/>
      <c r="F16" s="103"/>
      <c r="G16" s="103"/>
      <c r="H16" s="103">
        <f>SUM(D16:F16)</f>
        <v>0</v>
      </c>
      <c r="AI16" s="106"/>
      <c r="AJ16" s="106"/>
    </row>
    <row r="17" spans="1:37" ht="15.75" customHeight="1">
      <c r="A17" s="74">
        <v>12</v>
      </c>
      <c r="B17" s="106" t="s">
        <v>79</v>
      </c>
      <c r="C17" s="108">
        <f>'2026年'!T19</f>
        <v>880385.37120000005</v>
      </c>
      <c r="D17" s="108">
        <f>'2027年'!T19</f>
        <v>880385.37120000005</v>
      </c>
      <c r="E17" s="108">
        <f>'2028年'!T19</f>
        <v>880385.37120000005</v>
      </c>
      <c r="F17" s="103">
        <f>'2029年'!T19</f>
        <v>880385.37120000005</v>
      </c>
      <c r="G17" s="103">
        <f>'2030年'!T19</f>
        <v>880385.37120000005</v>
      </c>
      <c r="H17" s="103">
        <f>SUM(C17:G17)</f>
        <v>4401926.8560000006</v>
      </c>
      <c r="P17" s="81"/>
      <c r="AI17" s="106" t="s">
        <v>80</v>
      </c>
      <c r="AJ17" s="106" t="s">
        <v>79</v>
      </c>
      <c r="AK17" s="100" t="s">
        <v>53</v>
      </c>
    </row>
    <row r="18" spans="1:37" ht="15.75" customHeight="1">
      <c r="A18" s="74">
        <v>13</v>
      </c>
      <c r="B18" s="106" t="s">
        <v>81</v>
      </c>
      <c r="C18" s="108">
        <f>'2026年'!T20</f>
        <v>1351289.1743999999</v>
      </c>
      <c r="D18" s="108">
        <f>'2027年'!T20</f>
        <v>1351289.1743999999</v>
      </c>
      <c r="E18" s="108">
        <f>'2028年'!T20</f>
        <v>1351289.1743999999</v>
      </c>
      <c r="F18" s="103">
        <f>'2029年'!T20</f>
        <v>1351289.1743999999</v>
      </c>
      <c r="G18" s="103">
        <f>'2030年'!T20</f>
        <v>1351289.1743999999</v>
      </c>
      <c r="H18" s="103">
        <f>SUM(C18:G18)</f>
        <v>6756445.8719999995</v>
      </c>
      <c r="AI18" s="106" t="s">
        <v>82</v>
      </c>
      <c r="AJ18" s="106" t="s">
        <v>81</v>
      </c>
    </row>
    <row r="19" spans="1:37" s="72" customFormat="1" ht="15.75" customHeight="1">
      <c r="A19" s="74">
        <v>14</v>
      </c>
      <c r="B19" s="89" t="s">
        <v>83</v>
      </c>
      <c r="C19" s="109">
        <f>'2026年'!T21</f>
        <v>112000</v>
      </c>
      <c r="D19" s="109">
        <f>'2027年'!T21</f>
        <v>112000</v>
      </c>
      <c r="E19" s="109">
        <f>'2028年'!T21</f>
        <v>112000</v>
      </c>
      <c r="F19" s="109">
        <f>'2029年'!T21</f>
        <v>112000</v>
      </c>
      <c r="G19" s="103">
        <f>'2030年'!T21</f>
        <v>112000</v>
      </c>
      <c r="H19" s="103">
        <f>SUM(C19:G19)</f>
        <v>560000</v>
      </c>
      <c r="AI19" s="89"/>
      <c r="AJ19" s="89"/>
    </row>
    <row r="20" spans="1:37" s="70" customFormat="1" ht="15.75" customHeight="1">
      <c r="A20" s="74">
        <v>15</v>
      </c>
      <c r="B20" s="77" t="s">
        <v>84</v>
      </c>
      <c r="C20" s="108">
        <f>'2026年'!T22</f>
        <v>1817074.4580000003</v>
      </c>
      <c r="D20" s="108">
        <f>'2027年'!T22</f>
        <v>1817074.4580000003</v>
      </c>
      <c r="E20" s="108">
        <f>'2028年'!T22</f>
        <v>1817074.4580000003</v>
      </c>
      <c r="F20" s="103">
        <f>'2029年'!T22</f>
        <v>1817074.4580000003</v>
      </c>
      <c r="G20" s="103">
        <f>'2030年'!T22</f>
        <v>1817074.4580000003</v>
      </c>
      <c r="H20" s="103">
        <f>SUM(C20:G20)</f>
        <v>9085372.290000001</v>
      </c>
      <c r="AI20" s="77" t="s">
        <v>85</v>
      </c>
      <c r="AJ20" s="77" t="s">
        <v>84</v>
      </c>
    </row>
    <row r="21" spans="1:37" s="98" customFormat="1" ht="15.75" customHeight="1">
      <c r="A21" s="74">
        <v>16</v>
      </c>
      <c r="B21" s="229" t="s">
        <v>86</v>
      </c>
      <c r="C21" s="227">
        <f t="shared" ref="C21:G21" si="3">+C20+C19+C18+C17+C15</f>
        <v>8712227.6735999994</v>
      </c>
      <c r="D21" s="227">
        <f t="shared" si="3"/>
        <v>8712227.6735999994</v>
      </c>
      <c r="E21" s="227">
        <f t="shared" si="3"/>
        <v>8712227.6735999994</v>
      </c>
      <c r="F21" s="227">
        <f t="shared" si="3"/>
        <v>8712227.6735999994</v>
      </c>
      <c r="G21" s="227">
        <f t="shared" si="3"/>
        <v>8712227.6735999994</v>
      </c>
      <c r="H21" s="227">
        <f>+H20+H19+H18+H17+H15</f>
        <v>43561138.368000001</v>
      </c>
      <c r="AI21" s="119" t="s">
        <v>87</v>
      </c>
      <c r="AJ21" s="120" t="s">
        <v>86</v>
      </c>
    </row>
    <row r="22" spans="1:37" ht="15.75" customHeight="1">
      <c r="A22" s="74">
        <v>17</v>
      </c>
      <c r="B22" s="106" t="s">
        <v>88</v>
      </c>
      <c r="C22" s="109">
        <f>'2026年'!T24</f>
        <v>-4149955.4998336844</v>
      </c>
      <c r="D22" s="110">
        <f>'2027年'!T24</f>
        <v>-4384600.5934850089</v>
      </c>
      <c r="E22" s="110">
        <f>'2028年'!T24</f>
        <v>-4614552.7852633037</v>
      </c>
      <c r="F22" s="103">
        <f>'2029年'!$T$24</f>
        <v>-4839905.9332060404</v>
      </c>
      <c r="G22" s="103">
        <f>'2030年'!$T$24</f>
        <v>-5060752.0181899257</v>
      </c>
      <c r="H22" s="103">
        <f>SUM(C22:G22)</f>
        <v>-23049766.829977963</v>
      </c>
      <c r="AI22" s="106" t="s">
        <v>89</v>
      </c>
      <c r="AJ22" s="106" t="s">
        <v>88</v>
      </c>
    </row>
    <row r="23" spans="1:37" ht="15.75" customHeight="1">
      <c r="A23" s="74">
        <v>18</v>
      </c>
      <c r="B23" s="106" t="s">
        <v>35</v>
      </c>
      <c r="C23" s="109">
        <f>'2026年'!T25</f>
        <v>0</v>
      </c>
      <c r="D23" s="110">
        <f>'2027年'!T25</f>
        <v>0</v>
      </c>
      <c r="E23" s="110">
        <f>'2028年'!T25</f>
        <v>0</v>
      </c>
      <c r="F23" s="103">
        <f>'2029年'!T25</f>
        <v>0</v>
      </c>
      <c r="G23" s="103">
        <f>'2030年'!T25</f>
        <v>0</v>
      </c>
      <c r="H23" s="103">
        <f t="shared" ref="H23" si="4">IF(H22&lt;0,0,H22*0.15)</f>
        <v>0</v>
      </c>
      <c r="AI23" s="106" t="s">
        <v>90</v>
      </c>
      <c r="AJ23" s="106" t="s">
        <v>35</v>
      </c>
    </row>
    <row r="24" spans="1:37" ht="15.75" customHeight="1">
      <c r="A24" s="74">
        <v>19</v>
      </c>
      <c r="B24" s="106" t="s">
        <v>91</v>
      </c>
      <c r="C24" s="109">
        <f>'2026年'!T26</f>
        <v>-4156330.5780958328</v>
      </c>
      <c r="D24" s="110">
        <f>'2027年'!T26</f>
        <v>-4384600.5934850089</v>
      </c>
      <c r="E24" s="110">
        <f>'2028年'!T26</f>
        <v>-4614552.7852633037</v>
      </c>
      <c r="F24" s="103">
        <f>'2029年'!T26</f>
        <v>-4839905.9332060404</v>
      </c>
      <c r="G24" s="103">
        <f>'2030年'!T26</f>
        <v>-5060752.0181899257</v>
      </c>
      <c r="H24" s="103">
        <f>H22-H23</f>
        <v>-23049766.829977963</v>
      </c>
      <c r="AI24" s="106" t="s">
        <v>92</v>
      </c>
      <c r="AJ24" s="106" t="s">
        <v>91</v>
      </c>
    </row>
    <row r="25" spans="1:37" ht="15.75" customHeight="1">
      <c r="A25" s="74">
        <v>20</v>
      </c>
      <c r="B25" s="106" t="s">
        <v>93</v>
      </c>
      <c r="C25" s="111">
        <f>C24/C7</f>
        <v>-8.1201810345628705E-2</v>
      </c>
      <c r="D25" s="111">
        <f t="shared" ref="D25:G25" si="5">D24/D7</f>
        <v>-8.7409692408914663E-2</v>
      </c>
      <c r="E25" s="111">
        <f>E24/E7</f>
        <v>-9.3871357024061838E-2</v>
      </c>
      <c r="F25" s="111">
        <f t="shared" si="5"/>
        <v>-0.10046489234564077</v>
      </c>
      <c r="G25" s="111">
        <f t="shared" si="5"/>
        <v>-0.1071929896125581</v>
      </c>
      <c r="H25" s="111">
        <f>H24/H7</f>
        <v>-9.3739529364275251E-2</v>
      </c>
      <c r="AI25" s="121" t="s">
        <v>94</v>
      </c>
      <c r="AJ25" s="121" t="s">
        <v>95</v>
      </c>
    </row>
    <row r="26" spans="1:37" s="99" customFormat="1" ht="15.75" customHeight="1">
      <c r="D26" s="112"/>
      <c r="E26" s="112"/>
      <c r="F26" s="112"/>
      <c r="G26" s="112"/>
      <c r="H26" s="112"/>
    </row>
    <row r="27" spans="1:37" s="99" customFormat="1" ht="15.75" customHeight="1">
      <c r="A27" s="99" t="s">
        <v>96</v>
      </c>
      <c r="D27" s="113"/>
      <c r="E27" s="113"/>
      <c r="F27" s="113"/>
      <c r="G27" s="113"/>
      <c r="H27" s="113"/>
      <c r="AI27" s="99" t="s">
        <v>96</v>
      </c>
    </row>
    <row r="28" spans="1:37" ht="25.5" customHeight="1">
      <c r="A28" s="106" t="s">
        <v>18</v>
      </c>
      <c r="B28" s="168" t="s">
        <v>1</v>
      </c>
      <c r="C28" s="102" t="str">
        <f>C3</f>
        <v>2026年</v>
      </c>
      <c r="D28" s="102" t="str">
        <f t="shared" ref="D28:G28" si="6">D3</f>
        <v>2027年</v>
      </c>
      <c r="E28" s="102" t="str">
        <f t="shared" si="6"/>
        <v>2028年</v>
      </c>
      <c r="F28" s="102" t="str">
        <f t="shared" si="6"/>
        <v>2029年</v>
      </c>
      <c r="G28" s="102" t="str">
        <f t="shared" si="6"/>
        <v>2030年</v>
      </c>
      <c r="H28" s="118" t="s">
        <v>51</v>
      </c>
      <c r="AK28" s="100" t="s">
        <v>52</v>
      </c>
    </row>
    <row r="29" spans="1:37" s="70" customFormat="1" ht="15.75" customHeight="1">
      <c r="A29" s="77" t="s">
        <v>97</v>
      </c>
      <c r="B29" s="82" t="s">
        <v>98</v>
      </c>
      <c r="C29" s="82"/>
      <c r="D29" s="88"/>
      <c r="E29" s="88"/>
      <c r="F29" s="88"/>
      <c r="G29" s="88"/>
      <c r="H29" s="88"/>
      <c r="AI29" s="77" t="s">
        <v>99</v>
      </c>
      <c r="AJ29" s="82" t="s">
        <v>98</v>
      </c>
    </row>
    <row r="30" spans="1:37" s="70" customFormat="1" ht="15.75" customHeight="1">
      <c r="A30" s="77" t="s">
        <v>55</v>
      </c>
      <c r="B30" s="77" t="s">
        <v>100</v>
      </c>
      <c r="C30" s="80">
        <f>+C7/C4</f>
        <v>284.36219999999997</v>
      </c>
      <c r="D30" s="80">
        <f t="shared" ref="D30:H30" si="7">+D7/D4</f>
        <v>278.67495600000001</v>
      </c>
      <c r="E30" s="80">
        <f t="shared" si="7"/>
        <v>273.10145688</v>
      </c>
      <c r="F30" s="80">
        <f t="shared" si="7"/>
        <v>267.63942774239996</v>
      </c>
      <c r="G30" s="80">
        <f t="shared" si="7"/>
        <v>262.28663918755194</v>
      </c>
      <c r="H30" s="80">
        <f t="shared" si="7"/>
        <v>273.21293596199035</v>
      </c>
      <c r="AI30" s="77" t="s">
        <v>55</v>
      </c>
      <c r="AJ30" s="77" t="s">
        <v>100</v>
      </c>
    </row>
    <row r="31" spans="1:37" s="70" customFormat="1" ht="15.75" customHeight="1">
      <c r="A31" s="77" t="s">
        <v>57</v>
      </c>
      <c r="B31" s="77" t="s">
        <v>101</v>
      </c>
      <c r="C31" s="80">
        <f>+C8/C4</f>
        <v>219.18300731907604</v>
      </c>
      <c r="D31" s="80">
        <f t="shared" ref="D31:H31" si="8">+D8/D4</f>
        <v>214.7993471726945</v>
      </c>
      <c r="E31" s="80">
        <f t="shared" si="8"/>
        <v>210.50336022924057</v>
      </c>
      <c r="F31" s="80">
        <f t="shared" si="8"/>
        <v>206.29329302465575</v>
      </c>
      <c r="G31" s="80">
        <f t="shared" si="8"/>
        <v>202.16742716416266</v>
      </c>
      <c r="H31" s="80">
        <f t="shared" si="8"/>
        <v>210.58928698196593</v>
      </c>
      <c r="AI31" s="77" t="s">
        <v>57</v>
      </c>
      <c r="AJ31" s="77" t="s">
        <v>101</v>
      </c>
    </row>
    <row r="32" spans="1:37" s="70" customFormat="1" ht="15.75" customHeight="1">
      <c r="A32" s="77" t="s">
        <v>102</v>
      </c>
      <c r="B32" s="77" t="s">
        <v>103</v>
      </c>
      <c r="C32" s="88">
        <f>C30-C31</f>
        <v>65.179192680923933</v>
      </c>
      <c r="D32" s="88">
        <f t="shared" ref="D32:H32" si="9">D30-D31</f>
        <v>63.875608827305513</v>
      </c>
      <c r="E32" s="88">
        <f t="shared" si="9"/>
        <v>62.59809665075943</v>
      </c>
      <c r="F32" s="88">
        <f t="shared" si="9"/>
        <v>61.346134717744206</v>
      </c>
      <c r="G32" s="88">
        <f t="shared" si="9"/>
        <v>60.119212023389281</v>
      </c>
      <c r="H32" s="88">
        <f t="shared" si="9"/>
        <v>62.623648980024427</v>
      </c>
      <c r="AI32" s="77" t="s">
        <v>102</v>
      </c>
      <c r="AJ32" s="77" t="s">
        <v>103</v>
      </c>
    </row>
    <row r="33" spans="1:36" s="70" customFormat="1" ht="15.75" customHeight="1">
      <c r="A33" s="77">
        <v>3.1</v>
      </c>
      <c r="B33" s="77" t="s">
        <v>104</v>
      </c>
      <c r="C33" s="83">
        <f>C32/C30</f>
        <v>0.2292118737333019</v>
      </c>
      <c r="D33" s="83">
        <f t="shared" ref="D33:H33" si="10">D32/D30</f>
        <v>0.22921187373330207</v>
      </c>
      <c r="E33" s="83">
        <f t="shared" si="10"/>
        <v>0.22921187373330218</v>
      </c>
      <c r="F33" s="83">
        <f t="shared" si="10"/>
        <v>0.2292118737333021</v>
      </c>
      <c r="G33" s="83">
        <f t="shared" si="10"/>
        <v>0.22921187373330193</v>
      </c>
      <c r="H33" s="83">
        <f t="shared" si="10"/>
        <v>0.22921187373330187</v>
      </c>
      <c r="AI33" s="77"/>
      <c r="AJ33" s="77"/>
    </row>
    <row r="34" spans="1:36" s="70" customFormat="1" ht="15.75" customHeight="1">
      <c r="A34" s="77" t="s">
        <v>99</v>
      </c>
      <c r="B34" s="82" t="s">
        <v>9</v>
      </c>
      <c r="C34" s="88"/>
      <c r="D34" s="88"/>
      <c r="E34" s="88"/>
      <c r="F34" s="88"/>
      <c r="G34" s="88"/>
      <c r="H34" s="88"/>
      <c r="AI34" s="77" t="s">
        <v>105</v>
      </c>
      <c r="AJ34" s="82" t="s">
        <v>9</v>
      </c>
    </row>
    <row r="35" spans="1:36" s="70" customFormat="1" ht="15.75" customHeight="1">
      <c r="A35" s="77" t="s">
        <v>55</v>
      </c>
      <c r="B35" s="89" t="s">
        <v>106</v>
      </c>
      <c r="C35" s="80">
        <f>+C9/C4</f>
        <v>19.734736680000001</v>
      </c>
      <c r="D35" s="80">
        <f t="shared" ref="D35:H35" si="11">+D9/D4</f>
        <v>19.734736680000001</v>
      </c>
      <c r="E35" s="80">
        <f t="shared" si="11"/>
        <v>19.734736680000001</v>
      </c>
      <c r="F35" s="80">
        <f t="shared" si="11"/>
        <v>19.734736680000001</v>
      </c>
      <c r="G35" s="80">
        <f t="shared" si="11"/>
        <v>19.734736680000001</v>
      </c>
      <c r="H35" s="80">
        <f t="shared" si="11"/>
        <v>19.734736680000001</v>
      </c>
      <c r="AI35" s="77" t="s">
        <v>102</v>
      </c>
      <c r="AJ35" s="77" t="s">
        <v>106</v>
      </c>
    </row>
    <row r="36" spans="1:36" s="70" customFormat="1" ht="15.75" customHeight="1">
      <c r="A36" s="77" t="s">
        <v>57</v>
      </c>
      <c r="B36" s="89" t="s">
        <v>107</v>
      </c>
      <c r="C36" s="80">
        <f>+C10/C4</f>
        <v>12.341319480000001</v>
      </c>
      <c r="D36" s="80">
        <f t="shared" ref="D36:H36" si="12">+D10/D4</f>
        <v>12.341319480000001</v>
      </c>
      <c r="E36" s="80">
        <f t="shared" si="12"/>
        <v>12.341319480000001</v>
      </c>
      <c r="F36" s="80">
        <f t="shared" si="12"/>
        <v>12.341319480000001</v>
      </c>
      <c r="G36" s="80">
        <f t="shared" si="12"/>
        <v>12.341319480000001</v>
      </c>
      <c r="H36" s="80">
        <f t="shared" si="12"/>
        <v>12.341319480000001</v>
      </c>
      <c r="AI36" s="77" t="s">
        <v>60</v>
      </c>
      <c r="AJ36" s="77" t="s">
        <v>107</v>
      </c>
    </row>
    <row r="37" spans="1:36" s="70" customFormat="1" ht="15.75" customHeight="1">
      <c r="A37" s="77" t="s">
        <v>102</v>
      </c>
      <c r="B37" s="89" t="s">
        <v>108</v>
      </c>
      <c r="C37" s="80">
        <f>+C11/C4</f>
        <v>7.7571799999999991</v>
      </c>
      <c r="D37" s="80">
        <f t="shared" ref="D37:H37" si="13">+D11/D4</f>
        <v>7.7571799999999991</v>
      </c>
      <c r="E37" s="80">
        <f t="shared" si="13"/>
        <v>7.7571799999999991</v>
      </c>
      <c r="F37" s="80">
        <f t="shared" si="13"/>
        <v>7.7571799999999991</v>
      </c>
      <c r="G37" s="80">
        <f t="shared" si="13"/>
        <v>7.7571799999999991</v>
      </c>
      <c r="H37" s="80">
        <f t="shared" si="13"/>
        <v>7.75718</v>
      </c>
      <c r="AI37" s="77" t="s">
        <v>66</v>
      </c>
      <c r="AJ37" s="77" t="s">
        <v>108</v>
      </c>
    </row>
    <row r="38" spans="1:36" s="70" customFormat="1" ht="15.75" customHeight="1">
      <c r="A38" s="77" t="s">
        <v>109</v>
      </c>
      <c r="B38" s="105" t="s">
        <v>110</v>
      </c>
      <c r="C38" s="80"/>
      <c r="D38" s="80"/>
      <c r="E38" s="80"/>
      <c r="F38" s="80"/>
      <c r="G38" s="80"/>
      <c r="H38" s="80"/>
      <c r="AI38" s="77" t="s">
        <v>109</v>
      </c>
      <c r="AJ38" s="82" t="s">
        <v>110</v>
      </c>
    </row>
    <row r="39" spans="1:36" s="70" customFormat="1">
      <c r="A39" s="77" t="s">
        <v>55</v>
      </c>
      <c r="B39" s="89" t="s">
        <v>270</v>
      </c>
      <c r="C39" s="80">
        <f>+C13/C4</f>
        <v>25.345956520923973</v>
      </c>
      <c r="D39" s="80">
        <f t="shared" ref="D39:H39" si="14">+D13/D4</f>
        <v>24.042372667305504</v>
      </c>
      <c r="E39" s="80">
        <f t="shared" si="14"/>
        <v>22.764860490759421</v>
      </c>
      <c r="F39" s="80">
        <f t="shared" si="14"/>
        <v>21.512898557744215</v>
      </c>
      <c r="G39" s="80">
        <f t="shared" si="14"/>
        <v>20.285975863389297</v>
      </c>
      <c r="H39" s="80">
        <f t="shared" si="14"/>
        <v>22.790412820024482</v>
      </c>
      <c r="AI39" s="77" t="s">
        <v>55</v>
      </c>
      <c r="AJ39" s="77" t="s">
        <v>111</v>
      </c>
    </row>
    <row r="40" spans="1:36" s="70" customFormat="1" ht="15.75" customHeight="1">
      <c r="A40" s="77" t="s">
        <v>57</v>
      </c>
      <c r="B40" s="89" t="s">
        <v>112</v>
      </c>
      <c r="C40" s="103">
        <f>+C21/C39</f>
        <v>343732.44767494773</v>
      </c>
      <c r="D40" s="103">
        <f t="shared" ref="D40:H40" si="15">+D21/D39</f>
        <v>362369.71259693912</v>
      </c>
      <c r="E40" s="103">
        <f t="shared" si="15"/>
        <v>382705.0764109192</v>
      </c>
      <c r="F40" s="103">
        <f t="shared" si="15"/>
        <v>404976.93280219421</v>
      </c>
      <c r="G40" s="103">
        <f t="shared" si="15"/>
        <v>429470.47419706418</v>
      </c>
      <c r="H40" s="103">
        <f t="shared" si="15"/>
        <v>1911379.9610389508</v>
      </c>
      <c r="AI40" s="77" t="s">
        <v>57</v>
      </c>
      <c r="AJ40" s="77" t="s">
        <v>112</v>
      </c>
    </row>
    <row r="41" spans="1:36" s="70" customFormat="1" ht="15.75" customHeight="1">
      <c r="A41" s="77" t="s">
        <v>113</v>
      </c>
      <c r="B41" s="82" t="s">
        <v>114</v>
      </c>
      <c r="C41" s="88"/>
      <c r="D41" s="88"/>
      <c r="E41" s="88"/>
      <c r="F41" s="88"/>
      <c r="G41" s="88"/>
      <c r="H41" s="88"/>
      <c r="AI41" s="77" t="s">
        <v>113</v>
      </c>
      <c r="AJ41" s="82" t="s">
        <v>114</v>
      </c>
    </row>
    <row r="42" spans="1:36" s="70" customFormat="1" ht="15.75" customHeight="1">
      <c r="A42" s="77" t="s">
        <v>55</v>
      </c>
      <c r="B42" s="77" t="s">
        <v>115</v>
      </c>
      <c r="C42" s="88">
        <f>+C15/C4</f>
        <v>25.285992611111112</v>
      </c>
      <c r="D42" s="88">
        <f t="shared" ref="D42:H42" si="16">+D15/D4</f>
        <v>25.285992611111112</v>
      </c>
      <c r="E42" s="88">
        <f t="shared" si="16"/>
        <v>25.285992611111112</v>
      </c>
      <c r="F42" s="88">
        <f t="shared" si="16"/>
        <v>25.285992611111112</v>
      </c>
      <c r="G42" s="88">
        <f t="shared" si="16"/>
        <v>25.285992611111112</v>
      </c>
      <c r="H42" s="88">
        <f t="shared" si="16"/>
        <v>25.285992611111112</v>
      </c>
      <c r="AI42" s="77" t="s">
        <v>55</v>
      </c>
      <c r="AJ42" s="77" t="s">
        <v>115</v>
      </c>
    </row>
    <row r="43" spans="1:36" s="70" customFormat="1" ht="15.75" customHeight="1">
      <c r="A43" s="77" t="s">
        <v>57</v>
      </c>
      <c r="B43" s="77" t="s">
        <v>116</v>
      </c>
      <c r="C43" s="88">
        <f>+C17/C4</f>
        <v>4.8910298399999999</v>
      </c>
      <c r="D43" s="88">
        <f t="shared" ref="D43:H43" si="17">+D17/D4</f>
        <v>4.8910298399999999</v>
      </c>
      <c r="E43" s="88">
        <f t="shared" si="17"/>
        <v>4.8910298399999999</v>
      </c>
      <c r="F43" s="88">
        <f t="shared" si="17"/>
        <v>4.8910298399999999</v>
      </c>
      <c r="G43" s="88">
        <f t="shared" si="17"/>
        <v>4.8910298399999999</v>
      </c>
      <c r="H43" s="88">
        <f t="shared" si="17"/>
        <v>4.8910298400000007</v>
      </c>
      <c r="AI43" s="77" t="s">
        <v>57</v>
      </c>
      <c r="AJ43" s="77" t="s">
        <v>116</v>
      </c>
    </row>
    <row r="44" spans="1:36" s="70" customFormat="1" ht="15.75" customHeight="1">
      <c r="A44" s="77" t="s">
        <v>102</v>
      </c>
      <c r="B44" s="77" t="s">
        <v>117</v>
      </c>
      <c r="C44" s="88">
        <f>+C18/C4</f>
        <v>7.5071620799999996</v>
      </c>
      <c r="D44" s="88">
        <f t="shared" ref="D44:H44" si="18">+D18/D4</f>
        <v>7.5071620799999996</v>
      </c>
      <c r="E44" s="88">
        <f t="shared" si="18"/>
        <v>7.5071620799999996</v>
      </c>
      <c r="F44" s="88">
        <f t="shared" si="18"/>
        <v>7.5071620799999996</v>
      </c>
      <c r="G44" s="88">
        <f t="shared" si="18"/>
        <v>7.5071620799999996</v>
      </c>
      <c r="H44" s="88">
        <f t="shared" si="18"/>
        <v>7.5071620799999996</v>
      </c>
      <c r="AI44" s="77" t="s">
        <v>102</v>
      </c>
      <c r="AJ44" s="77" t="s">
        <v>117</v>
      </c>
    </row>
    <row r="45" spans="1:36" s="70" customFormat="1" ht="15.75" customHeight="1">
      <c r="A45" s="77" t="s">
        <v>60</v>
      </c>
      <c r="B45" s="77" t="s">
        <v>118</v>
      </c>
      <c r="C45" s="88">
        <f>C19/C4</f>
        <v>0.62222222222222223</v>
      </c>
      <c r="D45" s="88">
        <f t="shared" ref="D45:H45" si="19">D19/D4</f>
        <v>0.62222222222222223</v>
      </c>
      <c r="E45" s="88">
        <f t="shared" si="19"/>
        <v>0.62222222222222223</v>
      </c>
      <c r="F45" s="88">
        <f t="shared" si="19"/>
        <v>0.62222222222222223</v>
      </c>
      <c r="G45" s="88">
        <f t="shared" si="19"/>
        <v>0.62222222222222223</v>
      </c>
      <c r="H45" s="88">
        <f t="shared" si="19"/>
        <v>0.62222222222222223</v>
      </c>
      <c r="AI45" s="77" t="s">
        <v>60</v>
      </c>
      <c r="AJ45" s="77" t="s">
        <v>119</v>
      </c>
    </row>
    <row r="46" spans="1:36" s="70" customFormat="1" ht="15.75" customHeight="1">
      <c r="A46" s="77" t="s">
        <v>62</v>
      </c>
      <c r="B46" s="77" t="s">
        <v>120</v>
      </c>
      <c r="C46" s="88">
        <f>C20/C4</f>
        <v>10.094858100000001</v>
      </c>
      <c r="D46" s="88">
        <f t="shared" ref="D46:H46" si="20">D20/D4</f>
        <v>10.094858100000001</v>
      </c>
      <c r="E46" s="88">
        <f t="shared" si="20"/>
        <v>10.094858100000001</v>
      </c>
      <c r="F46" s="88">
        <f t="shared" si="20"/>
        <v>10.094858100000001</v>
      </c>
      <c r="G46" s="88">
        <f t="shared" si="20"/>
        <v>10.094858100000001</v>
      </c>
      <c r="H46" s="88">
        <f t="shared" si="20"/>
        <v>10.094858100000001</v>
      </c>
      <c r="AI46" s="77" t="s">
        <v>62</v>
      </c>
      <c r="AJ46" s="77" t="s">
        <v>120</v>
      </c>
    </row>
    <row r="47" spans="1:36" s="70" customFormat="1" ht="15.75" customHeight="1">
      <c r="A47" s="77" t="s">
        <v>121</v>
      </c>
      <c r="B47" s="82" t="s">
        <v>122</v>
      </c>
      <c r="C47" s="88"/>
      <c r="D47" s="88"/>
      <c r="E47" s="88"/>
      <c r="F47" s="88"/>
      <c r="G47" s="88"/>
      <c r="H47" s="88"/>
      <c r="AI47" s="77" t="s">
        <v>121</v>
      </c>
      <c r="AJ47" s="82" t="s">
        <v>122</v>
      </c>
    </row>
    <row r="48" spans="1:36" s="70" customFormat="1" ht="15.75" customHeight="1">
      <c r="A48" s="77" t="s">
        <v>55</v>
      </c>
      <c r="B48" s="77" t="s">
        <v>123</v>
      </c>
      <c r="C48" s="91">
        <f>+(C11+C17)/C7</f>
        <v>4.4479223469223401E-2</v>
      </c>
      <c r="D48" s="91">
        <f t="shared" ref="D48:H48" si="21">+(D11+D17)/D7</f>
        <v>4.5386962723697348E-2</v>
      </c>
      <c r="E48" s="91">
        <f t="shared" si="21"/>
        <v>4.6313227269078931E-2</v>
      </c>
      <c r="F48" s="91">
        <f t="shared" si="21"/>
        <v>4.725839517252952E-2</v>
      </c>
      <c r="G48" s="91">
        <f t="shared" si="21"/>
        <v>4.8222852216866861E-2</v>
      </c>
      <c r="H48" s="91">
        <f t="shared" si="21"/>
        <v>4.6294330081646032E-2</v>
      </c>
      <c r="AI48" s="77" t="s">
        <v>55</v>
      </c>
      <c r="AJ48" s="77" t="s">
        <v>123</v>
      </c>
    </row>
    <row r="49" spans="1:36" s="70" customFormat="1" ht="15.75" customHeight="1">
      <c r="A49" s="77" t="s">
        <v>57</v>
      </c>
      <c r="B49" s="77" t="s">
        <v>124</v>
      </c>
      <c r="C49" s="91">
        <f>+(C9+C10+C15)/C7</f>
        <v>0.20172177867209884</v>
      </c>
      <c r="D49" s="91">
        <f t="shared" ref="D49:H49" si="22">+(D9+D10+D15)/D7</f>
        <v>0.20583854966540699</v>
      </c>
      <c r="E49" s="91">
        <f t="shared" si="22"/>
        <v>0.21003933639327246</v>
      </c>
      <c r="F49" s="91">
        <f t="shared" si="22"/>
        <v>0.21432585346252292</v>
      </c>
      <c r="G49" s="91">
        <f t="shared" si="22"/>
        <v>0.21869985047196219</v>
      </c>
      <c r="H49" s="91">
        <f t="shared" si="22"/>
        <v>0.20995363403690148</v>
      </c>
      <c r="AI49" s="77" t="s">
        <v>57</v>
      </c>
      <c r="AJ49" s="77" t="s">
        <v>124</v>
      </c>
    </row>
    <row r="50" spans="1:36" s="70" customFormat="1" ht="15.75" customHeight="1">
      <c r="A50" s="77" t="s">
        <v>102</v>
      </c>
      <c r="B50" s="77" t="s">
        <v>125</v>
      </c>
      <c r="C50" s="91">
        <f>+C18/C7</f>
        <v>2.6399999999999996E-2</v>
      </c>
      <c r="D50" s="91">
        <f t="shared" ref="D50:H50" si="23">+D18/D7</f>
        <v>2.6938775510204082E-2</v>
      </c>
      <c r="E50" s="91">
        <f t="shared" si="23"/>
        <v>2.7488546438983755E-2</v>
      </c>
      <c r="F50" s="91">
        <f t="shared" si="23"/>
        <v>2.8049537182636485E-2</v>
      </c>
      <c r="G50" s="91">
        <f t="shared" si="23"/>
        <v>2.862197671697601E-2</v>
      </c>
      <c r="H50" s="91">
        <f t="shared" si="23"/>
        <v>2.7477330286602545E-2</v>
      </c>
      <c r="AI50" s="77" t="s">
        <v>102</v>
      </c>
      <c r="AJ50" s="77" t="s">
        <v>125</v>
      </c>
    </row>
    <row r="51" spans="1:36" s="70" customFormat="1" ht="15.75" customHeight="1">
      <c r="A51" s="77" t="s">
        <v>60</v>
      </c>
      <c r="B51" s="77" t="s">
        <v>126</v>
      </c>
      <c r="C51" s="91">
        <f>+C19/C7</f>
        <v>2.1881326780501145E-3</v>
      </c>
      <c r="D51" s="91">
        <f t="shared" ref="D51:H51" si="24">+D19/D7</f>
        <v>2.2327884469899128E-3</v>
      </c>
      <c r="E51" s="91">
        <f t="shared" si="24"/>
        <v>2.2783555581529723E-3</v>
      </c>
      <c r="F51" s="91">
        <f t="shared" si="24"/>
        <v>2.3248526103601757E-3</v>
      </c>
      <c r="G51" s="91">
        <f t="shared" si="24"/>
        <v>2.3722985820001795E-3</v>
      </c>
      <c r="H51" s="91">
        <f t="shared" si="24"/>
        <v>2.2774259206701192E-3</v>
      </c>
      <c r="AI51" s="77" t="s">
        <v>60</v>
      </c>
      <c r="AJ51" s="77" t="s">
        <v>126</v>
      </c>
    </row>
    <row r="52" spans="1:36" s="70" customFormat="1" ht="15.75" customHeight="1">
      <c r="A52" s="77" t="s">
        <v>62</v>
      </c>
      <c r="B52" s="77" t="s">
        <v>127</v>
      </c>
      <c r="C52" s="91">
        <f>+C20/C7</f>
        <v>3.5500000000000004E-2</v>
      </c>
      <c r="D52" s="91">
        <f t="shared" ref="D52:H52" si="25">+D20/D7</f>
        <v>3.6224489795918378E-2</v>
      </c>
      <c r="E52" s="91">
        <f t="shared" si="25"/>
        <v>3.6963765097875891E-2</v>
      </c>
      <c r="F52" s="91">
        <f t="shared" si="25"/>
        <v>3.7718127650893774E-2</v>
      </c>
      <c r="G52" s="91">
        <f t="shared" si="25"/>
        <v>3.848788535805487E-2</v>
      </c>
      <c r="H52" s="91">
        <f t="shared" si="25"/>
        <v>3.6948682771757217E-2</v>
      </c>
      <c r="AI52" s="77" t="s">
        <v>62</v>
      </c>
      <c r="AJ52" s="77" t="s">
        <v>127</v>
      </c>
    </row>
    <row r="53" spans="1:36" s="70" customFormat="1" ht="15.75" customHeight="1">
      <c r="A53" s="77" t="s">
        <v>66</v>
      </c>
      <c r="B53" s="77" t="s">
        <v>128</v>
      </c>
      <c r="C53" s="91">
        <f>+C24/C7</f>
        <v>-8.1201810345628705E-2</v>
      </c>
      <c r="D53" s="91">
        <f t="shared" ref="D53:H53" si="26">+D24/D7</f>
        <v>-8.7409692408914663E-2</v>
      </c>
      <c r="E53" s="91">
        <f t="shared" si="26"/>
        <v>-9.3871357024061838E-2</v>
      </c>
      <c r="F53" s="91">
        <f t="shared" si="26"/>
        <v>-0.10046489234564077</v>
      </c>
      <c r="G53" s="91">
        <f t="shared" si="26"/>
        <v>-0.1071929896125581</v>
      </c>
      <c r="H53" s="91">
        <f t="shared" si="26"/>
        <v>-9.3739529364275251E-2</v>
      </c>
      <c r="AI53" s="77" t="s">
        <v>66</v>
      </c>
      <c r="AJ53" s="77" t="s">
        <v>129</v>
      </c>
    </row>
    <row r="54" spans="1:36" s="70" customFormat="1" ht="15.75" customHeight="1">
      <c r="A54" s="77" t="s">
        <v>130</v>
      </c>
      <c r="B54" s="82" t="s">
        <v>131</v>
      </c>
      <c r="C54" s="88">
        <f>+C22/C4</f>
        <v>-23.055308332409357</v>
      </c>
      <c r="D54" s="88">
        <f t="shared" ref="D54:H54" si="27">+D22/D4</f>
        <v>-24.358892186027827</v>
      </c>
      <c r="E54" s="88">
        <f t="shared" si="27"/>
        <v>-25.636404362573909</v>
      </c>
      <c r="F54" s="88">
        <f t="shared" si="27"/>
        <v>-26.888366295589112</v>
      </c>
      <c r="G54" s="88">
        <f t="shared" si="27"/>
        <v>-28.11528898994403</v>
      </c>
      <c r="H54" s="88">
        <f t="shared" si="27"/>
        <v>-25.610852033308849</v>
      </c>
      <c r="AI54" s="77" t="s">
        <v>130</v>
      </c>
      <c r="AJ54" s="82" t="s">
        <v>131</v>
      </c>
    </row>
    <row r="55" spans="1:36" s="70" customFormat="1" ht="32.25" customHeight="1">
      <c r="A55" s="77" t="s">
        <v>132</v>
      </c>
      <c r="B55" s="114" t="s">
        <v>133</v>
      </c>
      <c r="C55" s="114"/>
      <c r="D55" s="88"/>
      <c r="E55" s="88"/>
      <c r="F55" s="88"/>
      <c r="G55" s="88"/>
      <c r="H55" s="88"/>
      <c r="AI55" s="77"/>
      <c r="AJ55" s="82"/>
    </row>
    <row r="56" spans="1:36" s="70" customFormat="1" ht="15.75" customHeight="1">
      <c r="A56" s="77" t="s">
        <v>55</v>
      </c>
      <c r="B56" s="77" t="s">
        <v>134</v>
      </c>
      <c r="C56" s="88">
        <f>C57+C58</f>
        <v>2290000</v>
      </c>
      <c r="D56" s="88"/>
      <c r="E56" s="88"/>
      <c r="F56" s="88"/>
      <c r="G56" s="88"/>
      <c r="H56" s="88"/>
    </row>
    <row r="57" spans="1:36" s="70" customFormat="1" ht="15.75" customHeight="1">
      <c r="A57" s="77">
        <v>1.1000000000000001</v>
      </c>
      <c r="B57" s="115" t="s">
        <v>135</v>
      </c>
      <c r="C57" s="88">
        <f>项目投资!B27</f>
        <v>560000</v>
      </c>
      <c r="D57" s="88"/>
      <c r="E57" s="88"/>
      <c r="F57" s="88"/>
      <c r="G57" s="88"/>
      <c r="H57" s="88"/>
    </row>
    <row r="58" spans="1:36" s="70" customFormat="1" ht="15.75" customHeight="1">
      <c r="A58" s="77">
        <v>1.2</v>
      </c>
      <c r="B58" s="77" t="s">
        <v>136</v>
      </c>
      <c r="C58" s="88">
        <f>项目投资!B26</f>
        <v>1730000</v>
      </c>
      <c r="D58" s="88"/>
      <c r="E58" s="88"/>
      <c r="F58" s="88"/>
      <c r="G58" s="88"/>
      <c r="H58" s="88"/>
    </row>
    <row r="59" spans="1:36" ht="15.75" customHeight="1">
      <c r="A59" s="106" t="s">
        <v>57</v>
      </c>
      <c r="B59" s="106" t="s">
        <v>137</v>
      </c>
      <c r="C59" s="225">
        <f>C60+C61</f>
        <v>-4156330.5780958328</v>
      </c>
      <c r="D59" s="225">
        <f t="shared" ref="D59:H59" si="28">D60+D61</f>
        <v>-4384600.5934850089</v>
      </c>
      <c r="E59" s="225">
        <f t="shared" si="28"/>
        <v>-4614552.7852633037</v>
      </c>
      <c r="F59" s="225">
        <f t="shared" si="28"/>
        <v>-4839905.9332060404</v>
      </c>
      <c r="G59" s="225">
        <f t="shared" si="28"/>
        <v>-5060752.0181899257</v>
      </c>
      <c r="H59" s="225">
        <f t="shared" si="28"/>
        <v>-23049766.829977963</v>
      </c>
    </row>
    <row r="60" spans="1:36" ht="15.75" customHeight="1">
      <c r="A60" s="106" t="s">
        <v>102</v>
      </c>
      <c r="B60" s="106" t="s">
        <v>138</v>
      </c>
      <c r="C60" s="225">
        <f>C24</f>
        <v>-4156330.5780958328</v>
      </c>
      <c r="D60" s="225">
        <f t="shared" ref="D60:H60" si="29">D24</f>
        <v>-4384600.5934850089</v>
      </c>
      <c r="E60" s="225">
        <f t="shared" si="29"/>
        <v>-4614552.7852633037</v>
      </c>
      <c r="F60" s="225">
        <f t="shared" si="29"/>
        <v>-4839905.9332060404</v>
      </c>
      <c r="G60" s="225">
        <f t="shared" si="29"/>
        <v>-5060752.0181899257</v>
      </c>
      <c r="H60" s="225">
        <f t="shared" si="29"/>
        <v>-23049766.829977963</v>
      </c>
    </row>
    <row r="61" spans="1:36" ht="15.75" customHeight="1">
      <c r="A61" s="106" t="s">
        <v>60</v>
      </c>
      <c r="B61" s="106" t="s">
        <v>139</v>
      </c>
      <c r="C61" s="106"/>
      <c r="D61" s="116">
        <f>'[2]2023年'!I18</f>
        <v>0</v>
      </c>
      <c r="E61" s="116"/>
      <c r="F61" s="116"/>
      <c r="G61" s="116"/>
      <c r="H61" s="116">
        <f>[2]项目投资!G26</f>
        <v>0</v>
      </c>
    </row>
    <row r="62" spans="1:36" ht="15.75" customHeight="1">
      <c r="A62" s="106" t="s">
        <v>62</v>
      </c>
      <c r="B62" s="106" t="s">
        <v>140</v>
      </c>
      <c r="C62" s="106"/>
      <c r="D62" s="117"/>
      <c r="E62" s="117"/>
      <c r="F62" s="117"/>
      <c r="G62" s="117"/>
      <c r="H62" s="116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L41" sqref="L41"/>
    </sheetView>
  </sheetViews>
  <sheetFormatPr defaultColWidth="9" defaultRowHeight="16.5"/>
  <cols>
    <col min="1" max="1" width="5.125" style="70" customWidth="1"/>
    <col min="2" max="2" width="17.5" style="70" customWidth="1"/>
    <col min="3" max="19" width="14.375" style="73" customWidth="1"/>
    <col min="20" max="20" width="18.75" style="73" customWidth="1"/>
    <col min="21" max="21" width="12.375" style="70" customWidth="1"/>
    <col min="22" max="22" width="10.125" style="70" customWidth="1"/>
    <col min="23" max="29" width="9" style="70" customWidth="1"/>
    <col min="30" max="43" width="9" style="70"/>
    <col min="44" max="44" width="4.375" style="70" customWidth="1"/>
    <col min="45" max="45" width="13.875" style="70" customWidth="1"/>
    <col min="46" max="16384" width="9" style="70"/>
  </cols>
  <sheetData>
    <row r="1" spans="1:46">
      <c r="A1" s="244" t="s">
        <v>141</v>
      </c>
      <c r="B1" s="244"/>
      <c r="C1" s="248" t="s">
        <v>264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46">
      <c r="A2" s="244" t="s">
        <v>142</v>
      </c>
      <c r="B2" s="244"/>
      <c r="C2" s="251" t="s">
        <v>294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46" ht="22.5">
      <c r="A3" s="244" t="s">
        <v>143</v>
      </c>
      <c r="B3" s="244"/>
      <c r="C3" s="75" t="str">
        <f>销量!C5</f>
        <v>驾驶员座总成</v>
      </c>
      <c r="D3" s="75" t="str">
        <f>销量!D5</f>
        <v>驾驶员座总成</v>
      </c>
      <c r="E3" s="75" t="str">
        <f>销量!E5</f>
        <v>驾驶员座总成</v>
      </c>
      <c r="F3" s="75" t="str">
        <f>销量!F5</f>
        <v>驾驶员座总成</v>
      </c>
      <c r="G3" s="75" t="str">
        <f>销量!G5</f>
        <v>驾驶员座总成</v>
      </c>
      <c r="H3" s="75" t="str">
        <f>销量!H5</f>
        <v>固定支架焊接总成-连接主副靠背</v>
      </c>
      <c r="I3" s="75" t="str">
        <f>销量!I5</f>
        <v>前座座垫总成</v>
      </c>
      <c r="J3" s="75" t="str">
        <f>销量!J5</f>
        <v>前座座垫总成</v>
      </c>
      <c r="K3" s="75" t="str">
        <f>销量!K5</f>
        <v>前座座垫总成</v>
      </c>
      <c r="L3" s="75" t="str">
        <f>销量!L5</f>
        <v>前座座垫总成</v>
      </c>
      <c r="M3" s="75" t="str">
        <f>销量!M5</f>
        <v>主靠背总成-前座</v>
      </c>
      <c r="N3" s="75" t="str">
        <f>销量!N5</f>
        <v>主靠背总成-前座</v>
      </c>
      <c r="O3" s="75" t="str">
        <f>销量!O5</f>
        <v>副靠背总成-前座</v>
      </c>
      <c r="P3" s="75" t="str">
        <f>销量!P5</f>
        <v>副靠背总成-前座</v>
      </c>
      <c r="Q3" s="75" t="str">
        <f>销量!Q5</f>
        <v>副靠背总成-前座</v>
      </c>
      <c r="R3" s="75">
        <f>销量!R5</f>
        <v>0</v>
      </c>
      <c r="S3" s="75">
        <f>销量!S5</f>
        <v>0</v>
      </c>
      <c r="T3" s="245" t="s">
        <v>51</v>
      </c>
    </row>
    <row r="4" spans="1:46">
      <c r="A4" s="244" t="s">
        <v>144</v>
      </c>
      <c r="B4" s="244"/>
      <c r="C4" s="75" t="str">
        <f>销量!C6</f>
        <v>6800010-J36-C00</v>
      </c>
      <c r="D4" s="75" t="str">
        <f>销量!D6</f>
        <v>6800010-J37-C00</v>
      </c>
      <c r="E4" s="75" t="str">
        <f>销量!E6</f>
        <v>6800010AJ36-C00</v>
      </c>
      <c r="F4" s="75" t="str">
        <f>销量!F6</f>
        <v>6800010AJ37-C00</v>
      </c>
      <c r="G4" s="75" t="str">
        <f>销量!G6</f>
        <v>6800010BJ37-C00</v>
      </c>
      <c r="H4" s="75" t="str">
        <f>销量!H6</f>
        <v>6900015-J37-C00</v>
      </c>
      <c r="I4" s="75" t="str">
        <f>销量!I6</f>
        <v>6903010-J36-C00</v>
      </c>
      <c r="J4" s="75" t="str">
        <f>销量!J6</f>
        <v>6903010-J37-C00</v>
      </c>
      <c r="K4" s="75" t="str">
        <f>销量!K6</f>
        <v>6903010AJ37-C00</v>
      </c>
      <c r="L4" s="75" t="str">
        <f>销量!L6</f>
        <v>6903010BJ37-C00</v>
      </c>
      <c r="M4" s="75" t="str">
        <f>销量!M6</f>
        <v>6905020-J37-C00</v>
      </c>
      <c r="N4" s="75">
        <f>销量!N6</f>
        <v>0</v>
      </c>
      <c r="O4" s="75" t="str">
        <f>销量!O6</f>
        <v>6905100-J36-C00</v>
      </c>
      <c r="P4" s="75" t="str">
        <f>销量!P6</f>
        <v>6905100-J37-C00</v>
      </c>
      <c r="Q4" s="75">
        <f>销量!Q6</f>
        <v>0</v>
      </c>
      <c r="R4" s="75">
        <f>销量!R6</f>
        <v>0</v>
      </c>
      <c r="S4" s="75">
        <f>销量!S6</f>
        <v>0</v>
      </c>
      <c r="T4" s="246"/>
    </row>
    <row r="5" spans="1:46" ht="31.5" customHeight="1">
      <c r="A5" s="244" t="s">
        <v>145</v>
      </c>
      <c r="B5" s="244"/>
      <c r="C5" s="76" t="str">
        <f>销量!C7</f>
        <v>靠背角度调整，座椅前后调节，通风加热，通风织物，右侧单扶手，L型头枕，左侧半包围</v>
      </c>
      <c r="D5" s="76" t="str">
        <f>销量!D7</f>
        <v>空气减震，靠背角度调整，座椅前后调节，气动腰托，通风加热，超纤皮，右侧单扶手，音乐头枕+靠背按摩，左侧半包围</v>
      </c>
      <c r="E5" s="76" t="str">
        <f>销量!E7</f>
        <v>靠背角度调整，座椅前后调节，通风织物，右侧单扶手，L型头枕，左侧半包围</v>
      </c>
      <c r="F5" s="76" t="str">
        <f>销量!F7</f>
        <v>空气减震，靠背角度调整，座椅前后调节，气动腰托，通风加热，超纤皮，右侧单扶手，L型头枕，左侧半包围</v>
      </c>
      <c r="G5" s="76" t="str">
        <f>销量!G7</f>
        <v>靠背角度调整，座椅前后调节，通风加热，通风织物，右侧单扶手，L型头枕，左侧半包围</v>
      </c>
      <c r="H5" s="76">
        <f>销量!H7</f>
        <v>0</v>
      </c>
      <c r="I5" s="76" t="str">
        <f>销量!I7</f>
        <v>通风织物，固定式</v>
      </c>
      <c r="J5" s="76" t="str">
        <f>销量!J7</f>
        <v>抽拉功能，超纤</v>
      </c>
      <c r="K5" s="76" t="str">
        <f>销量!K7</f>
        <v>抽拉功能，通风织物</v>
      </c>
      <c r="L5" s="76" t="str">
        <f>销量!L7</f>
        <v>通风织物，固定式</v>
      </c>
      <c r="M5" s="76" t="str">
        <f>销量!M7</f>
        <v>主靠背向前放平，中间座向前放平，L型头枕，中间座靠背集成放物盒</v>
      </c>
      <c r="N5" s="76" t="str">
        <f>销量!N7</f>
        <v>参考6905020-H26-C00织物</v>
      </c>
      <c r="O5" s="76" t="str">
        <f>销量!O7</f>
        <v>主靠背向前放平，中间座向前放平，L型头枕，中间座靠背集成放物盒</v>
      </c>
      <c r="P5" s="76" t="str">
        <f>销量!P7</f>
        <v>主靠背向前放平，中间座向前放平，L型头枕，中间座靠背集成放物盒</v>
      </c>
      <c r="Q5" s="76" t="str">
        <f>销量!Q7</f>
        <v>参考6905100-H22-C00织物</v>
      </c>
      <c r="R5" s="76">
        <f>销量!R7</f>
        <v>0</v>
      </c>
      <c r="S5" s="76">
        <f>销量!S7</f>
        <v>0</v>
      </c>
      <c r="T5" s="247"/>
      <c r="AT5" s="70" t="s">
        <v>52</v>
      </c>
    </row>
    <row r="6" spans="1:46" ht="17.25">
      <c r="A6" s="77" t="s">
        <v>18</v>
      </c>
      <c r="B6" s="78" t="s">
        <v>146</v>
      </c>
      <c r="C6" s="97">
        <f>销量!C9</f>
        <v>3600</v>
      </c>
      <c r="D6" s="97">
        <f>销量!D9</f>
        <v>0</v>
      </c>
      <c r="E6" s="97">
        <f>销量!E9</f>
        <v>3600</v>
      </c>
      <c r="F6" s="97">
        <f>销量!F9</f>
        <v>14400</v>
      </c>
      <c r="G6" s="97">
        <f>销量!G9</f>
        <v>14400</v>
      </c>
      <c r="H6" s="97">
        <f>销量!H9</f>
        <v>36000</v>
      </c>
      <c r="I6" s="97">
        <f>销量!I9</f>
        <v>7200</v>
      </c>
      <c r="J6" s="97">
        <f>销量!J9</f>
        <v>14400</v>
      </c>
      <c r="K6" s="97">
        <f>销量!K9</f>
        <v>7200</v>
      </c>
      <c r="L6" s="97">
        <f>销量!L9</f>
        <v>7200</v>
      </c>
      <c r="M6" s="97">
        <f>销量!M9</f>
        <v>14400</v>
      </c>
      <c r="N6" s="97">
        <f>销量!N9</f>
        <v>21600</v>
      </c>
      <c r="O6" s="97">
        <f>销量!O9</f>
        <v>7200</v>
      </c>
      <c r="P6" s="97">
        <f>销量!P9</f>
        <v>14400</v>
      </c>
      <c r="Q6" s="97">
        <f>销量!Q9</f>
        <v>14400</v>
      </c>
      <c r="R6" s="97">
        <f>销量!R9</f>
        <v>0</v>
      </c>
      <c r="S6" s="97">
        <f>销量!S9</f>
        <v>0</v>
      </c>
      <c r="T6" s="80">
        <f>+SUM(C6:S6)</f>
        <v>180000</v>
      </c>
      <c r="AR6" s="77" t="s">
        <v>18</v>
      </c>
      <c r="AS6" s="78" t="s">
        <v>3</v>
      </c>
      <c r="AT6" s="70" t="s">
        <v>53</v>
      </c>
    </row>
    <row r="7" spans="1:46">
      <c r="A7" s="74">
        <v>1</v>
      </c>
      <c r="B7" s="78" t="s">
        <v>54</v>
      </c>
      <c r="C7" s="80">
        <f>C6*销量!C8</f>
        <v>2776572</v>
      </c>
      <c r="D7" s="80">
        <f>D6*销量!D8</f>
        <v>0</v>
      </c>
      <c r="E7" s="80">
        <f>E6*销量!E8</f>
        <v>1465200</v>
      </c>
      <c r="F7" s="80">
        <f>F6*销量!F8</f>
        <v>17455680</v>
      </c>
      <c r="G7" s="80">
        <f>G6*销量!G8</f>
        <v>11106288</v>
      </c>
      <c r="H7" s="80">
        <f>H6*销量!H8</f>
        <v>324000</v>
      </c>
      <c r="I7" s="80">
        <f>I6*销量!I8</f>
        <v>920592</v>
      </c>
      <c r="J7" s="80">
        <f>J6*销量!J8</f>
        <v>4553856</v>
      </c>
      <c r="K7" s="80">
        <f>K6*销量!K8</f>
        <v>2089584.0000000002</v>
      </c>
      <c r="L7" s="80">
        <f>L6*销量!L8</f>
        <v>1007352</v>
      </c>
      <c r="M7" s="80">
        <f>M6*销量!M8</f>
        <v>2229264</v>
      </c>
      <c r="N7" s="80">
        <f>N6*销量!N8</f>
        <v>2598696</v>
      </c>
      <c r="O7" s="80">
        <f>O6*销量!O8</f>
        <v>766224</v>
      </c>
      <c r="P7" s="80">
        <f>P6*销量!P8</f>
        <v>2077488.0000000002</v>
      </c>
      <c r="Q7" s="80">
        <f>Q6*销量!Q8</f>
        <v>1814400</v>
      </c>
      <c r="R7" s="80">
        <f>R6*销量!R8</f>
        <v>0</v>
      </c>
      <c r="S7" s="80">
        <f>S6*销量!S8</f>
        <v>0</v>
      </c>
      <c r="T7" s="80">
        <f t="shared" ref="T7:T26" si="0">+SUM(C7:S7)</f>
        <v>51185196</v>
      </c>
      <c r="U7" s="73"/>
      <c r="AR7" s="77" t="s">
        <v>55</v>
      </c>
      <c r="AS7" s="78" t="s">
        <v>54</v>
      </c>
      <c r="AT7" s="70" t="s">
        <v>53</v>
      </c>
    </row>
    <row r="8" spans="1:46">
      <c r="A8" s="74">
        <v>2</v>
      </c>
      <c r="B8" s="74" t="s">
        <v>56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>
        <f t="shared" si="0"/>
        <v>0</v>
      </c>
      <c r="U8" s="81"/>
      <c r="AR8" s="77" t="s">
        <v>57</v>
      </c>
      <c r="AS8" s="74" t="s">
        <v>58</v>
      </c>
      <c r="AT8" s="70" t="s">
        <v>53</v>
      </c>
    </row>
    <row r="9" spans="1:46">
      <c r="A9" s="74">
        <v>3</v>
      </c>
      <c r="B9" s="78" t="s">
        <v>59</v>
      </c>
      <c r="C9" s="80">
        <f>+C7-C8</f>
        <v>2776572</v>
      </c>
      <c r="D9" s="80">
        <f t="shared" ref="D9:Q9" si="1">+D7-D8</f>
        <v>0</v>
      </c>
      <c r="E9" s="80">
        <f t="shared" si="1"/>
        <v>1465200</v>
      </c>
      <c r="F9" s="80">
        <f t="shared" si="1"/>
        <v>17455680</v>
      </c>
      <c r="G9" s="80">
        <f t="shared" si="1"/>
        <v>11106288</v>
      </c>
      <c r="H9" s="80">
        <f t="shared" si="1"/>
        <v>324000</v>
      </c>
      <c r="I9" s="80">
        <f t="shared" si="1"/>
        <v>920592</v>
      </c>
      <c r="J9" s="80">
        <f t="shared" si="1"/>
        <v>4553856</v>
      </c>
      <c r="K9" s="80">
        <f t="shared" si="1"/>
        <v>2089584.0000000002</v>
      </c>
      <c r="L9" s="80">
        <f t="shared" si="1"/>
        <v>1007352</v>
      </c>
      <c r="M9" s="80">
        <f t="shared" si="1"/>
        <v>2229264</v>
      </c>
      <c r="N9" s="80">
        <f t="shared" si="1"/>
        <v>2598696</v>
      </c>
      <c r="O9" s="80">
        <f t="shared" si="1"/>
        <v>766224</v>
      </c>
      <c r="P9" s="80">
        <f t="shared" si="1"/>
        <v>2077488.0000000002</v>
      </c>
      <c r="Q9" s="80">
        <f t="shared" si="1"/>
        <v>1814400</v>
      </c>
      <c r="R9" s="80">
        <f t="shared" ref="R9:S9" si="2">+R7-R8</f>
        <v>0</v>
      </c>
      <c r="S9" s="80">
        <f t="shared" si="2"/>
        <v>0</v>
      </c>
      <c r="T9" s="80">
        <f t="shared" si="0"/>
        <v>51185196</v>
      </c>
      <c r="AR9" s="77" t="s">
        <v>60</v>
      </c>
      <c r="AS9" s="78" t="s">
        <v>59</v>
      </c>
      <c r="AT9" s="70" t="s">
        <v>61</v>
      </c>
    </row>
    <row r="10" spans="1:46">
      <c r="A10" s="74">
        <v>4</v>
      </c>
      <c r="B10" s="77" t="s">
        <v>63</v>
      </c>
      <c r="C10" s="80">
        <f>C6*C33</f>
        <v>2212164</v>
      </c>
      <c r="D10" s="80">
        <f t="shared" ref="D10:Q10" si="3">D6*D33</f>
        <v>0</v>
      </c>
      <c r="E10" s="80">
        <f t="shared" si="3"/>
        <v>1083204</v>
      </c>
      <c r="F10" s="80">
        <f t="shared" si="3"/>
        <v>12256884.886252321</v>
      </c>
      <c r="G10" s="80">
        <f t="shared" si="3"/>
        <v>8848656</v>
      </c>
      <c r="H10" s="80">
        <f t="shared" si="3"/>
        <v>177120</v>
      </c>
      <c r="I10" s="80">
        <f t="shared" si="3"/>
        <v>644605.78598351998</v>
      </c>
      <c r="J10" s="80">
        <f t="shared" si="3"/>
        <v>4150656</v>
      </c>
      <c r="K10" s="80">
        <f t="shared" si="3"/>
        <v>1833696</v>
      </c>
      <c r="L10" s="80">
        <f t="shared" si="3"/>
        <v>655693.70404320001</v>
      </c>
      <c r="M10" s="80">
        <f t="shared" si="3"/>
        <v>1884852.9287999999</v>
      </c>
      <c r="N10" s="80">
        <f t="shared" si="3"/>
        <v>2445984</v>
      </c>
      <c r="O10" s="80">
        <f t="shared" si="3"/>
        <v>555067.99441368005</v>
      </c>
      <c r="P10" s="80">
        <f t="shared" si="3"/>
        <v>1433556.0179409601</v>
      </c>
      <c r="Q10" s="80">
        <f t="shared" si="3"/>
        <v>1270800</v>
      </c>
      <c r="R10" s="80">
        <f t="shared" ref="R10:S10" si="4">R6*R33</f>
        <v>0</v>
      </c>
      <c r="S10" s="80">
        <f t="shared" si="4"/>
        <v>0</v>
      </c>
      <c r="T10" s="80">
        <f t="shared" si="0"/>
        <v>39452941.317433685</v>
      </c>
      <c r="AR10" s="77" t="s">
        <v>62</v>
      </c>
      <c r="AS10" s="77" t="s">
        <v>63</v>
      </c>
      <c r="AT10" s="70" t="s">
        <v>64</v>
      </c>
    </row>
    <row r="11" spans="1:46">
      <c r="A11" s="74">
        <v>5</v>
      </c>
      <c r="B11" s="77" t="s">
        <v>65</v>
      </c>
      <c r="C11" s="80">
        <f>+C6*C36</f>
        <v>192694.0968</v>
      </c>
      <c r="D11" s="80">
        <f t="shared" ref="D11:Q11" si="5">+D6*D36</f>
        <v>0</v>
      </c>
      <c r="E11" s="80">
        <f t="shared" si="5"/>
        <v>101684.88</v>
      </c>
      <c r="F11" s="80">
        <f t="shared" si="5"/>
        <v>1211424.192</v>
      </c>
      <c r="G11" s="80">
        <f t="shared" si="5"/>
        <v>770776.3872</v>
      </c>
      <c r="H11" s="80">
        <f t="shared" si="5"/>
        <v>22485.600000000002</v>
      </c>
      <c r="I11" s="80">
        <f t="shared" si="5"/>
        <v>63889.084800000011</v>
      </c>
      <c r="J11" s="80">
        <f t="shared" si="5"/>
        <v>316037.60640000005</v>
      </c>
      <c r="K11" s="80">
        <f t="shared" si="5"/>
        <v>145017.12960000001</v>
      </c>
      <c r="L11" s="80">
        <f t="shared" si="5"/>
        <v>69910.228799999997</v>
      </c>
      <c r="M11" s="80">
        <f t="shared" si="5"/>
        <v>154710.9216</v>
      </c>
      <c r="N11" s="80">
        <f t="shared" si="5"/>
        <v>180349.50240000003</v>
      </c>
      <c r="O11" s="80">
        <f t="shared" si="5"/>
        <v>53175.945600000006</v>
      </c>
      <c r="P11" s="80">
        <f t="shared" si="5"/>
        <v>144177.66720000003</v>
      </c>
      <c r="Q11" s="80">
        <f t="shared" si="5"/>
        <v>125919.36000000002</v>
      </c>
      <c r="R11" s="80">
        <f t="shared" ref="R11:S11" si="6">+R6*R36</f>
        <v>0</v>
      </c>
      <c r="S11" s="80">
        <f t="shared" si="6"/>
        <v>0</v>
      </c>
      <c r="T11" s="80">
        <f t="shared" si="0"/>
        <v>3552252.6024000002</v>
      </c>
      <c r="AR11" s="77" t="s">
        <v>66</v>
      </c>
      <c r="AS11" s="77" t="s">
        <v>65</v>
      </c>
    </row>
    <row r="12" spans="1:46">
      <c r="A12" s="74">
        <v>6</v>
      </c>
      <c r="B12" s="77" t="s">
        <v>67</v>
      </c>
      <c r="C12" s="80">
        <f>+C6*C37</f>
        <v>120503.2248</v>
      </c>
      <c r="D12" s="80">
        <f t="shared" ref="D12:Q12" si="7">+D6*D37</f>
        <v>0</v>
      </c>
      <c r="E12" s="80">
        <f t="shared" si="7"/>
        <v>63589.680000000008</v>
      </c>
      <c r="F12" s="80">
        <f t="shared" si="7"/>
        <v>757576.5120000001</v>
      </c>
      <c r="G12" s="80">
        <f t="shared" si="7"/>
        <v>482012.89919999999</v>
      </c>
      <c r="H12" s="80">
        <f t="shared" si="7"/>
        <v>14061.6</v>
      </c>
      <c r="I12" s="80">
        <f t="shared" si="7"/>
        <v>39953.692799999997</v>
      </c>
      <c r="J12" s="80">
        <f t="shared" si="7"/>
        <v>197637.3504</v>
      </c>
      <c r="K12" s="80">
        <f t="shared" si="7"/>
        <v>90687.945600000006</v>
      </c>
      <c r="L12" s="80">
        <f t="shared" si="7"/>
        <v>43719.076800000003</v>
      </c>
      <c r="M12" s="80">
        <f t="shared" si="7"/>
        <v>96750.057600000015</v>
      </c>
      <c r="N12" s="80">
        <f t="shared" si="7"/>
        <v>112783.40640000001</v>
      </c>
      <c r="O12" s="80">
        <f t="shared" si="7"/>
        <v>33254.121599999999</v>
      </c>
      <c r="P12" s="80">
        <f t="shared" si="7"/>
        <v>90162.979200000002</v>
      </c>
      <c r="Q12" s="80">
        <f t="shared" si="7"/>
        <v>78744.959999999992</v>
      </c>
      <c r="R12" s="80">
        <f t="shared" ref="R12:S12" si="8">+R6*R37</f>
        <v>0</v>
      </c>
      <c r="S12" s="80">
        <f t="shared" si="8"/>
        <v>0</v>
      </c>
      <c r="T12" s="80">
        <f t="shared" si="0"/>
        <v>2221437.5064000003</v>
      </c>
      <c r="AR12" s="77" t="s">
        <v>68</v>
      </c>
      <c r="AS12" s="77" t="s">
        <v>67</v>
      </c>
    </row>
    <row r="13" spans="1:46">
      <c r="A13" s="74">
        <v>7</v>
      </c>
      <c r="B13" s="77" t="s">
        <v>69</v>
      </c>
      <c r="C13" s="80">
        <f>+C6*C38</f>
        <v>54000</v>
      </c>
      <c r="D13" s="80">
        <f t="shared" ref="D13:Q13" si="9">+D6*D38</f>
        <v>0</v>
      </c>
      <c r="E13" s="80">
        <f t="shared" si="9"/>
        <v>54000</v>
      </c>
      <c r="F13" s="80">
        <f t="shared" si="9"/>
        <v>331200</v>
      </c>
      <c r="G13" s="80">
        <f t="shared" si="9"/>
        <v>216000</v>
      </c>
      <c r="H13" s="80">
        <f t="shared" si="9"/>
        <v>21092.400000000001</v>
      </c>
      <c r="I13" s="80">
        <f t="shared" si="9"/>
        <v>72000</v>
      </c>
      <c r="J13" s="80">
        <f t="shared" si="9"/>
        <v>144000</v>
      </c>
      <c r="K13" s="80">
        <f t="shared" si="9"/>
        <v>72000</v>
      </c>
      <c r="L13" s="80">
        <f t="shared" si="9"/>
        <v>72000</v>
      </c>
      <c r="M13" s="80">
        <f t="shared" si="9"/>
        <v>86400</v>
      </c>
      <c r="N13" s="80">
        <f t="shared" si="9"/>
        <v>129600</v>
      </c>
      <c r="O13" s="80">
        <f t="shared" si="9"/>
        <v>28800</v>
      </c>
      <c r="P13" s="80">
        <f t="shared" si="9"/>
        <v>57600</v>
      </c>
      <c r="Q13" s="80">
        <f t="shared" si="9"/>
        <v>57600</v>
      </c>
      <c r="R13" s="80">
        <f t="shared" ref="R13:S13" si="10">+R6*R38</f>
        <v>0</v>
      </c>
      <c r="S13" s="80">
        <f t="shared" si="10"/>
        <v>0</v>
      </c>
      <c r="T13" s="80">
        <f t="shared" si="0"/>
        <v>1396292.4</v>
      </c>
      <c r="AR13" s="77" t="s">
        <v>70</v>
      </c>
      <c r="AS13" s="77" t="s">
        <v>69</v>
      </c>
      <c r="AT13" s="70" t="s">
        <v>53</v>
      </c>
    </row>
    <row r="14" spans="1:46">
      <c r="A14" s="74">
        <v>8</v>
      </c>
      <c r="B14" s="82" t="s">
        <v>71</v>
      </c>
      <c r="C14" s="80">
        <f>SUM(C11:C13)</f>
        <v>367197.32160000002</v>
      </c>
      <c r="D14" s="80">
        <f t="shared" ref="D14:Q14" si="11">SUM(D11:D13)</f>
        <v>0</v>
      </c>
      <c r="E14" s="80">
        <f t="shared" si="11"/>
        <v>219274.56</v>
      </c>
      <c r="F14" s="80">
        <f t="shared" si="11"/>
        <v>2300200.7039999999</v>
      </c>
      <c r="G14" s="80">
        <f t="shared" si="11"/>
        <v>1468789.2864000001</v>
      </c>
      <c r="H14" s="80">
        <f t="shared" si="11"/>
        <v>57639.600000000006</v>
      </c>
      <c r="I14" s="80">
        <f t="shared" si="11"/>
        <v>175842.7776</v>
      </c>
      <c r="J14" s="80">
        <f t="shared" si="11"/>
        <v>657674.95680000004</v>
      </c>
      <c r="K14" s="80">
        <f t="shared" si="11"/>
        <v>307705.07520000002</v>
      </c>
      <c r="L14" s="80">
        <f t="shared" si="11"/>
        <v>185629.30559999999</v>
      </c>
      <c r="M14" s="80">
        <f t="shared" si="11"/>
        <v>337860.9792</v>
      </c>
      <c r="N14" s="80">
        <f t="shared" si="11"/>
        <v>422732.90880000003</v>
      </c>
      <c r="O14" s="80">
        <f t="shared" si="11"/>
        <v>115230.0672</v>
      </c>
      <c r="P14" s="80">
        <f t="shared" si="11"/>
        <v>291940.64640000003</v>
      </c>
      <c r="Q14" s="80">
        <f t="shared" si="11"/>
        <v>262264.32000000001</v>
      </c>
      <c r="R14" s="80">
        <f t="shared" ref="R14:S14" si="12">SUM(R11:R13)</f>
        <v>0</v>
      </c>
      <c r="S14" s="80">
        <f t="shared" si="12"/>
        <v>0</v>
      </c>
      <c r="T14" s="80">
        <f>SUM(T11:T13)</f>
        <v>7169982.5088</v>
      </c>
      <c r="AR14" s="77" t="s">
        <v>72</v>
      </c>
      <c r="AS14" s="82" t="s">
        <v>71</v>
      </c>
    </row>
    <row r="15" spans="1:46">
      <c r="A15" s="74">
        <v>9</v>
      </c>
      <c r="B15" s="82" t="s">
        <v>73</v>
      </c>
      <c r="C15" s="80">
        <f>+C9-C10-C14</f>
        <v>197210.67839999998</v>
      </c>
      <c r="D15" s="80">
        <f t="shared" ref="D15:Q15" si="13">+D9-D10-D14</f>
        <v>0</v>
      </c>
      <c r="E15" s="80">
        <f t="shared" si="13"/>
        <v>162721.44</v>
      </c>
      <c r="F15" s="80">
        <f t="shared" si="13"/>
        <v>2898594.4097476788</v>
      </c>
      <c r="G15" s="80">
        <f t="shared" si="13"/>
        <v>788842.7135999999</v>
      </c>
      <c r="H15" s="80">
        <f t="shared" si="13"/>
        <v>89240.4</v>
      </c>
      <c r="I15" s="80">
        <f t="shared" si="13"/>
        <v>100143.43641648002</v>
      </c>
      <c r="J15" s="80">
        <f t="shared" si="13"/>
        <v>-254474.95680000004</v>
      </c>
      <c r="K15" s="80">
        <f t="shared" si="13"/>
        <v>-51817.075199999788</v>
      </c>
      <c r="L15" s="80">
        <f t="shared" si="13"/>
        <v>166028.9903568</v>
      </c>
      <c r="M15" s="80">
        <f t="shared" si="13"/>
        <v>6550.0920000001206</v>
      </c>
      <c r="N15" s="80">
        <f t="shared" si="13"/>
        <v>-270020.90880000003</v>
      </c>
      <c r="O15" s="80">
        <f t="shared" si="13"/>
        <v>95925.938386319947</v>
      </c>
      <c r="P15" s="80">
        <f t="shared" si="13"/>
        <v>351991.33565904008</v>
      </c>
      <c r="Q15" s="80">
        <f t="shared" si="13"/>
        <v>281335.67999999999</v>
      </c>
      <c r="R15" s="80">
        <f t="shared" ref="R15:S15" si="14">+R9-R10-R14</f>
        <v>0</v>
      </c>
      <c r="S15" s="80">
        <f t="shared" si="14"/>
        <v>0</v>
      </c>
      <c r="T15" s="80">
        <f t="shared" ref="T15" si="15">+T9-T10-T14</f>
        <v>4562272.173766315</v>
      </c>
      <c r="AR15" s="77" t="s">
        <v>74</v>
      </c>
      <c r="AS15" s="82" t="s">
        <v>73</v>
      </c>
    </row>
    <row r="16" spans="1:46">
      <c r="A16" s="74">
        <v>10</v>
      </c>
      <c r="B16" s="77" t="s">
        <v>75</v>
      </c>
      <c r="C16" s="83">
        <f>+C15/C9</f>
        <v>7.1026675483293777E-2</v>
      </c>
      <c r="D16" s="83" t="e">
        <f t="shared" ref="D16:Q16" si="16">+D15/D9</f>
        <v>#DIV/0!</v>
      </c>
      <c r="E16" s="83">
        <f t="shared" si="16"/>
        <v>0.11105749385749386</v>
      </c>
      <c r="F16" s="83">
        <f t="shared" si="16"/>
        <v>0.16605451118190059</v>
      </c>
      <c r="G16" s="83">
        <f t="shared" si="16"/>
        <v>7.1026675483293777E-2</v>
      </c>
      <c r="H16" s="83">
        <f t="shared" si="16"/>
        <v>0.27543333333333331</v>
      </c>
      <c r="I16" s="83">
        <f t="shared" si="16"/>
        <v>0.10878156275144692</v>
      </c>
      <c r="J16" s="83">
        <f t="shared" si="16"/>
        <v>-5.5881204148747796E-2</v>
      </c>
      <c r="K16" s="83">
        <f t="shared" si="16"/>
        <v>-2.4797794776376437E-2</v>
      </c>
      <c r="L16" s="83">
        <f t="shared" si="16"/>
        <v>0.16481725390608248</v>
      </c>
      <c r="M16" s="83">
        <f t="shared" si="16"/>
        <v>2.9382307344487332E-3</v>
      </c>
      <c r="N16" s="83">
        <f t="shared" si="16"/>
        <v>-0.1039063087025185</v>
      </c>
      <c r="O16" s="83">
        <f t="shared" si="16"/>
        <v>0.12519307459218185</v>
      </c>
      <c r="P16" s="83">
        <f t="shared" si="16"/>
        <v>0.16943122446870454</v>
      </c>
      <c r="Q16" s="83">
        <f t="shared" si="16"/>
        <v>0.15505714285714287</v>
      </c>
      <c r="R16" s="83" t="e">
        <f t="shared" ref="R16:S16" si="17">+R15/R9</f>
        <v>#DIV/0!</v>
      </c>
      <c r="S16" s="83" t="e">
        <f t="shared" si="17"/>
        <v>#DIV/0!</v>
      </c>
      <c r="T16" s="83">
        <f>+T15/T9</f>
        <v>8.91326502640786E-2</v>
      </c>
      <c r="AR16" s="77" t="s">
        <v>76</v>
      </c>
      <c r="AS16" s="77" t="s">
        <v>75</v>
      </c>
    </row>
    <row r="17" spans="1:46">
      <c r="A17" s="74">
        <v>11</v>
      </c>
      <c r="B17" s="77" t="s">
        <v>77</v>
      </c>
      <c r="C17" s="80">
        <f>C6*C43+C18</f>
        <v>235641.19</v>
      </c>
      <c r="D17" s="80">
        <f t="shared" ref="D17:Q17" si="18">D6*D43+D18</f>
        <v>0</v>
      </c>
      <c r="E17" s="80">
        <f t="shared" si="18"/>
        <v>127453</v>
      </c>
      <c r="F17" s="80">
        <f t="shared" si="18"/>
        <v>1466389.6</v>
      </c>
      <c r="G17" s="80">
        <f t="shared" si="18"/>
        <v>942564.76</v>
      </c>
      <c r="H17" s="80">
        <f t="shared" si="18"/>
        <v>92470</v>
      </c>
      <c r="I17" s="80">
        <f t="shared" si="18"/>
        <v>89096.840000000011</v>
      </c>
      <c r="J17" s="80">
        <f t="shared" si="18"/>
        <v>401989.12</v>
      </c>
      <c r="K17" s="80">
        <f t="shared" si="18"/>
        <v>185538.68000000002</v>
      </c>
      <c r="L17" s="80">
        <f t="shared" si="18"/>
        <v>96254.540000000008</v>
      </c>
      <c r="M17" s="80">
        <f t="shared" si="18"/>
        <v>210210.28000000003</v>
      </c>
      <c r="N17" s="80">
        <f t="shared" si="18"/>
        <v>253836.42</v>
      </c>
      <c r="O17" s="80">
        <f t="shared" si="18"/>
        <v>76361.48000000001</v>
      </c>
      <c r="P17" s="80">
        <f t="shared" si="18"/>
        <v>197688.76</v>
      </c>
      <c r="Q17" s="80">
        <f t="shared" si="18"/>
        <v>175984.00000000003</v>
      </c>
      <c r="R17" s="80">
        <f t="shared" ref="R17:S17" si="19">R6*R43+R18</f>
        <v>0</v>
      </c>
      <c r="S17" s="80">
        <f t="shared" si="19"/>
        <v>0</v>
      </c>
      <c r="T17" s="80">
        <f t="shared" si="0"/>
        <v>4551478.67</v>
      </c>
      <c r="U17" s="81"/>
      <c r="AR17" s="77" t="s">
        <v>78</v>
      </c>
      <c r="AS17" s="77" t="s">
        <v>77</v>
      </c>
    </row>
    <row r="18" spans="1:46" s="71" customFormat="1">
      <c r="A18" s="74">
        <v>12</v>
      </c>
      <c r="B18" s="85" t="s">
        <v>147</v>
      </c>
      <c r="C18" s="86">
        <f>$T$18/$T$6*C6</f>
        <v>6574</v>
      </c>
      <c r="D18" s="86">
        <f t="shared" ref="D18:Q18" si="20">$T$18/$T$6*D6</f>
        <v>0</v>
      </c>
      <c r="E18" s="86">
        <f t="shared" si="20"/>
        <v>6574</v>
      </c>
      <c r="F18" s="86">
        <f t="shared" si="20"/>
        <v>26296</v>
      </c>
      <c r="G18" s="86">
        <f t="shared" si="20"/>
        <v>26296</v>
      </c>
      <c r="H18" s="86">
        <f t="shared" si="20"/>
        <v>65740</v>
      </c>
      <c r="I18" s="86">
        <f t="shared" si="20"/>
        <v>13148</v>
      </c>
      <c r="J18" s="86">
        <f t="shared" si="20"/>
        <v>26296</v>
      </c>
      <c r="K18" s="86">
        <f t="shared" si="20"/>
        <v>13148</v>
      </c>
      <c r="L18" s="86">
        <f t="shared" si="20"/>
        <v>13148</v>
      </c>
      <c r="M18" s="86">
        <f t="shared" si="20"/>
        <v>26296</v>
      </c>
      <c r="N18" s="86">
        <f t="shared" si="20"/>
        <v>39444</v>
      </c>
      <c r="O18" s="86">
        <f t="shared" si="20"/>
        <v>13148</v>
      </c>
      <c r="P18" s="86">
        <f t="shared" si="20"/>
        <v>26296</v>
      </c>
      <c r="Q18" s="86">
        <f t="shared" si="20"/>
        <v>26296</v>
      </c>
      <c r="R18" s="86">
        <f t="shared" ref="R18:S18" si="21">$T$18/$T$6*R6</f>
        <v>0</v>
      </c>
      <c r="S18" s="86">
        <f t="shared" si="21"/>
        <v>0</v>
      </c>
      <c r="T18" s="80">
        <f>项目投资!D26</f>
        <v>328700</v>
      </c>
      <c r="U18" s="87" t="s">
        <v>148</v>
      </c>
      <c r="V18" s="87"/>
      <c r="W18" s="87"/>
    </row>
    <row r="19" spans="1:46">
      <c r="A19" s="74">
        <v>13</v>
      </c>
      <c r="B19" s="77" t="s">
        <v>79</v>
      </c>
      <c r="C19" s="80">
        <f>C6*C44</f>
        <v>47757.038399999998</v>
      </c>
      <c r="D19" s="80">
        <f t="shared" ref="D19:Q19" si="22">D6*D44</f>
        <v>0</v>
      </c>
      <c r="E19" s="80">
        <f t="shared" si="22"/>
        <v>25201.439999999999</v>
      </c>
      <c r="F19" s="80">
        <f t="shared" si="22"/>
        <v>300237.696</v>
      </c>
      <c r="G19" s="80">
        <f t="shared" si="22"/>
        <v>191028.15359999999</v>
      </c>
      <c r="H19" s="80">
        <f t="shared" si="22"/>
        <v>5572.8</v>
      </c>
      <c r="I19" s="80">
        <f t="shared" si="22"/>
        <v>15834.1824</v>
      </c>
      <c r="J19" s="80">
        <f t="shared" si="22"/>
        <v>78326.323199999999</v>
      </c>
      <c r="K19" s="80">
        <f t="shared" si="22"/>
        <v>35940.844800000006</v>
      </c>
      <c r="L19" s="80">
        <f t="shared" si="22"/>
        <v>17326.454399999999</v>
      </c>
      <c r="M19" s="80">
        <f t="shared" si="22"/>
        <v>38343.340799999998</v>
      </c>
      <c r="N19" s="80">
        <f t="shared" si="22"/>
        <v>44697.571200000006</v>
      </c>
      <c r="O19" s="80">
        <f t="shared" si="22"/>
        <v>13179.052799999999</v>
      </c>
      <c r="P19" s="80">
        <f t="shared" si="22"/>
        <v>35732.793600000005</v>
      </c>
      <c r="Q19" s="80">
        <f t="shared" si="22"/>
        <v>31207.679999999997</v>
      </c>
      <c r="R19" s="80">
        <f t="shared" ref="R19:S19" si="23">R6*R44</f>
        <v>0</v>
      </c>
      <c r="S19" s="80">
        <f t="shared" si="23"/>
        <v>0</v>
      </c>
      <c r="T19" s="80">
        <f t="shared" si="0"/>
        <v>880385.37120000005</v>
      </c>
      <c r="U19" s="71"/>
      <c r="AR19" s="77" t="s">
        <v>80</v>
      </c>
      <c r="AS19" s="77" t="s">
        <v>79</v>
      </c>
      <c r="AT19" s="70" t="s">
        <v>53</v>
      </c>
    </row>
    <row r="20" spans="1:46">
      <c r="A20" s="74">
        <v>14</v>
      </c>
      <c r="B20" s="77" t="s">
        <v>81</v>
      </c>
      <c r="C20" s="80">
        <f>C6*C45</f>
        <v>73301.500799999994</v>
      </c>
      <c r="D20" s="80">
        <f t="shared" ref="D20:Q20" si="24">D6*D45</f>
        <v>0</v>
      </c>
      <c r="E20" s="80">
        <f t="shared" si="24"/>
        <v>38681.279999999999</v>
      </c>
      <c r="F20" s="80">
        <f t="shared" si="24"/>
        <v>460829.95199999999</v>
      </c>
      <c r="G20" s="80">
        <f t="shared" si="24"/>
        <v>293206.00319999998</v>
      </c>
      <c r="H20" s="80">
        <f t="shared" si="24"/>
        <v>8553.6</v>
      </c>
      <c r="I20" s="80">
        <f t="shared" si="24"/>
        <v>24303.628799999999</v>
      </c>
      <c r="J20" s="80">
        <f t="shared" si="24"/>
        <v>120221.79840000001</v>
      </c>
      <c r="K20" s="80">
        <f t="shared" si="24"/>
        <v>55165.017600000006</v>
      </c>
      <c r="L20" s="80">
        <f t="shared" si="24"/>
        <v>26594.092799999999</v>
      </c>
      <c r="M20" s="80">
        <f t="shared" si="24"/>
        <v>58852.569600000003</v>
      </c>
      <c r="N20" s="80">
        <f t="shared" si="24"/>
        <v>68605.574399999998</v>
      </c>
      <c r="O20" s="80">
        <f t="shared" si="24"/>
        <v>20228.313600000001</v>
      </c>
      <c r="P20" s="80">
        <f t="shared" si="24"/>
        <v>54845.683200000007</v>
      </c>
      <c r="Q20" s="80">
        <f t="shared" si="24"/>
        <v>47900.160000000003</v>
      </c>
      <c r="R20" s="80">
        <f t="shared" ref="R20:S20" si="25">R6*R45</f>
        <v>0</v>
      </c>
      <c r="S20" s="80">
        <f t="shared" si="25"/>
        <v>0</v>
      </c>
      <c r="T20" s="80">
        <f t="shared" si="0"/>
        <v>1351289.1743999999</v>
      </c>
      <c r="AR20" s="77" t="s">
        <v>82</v>
      </c>
      <c r="AS20" s="77" t="s">
        <v>81</v>
      </c>
    </row>
    <row r="21" spans="1:46">
      <c r="A21" s="74">
        <v>15</v>
      </c>
      <c r="B21" s="77" t="s">
        <v>83</v>
      </c>
      <c r="C21" s="88">
        <f>$T$21/$T$6*C6</f>
        <v>2240</v>
      </c>
      <c r="D21" s="88">
        <f t="shared" ref="D21:Q21" si="26">$T$21/$T$6*D6</f>
        <v>0</v>
      </c>
      <c r="E21" s="88">
        <f t="shared" si="26"/>
        <v>2240</v>
      </c>
      <c r="F21" s="88">
        <f t="shared" si="26"/>
        <v>8960</v>
      </c>
      <c r="G21" s="88">
        <f t="shared" si="26"/>
        <v>8960</v>
      </c>
      <c r="H21" s="88">
        <f t="shared" si="26"/>
        <v>22400</v>
      </c>
      <c r="I21" s="88">
        <f t="shared" si="26"/>
        <v>4480</v>
      </c>
      <c r="J21" s="88">
        <f t="shared" si="26"/>
        <v>8960</v>
      </c>
      <c r="K21" s="88">
        <f t="shared" si="26"/>
        <v>4480</v>
      </c>
      <c r="L21" s="88">
        <f t="shared" si="26"/>
        <v>4480</v>
      </c>
      <c r="M21" s="88">
        <f t="shared" si="26"/>
        <v>8960</v>
      </c>
      <c r="N21" s="88">
        <f t="shared" si="26"/>
        <v>13440</v>
      </c>
      <c r="O21" s="88">
        <f t="shared" si="26"/>
        <v>4480</v>
      </c>
      <c r="P21" s="88">
        <f t="shared" si="26"/>
        <v>8960</v>
      </c>
      <c r="Q21" s="88">
        <f t="shared" si="26"/>
        <v>8960</v>
      </c>
      <c r="R21" s="88">
        <f t="shared" ref="R21:S21" si="27">$T$21/$T$6*R6</f>
        <v>0</v>
      </c>
      <c r="S21" s="88">
        <f t="shared" si="27"/>
        <v>0</v>
      </c>
      <c r="T21" s="80">
        <f>项目投资!D27</f>
        <v>112000</v>
      </c>
      <c r="AR21" s="77"/>
      <c r="AS21" s="77"/>
    </row>
    <row r="22" spans="1:46">
      <c r="A22" s="74">
        <v>16</v>
      </c>
      <c r="B22" s="77" t="s">
        <v>84</v>
      </c>
      <c r="C22" s="80">
        <f>C6*C47</f>
        <v>98568.305999999997</v>
      </c>
      <c r="D22" s="80">
        <f t="shared" ref="D22:Q22" si="28">D6*D47</f>
        <v>0</v>
      </c>
      <c r="E22" s="80">
        <f t="shared" si="28"/>
        <v>52014.6</v>
      </c>
      <c r="F22" s="80">
        <f t="shared" si="28"/>
        <v>619676.64</v>
      </c>
      <c r="G22" s="80">
        <f t="shared" si="28"/>
        <v>394273.22399999999</v>
      </c>
      <c r="H22" s="80">
        <f t="shared" si="28"/>
        <v>11501.999999999998</v>
      </c>
      <c r="I22" s="80">
        <f t="shared" si="28"/>
        <v>32681.015999999996</v>
      </c>
      <c r="J22" s="80">
        <f t="shared" si="28"/>
        <v>161661.88799999998</v>
      </c>
      <c r="K22" s="80">
        <f t="shared" si="28"/>
        <v>74180.232000000004</v>
      </c>
      <c r="L22" s="80">
        <f t="shared" si="28"/>
        <v>35760.995999999992</v>
      </c>
      <c r="M22" s="80">
        <f t="shared" si="28"/>
        <v>79138.872000000003</v>
      </c>
      <c r="N22" s="80">
        <f t="shared" si="28"/>
        <v>92253.707999999999</v>
      </c>
      <c r="O22" s="80">
        <f t="shared" si="28"/>
        <v>27200.951999999997</v>
      </c>
      <c r="P22" s="80">
        <f t="shared" si="28"/>
        <v>73750.823999999993</v>
      </c>
      <c r="Q22" s="80">
        <f t="shared" si="28"/>
        <v>64411.199999999997</v>
      </c>
      <c r="R22" s="80">
        <f t="shared" ref="R22:S22" si="29">R6*R47</f>
        <v>0</v>
      </c>
      <c r="S22" s="80">
        <f t="shared" si="29"/>
        <v>0</v>
      </c>
      <c r="T22" s="80">
        <f t="shared" si="0"/>
        <v>1817074.4580000003</v>
      </c>
      <c r="AR22" s="77" t="s">
        <v>85</v>
      </c>
      <c r="AS22" s="77" t="s">
        <v>84</v>
      </c>
    </row>
    <row r="23" spans="1:46">
      <c r="A23" s="74">
        <v>17</v>
      </c>
      <c r="B23" s="82" t="s">
        <v>86</v>
      </c>
      <c r="C23" s="88">
        <f>+C22+C21+C20+C19+C17</f>
        <v>457508.03519999998</v>
      </c>
      <c r="D23" s="88">
        <f t="shared" ref="D23:Q23" si="30">+D22+D21+D20+D19+D17</f>
        <v>0</v>
      </c>
      <c r="E23" s="88">
        <f t="shared" si="30"/>
        <v>245590.32</v>
      </c>
      <c r="F23" s="88">
        <f t="shared" si="30"/>
        <v>2856093.8880000003</v>
      </c>
      <c r="G23" s="88">
        <f t="shared" si="30"/>
        <v>1830032.1407999999</v>
      </c>
      <c r="H23" s="88">
        <f t="shared" si="30"/>
        <v>140498.4</v>
      </c>
      <c r="I23" s="88">
        <f t="shared" si="30"/>
        <v>166395.66720000003</v>
      </c>
      <c r="J23" s="88">
        <f t="shared" si="30"/>
        <v>771159.12959999999</v>
      </c>
      <c r="K23" s="88">
        <f t="shared" si="30"/>
        <v>355304.77439999999</v>
      </c>
      <c r="L23" s="88">
        <f t="shared" si="30"/>
        <v>180416.08319999999</v>
      </c>
      <c r="M23" s="88">
        <f t="shared" si="30"/>
        <v>395505.06240000005</v>
      </c>
      <c r="N23" s="88">
        <f t="shared" si="30"/>
        <v>472833.27360000001</v>
      </c>
      <c r="O23" s="88">
        <f t="shared" si="30"/>
        <v>141449.7984</v>
      </c>
      <c r="P23" s="88">
        <f t="shared" si="30"/>
        <v>370978.06079999998</v>
      </c>
      <c r="Q23" s="88">
        <f t="shared" si="30"/>
        <v>328463.04000000004</v>
      </c>
      <c r="R23" s="88">
        <f t="shared" ref="R23:S23" si="31">+R22+R21+R20+R19+R17</f>
        <v>0</v>
      </c>
      <c r="S23" s="88">
        <f t="shared" si="31"/>
        <v>0</v>
      </c>
      <c r="T23" s="88">
        <f>+T22+T21+T20+T19+T17</f>
        <v>8712227.6735999994</v>
      </c>
      <c r="AR23" s="77" t="s">
        <v>87</v>
      </c>
      <c r="AS23" s="82" t="s">
        <v>86</v>
      </c>
    </row>
    <row r="24" spans="1:46">
      <c r="A24" s="74">
        <v>18</v>
      </c>
      <c r="B24" s="89" t="s">
        <v>88</v>
      </c>
      <c r="C24" s="88">
        <f>+C15-C23</f>
        <v>-260297.35680000001</v>
      </c>
      <c r="D24" s="88">
        <f t="shared" ref="D24:Q24" si="32">+D15-D23</f>
        <v>0</v>
      </c>
      <c r="E24" s="88">
        <f t="shared" si="32"/>
        <v>-82868.88</v>
      </c>
      <c r="F24" s="88">
        <f t="shared" si="32"/>
        <v>42500.521747678518</v>
      </c>
      <c r="G24" s="88">
        <f t="shared" si="32"/>
        <v>-1041189.4272</v>
      </c>
      <c r="H24" s="88">
        <f t="shared" si="32"/>
        <v>-51258</v>
      </c>
      <c r="I24" s="88">
        <f t="shared" si="32"/>
        <v>-66252.230783520004</v>
      </c>
      <c r="J24" s="88">
        <f t="shared" si="32"/>
        <v>-1025634.0864</v>
      </c>
      <c r="K24" s="88">
        <f t="shared" si="32"/>
        <v>-407121.84959999978</v>
      </c>
      <c r="L24" s="88">
        <f t="shared" si="32"/>
        <v>-14387.092843199993</v>
      </c>
      <c r="M24" s="88">
        <f t="shared" si="32"/>
        <v>-388954.97039999993</v>
      </c>
      <c r="N24" s="88">
        <f t="shared" si="32"/>
        <v>-742854.18240000005</v>
      </c>
      <c r="O24" s="88">
        <f t="shared" si="32"/>
        <v>-45523.860013680052</v>
      </c>
      <c r="P24" s="88">
        <f t="shared" si="32"/>
        <v>-18986.725140959898</v>
      </c>
      <c r="Q24" s="88">
        <f t="shared" si="32"/>
        <v>-47127.360000000044</v>
      </c>
      <c r="R24" s="88">
        <f t="shared" ref="R24:S24" si="33">+R15-R23</f>
        <v>0</v>
      </c>
      <c r="S24" s="88">
        <f t="shared" si="33"/>
        <v>0</v>
      </c>
      <c r="T24" s="88">
        <f>+T15-T23</f>
        <v>-4149955.4998336844</v>
      </c>
      <c r="V24" s="90"/>
      <c r="AR24" s="77" t="s">
        <v>89</v>
      </c>
      <c r="AS24" s="77" t="s">
        <v>88</v>
      </c>
    </row>
    <row r="25" spans="1:46">
      <c r="A25" s="74">
        <v>19</v>
      </c>
      <c r="B25" s="77" t="s">
        <v>271</v>
      </c>
      <c r="C25" s="88">
        <f>IF(C24&lt;0,0,C24*0.15)</f>
        <v>0</v>
      </c>
      <c r="D25" s="88">
        <f t="shared" ref="D25:Q25" si="34">IF(D24&lt;0,0,D24*0.15)</f>
        <v>0</v>
      </c>
      <c r="E25" s="88">
        <f t="shared" si="34"/>
        <v>0</v>
      </c>
      <c r="F25" s="88">
        <f t="shared" si="34"/>
        <v>6375.0782621517774</v>
      </c>
      <c r="G25" s="88">
        <f t="shared" si="34"/>
        <v>0</v>
      </c>
      <c r="H25" s="88">
        <f t="shared" si="34"/>
        <v>0</v>
      </c>
      <c r="I25" s="88">
        <f t="shared" si="34"/>
        <v>0</v>
      </c>
      <c r="J25" s="88">
        <f t="shared" si="34"/>
        <v>0</v>
      </c>
      <c r="K25" s="88">
        <f t="shared" si="34"/>
        <v>0</v>
      </c>
      <c r="L25" s="88">
        <f t="shared" si="34"/>
        <v>0</v>
      </c>
      <c r="M25" s="88">
        <f t="shared" si="34"/>
        <v>0</v>
      </c>
      <c r="N25" s="88">
        <f t="shared" si="34"/>
        <v>0</v>
      </c>
      <c r="O25" s="88">
        <f t="shared" si="34"/>
        <v>0</v>
      </c>
      <c r="P25" s="88">
        <f t="shared" si="34"/>
        <v>0</v>
      </c>
      <c r="Q25" s="88">
        <f t="shared" si="34"/>
        <v>0</v>
      </c>
      <c r="R25" s="88">
        <f t="shared" ref="R25:S25" si="35">IF(R24&lt;0,0,R24*0.15)</f>
        <v>0</v>
      </c>
      <c r="S25" s="88">
        <f t="shared" si="35"/>
        <v>0</v>
      </c>
      <c r="T25" s="88">
        <f t="shared" ref="T25" si="36">IF(T24&lt;0,0,T24*0.15)</f>
        <v>0</v>
      </c>
      <c r="U25" s="2"/>
      <c r="V25" s="2"/>
      <c r="W25" s="2"/>
      <c r="AR25" s="77" t="s">
        <v>90</v>
      </c>
      <c r="AS25" s="77" t="s">
        <v>35</v>
      </c>
    </row>
    <row r="26" spans="1:46">
      <c r="A26" s="74">
        <v>20</v>
      </c>
      <c r="B26" s="77" t="s">
        <v>91</v>
      </c>
      <c r="C26" s="88">
        <f>C24-C25</f>
        <v>-260297.35680000001</v>
      </c>
      <c r="D26" s="88">
        <f t="shared" ref="D26:Q26" si="37">D24-D25</f>
        <v>0</v>
      </c>
      <c r="E26" s="88">
        <f t="shared" si="37"/>
        <v>-82868.88</v>
      </c>
      <c r="F26" s="88">
        <f t="shared" si="37"/>
        <v>36125.443485526739</v>
      </c>
      <c r="G26" s="88">
        <f t="shared" si="37"/>
        <v>-1041189.4272</v>
      </c>
      <c r="H26" s="88">
        <f t="shared" si="37"/>
        <v>-51258</v>
      </c>
      <c r="I26" s="88">
        <f t="shared" si="37"/>
        <v>-66252.230783520004</v>
      </c>
      <c r="J26" s="88">
        <f t="shared" si="37"/>
        <v>-1025634.0864</v>
      </c>
      <c r="K26" s="88">
        <f t="shared" si="37"/>
        <v>-407121.84959999978</v>
      </c>
      <c r="L26" s="88">
        <f t="shared" si="37"/>
        <v>-14387.092843199993</v>
      </c>
      <c r="M26" s="88">
        <f t="shared" si="37"/>
        <v>-388954.97039999993</v>
      </c>
      <c r="N26" s="88">
        <f t="shared" si="37"/>
        <v>-742854.18240000005</v>
      </c>
      <c r="O26" s="88">
        <f t="shared" si="37"/>
        <v>-45523.860013680052</v>
      </c>
      <c r="P26" s="88">
        <f t="shared" si="37"/>
        <v>-18986.725140959898</v>
      </c>
      <c r="Q26" s="88">
        <f t="shared" si="37"/>
        <v>-47127.360000000044</v>
      </c>
      <c r="R26" s="88">
        <f t="shared" ref="R26:S26" si="38">R24-R25</f>
        <v>0</v>
      </c>
      <c r="S26" s="88">
        <f t="shared" si="38"/>
        <v>0</v>
      </c>
      <c r="T26" s="80">
        <f t="shared" si="0"/>
        <v>-4156330.5780958328</v>
      </c>
      <c r="U26" s="2"/>
      <c r="V26" s="2"/>
      <c r="W26" s="2"/>
      <c r="AR26" s="77" t="s">
        <v>92</v>
      </c>
      <c r="AS26" s="77" t="s">
        <v>91</v>
      </c>
    </row>
    <row r="27" spans="1:46">
      <c r="A27" s="74">
        <v>21</v>
      </c>
      <c r="B27" s="77" t="s">
        <v>95</v>
      </c>
      <c r="C27" s="91">
        <f>C26/C9</f>
        <v>-9.3747742468050538E-2</v>
      </c>
      <c r="D27" s="91" t="e">
        <f t="shared" ref="D27:Q27" si="39">D26/D9</f>
        <v>#DIV/0!</v>
      </c>
      <c r="E27" s="91">
        <f t="shared" si="39"/>
        <v>-5.655806715806716E-2</v>
      </c>
      <c r="F27" s="91">
        <f t="shared" si="39"/>
        <v>2.0695523454558481E-3</v>
      </c>
      <c r="G27" s="91">
        <f t="shared" si="39"/>
        <v>-9.3747742468050538E-2</v>
      </c>
      <c r="H27" s="91">
        <f t="shared" si="39"/>
        <v>-0.15820370370370371</v>
      </c>
      <c r="I27" s="91">
        <f t="shared" si="39"/>
        <v>-7.196698513947547E-2</v>
      </c>
      <c r="J27" s="91">
        <f t="shared" si="39"/>
        <v>-0.22522321443629312</v>
      </c>
      <c r="K27" s="91">
        <f t="shared" si="39"/>
        <v>-0.19483392369007407</v>
      </c>
      <c r="L27" s="91">
        <f t="shared" si="39"/>
        <v>-1.4282090910823617E-2</v>
      </c>
      <c r="M27" s="91">
        <f t="shared" si="39"/>
        <v>-0.17447685442370214</v>
      </c>
      <c r="N27" s="91">
        <f t="shared" si="39"/>
        <v>-0.285856515113734</v>
      </c>
      <c r="O27" s="91">
        <f t="shared" si="39"/>
        <v>-5.9413252539309722E-2</v>
      </c>
      <c r="P27" s="91">
        <f t="shared" si="39"/>
        <v>-9.1392706677294391E-3</v>
      </c>
      <c r="Q27" s="91">
        <f t="shared" si="39"/>
        <v>-2.5974074074074097E-2</v>
      </c>
      <c r="R27" s="91" t="e">
        <f t="shared" ref="R27:S27" si="40">R26/R9</f>
        <v>#DIV/0!</v>
      </c>
      <c r="S27" s="91" t="e">
        <f t="shared" si="40"/>
        <v>#DIV/0!</v>
      </c>
      <c r="T27" s="91">
        <f>T26/T9</f>
        <v>-8.1201810345628705E-2</v>
      </c>
      <c r="U27" s="2"/>
      <c r="V27" s="2"/>
      <c r="W27" s="2"/>
      <c r="AR27" s="77" t="s">
        <v>94</v>
      </c>
      <c r="AS27" s="77" t="s">
        <v>95</v>
      </c>
    </row>
    <row r="28" spans="1:46">
      <c r="U28" s="2"/>
      <c r="V28" s="2"/>
      <c r="W28" s="2"/>
    </row>
    <row r="29" spans="1:46">
      <c r="A29" s="70" t="s">
        <v>96</v>
      </c>
      <c r="T29" s="73" t="s">
        <v>149</v>
      </c>
      <c r="U29" s="2"/>
      <c r="V29" s="2"/>
      <c r="W29" s="2"/>
      <c r="AR29" s="70" t="s">
        <v>96</v>
      </c>
    </row>
    <row r="30" spans="1:46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Y30" s="2"/>
      <c r="AR30" s="77" t="s">
        <v>99</v>
      </c>
      <c r="AS30" s="82" t="s">
        <v>98</v>
      </c>
    </row>
    <row r="31" spans="1:46">
      <c r="A31" s="74">
        <v>1</v>
      </c>
      <c r="B31" s="85" t="s">
        <v>100</v>
      </c>
      <c r="C31" s="92">
        <f>销量!C8</f>
        <v>771.27</v>
      </c>
      <c r="D31" s="92">
        <f>销量!D8</f>
        <v>1785.88</v>
      </c>
      <c r="E31" s="92">
        <f>销量!E8</f>
        <v>407</v>
      </c>
      <c r="F31" s="92">
        <f>销量!F8</f>
        <v>1212.2</v>
      </c>
      <c r="G31" s="92">
        <f>销量!G8</f>
        <v>771.27</v>
      </c>
      <c r="H31" s="92">
        <f>销量!H8</f>
        <v>9</v>
      </c>
      <c r="I31" s="92">
        <f>销量!I8</f>
        <v>127.86</v>
      </c>
      <c r="J31" s="92">
        <f>销量!J8</f>
        <v>316.24</v>
      </c>
      <c r="K31" s="92">
        <f>销量!K8</f>
        <v>290.22000000000003</v>
      </c>
      <c r="L31" s="92">
        <f>销量!L8</f>
        <v>139.91</v>
      </c>
      <c r="M31" s="92">
        <f>销量!M8</f>
        <v>154.81</v>
      </c>
      <c r="N31" s="92">
        <f>销量!N8</f>
        <v>120.31</v>
      </c>
      <c r="O31" s="92">
        <f>销量!O8</f>
        <v>106.42</v>
      </c>
      <c r="P31" s="92">
        <f>销量!P8</f>
        <v>144.27000000000001</v>
      </c>
      <c r="Q31" s="92">
        <f>销量!Q8</f>
        <v>126</v>
      </c>
      <c r="R31" s="92">
        <f>销量!R8</f>
        <v>0</v>
      </c>
      <c r="S31" s="92">
        <f>销量!S8</f>
        <v>0</v>
      </c>
      <c r="T31" s="88"/>
      <c r="U31" s="2"/>
      <c r="V31" s="2"/>
      <c r="W31" s="2"/>
      <c r="Y31" s="2"/>
      <c r="AR31" s="77" t="s">
        <v>55</v>
      </c>
      <c r="AS31" s="77" t="s">
        <v>100</v>
      </c>
    </row>
    <row r="32" spans="1:46">
      <c r="A32" s="74">
        <v>2</v>
      </c>
      <c r="B32" s="77" t="s">
        <v>150</v>
      </c>
      <c r="C32" s="80">
        <f>C9/C6</f>
        <v>771.27</v>
      </c>
      <c r="D32" s="80" t="e">
        <f t="shared" ref="D32:S32" si="41">D9/D6</f>
        <v>#DIV/0!</v>
      </c>
      <c r="E32" s="80">
        <f t="shared" si="41"/>
        <v>407</v>
      </c>
      <c r="F32" s="80">
        <f t="shared" si="41"/>
        <v>1212.2</v>
      </c>
      <c r="G32" s="80">
        <f t="shared" si="41"/>
        <v>771.27</v>
      </c>
      <c r="H32" s="80">
        <f t="shared" si="41"/>
        <v>9</v>
      </c>
      <c r="I32" s="80">
        <f t="shared" si="41"/>
        <v>127.86</v>
      </c>
      <c r="J32" s="80">
        <f t="shared" si="41"/>
        <v>316.24</v>
      </c>
      <c r="K32" s="80">
        <f t="shared" si="41"/>
        <v>290.22000000000003</v>
      </c>
      <c r="L32" s="80">
        <f t="shared" si="41"/>
        <v>139.91</v>
      </c>
      <c r="M32" s="80">
        <f t="shared" si="41"/>
        <v>154.81</v>
      </c>
      <c r="N32" s="80">
        <f t="shared" si="41"/>
        <v>120.31</v>
      </c>
      <c r="O32" s="80">
        <f t="shared" si="41"/>
        <v>106.42</v>
      </c>
      <c r="P32" s="80">
        <f t="shared" si="41"/>
        <v>144.27000000000001</v>
      </c>
      <c r="Q32" s="80">
        <f t="shared" si="41"/>
        <v>126</v>
      </c>
      <c r="R32" s="80" t="e">
        <f t="shared" si="41"/>
        <v>#DIV/0!</v>
      </c>
      <c r="S32" s="80" t="e">
        <f t="shared" si="41"/>
        <v>#DIV/0!</v>
      </c>
      <c r="T32" s="88"/>
      <c r="U32" s="2"/>
      <c r="V32" s="2"/>
      <c r="W32" s="2"/>
      <c r="X32" s="2"/>
      <c r="Y32" s="2"/>
      <c r="Z32" s="2"/>
      <c r="AA32" s="2"/>
      <c r="AR32" s="77"/>
      <c r="AS32" s="77"/>
    </row>
    <row r="33" spans="1:45">
      <c r="A33" s="74">
        <v>3</v>
      </c>
      <c r="B33" s="85" t="s">
        <v>101</v>
      </c>
      <c r="C33" s="80">
        <f>材料成本!D24</f>
        <v>614.49</v>
      </c>
      <c r="D33" s="80">
        <f>材料成本!E24</f>
        <v>0</v>
      </c>
      <c r="E33" s="80">
        <f>材料成本!F24</f>
        <v>300.89</v>
      </c>
      <c r="F33" s="80">
        <f>材料成本!G24</f>
        <v>851.17256154530003</v>
      </c>
      <c r="G33" s="80">
        <f>材料成本!H24</f>
        <v>614.49</v>
      </c>
      <c r="H33" s="80">
        <f>材料成本!I24</f>
        <v>4.92</v>
      </c>
      <c r="I33" s="80">
        <f>材料成本!J24</f>
        <v>89.528581386599996</v>
      </c>
      <c r="J33" s="80">
        <f>材料成本!K24</f>
        <v>288.24</v>
      </c>
      <c r="K33" s="80">
        <f>材料成本!L24</f>
        <v>254.68</v>
      </c>
      <c r="L33" s="80">
        <f>材料成本!M24</f>
        <v>91.068570006000002</v>
      </c>
      <c r="M33" s="80">
        <f>材料成本!N24</f>
        <v>130.89256449999999</v>
      </c>
      <c r="N33" s="80">
        <f>材料成本!O24</f>
        <v>113.24</v>
      </c>
      <c r="O33" s="80">
        <f>材料成本!P24</f>
        <v>77.092777001900004</v>
      </c>
      <c r="P33" s="80">
        <f>材料成本!Q24</f>
        <v>99.552501245900004</v>
      </c>
      <c r="Q33" s="80">
        <f>材料成本!R24</f>
        <v>88.25</v>
      </c>
      <c r="R33" s="80">
        <f>材料成本!S24</f>
        <v>0</v>
      </c>
      <c r="S33" s="80">
        <f>材料成本!T24</f>
        <v>0</v>
      </c>
      <c r="T33" s="88"/>
      <c r="V33" s="2"/>
      <c r="W33" s="2"/>
      <c r="X33" s="2"/>
      <c r="Y33" s="2"/>
      <c r="Z33" s="2"/>
      <c r="AA33" s="2"/>
      <c r="AR33" s="77" t="s">
        <v>57</v>
      </c>
      <c r="AS33" s="77" t="s">
        <v>101</v>
      </c>
    </row>
    <row r="34" spans="1:45" ht="17.25" customHeight="1">
      <c r="A34" s="74">
        <v>4</v>
      </c>
      <c r="B34" s="77" t="s">
        <v>103</v>
      </c>
      <c r="C34" s="93">
        <f>C32-C33</f>
        <v>156.77999999999997</v>
      </c>
      <c r="D34" s="93" t="e">
        <f t="shared" ref="D34:S34" si="42">D32-D33</f>
        <v>#DIV/0!</v>
      </c>
      <c r="E34" s="93">
        <f t="shared" si="42"/>
        <v>106.11000000000001</v>
      </c>
      <c r="F34" s="93">
        <f t="shared" si="42"/>
        <v>361.02743845470002</v>
      </c>
      <c r="G34" s="93">
        <f t="shared" si="42"/>
        <v>156.77999999999997</v>
      </c>
      <c r="H34" s="93">
        <f t="shared" si="42"/>
        <v>4.08</v>
      </c>
      <c r="I34" s="93">
        <f t="shared" si="42"/>
        <v>38.331418613400004</v>
      </c>
      <c r="J34" s="93">
        <f t="shared" si="42"/>
        <v>28</v>
      </c>
      <c r="K34" s="93">
        <f t="shared" si="42"/>
        <v>35.54000000000002</v>
      </c>
      <c r="L34" s="93">
        <f t="shared" si="42"/>
        <v>48.841429993999995</v>
      </c>
      <c r="M34" s="93">
        <f t="shared" si="42"/>
        <v>23.917435500000011</v>
      </c>
      <c r="N34" s="93">
        <f t="shared" si="42"/>
        <v>7.0700000000000074</v>
      </c>
      <c r="O34" s="93">
        <f t="shared" si="42"/>
        <v>29.327222998099998</v>
      </c>
      <c r="P34" s="93">
        <f t="shared" si="42"/>
        <v>44.717498754100006</v>
      </c>
      <c r="Q34" s="93">
        <f t="shared" si="42"/>
        <v>37.75</v>
      </c>
      <c r="R34" s="93" t="e">
        <f t="shared" si="42"/>
        <v>#DIV/0!</v>
      </c>
      <c r="S34" s="93" t="e">
        <f t="shared" si="42"/>
        <v>#DIV/0!</v>
      </c>
      <c r="T34" s="88"/>
      <c r="V34" s="2"/>
      <c r="W34" s="2"/>
      <c r="X34" s="2"/>
      <c r="Y34" s="2"/>
      <c r="Z34" s="2"/>
      <c r="AA34" s="2"/>
      <c r="AR34" s="77" t="s">
        <v>102</v>
      </c>
      <c r="AS34" s="77" t="s">
        <v>103</v>
      </c>
    </row>
    <row r="35" spans="1:45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  <c r="AA35" s="2"/>
      <c r="AB35" s="2"/>
      <c r="AC35" s="2"/>
      <c r="AD35" s="2"/>
      <c r="AR35" s="77" t="s">
        <v>105</v>
      </c>
      <c r="AS35" s="82" t="s">
        <v>9</v>
      </c>
    </row>
    <row r="36" spans="1:45">
      <c r="A36" s="74">
        <v>1</v>
      </c>
      <c r="B36" s="77" t="s">
        <v>106</v>
      </c>
      <c r="C36" s="86">
        <f>标准成本!E4</f>
        <v>53.526138000000003</v>
      </c>
      <c r="D36" s="86">
        <f>标准成本!E16</f>
        <v>123.94007200000001</v>
      </c>
      <c r="E36" s="86">
        <f>标准成本!E29</f>
        <v>28.245800000000003</v>
      </c>
      <c r="F36" s="86">
        <f>标准成本!E42</f>
        <v>84.126680000000007</v>
      </c>
      <c r="G36" s="86">
        <f>标准成本!E55</f>
        <v>53.526138000000003</v>
      </c>
      <c r="H36" s="86">
        <f>标准成本!E68</f>
        <v>0.62460000000000004</v>
      </c>
      <c r="I36" s="86">
        <f>标准成本!E81</f>
        <v>8.8734840000000013</v>
      </c>
      <c r="J36" s="86">
        <f>标准成本!E94</f>
        <v>21.947056000000003</v>
      </c>
      <c r="K36" s="86">
        <f>标准成本!E107</f>
        <v>20.141268000000004</v>
      </c>
      <c r="L36" s="86">
        <f>标准成本!E120</f>
        <v>9.7097540000000002</v>
      </c>
      <c r="M36" s="86">
        <f>标准成本!E133</f>
        <v>10.743814</v>
      </c>
      <c r="N36" s="86">
        <f>标准成本!E146</f>
        <v>8.349514000000001</v>
      </c>
      <c r="O36" s="86">
        <f>标准成本!E159</f>
        <v>7.3855480000000009</v>
      </c>
      <c r="P36" s="86">
        <f>标准成本!E172</f>
        <v>10.012338000000002</v>
      </c>
      <c r="Q36" s="86">
        <f>标准成本!E185</f>
        <v>8.7444000000000006</v>
      </c>
      <c r="R36" s="86">
        <f>标准成本!E198</f>
        <v>0</v>
      </c>
      <c r="S36" s="86">
        <f>标准成本!E211</f>
        <v>0</v>
      </c>
      <c r="T36" s="92"/>
      <c r="U36" s="2"/>
      <c r="V36" s="2"/>
      <c r="W36" s="2"/>
      <c r="X36" s="2"/>
      <c r="Y36" s="2"/>
      <c r="Z36" s="2"/>
      <c r="AA36" s="2"/>
      <c r="AB36" s="2"/>
      <c r="AC36" s="2"/>
      <c r="AD36" s="2"/>
      <c r="AR36" s="77" t="s">
        <v>102</v>
      </c>
      <c r="AS36" s="77" t="s">
        <v>106</v>
      </c>
    </row>
    <row r="37" spans="1:45">
      <c r="A37" s="74">
        <v>2</v>
      </c>
      <c r="B37" s="77" t="s">
        <v>107</v>
      </c>
      <c r="C37" s="86">
        <f>标准成本!E6</f>
        <v>33.473117999999999</v>
      </c>
      <c r="D37" s="86">
        <f>标准成本!E18</f>
        <v>77.507192000000003</v>
      </c>
      <c r="E37" s="86">
        <f>标准成本!E31</f>
        <v>17.663800000000002</v>
      </c>
      <c r="F37" s="86">
        <f>标准成本!E44</f>
        <v>52.609480000000005</v>
      </c>
      <c r="G37" s="86">
        <f>标准成本!E57</f>
        <v>33.473117999999999</v>
      </c>
      <c r="H37" s="86">
        <f>标准成本!E70</f>
        <v>0.3906</v>
      </c>
      <c r="I37" s="86">
        <f>标准成本!E83</f>
        <v>5.5491239999999999</v>
      </c>
      <c r="J37" s="86">
        <f>标准成本!E96</f>
        <v>13.724816000000001</v>
      </c>
      <c r="K37" s="86">
        <f>标准成本!E109</f>
        <v>12.595548000000001</v>
      </c>
      <c r="L37" s="86">
        <f>标准成本!E122</f>
        <v>6.0720939999999999</v>
      </c>
      <c r="M37" s="86">
        <f>标准成本!E135</f>
        <v>6.7187540000000006</v>
      </c>
      <c r="N37" s="86">
        <f>标准成本!E148</f>
        <v>5.2214540000000005</v>
      </c>
      <c r="O37" s="86">
        <f>标准成本!E161</f>
        <v>4.6186280000000002</v>
      </c>
      <c r="P37" s="86">
        <f>标准成本!E174</f>
        <v>6.2613180000000002</v>
      </c>
      <c r="Q37" s="86">
        <f>标准成本!E187</f>
        <v>5.4683999999999999</v>
      </c>
      <c r="R37" s="86">
        <f>标准成本!E200</f>
        <v>0</v>
      </c>
      <c r="S37" s="86">
        <f>标准成本!E213</f>
        <v>0</v>
      </c>
      <c r="T37" s="92"/>
      <c r="U37" s="2"/>
      <c r="V37" s="2"/>
      <c r="W37" s="2"/>
      <c r="X37" s="2"/>
      <c r="Y37" s="2"/>
      <c r="Z37" s="2"/>
      <c r="AA37" s="2"/>
      <c r="AB37" s="2"/>
      <c r="AC37" s="2"/>
      <c r="AD37" s="2"/>
      <c r="AR37" s="77" t="s">
        <v>60</v>
      </c>
      <c r="AS37" s="77" t="s">
        <v>107</v>
      </c>
    </row>
    <row r="38" spans="1:45">
      <c r="A38" s="74">
        <v>3</v>
      </c>
      <c r="B38" s="77" t="s">
        <v>108</v>
      </c>
      <c r="C38" s="86">
        <f>标准成本!E10</f>
        <v>15</v>
      </c>
      <c r="D38" s="86">
        <f>标准成本!E22</f>
        <v>23</v>
      </c>
      <c r="E38" s="86">
        <f>标准成本!E35</f>
        <v>15</v>
      </c>
      <c r="F38" s="86">
        <f>标准成本!E48</f>
        <v>23</v>
      </c>
      <c r="G38" s="86">
        <f>标准成本!E61</f>
        <v>15</v>
      </c>
      <c r="H38" s="86">
        <f>标准成本!E74</f>
        <v>0.58590000000000009</v>
      </c>
      <c r="I38" s="86">
        <f>标准成本!E87</f>
        <v>10</v>
      </c>
      <c r="J38" s="86">
        <f>标准成本!E100</f>
        <v>10</v>
      </c>
      <c r="K38" s="86">
        <f>标准成本!E113</f>
        <v>10</v>
      </c>
      <c r="L38" s="86">
        <f>标准成本!E126</f>
        <v>10</v>
      </c>
      <c r="M38" s="86">
        <f>标准成本!E139</f>
        <v>6</v>
      </c>
      <c r="N38" s="86">
        <f>标准成本!E152</f>
        <v>6</v>
      </c>
      <c r="O38" s="86">
        <f>标准成本!E165</f>
        <v>4</v>
      </c>
      <c r="P38" s="86">
        <f>标准成本!E178</f>
        <v>4</v>
      </c>
      <c r="Q38" s="86">
        <f>标准成本!E191</f>
        <v>4</v>
      </c>
      <c r="R38" s="86">
        <f>标准成本!E204</f>
        <v>0</v>
      </c>
      <c r="S38" s="86">
        <f>标准成本!E217</f>
        <v>0</v>
      </c>
      <c r="T38" s="92"/>
      <c r="U38" s="2"/>
      <c r="V38" s="2"/>
      <c r="W38" s="2"/>
      <c r="X38" s="2"/>
      <c r="Y38" s="2"/>
      <c r="Z38" s="2"/>
      <c r="AA38" s="2"/>
      <c r="AB38" s="2"/>
      <c r="AC38" s="2"/>
      <c r="AD38" s="2"/>
      <c r="AR38" s="77" t="s">
        <v>66</v>
      </c>
      <c r="AS38" s="77" t="s">
        <v>108</v>
      </c>
    </row>
    <row r="39" spans="1:45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AR39" s="77" t="s">
        <v>109</v>
      </c>
      <c r="AS39" s="82" t="s">
        <v>110</v>
      </c>
    </row>
    <row r="40" spans="1:45">
      <c r="A40" s="74">
        <v>1</v>
      </c>
      <c r="B40" s="77" t="s">
        <v>111</v>
      </c>
      <c r="C40" s="88">
        <f>C34-C36-C37-C38</f>
        <v>54.78074399999997</v>
      </c>
      <c r="D40" s="88" t="e">
        <f>D34-D36-D37-D38</f>
        <v>#DIV/0!</v>
      </c>
      <c r="E40" s="88">
        <f t="shared" ref="E40:S40" si="43">E34-E36-E37-E38</f>
        <v>45.200400000000009</v>
      </c>
      <c r="F40" s="88">
        <f t="shared" si="43"/>
        <v>201.29127845469998</v>
      </c>
      <c r="G40" s="88">
        <f t="shared" si="43"/>
        <v>54.78074399999997</v>
      </c>
      <c r="H40" s="88">
        <f t="shared" si="43"/>
        <v>2.4788999999999999</v>
      </c>
      <c r="I40" s="88">
        <f t="shared" si="43"/>
        <v>13.908810613400004</v>
      </c>
      <c r="J40" s="88">
        <f t="shared" si="43"/>
        <v>-17.671872000000004</v>
      </c>
      <c r="K40" s="88">
        <f t="shared" si="43"/>
        <v>-7.1968159999999841</v>
      </c>
      <c r="L40" s="88">
        <f t="shared" si="43"/>
        <v>23.059581993999991</v>
      </c>
      <c r="M40" s="88">
        <f t="shared" si="43"/>
        <v>0.45486750000000953</v>
      </c>
      <c r="N40" s="88">
        <f t="shared" si="43"/>
        <v>-12.500967999999993</v>
      </c>
      <c r="O40" s="88">
        <f t="shared" si="43"/>
        <v>13.323046998099997</v>
      </c>
      <c r="P40" s="88">
        <f t="shared" si="43"/>
        <v>24.443842754100007</v>
      </c>
      <c r="Q40" s="88">
        <f t="shared" si="43"/>
        <v>19.537200000000002</v>
      </c>
      <c r="R40" s="88" t="e">
        <f t="shared" si="43"/>
        <v>#DIV/0!</v>
      </c>
      <c r="S40" s="88" t="e">
        <f t="shared" si="43"/>
        <v>#DIV/0!</v>
      </c>
      <c r="T40" s="88"/>
      <c r="AR40" s="77" t="s">
        <v>55</v>
      </c>
      <c r="AS40" s="77" t="s">
        <v>111</v>
      </c>
    </row>
    <row r="41" spans="1:45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AR41" s="77" t="s">
        <v>57</v>
      </c>
      <c r="AS41" s="77" t="s">
        <v>112</v>
      </c>
    </row>
    <row r="42" spans="1:45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AR42" s="77" t="s">
        <v>113</v>
      </c>
      <c r="AS42" s="82" t="s">
        <v>114</v>
      </c>
    </row>
    <row r="43" spans="1:45">
      <c r="A43" s="74">
        <v>1</v>
      </c>
      <c r="B43" s="89" t="s">
        <v>115</v>
      </c>
      <c r="C43" s="86">
        <f>标准成本!E5</f>
        <v>63.629775000000002</v>
      </c>
      <c r="D43" s="86">
        <f>标准成本!E17</f>
        <v>147.33510000000001</v>
      </c>
      <c r="E43" s="86">
        <f>标准成本!E30</f>
        <v>33.577500000000001</v>
      </c>
      <c r="F43" s="86">
        <f>标准成本!E43</f>
        <v>100.0065</v>
      </c>
      <c r="G43" s="86">
        <f>标准成本!E56</f>
        <v>63.629775000000002</v>
      </c>
      <c r="H43" s="86">
        <f>标准成本!E69</f>
        <v>0.74250000000000005</v>
      </c>
      <c r="I43" s="86">
        <f>标准成本!E82</f>
        <v>10.548450000000001</v>
      </c>
      <c r="J43" s="86">
        <f>标准成本!E95</f>
        <v>26.0898</v>
      </c>
      <c r="K43" s="86">
        <f>标准成本!E108</f>
        <v>23.943150000000003</v>
      </c>
      <c r="L43" s="86">
        <f>标准成本!E121</f>
        <v>11.542575000000001</v>
      </c>
      <c r="M43" s="86">
        <f>标准成本!E134</f>
        <v>12.771825000000002</v>
      </c>
      <c r="N43" s="86">
        <f>标准成本!E147</f>
        <v>9.9255750000000003</v>
      </c>
      <c r="O43" s="86">
        <f>标准成本!E160</f>
        <v>8.7796500000000002</v>
      </c>
      <c r="P43" s="86">
        <f>标准成本!E173</f>
        <v>11.902275000000001</v>
      </c>
      <c r="Q43" s="86">
        <f>标准成本!E186</f>
        <v>10.395000000000001</v>
      </c>
      <c r="R43" s="86">
        <f>标准成本!E199</f>
        <v>0</v>
      </c>
      <c r="S43" s="86">
        <f>标准成本!E212</f>
        <v>0</v>
      </c>
      <c r="T43" s="88"/>
      <c r="AR43" s="77" t="s">
        <v>55</v>
      </c>
      <c r="AS43" s="77" t="s">
        <v>115</v>
      </c>
    </row>
    <row r="44" spans="1:45">
      <c r="A44" s="74">
        <v>2</v>
      </c>
      <c r="B44" s="89" t="s">
        <v>116</v>
      </c>
      <c r="C44" s="86">
        <f>标准成本!E9</f>
        <v>13.265844</v>
      </c>
      <c r="D44" s="86">
        <f>标准成本!E21</f>
        <v>30.717136000000004</v>
      </c>
      <c r="E44" s="86">
        <f>标准成本!E34</f>
        <v>7.0004</v>
      </c>
      <c r="F44" s="86">
        <f>标准成本!E47</f>
        <v>20.84984</v>
      </c>
      <c r="G44" s="86">
        <f>标准成本!E60</f>
        <v>13.265844</v>
      </c>
      <c r="H44" s="86">
        <f>标准成本!E73</f>
        <v>0.15479999999999999</v>
      </c>
      <c r="I44" s="86">
        <f>标准成本!E86</f>
        <v>2.199192</v>
      </c>
      <c r="J44" s="86">
        <f>标准成本!E99</f>
        <v>5.4393279999999997</v>
      </c>
      <c r="K44" s="86">
        <f>标准成本!E112</f>
        <v>4.9917840000000009</v>
      </c>
      <c r="L44" s="86">
        <f>标准成本!E125</f>
        <v>2.4064519999999998</v>
      </c>
      <c r="M44" s="86">
        <f>标准成本!E138</f>
        <v>2.6627320000000001</v>
      </c>
      <c r="N44" s="86">
        <f>标准成本!E151</f>
        <v>2.0693320000000002</v>
      </c>
      <c r="O44" s="86">
        <f>标准成本!E164</f>
        <v>1.8304240000000001</v>
      </c>
      <c r="P44" s="86">
        <f>标准成本!E177</f>
        <v>2.4814440000000002</v>
      </c>
      <c r="Q44" s="86">
        <f>标准成本!E190</f>
        <v>2.1671999999999998</v>
      </c>
      <c r="R44" s="86">
        <f>标准成本!E203</f>
        <v>0</v>
      </c>
      <c r="S44" s="86">
        <f>标准成本!E216</f>
        <v>0</v>
      </c>
      <c r="T44" s="88"/>
      <c r="AR44" s="77" t="s">
        <v>57</v>
      </c>
      <c r="AS44" s="77" t="s">
        <v>116</v>
      </c>
    </row>
    <row r="45" spans="1:45">
      <c r="A45" s="74">
        <v>3</v>
      </c>
      <c r="B45" s="89" t="s">
        <v>117</v>
      </c>
      <c r="C45" s="86">
        <f>标准成本!E8</f>
        <v>20.361528</v>
      </c>
      <c r="D45" s="86">
        <f>标准成本!E20</f>
        <v>47.147232000000002</v>
      </c>
      <c r="E45" s="86">
        <f>标准成本!E33</f>
        <v>10.7448</v>
      </c>
      <c r="F45" s="86">
        <f>标准成本!E46</f>
        <v>32.002079999999999</v>
      </c>
      <c r="G45" s="86">
        <f>标准成本!E59</f>
        <v>20.361528</v>
      </c>
      <c r="H45" s="86">
        <f>标准成本!E72</f>
        <v>0.23760000000000001</v>
      </c>
      <c r="I45" s="86">
        <f>标准成本!E85</f>
        <v>3.3755039999999998</v>
      </c>
      <c r="J45" s="86">
        <f>标准成本!E98</f>
        <v>8.3487360000000006</v>
      </c>
      <c r="K45" s="86">
        <f>标准成本!E111</f>
        <v>7.6618080000000006</v>
      </c>
      <c r="L45" s="86">
        <f>标准成本!E124</f>
        <v>3.6936239999999998</v>
      </c>
      <c r="M45" s="86">
        <f>标准成本!E137</f>
        <v>4.0869840000000002</v>
      </c>
      <c r="N45" s="86">
        <f>标准成本!E150</f>
        <v>3.1761840000000001</v>
      </c>
      <c r="O45" s="86">
        <f>标准成本!E163</f>
        <v>2.809488</v>
      </c>
      <c r="P45" s="86">
        <f>标准成本!E176</f>
        <v>3.8087280000000003</v>
      </c>
      <c r="Q45" s="86">
        <f>标准成本!E189</f>
        <v>3.3264</v>
      </c>
      <c r="R45" s="86">
        <f>标准成本!E202</f>
        <v>0</v>
      </c>
      <c r="S45" s="86">
        <f>标准成本!E215</f>
        <v>0</v>
      </c>
      <c r="T45" s="88"/>
      <c r="AR45" s="77" t="s">
        <v>102</v>
      </c>
      <c r="AS45" s="77" t="s">
        <v>117</v>
      </c>
    </row>
    <row r="46" spans="1:45" s="72" customFormat="1">
      <c r="A46" s="74">
        <v>4</v>
      </c>
      <c r="B46" s="89" t="s">
        <v>118</v>
      </c>
      <c r="C46" s="94">
        <f>C21/C6</f>
        <v>0.62222222222222223</v>
      </c>
      <c r="D46" s="94" t="e">
        <f>D21/D6</f>
        <v>#DIV/0!</v>
      </c>
      <c r="E46" s="94">
        <f t="shared" ref="E46:S46" si="44">E21/E6</f>
        <v>0.62222222222222223</v>
      </c>
      <c r="F46" s="94">
        <f t="shared" si="44"/>
        <v>0.62222222222222223</v>
      </c>
      <c r="G46" s="94">
        <f t="shared" si="44"/>
        <v>0.62222222222222223</v>
      </c>
      <c r="H46" s="94">
        <f t="shared" si="44"/>
        <v>0.62222222222222223</v>
      </c>
      <c r="I46" s="94">
        <f t="shared" si="44"/>
        <v>0.62222222222222223</v>
      </c>
      <c r="J46" s="94">
        <f t="shared" si="44"/>
        <v>0.62222222222222223</v>
      </c>
      <c r="K46" s="94">
        <f t="shared" si="44"/>
        <v>0.62222222222222223</v>
      </c>
      <c r="L46" s="94">
        <f t="shared" si="44"/>
        <v>0.62222222222222223</v>
      </c>
      <c r="M46" s="94">
        <f t="shared" si="44"/>
        <v>0.62222222222222223</v>
      </c>
      <c r="N46" s="94">
        <f t="shared" si="44"/>
        <v>0.62222222222222223</v>
      </c>
      <c r="O46" s="94">
        <f t="shared" si="44"/>
        <v>0.62222222222222223</v>
      </c>
      <c r="P46" s="94">
        <f t="shared" si="44"/>
        <v>0.62222222222222223</v>
      </c>
      <c r="Q46" s="94">
        <f t="shared" si="44"/>
        <v>0.62222222222222223</v>
      </c>
      <c r="R46" s="94" t="e">
        <f t="shared" si="44"/>
        <v>#DIV/0!</v>
      </c>
      <c r="S46" s="94" t="e">
        <f t="shared" si="44"/>
        <v>#DIV/0!</v>
      </c>
      <c r="T46" s="94"/>
      <c r="AR46" s="89" t="s">
        <v>62</v>
      </c>
      <c r="AS46" s="89" t="s">
        <v>120</v>
      </c>
    </row>
    <row r="47" spans="1:45" s="72" customFormat="1">
      <c r="A47" s="74">
        <v>5</v>
      </c>
      <c r="B47" s="89" t="s">
        <v>120</v>
      </c>
      <c r="C47" s="86">
        <f>标准成本!E11</f>
        <v>27.380084999999998</v>
      </c>
      <c r="D47" s="86">
        <f>标准成本!E23</f>
        <v>63.398739999999997</v>
      </c>
      <c r="E47" s="86">
        <f>标准成本!E36</f>
        <v>14.448499999999999</v>
      </c>
      <c r="F47" s="86">
        <f>标准成本!E49</f>
        <v>43.033099999999997</v>
      </c>
      <c r="G47" s="86">
        <f>标准成本!E62</f>
        <v>27.380084999999998</v>
      </c>
      <c r="H47" s="86">
        <f>标准成本!E75</f>
        <v>0.31949999999999995</v>
      </c>
      <c r="I47" s="86">
        <f>标准成本!E88</f>
        <v>4.5390299999999995</v>
      </c>
      <c r="J47" s="86">
        <f>标准成本!E101</f>
        <v>11.226519999999999</v>
      </c>
      <c r="K47" s="86">
        <f>标准成本!E114</f>
        <v>10.302810000000001</v>
      </c>
      <c r="L47" s="86">
        <f>标准成本!E127</f>
        <v>4.966804999999999</v>
      </c>
      <c r="M47" s="86">
        <f>标准成本!E140</f>
        <v>5.4957549999999999</v>
      </c>
      <c r="N47" s="86">
        <f>标准成本!E153</f>
        <v>4.2710049999999997</v>
      </c>
      <c r="O47" s="86">
        <f>标准成本!E166</f>
        <v>3.7779099999999999</v>
      </c>
      <c r="P47" s="86">
        <f>标准成本!E179</f>
        <v>5.1215849999999996</v>
      </c>
      <c r="Q47" s="86">
        <f>标准成本!E192</f>
        <v>4.4729999999999999</v>
      </c>
      <c r="R47" s="86">
        <f>标准成本!E205</f>
        <v>0</v>
      </c>
      <c r="S47" s="86">
        <f>标准成本!E218</f>
        <v>0</v>
      </c>
      <c r="T47" s="94"/>
      <c r="AR47" s="89" t="s">
        <v>62</v>
      </c>
      <c r="AS47" s="89" t="s">
        <v>120</v>
      </c>
    </row>
    <row r="48" spans="1:45">
      <c r="A48" s="77" t="s">
        <v>113</v>
      </c>
      <c r="B48" s="82" t="s">
        <v>131</v>
      </c>
      <c r="C48" s="88">
        <f>C40-C43-C44-C45-C47-C46</f>
        <v>-70.478710222222247</v>
      </c>
      <c r="D48" s="88" t="e">
        <f>D40-D43-D44-D45-D47-D46</f>
        <v>#DIV/0!</v>
      </c>
      <c r="E48" s="88">
        <f t="shared" ref="E48:S48" si="45">E40-E43-E44-E45-E47-E46</f>
        <v>-21.193022222222215</v>
      </c>
      <c r="F48" s="88">
        <f t="shared" si="45"/>
        <v>4.7775362324777557</v>
      </c>
      <c r="G48" s="88">
        <f t="shared" si="45"/>
        <v>-70.478710222222247</v>
      </c>
      <c r="H48" s="88">
        <f t="shared" si="45"/>
        <v>0.40227777777777751</v>
      </c>
      <c r="I48" s="88">
        <f t="shared" si="45"/>
        <v>-7.3755876088222188</v>
      </c>
      <c r="J48" s="88">
        <f t="shared" si="45"/>
        <v>-69.398478222222224</v>
      </c>
      <c r="K48" s="88">
        <f t="shared" si="45"/>
        <v>-54.718590222222211</v>
      </c>
      <c r="L48" s="88">
        <f t="shared" si="45"/>
        <v>-0.1720962282222307</v>
      </c>
      <c r="M48" s="88">
        <f t="shared" si="45"/>
        <v>-25.184650722222216</v>
      </c>
      <c r="N48" s="88">
        <f t="shared" si="45"/>
        <v>-32.565286222222213</v>
      </c>
      <c r="O48" s="88">
        <f t="shared" si="45"/>
        <v>-4.4966472241222251</v>
      </c>
      <c r="P48" s="88">
        <f t="shared" si="45"/>
        <v>0.50758853187778419</v>
      </c>
      <c r="Q48" s="88">
        <f t="shared" si="45"/>
        <v>-1.4466222222222207</v>
      </c>
      <c r="R48" s="88" t="e">
        <f t="shared" si="45"/>
        <v>#DIV/0!</v>
      </c>
      <c r="S48" s="88" t="e">
        <f t="shared" si="45"/>
        <v>#DIV/0!</v>
      </c>
      <c r="T48" s="88"/>
      <c r="AR48" s="77" t="s">
        <v>130</v>
      </c>
      <c r="AS48" s="82" t="s">
        <v>131</v>
      </c>
    </row>
    <row r="51" spans="2:25"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4" spans="2:25">
      <c r="B54" s="2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"/>
      <c r="V54" s="2"/>
      <c r="W54" s="2"/>
      <c r="X54" s="2"/>
      <c r="Y54" s="2"/>
    </row>
    <row r="55" spans="2:25">
      <c r="B55" s="2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"/>
      <c r="V55" s="2"/>
      <c r="W55" s="2"/>
      <c r="X55" s="2"/>
      <c r="Y55" s="2"/>
    </row>
    <row r="56" spans="2:25">
      <c r="B56" s="2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"/>
      <c r="V56" s="2"/>
      <c r="W56" s="2"/>
      <c r="X56" s="2"/>
      <c r="Y56" s="2"/>
    </row>
    <row r="57" spans="2:25">
      <c r="B57" s="2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"/>
      <c r="V57" s="2"/>
      <c r="W57" s="2"/>
      <c r="X57" s="2"/>
      <c r="Y57" s="2"/>
    </row>
    <row r="58" spans="2:25">
      <c r="B58" s="2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2"/>
      <c r="V58" s="2"/>
      <c r="W58" s="2"/>
      <c r="X58" s="2"/>
      <c r="Y58" s="2"/>
    </row>
    <row r="59" spans="2:25">
      <c r="B59" s="2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2"/>
      <c r="V59" s="2"/>
      <c r="W59" s="2"/>
      <c r="X59" s="2"/>
      <c r="Y59" s="2"/>
    </row>
    <row r="60" spans="2:25">
      <c r="B60" s="2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2"/>
      <c r="V60" s="2"/>
      <c r="W60" s="2"/>
      <c r="X60" s="2"/>
      <c r="Y60" s="2"/>
    </row>
    <row r="61" spans="2:25">
      <c r="B61" s="2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2"/>
      <c r="V61" s="2"/>
      <c r="W61" s="2"/>
      <c r="X61" s="2"/>
      <c r="Y61" s="2"/>
    </row>
    <row r="62" spans="2:25">
      <c r="B62" s="2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2"/>
      <c r="V62" s="2"/>
      <c r="W62" s="2"/>
      <c r="X62" s="2"/>
      <c r="Y62" s="2"/>
    </row>
    <row r="63" spans="2:25">
      <c r="B63" s="2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2"/>
      <c r="V63" s="2"/>
      <c r="W63" s="2"/>
      <c r="X63" s="2"/>
      <c r="Y63" s="2"/>
    </row>
    <row r="64" spans="2:25">
      <c r="B64" s="2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2"/>
      <c r="V64" s="2"/>
      <c r="W64" s="2"/>
      <c r="X64" s="2"/>
      <c r="Y64" s="2"/>
    </row>
    <row r="65" spans="2:25">
      <c r="B65" s="2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2"/>
      <c r="V65" s="2"/>
      <c r="W65" s="2"/>
      <c r="X65" s="2"/>
      <c r="Y65" s="2"/>
    </row>
    <row r="66" spans="2:25">
      <c r="B66" s="2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2"/>
      <c r="V66" s="2"/>
      <c r="W66" s="2"/>
      <c r="X66" s="2"/>
      <c r="Y66" s="2"/>
    </row>
    <row r="67" spans="2:25">
      <c r="B67" s="2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2"/>
    </row>
    <row r="68" spans="2:25">
      <c r="B68" s="2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2"/>
    </row>
    <row r="69" spans="2:25">
      <c r="B69" s="2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"/>
    </row>
    <row r="70" spans="2:25">
      <c r="B70" s="2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2"/>
    </row>
    <row r="71" spans="2:25">
      <c r="B71" s="2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2"/>
    </row>
    <row r="72" spans="2:25">
      <c r="B72" s="2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2"/>
    </row>
    <row r="73" spans="2:25">
      <c r="B73" s="2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"/>
    </row>
    <row r="74" spans="2:25">
      <c r="B74" s="2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M23" sqref="M23"/>
    </sheetView>
  </sheetViews>
  <sheetFormatPr defaultColWidth="9" defaultRowHeight="16.5"/>
  <cols>
    <col min="1" max="1" width="5.125" style="70" customWidth="1"/>
    <col min="2" max="2" width="17.5" style="70" customWidth="1"/>
    <col min="3" max="19" width="14.375" style="73" customWidth="1"/>
    <col min="20" max="20" width="18.75" style="73" customWidth="1"/>
    <col min="21" max="21" width="12.375" style="70" customWidth="1"/>
    <col min="22" max="22" width="10.125" style="70" customWidth="1"/>
    <col min="23" max="29" width="9" style="70" customWidth="1"/>
    <col min="30" max="45" width="9" style="70"/>
    <col min="46" max="46" width="4.375" style="70" customWidth="1"/>
    <col min="47" max="47" width="13.875" style="70" customWidth="1"/>
    <col min="48" max="16384" width="9" style="70"/>
  </cols>
  <sheetData>
    <row r="1" spans="1:48">
      <c r="A1" s="244" t="s">
        <v>141</v>
      </c>
      <c r="B1" s="244"/>
      <c r="C1" s="248" t="s">
        <v>263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48">
      <c r="A2" s="244" t="s">
        <v>142</v>
      </c>
      <c r="B2" s="244"/>
      <c r="C2" s="251" t="str">
        <f>'2026年'!$C$2</f>
        <v>一汽解放（青岛事业部）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48" ht="22.5">
      <c r="A3" s="244" t="s">
        <v>143</v>
      </c>
      <c r="B3" s="244"/>
      <c r="C3" s="75" t="str">
        <f>'2026年'!C3</f>
        <v>驾驶员座总成</v>
      </c>
      <c r="D3" s="75" t="str">
        <f>'2026年'!D3</f>
        <v>驾驶员座总成</v>
      </c>
      <c r="E3" s="75" t="str">
        <f>'2026年'!E3</f>
        <v>驾驶员座总成</v>
      </c>
      <c r="F3" s="75" t="str">
        <f>'2026年'!F3</f>
        <v>驾驶员座总成</v>
      </c>
      <c r="G3" s="75" t="str">
        <f>'2026年'!G3</f>
        <v>驾驶员座总成</v>
      </c>
      <c r="H3" s="75" t="str">
        <f>'2026年'!H3</f>
        <v>固定支架焊接总成-连接主副靠背</v>
      </c>
      <c r="I3" s="75" t="str">
        <f>'2026年'!I3</f>
        <v>前座座垫总成</v>
      </c>
      <c r="J3" s="75" t="str">
        <f>'2026年'!J3</f>
        <v>前座座垫总成</v>
      </c>
      <c r="K3" s="75" t="str">
        <f>'2026年'!K3</f>
        <v>前座座垫总成</v>
      </c>
      <c r="L3" s="75" t="str">
        <f>'2026年'!L3</f>
        <v>前座座垫总成</v>
      </c>
      <c r="M3" s="75" t="str">
        <f>'2026年'!M3</f>
        <v>主靠背总成-前座</v>
      </c>
      <c r="N3" s="75" t="str">
        <f>'2026年'!N3</f>
        <v>主靠背总成-前座</v>
      </c>
      <c r="O3" s="75" t="str">
        <f>'2026年'!O3</f>
        <v>副靠背总成-前座</v>
      </c>
      <c r="P3" s="75" t="str">
        <f>'2026年'!P3</f>
        <v>副靠背总成-前座</v>
      </c>
      <c r="Q3" s="75" t="str">
        <f>'2026年'!Q3</f>
        <v>副靠背总成-前座</v>
      </c>
      <c r="R3" s="75">
        <f>'2026年'!R3</f>
        <v>0</v>
      </c>
      <c r="S3" s="75">
        <f>'2026年'!S3</f>
        <v>0</v>
      </c>
      <c r="T3" s="245" t="s">
        <v>51</v>
      </c>
    </row>
    <row r="4" spans="1:48">
      <c r="A4" s="244" t="s">
        <v>144</v>
      </c>
      <c r="B4" s="244"/>
      <c r="C4" s="75" t="str">
        <f>'2026年'!C4</f>
        <v>6800010-J36-C00</v>
      </c>
      <c r="D4" s="75" t="str">
        <f>'2026年'!D4</f>
        <v>6800010-J37-C00</v>
      </c>
      <c r="E4" s="75" t="str">
        <f>'2026年'!E4</f>
        <v>6800010AJ36-C00</v>
      </c>
      <c r="F4" s="75" t="str">
        <f>'2026年'!F4</f>
        <v>6800010AJ37-C00</v>
      </c>
      <c r="G4" s="75" t="str">
        <f>'2026年'!G4</f>
        <v>6800010BJ37-C00</v>
      </c>
      <c r="H4" s="75" t="str">
        <f>'2026年'!H4</f>
        <v>6900015-J37-C00</v>
      </c>
      <c r="I4" s="75" t="str">
        <f>'2026年'!I4</f>
        <v>6903010-J36-C00</v>
      </c>
      <c r="J4" s="75" t="str">
        <f>'2026年'!J4</f>
        <v>6903010-J37-C00</v>
      </c>
      <c r="K4" s="75" t="str">
        <f>'2026年'!K4</f>
        <v>6903010AJ37-C00</v>
      </c>
      <c r="L4" s="75" t="str">
        <f>'2026年'!L4</f>
        <v>6903010BJ37-C00</v>
      </c>
      <c r="M4" s="75" t="str">
        <f>'2026年'!M4</f>
        <v>6905020-J37-C00</v>
      </c>
      <c r="N4" s="75">
        <f>'2026年'!N4</f>
        <v>0</v>
      </c>
      <c r="O4" s="75" t="str">
        <f>'2026年'!O4</f>
        <v>6905100-J36-C00</v>
      </c>
      <c r="P4" s="75" t="str">
        <f>'2026年'!P4</f>
        <v>6905100-J37-C00</v>
      </c>
      <c r="Q4" s="75">
        <f>'2026年'!Q4</f>
        <v>0</v>
      </c>
      <c r="R4" s="75">
        <f>'2026年'!R4</f>
        <v>0</v>
      </c>
      <c r="S4" s="75">
        <f>'2026年'!S4</f>
        <v>0</v>
      </c>
      <c r="T4" s="246"/>
    </row>
    <row r="5" spans="1:48" ht="99.75">
      <c r="A5" s="244" t="s">
        <v>145</v>
      </c>
      <c r="B5" s="244"/>
      <c r="C5" s="76" t="str">
        <f>'2026年'!C5</f>
        <v>靠背角度调整，座椅前后调节，通风加热，通风织物，右侧单扶手，L型头枕，左侧半包围</v>
      </c>
      <c r="D5" s="76" t="str">
        <f>'2026年'!D5</f>
        <v>空气减震，靠背角度调整，座椅前后调节，气动腰托，通风加热，超纤皮，右侧单扶手，音乐头枕+靠背按摩，左侧半包围</v>
      </c>
      <c r="E5" s="76" t="str">
        <f>'2026年'!E5</f>
        <v>靠背角度调整，座椅前后调节，通风织物，右侧单扶手，L型头枕，左侧半包围</v>
      </c>
      <c r="F5" s="76" t="str">
        <f>'2026年'!F5</f>
        <v>空气减震，靠背角度调整，座椅前后调节，气动腰托，通风加热，超纤皮，右侧单扶手，L型头枕，左侧半包围</v>
      </c>
      <c r="G5" s="76" t="str">
        <f>'2026年'!G5</f>
        <v>靠背角度调整，座椅前后调节，通风加热，通风织物，右侧单扶手，L型头枕，左侧半包围</v>
      </c>
      <c r="H5" s="76">
        <f>'2026年'!H5</f>
        <v>0</v>
      </c>
      <c r="I5" s="76" t="str">
        <f>'2026年'!I5</f>
        <v>通风织物，固定式</v>
      </c>
      <c r="J5" s="76" t="str">
        <f>'2026年'!J5</f>
        <v>抽拉功能，超纤</v>
      </c>
      <c r="K5" s="76" t="str">
        <f>'2026年'!K5</f>
        <v>抽拉功能，通风织物</v>
      </c>
      <c r="L5" s="76" t="str">
        <f>'2026年'!L5</f>
        <v>通风织物，固定式</v>
      </c>
      <c r="M5" s="76" t="str">
        <f>'2026年'!M5</f>
        <v>主靠背向前放平，中间座向前放平，L型头枕，中间座靠背集成放物盒</v>
      </c>
      <c r="N5" s="76" t="str">
        <f>'2026年'!N5</f>
        <v>参考6905020-H26-C00织物</v>
      </c>
      <c r="O5" s="76" t="str">
        <f>'2026年'!O5</f>
        <v>主靠背向前放平，中间座向前放平，L型头枕，中间座靠背集成放物盒</v>
      </c>
      <c r="P5" s="76" t="str">
        <f>'2026年'!P5</f>
        <v>主靠背向前放平，中间座向前放平，L型头枕，中间座靠背集成放物盒</v>
      </c>
      <c r="Q5" s="76" t="str">
        <f>'2026年'!Q5</f>
        <v>参考6905100-H22-C00织物</v>
      </c>
      <c r="R5" s="76">
        <f>'2026年'!R5</f>
        <v>0</v>
      </c>
      <c r="S5" s="76">
        <f>'2026年'!S5</f>
        <v>0</v>
      </c>
      <c r="T5" s="247"/>
      <c r="AV5" s="70" t="s">
        <v>52</v>
      </c>
    </row>
    <row r="6" spans="1:48" ht="17.25">
      <c r="A6" s="77" t="s">
        <v>18</v>
      </c>
      <c r="B6" s="78" t="s">
        <v>146</v>
      </c>
      <c r="C6" s="97">
        <f>销量!C10</f>
        <v>3600</v>
      </c>
      <c r="D6" s="97">
        <f>销量!D10</f>
        <v>0</v>
      </c>
      <c r="E6" s="97">
        <f>销量!E10</f>
        <v>3600</v>
      </c>
      <c r="F6" s="97">
        <f>销量!F10</f>
        <v>14400</v>
      </c>
      <c r="G6" s="97">
        <f>销量!G10</f>
        <v>14400</v>
      </c>
      <c r="H6" s="97">
        <f>销量!H10</f>
        <v>36000</v>
      </c>
      <c r="I6" s="97">
        <f>销量!I10</f>
        <v>7200</v>
      </c>
      <c r="J6" s="97">
        <f>销量!J10</f>
        <v>14400</v>
      </c>
      <c r="K6" s="97">
        <f>销量!K10</f>
        <v>7200</v>
      </c>
      <c r="L6" s="97">
        <f>销量!L10</f>
        <v>7200</v>
      </c>
      <c r="M6" s="97">
        <f>销量!M10</f>
        <v>14400</v>
      </c>
      <c r="N6" s="97">
        <f>销量!N10</f>
        <v>21600</v>
      </c>
      <c r="O6" s="97">
        <f>销量!O10</f>
        <v>7200</v>
      </c>
      <c r="P6" s="97">
        <f>销量!P10</f>
        <v>14400</v>
      </c>
      <c r="Q6" s="97">
        <f>销量!Q10</f>
        <v>14400</v>
      </c>
      <c r="R6" s="97">
        <f>销量!R10</f>
        <v>0</v>
      </c>
      <c r="S6" s="97">
        <f>销量!S10</f>
        <v>0</v>
      </c>
      <c r="T6" s="80">
        <f>+SUM(C6:S6)</f>
        <v>180000</v>
      </c>
      <c r="AT6" s="77" t="s">
        <v>18</v>
      </c>
      <c r="AU6" s="78" t="s">
        <v>3</v>
      </c>
      <c r="AV6" s="70" t="s">
        <v>53</v>
      </c>
    </row>
    <row r="7" spans="1:48">
      <c r="A7" s="74">
        <v>1</v>
      </c>
      <c r="B7" s="78" t="s">
        <v>54</v>
      </c>
      <c r="C7" s="80">
        <f>C6*销量!C8</f>
        <v>2776572</v>
      </c>
      <c r="D7" s="80">
        <f>D6*销量!D8</f>
        <v>0</v>
      </c>
      <c r="E7" s="80">
        <f>E6*销量!E8</f>
        <v>1465200</v>
      </c>
      <c r="F7" s="80">
        <f>F6*销量!F8</f>
        <v>17455680</v>
      </c>
      <c r="G7" s="80">
        <f>G6*销量!G8</f>
        <v>11106288</v>
      </c>
      <c r="H7" s="80">
        <f>H6*销量!H8</f>
        <v>324000</v>
      </c>
      <c r="I7" s="80">
        <f>I6*销量!I8</f>
        <v>920592</v>
      </c>
      <c r="J7" s="80">
        <f>J6*销量!J8</f>
        <v>4553856</v>
      </c>
      <c r="K7" s="80">
        <f>K6*销量!K8</f>
        <v>2089584.0000000002</v>
      </c>
      <c r="L7" s="80">
        <f>L6*销量!L8</f>
        <v>1007352</v>
      </c>
      <c r="M7" s="80">
        <f>M6*销量!M8</f>
        <v>2229264</v>
      </c>
      <c r="N7" s="80">
        <f>N6*销量!N8</f>
        <v>2598696</v>
      </c>
      <c r="O7" s="80">
        <f>O6*销量!O8</f>
        <v>766224</v>
      </c>
      <c r="P7" s="80">
        <f>P6*销量!P8</f>
        <v>2077488.0000000002</v>
      </c>
      <c r="Q7" s="80">
        <f>Q6*销量!Q8</f>
        <v>1814400</v>
      </c>
      <c r="R7" s="80">
        <f>R6*销量!R8</f>
        <v>0</v>
      </c>
      <c r="S7" s="80">
        <f>S6*销量!S8</f>
        <v>0</v>
      </c>
      <c r="T7" s="80">
        <f t="shared" ref="T7:T13" si="0">+SUM(C7:S7)</f>
        <v>51185196</v>
      </c>
      <c r="U7" s="73"/>
      <c r="AT7" s="77" t="s">
        <v>55</v>
      </c>
      <c r="AU7" s="78" t="s">
        <v>54</v>
      </c>
      <c r="AV7" s="70" t="s">
        <v>53</v>
      </c>
    </row>
    <row r="8" spans="1:48">
      <c r="A8" s="74">
        <v>2</v>
      </c>
      <c r="B8" s="74" t="s">
        <v>56</v>
      </c>
      <c r="C8" s="80">
        <f>C7*(1-销量!$W$7)</f>
        <v>55531.440000000046</v>
      </c>
      <c r="D8" s="80">
        <f>D7*(1-销量!$W$7)</f>
        <v>0</v>
      </c>
      <c r="E8" s="80">
        <f>E7*(1-销量!$W$7)</f>
        <v>29304.000000000025</v>
      </c>
      <c r="F8" s="80">
        <f>F7*(1-销量!$W$7)</f>
        <v>349113.60000000033</v>
      </c>
      <c r="G8" s="80">
        <f>G7*(1-销量!$W$7)</f>
        <v>222125.76000000018</v>
      </c>
      <c r="H8" s="80">
        <f>H7*(1-销量!$W$7)</f>
        <v>6480.0000000000055</v>
      </c>
      <c r="I8" s="80">
        <f>I7*(1-销量!$W$7)</f>
        <v>18411.840000000015</v>
      </c>
      <c r="J8" s="80">
        <f>J7*(1-销量!$W$7)</f>
        <v>91077.120000000083</v>
      </c>
      <c r="K8" s="80">
        <f>K7*(1-销量!$W$7)</f>
        <v>41791.680000000044</v>
      </c>
      <c r="L8" s="80">
        <f>L7*(1-销量!$W$7)</f>
        <v>20147.040000000019</v>
      </c>
      <c r="M8" s="80">
        <f>M7*(1-销量!$W$7)</f>
        <v>44585.280000000042</v>
      </c>
      <c r="N8" s="80">
        <f>N7*(1-销量!$W$7)</f>
        <v>51973.920000000049</v>
      </c>
      <c r="O8" s="80">
        <f>O7*(1-销量!$W$7)</f>
        <v>15324.480000000014</v>
      </c>
      <c r="P8" s="80">
        <f>P7*(1-销量!$W$7)</f>
        <v>41549.760000000038</v>
      </c>
      <c r="Q8" s="80">
        <f>Q7*(1-销量!$W$7)</f>
        <v>36288.000000000029</v>
      </c>
      <c r="R8" s="80">
        <f>R7*(1-销量!$W$7)</f>
        <v>0</v>
      </c>
      <c r="S8" s="80">
        <f>S7*(1-销量!$W$7)</f>
        <v>0</v>
      </c>
      <c r="T8" s="80">
        <f t="shared" si="0"/>
        <v>1023703.9200000007</v>
      </c>
      <c r="U8" s="81"/>
      <c r="AT8" s="77" t="s">
        <v>57</v>
      </c>
      <c r="AU8" s="74" t="s">
        <v>58</v>
      </c>
      <c r="AV8" s="70" t="s">
        <v>53</v>
      </c>
    </row>
    <row r="9" spans="1:48">
      <c r="A9" s="74">
        <v>3</v>
      </c>
      <c r="B9" s="78" t="s">
        <v>59</v>
      </c>
      <c r="C9" s="80">
        <f>+C7-C8</f>
        <v>2721040.56</v>
      </c>
      <c r="D9" s="80">
        <f>+D7-D8</f>
        <v>0</v>
      </c>
      <c r="E9" s="80">
        <f t="shared" ref="E9:F9" si="1">+E7-E8</f>
        <v>1435896</v>
      </c>
      <c r="F9" s="80">
        <f t="shared" si="1"/>
        <v>17106566.399999999</v>
      </c>
      <c r="G9" s="80">
        <f t="shared" ref="G9:Q9" si="2">+G7-G8</f>
        <v>10884162.24</v>
      </c>
      <c r="H9" s="80">
        <f t="shared" si="2"/>
        <v>317520</v>
      </c>
      <c r="I9" s="80">
        <f t="shared" si="2"/>
        <v>902180.16</v>
      </c>
      <c r="J9" s="80">
        <f t="shared" si="2"/>
        <v>4462778.88</v>
      </c>
      <c r="K9" s="80">
        <f t="shared" si="2"/>
        <v>2047792.3200000003</v>
      </c>
      <c r="L9" s="80">
        <f t="shared" si="2"/>
        <v>987204.96</v>
      </c>
      <c r="M9" s="80">
        <f t="shared" si="2"/>
        <v>2184678.7199999997</v>
      </c>
      <c r="N9" s="80">
        <f t="shared" si="2"/>
        <v>2546722.08</v>
      </c>
      <c r="O9" s="80">
        <f t="shared" si="2"/>
        <v>750899.52</v>
      </c>
      <c r="P9" s="80">
        <f t="shared" si="2"/>
        <v>2035938.2400000002</v>
      </c>
      <c r="Q9" s="80">
        <f t="shared" si="2"/>
        <v>1778112</v>
      </c>
      <c r="R9" s="80">
        <f t="shared" ref="R9:S9" si="3">+R7-R8</f>
        <v>0</v>
      </c>
      <c r="S9" s="80">
        <f t="shared" si="3"/>
        <v>0</v>
      </c>
      <c r="T9" s="80">
        <f t="shared" si="0"/>
        <v>50161492.079999998</v>
      </c>
      <c r="AT9" s="77" t="s">
        <v>60</v>
      </c>
      <c r="AU9" s="78" t="s">
        <v>59</v>
      </c>
      <c r="AV9" s="70" t="s">
        <v>61</v>
      </c>
    </row>
    <row r="10" spans="1:48">
      <c r="A10" s="74">
        <v>4</v>
      </c>
      <c r="B10" s="77" t="s">
        <v>63</v>
      </c>
      <c r="C10" s="80">
        <f>C6*C33</f>
        <v>2167920.7200000002</v>
      </c>
      <c r="D10" s="80">
        <f>D6*D33</f>
        <v>0</v>
      </c>
      <c r="E10" s="80">
        <f t="shared" ref="E10:F10" si="4">E6*E33</f>
        <v>1061539.92</v>
      </c>
      <c r="F10" s="80">
        <f t="shared" si="4"/>
        <v>12011747.188527273</v>
      </c>
      <c r="G10" s="80">
        <f t="shared" ref="G10:Q10" si="5">G6*G33</f>
        <v>8671682.8800000008</v>
      </c>
      <c r="H10" s="80">
        <f t="shared" si="5"/>
        <v>173577.60000000001</v>
      </c>
      <c r="I10" s="80">
        <f t="shared" si="5"/>
        <v>631713.67026384955</v>
      </c>
      <c r="J10" s="80">
        <f t="shared" si="5"/>
        <v>4067642.8800000004</v>
      </c>
      <c r="K10" s="80">
        <f t="shared" si="5"/>
        <v>1797022.08</v>
      </c>
      <c r="L10" s="80">
        <f t="shared" si="5"/>
        <v>642579.82996233599</v>
      </c>
      <c r="M10" s="80">
        <f t="shared" si="5"/>
        <v>1847155.8702239997</v>
      </c>
      <c r="N10" s="80">
        <f t="shared" si="5"/>
        <v>2397064.3199999998</v>
      </c>
      <c r="O10" s="80">
        <f t="shared" si="5"/>
        <v>543966.63452540641</v>
      </c>
      <c r="P10" s="80">
        <f t="shared" si="5"/>
        <v>1404884.897582141</v>
      </c>
      <c r="Q10" s="80">
        <f t="shared" si="5"/>
        <v>1245384</v>
      </c>
      <c r="R10" s="80">
        <f t="shared" ref="R10:S10" si="6">R6*R33</f>
        <v>0</v>
      </c>
      <c r="S10" s="80">
        <f t="shared" si="6"/>
        <v>0</v>
      </c>
      <c r="T10" s="80">
        <f t="shared" si="0"/>
        <v>38663882.491085008</v>
      </c>
      <c r="AT10" s="77" t="s">
        <v>62</v>
      </c>
      <c r="AU10" s="77" t="s">
        <v>63</v>
      </c>
      <c r="AV10" s="70" t="s">
        <v>64</v>
      </c>
    </row>
    <row r="11" spans="1:48">
      <c r="A11" s="74">
        <v>5</v>
      </c>
      <c r="B11" s="77" t="s">
        <v>65</v>
      </c>
      <c r="C11" s="80">
        <f>+C6*C36</f>
        <v>192694.0968</v>
      </c>
      <c r="D11" s="80">
        <f>+D6*D36</f>
        <v>0</v>
      </c>
      <c r="E11" s="80">
        <f t="shared" ref="E11:F11" si="7">+E6*E36</f>
        <v>101684.88</v>
      </c>
      <c r="F11" s="80">
        <f t="shared" si="7"/>
        <v>1211424.192</v>
      </c>
      <c r="G11" s="80">
        <f t="shared" ref="G11:Q11" si="8">+G6*G36</f>
        <v>770776.3872</v>
      </c>
      <c r="H11" s="80">
        <f t="shared" si="8"/>
        <v>22485.600000000002</v>
      </c>
      <c r="I11" s="80">
        <f t="shared" si="8"/>
        <v>63889.084800000011</v>
      </c>
      <c r="J11" s="80">
        <f t="shared" si="8"/>
        <v>316037.60640000005</v>
      </c>
      <c r="K11" s="80">
        <f t="shared" si="8"/>
        <v>145017.12960000001</v>
      </c>
      <c r="L11" s="80">
        <f t="shared" si="8"/>
        <v>69910.228799999997</v>
      </c>
      <c r="M11" s="80">
        <f t="shared" si="8"/>
        <v>154710.9216</v>
      </c>
      <c r="N11" s="80">
        <f t="shared" si="8"/>
        <v>180349.50240000003</v>
      </c>
      <c r="O11" s="80">
        <f t="shared" si="8"/>
        <v>53175.945600000006</v>
      </c>
      <c r="P11" s="80">
        <f t="shared" si="8"/>
        <v>144177.66720000003</v>
      </c>
      <c r="Q11" s="80">
        <f t="shared" si="8"/>
        <v>125919.36000000002</v>
      </c>
      <c r="R11" s="80">
        <f t="shared" ref="R11:S11" si="9">+R6*R36</f>
        <v>0</v>
      </c>
      <c r="S11" s="80">
        <f t="shared" si="9"/>
        <v>0</v>
      </c>
      <c r="T11" s="80">
        <f t="shared" si="0"/>
        <v>3552252.6024000002</v>
      </c>
      <c r="AT11" s="77" t="s">
        <v>66</v>
      </c>
      <c r="AU11" s="77" t="s">
        <v>65</v>
      </c>
    </row>
    <row r="12" spans="1:48">
      <c r="A12" s="74">
        <v>6</v>
      </c>
      <c r="B12" s="77" t="s">
        <v>67</v>
      </c>
      <c r="C12" s="80">
        <f>+C6*C37</f>
        <v>120503.2248</v>
      </c>
      <c r="D12" s="80">
        <f>+D6*D37</f>
        <v>0</v>
      </c>
      <c r="E12" s="80">
        <f t="shared" ref="E12:F12" si="10">+E6*E37</f>
        <v>63589.680000000008</v>
      </c>
      <c r="F12" s="80">
        <f t="shared" si="10"/>
        <v>757576.5120000001</v>
      </c>
      <c r="G12" s="80">
        <f t="shared" ref="G12:Q12" si="11">+G6*G37</f>
        <v>482012.89919999999</v>
      </c>
      <c r="H12" s="80">
        <f t="shared" si="11"/>
        <v>14061.6</v>
      </c>
      <c r="I12" s="80">
        <f t="shared" si="11"/>
        <v>39953.692799999997</v>
      </c>
      <c r="J12" s="80">
        <f t="shared" si="11"/>
        <v>197637.3504</v>
      </c>
      <c r="K12" s="80">
        <f t="shared" si="11"/>
        <v>90687.945600000006</v>
      </c>
      <c r="L12" s="80">
        <f t="shared" si="11"/>
        <v>43719.076800000003</v>
      </c>
      <c r="M12" s="80">
        <f t="shared" si="11"/>
        <v>96750.057600000015</v>
      </c>
      <c r="N12" s="80">
        <f t="shared" si="11"/>
        <v>112783.40640000001</v>
      </c>
      <c r="O12" s="80">
        <f t="shared" si="11"/>
        <v>33254.121599999999</v>
      </c>
      <c r="P12" s="80">
        <f t="shared" si="11"/>
        <v>90162.979200000002</v>
      </c>
      <c r="Q12" s="80">
        <f t="shared" si="11"/>
        <v>78744.959999999992</v>
      </c>
      <c r="R12" s="80">
        <f t="shared" ref="R12:S12" si="12">+R6*R37</f>
        <v>0</v>
      </c>
      <c r="S12" s="80">
        <f t="shared" si="12"/>
        <v>0</v>
      </c>
      <c r="T12" s="80">
        <f t="shared" si="0"/>
        <v>2221437.5064000003</v>
      </c>
      <c r="AT12" s="77" t="s">
        <v>68</v>
      </c>
      <c r="AU12" s="77" t="s">
        <v>67</v>
      </c>
    </row>
    <row r="13" spans="1:48">
      <c r="A13" s="74">
        <v>7</v>
      </c>
      <c r="B13" s="77" t="s">
        <v>69</v>
      </c>
      <c r="C13" s="80">
        <f>+C6*C38</f>
        <v>54000</v>
      </c>
      <c r="D13" s="80">
        <f>+D6*D38</f>
        <v>0</v>
      </c>
      <c r="E13" s="80">
        <f t="shared" ref="E13:F13" si="13">+E6*E38</f>
        <v>54000</v>
      </c>
      <c r="F13" s="80">
        <f t="shared" si="13"/>
        <v>331200</v>
      </c>
      <c r="G13" s="80">
        <f t="shared" ref="G13:Q13" si="14">+G6*G38</f>
        <v>216000</v>
      </c>
      <c r="H13" s="80">
        <f t="shared" si="14"/>
        <v>21092.400000000001</v>
      </c>
      <c r="I13" s="80">
        <f t="shared" si="14"/>
        <v>72000</v>
      </c>
      <c r="J13" s="80">
        <f t="shared" si="14"/>
        <v>144000</v>
      </c>
      <c r="K13" s="80">
        <f t="shared" si="14"/>
        <v>72000</v>
      </c>
      <c r="L13" s="80">
        <f t="shared" si="14"/>
        <v>72000</v>
      </c>
      <c r="M13" s="80">
        <f t="shared" si="14"/>
        <v>86400</v>
      </c>
      <c r="N13" s="80">
        <f t="shared" si="14"/>
        <v>129600</v>
      </c>
      <c r="O13" s="80">
        <f t="shared" si="14"/>
        <v>28800</v>
      </c>
      <c r="P13" s="80">
        <f t="shared" si="14"/>
        <v>57600</v>
      </c>
      <c r="Q13" s="80">
        <f t="shared" si="14"/>
        <v>57600</v>
      </c>
      <c r="R13" s="80">
        <f t="shared" ref="R13:S13" si="15">+R6*R38</f>
        <v>0</v>
      </c>
      <c r="S13" s="80">
        <f t="shared" si="15"/>
        <v>0</v>
      </c>
      <c r="T13" s="80">
        <f t="shared" si="0"/>
        <v>1396292.4</v>
      </c>
      <c r="AT13" s="77" t="s">
        <v>70</v>
      </c>
      <c r="AU13" s="77" t="s">
        <v>69</v>
      </c>
      <c r="AV13" s="70" t="s">
        <v>53</v>
      </c>
    </row>
    <row r="14" spans="1:48">
      <c r="A14" s="74">
        <v>8</v>
      </c>
      <c r="B14" s="82" t="s">
        <v>71</v>
      </c>
      <c r="C14" s="80">
        <f>SUM(C11:C13)</f>
        <v>367197.32160000002</v>
      </c>
      <c r="D14" s="80">
        <f>SUM(D11:D13)</f>
        <v>0</v>
      </c>
      <c r="E14" s="80">
        <f t="shared" ref="E14:T14" si="16">SUM(E11:E13)</f>
        <v>219274.56</v>
      </c>
      <c r="F14" s="80">
        <f t="shared" si="16"/>
        <v>2300200.7039999999</v>
      </c>
      <c r="G14" s="80">
        <f t="shared" ref="G14:Q14" si="17">SUM(G11:G13)</f>
        <v>1468789.2864000001</v>
      </c>
      <c r="H14" s="80">
        <f t="shared" si="17"/>
        <v>57639.600000000006</v>
      </c>
      <c r="I14" s="80">
        <f t="shared" si="17"/>
        <v>175842.7776</v>
      </c>
      <c r="J14" s="80">
        <f t="shared" si="17"/>
        <v>657674.95680000004</v>
      </c>
      <c r="K14" s="80">
        <f t="shared" si="17"/>
        <v>307705.07520000002</v>
      </c>
      <c r="L14" s="80">
        <f t="shared" si="17"/>
        <v>185629.30559999999</v>
      </c>
      <c r="M14" s="80">
        <f t="shared" si="17"/>
        <v>337860.9792</v>
      </c>
      <c r="N14" s="80">
        <f t="shared" si="17"/>
        <v>422732.90880000003</v>
      </c>
      <c r="O14" s="80">
        <f t="shared" si="17"/>
        <v>115230.0672</v>
      </c>
      <c r="P14" s="80">
        <f t="shared" si="17"/>
        <v>291940.64640000003</v>
      </c>
      <c r="Q14" s="80">
        <f t="shared" si="17"/>
        <v>262264.32000000001</v>
      </c>
      <c r="R14" s="80">
        <f t="shared" ref="R14:S14" si="18">SUM(R11:R13)</f>
        <v>0</v>
      </c>
      <c r="S14" s="80">
        <f t="shared" si="18"/>
        <v>0</v>
      </c>
      <c r="T14" s="80">
        <f t="shared" si="16"/>
        <v>7169982.5088</v>
      </c>
      <c r="AT14" s="77" t="s">
        <v>72</v>
      </c>
      <c r="AU14" s="82" t="s">
        <v>71</v>
      </c>
    </row>
    <row r="15" spans="1:48">
      <c r="A15" s="74">
        <v>9</v>
      </c>
      <c r="B15" s="82" t="s">
        <v>73</v>
      </c>
      <c r="C15" s="80">
        <f>+C9-C10-C14</f>
        <v>185922.51839999983</v>
      </c>
      <c r="D15" s="80">
        <f>+D9-D10-D14</f>
        <v>0</v>
      </c>
      <c r="E15" s="80">
        <f t="shared" ref="E15:F15" si="19">+E9-E10-E14</f>
        <v>155081.52000000008</v>
      </c>
      <c r="F15" s="80">
        <f t="shared" si="19"/>
        <v>2794618.5074727256</v>
      </c>
      <c r="G15" s="80">
        <f t="shared" ref="G15:Q15" si="20">+G9-G10-G14</f>
        <v>743690.0735999993</v>
      </c>
      <c r="H15" s="80">
        <f t="shared" si="20"/>
        <v>86302.799999999988</v>
      </c>
      <c r="I15" s="80">
        <f t="shared" si="20"/>
        <v>94623.712136150483</v>
      </c>
      <c r="J15" s="80">
        <f t="shared" si="20"/>
        <v>-262538.95680000051</v>
      </c>
      <c r="K15" s="80">
        <f t="shared" si="20"/>
        <v>-56934.835199999798</v>
      </c>
      <c r="L15" s="80">
        <f t="shared" si="20"/>
        <v>158995.82443766398</v>
      </c>
      <c r="M15" s="80">
        <f t="shared" si="20"/>
        <v>-338.12942399998428</v>
      </c>
      <c r="N15" s="80">
        <f t="shared" si="20"/>
        <v>-273075.14879999979</v>
      </c>
      <c r="O15" s="80">
        <f t="shared" si="20"/>
        <v>91702.818274593606</v>
      </c>
      <c r="P15" s="80">
        <f t="shared" si="20"/>
        <v>339112.69601785921</v>
      </c>
      <c r="Q15" s="80">
        <f t="shared" si="20"/>
        <v>270463.68</v>
      </c>
      <c r="R15" s="80">
        <f t="shared" ref="R15:S15" si="21">+R9-R10-R14</f>
        <v>0</v>
      </c>
      <c r="S15" s="80">
        <f t="shared" si="21"/>
        <v>0</v>
      </c>
      <c r="T15" s="80">
        <f>+T9-T10-T14</f>
        <v>4327627.0801149905</v>
      </c>
      <c r="AT15" s="77" t="s">
        <v>74</v>
      </c>
      <c r="AU15" s="82" t="s">
        <v>73</v>
      </c>
    </row>
    <row r="16" spans="1:48">
      <c r="A16" s="74">
        <v>10</v>
      </c>
      <c r="B16" s="77" t="s">
        <v>75</v>
      </c>
      <c r="C16" s="83">
        <f>+C15/C9</f>
        <v>6.8327727683706346E-2</v>
      </c>
      <c r="D16" s="83" t="e">
        <f>+D15/D9</f>
        <v>#DIV/0!</v>
      </c>
      <c r="E16" s="83">
        <f t="shared" ref="E16:F16" si="22">+E15/E9</f>
        <v>0.10800330943188091</v>
      </c>
      <c r="F16" s="83">
        <f t="shared" si="22"/>
        <v>0.1633652506368973</v>
      </c>
      <c r="G16" s="83">
        <f t="shared" ref="G16:Q16" si="23">+G15/G9</f>
        <v>6.8327727683706346E-2</v>
      </c>
      <c r="H16" s="83">
        <f t="shared" si="23"/>
        <v>0.27180272108843534</v>
      </c>
      <c r="I16" s="83">
        <f t="shared" si="23"/>
        <v>0.1048833884089742</v>
      </c>
      <c r="J16" s="83">
        <f t="shared" si="23"/>
        <v>-5.8828582786517203E-2</v>
      </c>
      <c r="K16" s="83">
        <f t="shared" si="23"/>
        <v>-2.7803031901203628E-2</v>
      </c>
      <c r="L16" s="83">
        <f t="shared" si="23"/>
        <v>0.16105654942988129</v>
      </c>
      <c r="M16" s="83">
        <f t="shared" si="23"/>
        <v>-1.5477306612845311E-4</v>
      </c>
      <c r="N16" s="83">
        <f t="shared" si="23"/>
        <v>-0.10722612841994907</v>
      </c>
      <c r="O16" s="83">
        <f t="shared" si="23"/>
        <v>0.12212395378091813</v>
      </c>
      <c r="P16" s="83">
        <f t="shared" si="23"/>
        <v>0.16656335116425691</v>
      </c>
      <c r="Q16" s="83">
        <f t="shared" si="23"/>
        <v>0.15210722384191772</v>
      </c>
      <c r="R16" s="83" t="e">
        <f t="shared" ref="R16:S16" si="24">+R15/R9</f>
        <v>#DIV/0!</v>
      </c>
      <c r="S16" s="83" t="e">
        <f t="shared" si="24"/>
        <v>#DIV/0!</v>
      </c>
      <c r="T16" s="83">
        <f>+T15/T9</f>
        <v>8.627389060144143E-2</v>
      </c>
      <c r="AT16" s="77" t="s">
        <v>76</v>
      </c>
      <c r="AU16" s="77" t="s">
        <v>75</v>
      </c>
    </row>
    <row r="17" spans="1:48">
      <c r="A17" s="74">
        <v>11</v>
      </c>
      <c r="B17" s="77" t="s">
        <v>77</v>
      </c>
      <c r="C17" s="80">
        <f>C6*C43+C18</f>
        <v>235641.19</v>
      </c>
      <c r="D17" s="80">
        <f>D6*D43+D18</f>
        <v>0</v>
      </c>
      <c r="E17" s="80">
        <f t="shared" ref="E17:F17" si="25">E6*E43+E18</f>
        <v>127453</v>
      </c>
      <c r="F17" s="80">
        <f t="shared" si="25"/>
        <v>1466389.6</v>
      </c>
      <c r="G17" s="80">
        <f t="shared" ref="G17:Q17" si="26">G6*G43+G18</f>
        <v>942564.76</v>
      </c>
      <c r="H17" s="80">
        <f t="shared" si="26"/>
        <v>92470</v>
      </c>
      <c r="I17" s="80">
        <f t="shared" si="26"/>
        <v>89096.840000000011</v>
      </c>
      <c r="J17" s="80">
        <f t="shared" si="26"/>
        <v>401989.12</v>
      </c>
      <c r="K17" s="80">
        <f t="shared" si="26"/>
        <v>185538.68000000002</v>
      </c>
      <c r="L17" s="80">
        <f t="shared" si="26"/>
        <v>96254.540000000008</v>
      </c>
      <c r="M17" s="80">
        <f t="shared" si="26"/>
        <v>210210.28000000003</v>
      </c>
      <c r="N17" s="80">
        <f t="shared" si="26"/>
        <v>253836.42</v>
      </c>
      <c r="O17" s="80">
        <f t="shared" si="26"/>
        <v>76361.48000000001</v>
      </c>
      <c r="P17" s="80">
        <f t="shared" si="26"/>
        <v>197688.76</v>
      </c>
      <c r="Q17" s="80">
        <f t="shared" si="26"/>
        <v>175984.00000000003</v>
      </c>
      <c r="R17" s="80">
        <f t="shared" ref="R17:S17" si="27">R6*R43+R18</f>
        <v>0</v>
      </c>
      <c r="S17" s="80">
        <f t="shared" si="27"/>
        <v>0</v>
      </c>
      <c r="T17" s="80">
        <f>+SUM(C17:S17)</f>
        <v>4551478.67</v>
      </c>
      <c r="U17" s="81"/>
      <c r="AT17" s="77" t="s">
        <v>78</v>
      </c>
      <c r="AU17" s="77" t="s">
        <v>77</v>
      </c>
    </row>
    <row r="18" spans="1:48" s="71" customFormat="1">
      <c r="A18" s="74">
        <v>12</v>
      </c>
      <c r="B18" s="85" t="s">
        <v>147</v>
      </c>
      <c r="C18" s="86">
        <f t="shared" ref="C18:Q18" si="28">$T$18/$T$6*C6</f>
        <v>6574</v>
      </c>
      <c r="D18" s="86">
        <f t="shared" si="28"/>
        <v>0</v>
      </c>
      <c r="E18" s="86">
        <f t="shared" si="28"/>
        <v>6574</v>
      </c>
      <c r="F18" s="86">
        <f t="shared" si="28"/>
        <v>26296</v>
      </c>
      <c r="G18" s="86">
        <f t="shared" si="28"/>
        <v>26296</v>
      </c>
      <c r="H18" s="86">
        <f t="shared" si="28"/>
        <v>65740</v>
      </c>
      <c r="I18" s="86">
        <f t="shared" si="28"/>
        <v>13148</v>
      </c>
      <c r="J18" s="86">
        <f t="shared" si="28"/>
        <v>26296</v>
      </c>
      <c r="K18" s="86">
        <f t="shared" si="28"/>
        <v>13148</v>
      </c>
      <c r="L18" s="86">
        <f t="shared" si="28"/>
        <v>13148</v>
      </c>
      <c r="M18" s="86">
        <f t="shared" si="28"/>
        <v>26296</v>
      </c>
      <c r="N18" s="86">
        <f t="shared" si="28"/>
        <v>39444</v>
      </c>
      <c r="O18" s="86">
        <f t="shared" si="28"/>
        <v>13148</v>
      </c>
      <c r="P18" s="86">
        <f t="shared" si="28"/>
        <v>26296</v>
      </c>
      <c r="Q18" s="86">
        <f t="shared" si="28"/>
        <v>26296</v>
      </c>
      <c r="R18" s="86">
        <f t="shared" ref="R18:S18" si="29">$T$18/$T$6*R6</f>
        <v>0</v>
      </c>
      <c r="S18" s="86">
        <f t="shared" si="29"/>
        <v>0</v>
      </c>
      <c r="T18" s="80">
        <f>项目投资!E26</f>
        <v>328700</v>
      </c>
      <c r="U18" s="87" t="s">
        <v>148</v>
      </c>
      <c r="V18" s="87"/>
      <c r="W18" s="87"/>
    </row>
    <row r="19" spans="1:48">
      <c r="A19" s="74">
        <v>13</v>
      </c>
      <c r="B19" s="77" t="s">
        <v>79</v>
      </c>
      <c r="C19" s="80">
        <f>C6*C44</f>
        <v>47757.038399999998</v>
      </c>
      <c r="D19" s="80">
        <f>D6*D44</f>
        <v>0</v>
      </c>
      <c r="E19" s="80">
        <f t="shared" ref="E19:F19" si="30">E6*E44</f>
        <v>25201.439999999999</v>
      </c>
      <c r="F19" s="80">
        <f t="shared" si="30"/>
        <v>300237.696</v>
      </c>
      <c r="G19" s="80">
        <f t="shared" ref="G19:Q19" si="31">G6*G44</f>
        <v>191028.15359999999</v>
      </c>
      <c r="H19" s="80">
        <f t="shared" si="31"/>
        <v>5572.8</v>
      </c>
      <c r="I19" s="80">
        <f t="shared" si="31"/>
        <v>15834.1824</v>
      </c>
      <c r="J19" s="80">
        <f t="shared" si="31"/>
        <v>78326.323199999999</v>
      </c>
      <c r="K19" s="80">
        <f t="shared" si="31"/>
        <v>35940.844800000006</v>
      </c>
      <c r="L19" s="80">
        <f t="shared" si="31"/>
        <v>17326.454399999999</v>
      </c>
      <c r="M19" s="80">
        <f t="shared" si="31"/>
        <v>38343.340799999998</v>
      </c>
      <c r="N19" s="80">
        <f t="shared" si="31"/>
        <v>44697.571200000006</v>
      </c>
      <c r="O19" s="80">
        <f t="shared" si="31"/>
        <v>13179.052799999999</v>
      </c>
      <c r="P19" s="80">
        <f t="shared" si="31"/>
        <v>35732.793600000005</v>
      </c>
      <c r="Q19" s="80">
        <f t="shared" si="31"/>
        <v>31207.679999999997</v>
      </c>
      <c r="R19" s="80">
        <f t="shared" ref="R19:S19" si="32">R6*R44</f>
        <v>0</v>
      </c>
      <c r="S19" s="80">
        <f t="shared" si="32"/>
        <v>0</v>
      </c>
      <c r="T19" s="80">
        <f t="shared" ref="T19:T20" si="33">+SUM(C19:S19)</f>
        <v>880385.37120000005</v>
      </c>
      <c r="U19" s="71"/>
      <c r="AT19" s="77" t="s">
        <v>80</v>
      </c>
      <c r="AU19" s="77" t="s">
        <v>79</v>
      </c>
      <c r="AV19" s="70" t="s">
        <v>53</v>
      </c>
    </row>
    <row r="20" spans="1:48">
      <c r="A20" s="74">
        <v>14</v>
      </c>
      <c r="B20" s="77" t="s">
        <v>81</v>
      </c>
      <c r="C20" s="80">
        <f>C6*C45</f>
        <v>73301.500799999994</v>
      </c>
      <c r="D20" s="80">
        <f>D6*D45</f>
        <v>0</v>
      </c>
      <c r="E20" s="80">
        <f t="shared" ref="E20:F20" si="34">E6*E45</f>
        <v>38681.279999999999</v>
      </c>
      <c r="F20" s="80">
        <f t="shared" si="34"/>
        <v>460829.95199999999</v>
      </c>
      <c r="G20" s="80">
        <f t="shared" ref="G20:Q20" si="35">G6*G45</f>
        <v>293206.00319999998</v>
      </c>
      <c r="H20" s="80">
        <f t="shared" si="35"/>
        <v>8553.6</v>
      </c>
      <c r="I20" s="80">
        <f t="shared" si="35"/>
        <v>24303.628799999999</v>
      </c>
      <c r="J20" s="80">
        <f t="shared" si="35"/>
        <v>120221.79840000001</v>
      </c>
      <c r="K20" s="80">
        <f t="shared" si="35"/>
        <v>55165.017600000006</v>
      </c>
      <c r="L20" s="80">
        <f t="shared" si="35"/>
        <v>26594.092799999999</v>
      </c>
      <c r="M20" s="80">
        <f t="shared" si="35"/>
        <v>58852.569600000003</v>
      </c>
      <c r="N20" s="80">
        <f t="shared" si="35"/>
        <v>68605.574399999998</v>
      </c>
      <c r="O20" s="80">
        <f t="shared" si="35"/>
        <v>20228.313600000001</v>
      </c>
      <c r="P20" s="80">
        <f t="shared" si="35"/>
        <v>54845.683200000007</v>
      </c>
      <c r="Q20" s="80">
        <f t="shared" si="35"/>
        <v>47900.160000000003</v>
      </c>
      <c r="R20" s="80">
        <f t="shared" ref="R20:S20" si="36">R6*R45</f>
        <v>0</v>
      </c>
      <c r="S20" s="80">
        <f t="shared" si="36"/>
        <v>0</v>
      </c>
      <c r="T20" s="80">
        <f t="shared" si="33"/>
        <v>1351289.1743999999</v>
      </c>
      <c r="AT20" s="77" t="s">
        <v>82</v>
      </c>
      <c r="AU20" s="77" t="s">
        <v>81</v>
      </c>
    </row>
    <row r="21" spans="1:48">
      <c r="A21" s="74">
        <v>15</v>
      </c>
      <c r="B21" s="77" t="s">
        <v>83</v>
      </c>
      <c r="C21" s="88">
        <f>$T$21/$T$6*C6</f>
        <v>2240</v>
      </c>
      <c r="D21" s="88">
        <f>$T$21/$T$6*D6</f>
        <v>0</v>
      </c>
      <c r="E21" s="88">
        <f t="shared" ref="E21:F21" si="37">$T$21/$T$6*E6</f>
        <v>2240</v>
      </c>
      <c r="F21" s="88">
        <f t="shared" si="37"/>
        <v>8960</v>
      </c>
      <c r="G21" s="88">
        <f t="shared" ref="G21:Q21" si="38">$T$21/$T$6*G6</f>
        <v>8960</v>
      </c>
      <c r="H21" s="88">
        <f t="shared" si="38"/>
        <v>22400</v>
      </c>
      <c r="I21" s="88">
        <f t="shared" si="38"/>
        <v>4480</v>
      </c>
      <c r="J21" s="88">
        <f t="shared" si="38"/>
        <v>8960</v>
      </c>
      <c r="K21" s="88">
        <f t="shared" si="38"/>
        <v>4480</v>
      </c>
      <c r="L21" s="88">
        <f t="shared" si="38"/>
        <v>4480</v>
      </c>
      <c r="M21" s="88">
        <f t="shared" si="38"/>
        <v>8960</v>
      </c>
      <c r="N21" s="88">
        <f t="shared" si="38"/>
        <v>13440</v>
      </c>
      <c r="O21" s="88">
        <f t="shared" si="38"/>
        <v>4480</v>
      </c>
      <c r="P21" s="88">
        <f t="shared" si="38"/>
        <v>8960</v>
      </c>
      <c r="Q21" s="88">
        <f t="shared" si="38"/>
        <v>8960</v>
      </c>
      <c r="R21" s="88">
        <f t="shared" ref="R21:S21" si="39">$T$21/$T$6*R6</f>
        <v>0</v>
      </c>
      <c r="S21" s="88">
        <f t="shared" si="39"/>
        <v>0</v>
      </c>
      <c r="T21" s="80">
        <f>项目投资!E27</f>
        <v>112000</v>
      </c>
      <c r="AT21" s="77"/>
      <c r="AU21" s="77"/>
    </row>
    <row r="22" spans="1:48">
      <c r="A22" s="74">
        <v>16</v>
      </c>
      <c r="B22" s="77" t="s">
        <v>84</v>
      </c>
      <c r="C22" s="80">
        <f>C6*C47</f>
        <v>98568.305999999997</v>
      </c>
      <c r="D22" s="80">
        <f>D6*D47</f>
        <v>0</v>
      </c>
      <c r="E22" s="80">
        <f t="shared" ref="E22:F22" si="40">E6*E47</f>
        <v>52014.6</v>
      </c>
      <c r="F22" s="80">
        <f t="shared" si="40"/>
        <v>619676.64</v>
      </c>
      <c r="G22" s="80">
        <f t="shared" ref="G22:Q22" si="41">G6*G47</f>
        <v>394273.22399999999</v>
      </c>
      <c r="H22" s="80">
        <f t="shared" si="41"/>
        <v>11501.999999999998</v>
      </c>
      <c r="I22" s="80">
        <f t="shared" si="41"/>
        <v>32681.015999999996</v>
      </c>
      <c r="J22" s="80">
        <f t="shared" si="41"/>
        <v>161661.88799999998</v>
      </c>
      <c r="K22" s="80">
        <f t="shared" si="41"/>
        <v>74180.232000000004</v>
      </c>
      <c r="L22" s="80">
        <f t="shared" si="41"/>
        <v>35760.995999999992</v>
      </c>
      <c r="M22" s="80">
        <f t="shared" si="41"/>
        <v>79138.872000000003</v>
      </c>
      <c r="N22" s="80">
        <f t="shared" si="41"/>
        <v>92253.707999999999</v>
      </c>
      <c r="O22" s="80">
        <f t="shared" si="41"/>
        <v>27200.951999999997</v>
      </c>
      <c r="P22" s="80">
        <f t="shared" si="41"/>
        <v>73750.823999999993</v>
      </c>
      <c r="Q22" s="80">
        <f t="shared" si="41"/>
        <v>64411.199999999997</v>
      </c>
      <c r="R22" s="80">
        <f t="shared" ref="R22:S22" si="42">R6*R47</f>
        <v>0</v>
      </c>
      <c r="S22" s="80">
        <f t="shared" si="42"/>
        <v>0</v>
      </c>
      <c r="T22" s="80">
        <f>+SUM(C22:S22)</f>
        <v>1817074.4580000003</v>
      </c>
      <c r="AT22" s="77" t="s">
        <v>85</v>
      </c>
      <c r="AU22" s="77" t="s">
        <v>84</v>
      </c>
    </row>
    <row r="23" spans="1:48">
      <c r="A23" s="74">
        <v>17</v>
      </c>
      <c r="B23" s="82" t="s">
        <v>86</v>
      </c>
      <c r="C23" s="88">
        <f>+C22+C21+C20+C19+C17</f>
        <v>457508.03519999998</v>
      </c>
      <c r="D23" s="88">
        <f>+D22+D21+D20+D19+D17</f>
        <v>0</v>
      </c>
      <c r="E23" s="88">
        <f t="shared" ref="E23:F23" si="43">+E22+E21+E20+E19+E17</f>
        <v>245590.32</v>
      </c>
      <c r="F23" s="88">
        <f t="shared" si="43"/>
        <v>2856093.8880000003</v>
      </c>
      <c r="G23" s="88">
        <f t="shared" ref="G23:Q23" si="44">+G22+G21+G20+G19+G17</f>
        <v>1830032.1407999999</v>
      </c>
      <c r="H23" s="88">
        <f t="shared" si="44"/>
        <v>140498.4</v>
      </c>
      <c r="I23" s="88">
        <f t="shared" si="44"/>
        <v>166395.66720000003</v>
      </c>
      <c r="J23" s="88">
        <f t="shared" si="44"/>
        <v>771159.12959999999</v>
      </c>
      <c r="K23" s="88">
        <f t="shared" si="44"/>
        <v>355304.77439999999</v>
      </c>
      <c r="L23" s="88">
        <f t="shared" si="44"/>
        <v>180416.08319999999</v>
      </c>
      <c r="M23" s="88">
        <f t="shared" si="44"/>
        <v>395505.06240000005</v>
      </c>
      <c r="N23" s="88">
        <f t="shared" si="44"/>
        <v>472833.27360000001</v>
      </c>
      <c r="O23" s="88">
        <f t="shared" si="44"/>
        <v>141449.7984</v>
      </c>
      <c r="P23" s="88">
        <f t="shared" si="44"/>
        <v>370978.06079999998</v>
      </c>
      <c r="Q23" s="88">
        <f t="shared" si="44"/>
        <v>328463.04000000004</v>
      </c>
      <c r="R23" s="88">
        <f t="shared" ref="R23:S23" si="45">+R22+R21+R20+R19+R17</f>
        <v>0</v>
      </c>
      <c r="S23" s="88">
        <f t="shared" si="45"/>
        <v>0</v>
      </c>
      <c r="T23" s="88">
        <f>+T22+T21+T20+T19+T17</f>
        <v>8712227.6735999994</v>
      </c>
      <c r="AT23" s="77" t="s">
        <v>87</v>
      </c>
      <c r="AU23" s="82" t="s">
        <v>86</v>
      </c>
    </row>
    <row r="24" spans="1:48">
      <c r="A24" s="74">
        <v>18</v>
      </c>
      <c r="B24" s="89" t="s">
        <v>88</v>
      </c>
      <c r="C24" s="88">
        <f>+C15-C23</f>
        <v>-271585.51680000016</v>
      </c>
      <c r="D24" s="88">
        <f>+D15-D23</f>
        <v>0</v>
      </c>
      <c r="E24" s="88">
        <f t="shared" ref="E24:F24" si="46">+E15-E23</f>
        <v>-90508.79999999993</v>
      </c>
      <c r="F24" s="88">
        <f t="shared" si="46"/>
        <v>-61475.380527274683</v>
      </c>
      <c r="G24" s="88">
        <f t="shared" ref="G24:Q24" si="47">+G15-G23</f>
        <v>-1086342.0672000006</v>
      </c>
      <c r="H24" s="88">
        <f t="shared" si="47"/>
        <v>-54195.600000000006</v>
      </c>
      <c r="I24" s="88">
        <f t="shared" si="47"/>
        <v>-71771.955063849542</v>
      </c>
      <c r="J24" s="88">
        <f t="shared" si="47"/>
        <v>-1033698.0864000005</v>
      </c>
      <c r="K24" s="88">
        <f t="shared" si="47"/>
        <v>-412239.60959999979</v>
      </c>
      <c r="L24" s="88">
        <f t="shared" si="47"/>
        <v>-21420.258762336016</v>
      </c>
      <c r="M24" s="88">
        <f t="shared" si="47"/>
        <v>-395843.19182400004</v>
      </c>
      <c r="N24" s="88">
        <f t="shared" si="47"/>
        <v>-745908.42239999981</v>
      </c>
      <c r="O24" s="88">
        <f t="shared" si="47"/>
        <v>-49746.980125406393</v>
      </c>
      <c r="P24" s="88">
        <f t="shared" si="47"/>
        <v>-31865.364782140765</v>
      </c>
      <c r="Q24" s="88">
        <f t="shared" si="47"/>
        <v>-57999.360000000044</v>
      </c>
      <c r="R24" s="88">
        <f t="shared" ref="R24:S24" si="48">+R15-R23</f>
        <v>0</v>
      </c>
      <c r="S24" s="88">
        <f t="shared" si="48"/>
        <v>0</v>
      </c>
      <c r="T24" s="88">
        <f>+T15-T23</f>
        <v>-4384600.5934850089</v>
      </c>
      <c r="V24" s="90"/>
      <c r="AT24" s="77" t="s">
        <v>89</v>
      </c>
      <c r="AU24" s="77" t="s">
        <v>88</v>
      </c>
    </row>
    <row r="25" spans="1:48">
      <c r="A25" s="74">
        <v>19</v>
      </c>
      <c r="B25" s="77" t="s">
        <v>271</v>
      </c>
      <c r="C25" s="88">
        <f>IF(C24&lt;0,0,C24*0.15)</f>
        <v>0</v>
      </c>
      <c r="D25" s="88">
        <f t="shared" ref="D25:T25" si="49">IF(D24&lt;0,0,D24*0.15)</f>
        <v>0</v>
      </c>
      <c r="E25" s="88">
        <f t="shared" ref="E25:F25" si="50">IF(E24&lt;0,0,E24*0.15)</f>
        <v>0</v>
      </c>
      <c r="F25" s="88">
        <f t="shared" si="50"/>
        <v>0</v>
      </c>
      <c r="G25" s="88">
        <f t="shared" ref="G25:Q25" si="51">IF(G24&lt;0,0,G24*0.15)</f>
        <v>0</v>
      </c>
      <c r="H25" s="88">
        <f t="shared" si="51"/>
        <v>0</v>
      </c>
      <c r="I25" s="88">
        <f t="shared" si="51"/>
        <v>0</v>
      </c>
      <c r="J25" s="88">
        <f t="shared" si="51"/>
        <v>0</v>
      </c>
      <c r="K25" s="88">
        <f t="shared" si="51"/>
        <v>0</v>
      </c>
      <c r="L25" s="88">
        <f t="shared" si="51"/>
        <v>0</v>
      </c>
      <c r="M25" s="88">
        <f t="shared" si="51"/>
        <v>0</v>
      </c>
      <c r="N25" s="88">
        <f t="shared" si="51"/>
        <v>0</v>
      </c>
      <c r="O25" s="88">
        <f t="shared" si="51"/>
        <v>0</v>
      </c>
      <c r="P25" s="88">
        <f t="shared" si="51"/>
        <v>0</v>
      </c>
      <c r="Q25" s="88">
        <f t="shared" si="51"/>
        <v>0</v>
      </c>
      <c r="R25" s="88">
        <f t="shared" ref="R25:S25" si="52">IF(R24&lt;0,0,R24*0.15)</f>
        <v>0</v>
      </c>
      <c r="S25" s="88">
        <f t="shared" si="52"/>
        <v>0</v>
      </c>
      <c r="T25" s="88">
        <f t="shared" si="49"/>
        <v>0</v>
      </c>
      <c r="U25" s="2"/>
      <c r="V25" s="2"/>
      <c r="W25" s="2"/>
      <c r="AT25" s="77" t="s">
        <v>90</v>
      </c>
      <c r="AU25" s="77" t="s">
        <v>35</v>
      </c>
    </row>
    <row r="26" spans="1:48">
      <c r="A26" s="74">
        <v>20</v>
      </c>
      <c r="B26" s="77" t="s">
        <v>91</v>
      </c>
      <c r="C26" s="88">
        <f>C24-C25</f>
        <v>-271585.51680000016</v>
      </c>
      <c r="D26" s="88">
        <f>D24-D25</f>
        <v>0</v>
      </c>
      <c r="E26" s="88">
        <f t="shared" ref="E26:F26" si="53">E24-E25</f>
        <v>-90508.79999999993</v>
      </c>
      <c r="F26" s="88">
        <f t="shared" si="53"/>
        <v>-61475.380527274683</v>
      </c>
      <c r="G26" s="88">
        <f t="shared" ref="G26:Q26" si="54">G24-G25</f>
        <v>-1086342.0672000006</v>
      </c>
      <c r="H26" s="88">
        <f t="shared" si="54"/>
        <v>-54195.600000000006</v>
      </c>
      <c r="I26" s="88">
        <f t="shared" si="54"/>
        <v>-71771.955063849542</v>
      </c>
      <c r="J26" s="88">
        <f t="shared" si="54"/>
        <v>-1033698.0864000005</v>
      </c>
      <c r="K26" s="88">
        <f t="shared" si="54"/>
        <v>-412239.60959999979</v>
      </c>
      <c r="L26" s="88">
        <f t="shared" si="54"/>
        <v>-21420.258762336016</v>
      </c>
      <c r="M26" s="88">
        <f t="shared" si="54"/>
        <v>-395843.19182400004</v>
      </c>
      <c r="N26" s="88">
        <f t="shared" si="54"/>
        <v>-745908.42239999981</v>
      </c>
      <c r="O26" s="88">
        <f t="shared" si="54"/>
        <v>-49746.980125406393</v>
      </c>
      <c r="P26" s="88">
        <f t="shared" si="54"/>
        <v>-31865.364782140765</v>
      </c>
      <c r="Q26" s="88">
        <f t="shared" si="54"/>
        <v>-57999.360000000044</v>
      </c>
      <c r="R26" s="88">
        <f t="shared" ref="R26:S26" si="55">R24-R25</f>
        <v>0</v>
      </c>
      <c r="S26" s="88">
        <f t="shared" si="55"/>
        <v>0</v>
      </c>
      <c r="T26" s="88">
        <f>T24-T25</f>
        <v>-4384600.5934850089</v>
      </c>
      <c r="U26" s="2"/>
      <c r="V26" s="2"/>
      <c r="W26" s="2"/>
      <c r="AT26" s="77" t="s">
        <v>92</v>
      </c>
      <c r="AU26" s="77" t="s">
        <v>91</v>
      </c>
    </row>
    <row r="27" spans="1:48">
      <c r="A27" s="74">
        <v>21</v>
      </c>
      <c r="B27" s="77" t="s">
        <v>95</v>
      </c>
      <c r="C27" s="91">
        <f>C26/C9</f>
        <v>-9.9809433491134789E-2</v>
      </c>
      <c r="D27" s="91" t="e">
        <f t="shared" ref="D27:F27" si="56">D26/D9</f>
        <v>#DIV/0!</v>
      </c>
      <c r="E27" s="91">
        <f t="shared" si="56"/>
        <v>-6.3032977318691549E-2</v>
      </c>
      <c r="F27" s="91">
        <f t="shared" si="56"/>
        <v>-3.5936715229582653E-3</v>
      </c>
      <c r="G27" s="91">
        <f t="shared" ref="G27:Q27" si="57">G26/G9</f>
        <v>-9.9809433491134789E-2</v>
      </c>
      <c r="H27" s="91">
        <f t="shared" si="57"/>
        <v>-0.17068405139833714</v>
      </c>
      <c r="I27" s="91">
        <f t="shared" si="57"/>
        <v>-7.9553905357273136E-2</v>
      </c>
      <c r="J27" s="91">
        <f t="shared" si="57"/>
        <v>-0.2316265524676859</v>
      </c>
      <c r="K27" s="91">
        <f t="shared" si="57"/>
        <v>-0.20130928589477265</v>
      </c>
      <c r="L27" s="91">
        <f t="shared" si="57"/>
        <v>-2.1697884056757592E-2</v>
      </c>
      <c r="M27" s="91">
        <f t="shared" si="57"/>
        <v>-0.18119057424791507</v>
      </c>
      <c r="N27" s="91">
        <f t="shared" si="57"/>
        <v>-0.29288960434976075</v>
      </c>
      <c r="O27" s="91">
        <f t="shared" si="57"/>
        <v>-6.6249849414481435E-2</v>
      </c>
      <c r="P27" s="91">
        <f t="shared" si="57"/>
        <v>-1.5651439791287951E-2</v>
      </c>
      <c r="Q27" s="91">
        <f t="shared" si="57"/>
        <v>-3.2618507720548563E-2</v>
      </c>
      <c r="R27" s="91" t="e">
        <f t="shared" ref="R27:S27" si="58">R26/R9</f>
        <v>#DIV/0!</v>
      </c>
      <c r="S27" s="91" t="e">
        <f t="shared" si="58"/>
        <v>#DIV/0!</v>
      </c>
      <c r="T27" s="91">
        <f>T26/T9</f>
        <v>-8.7409692408914663E-2</v>
      </c>
      <c r="U27" s="2"/>
      <c r="V27" s="2"/>
      <c r="W27" s="2"/>
      <c r="AT27" s="77" t="s">
        <v>94</v>
      </c>
      <c r="AU27" s="77" t="s">
        <v>95</v>
      </c>
    </row>
    <row r="28" spans="1:48">
      <c r="U28" s="2"/>
      <c r="V28" s="2"/>
      <c r="W28" s="2"/>
    </row>
    <row r="29" spans="1:48">
      <c r="A29" s="70" t="s">
        <v>96</v>
      </c>
      <c r="T29" s="73" t="s">
        <v>149</v>
      </c>
      <c r="U29" s="2"/>
      <c r="V29" s="2"/>
      <c r="W29" s="2"/>
      <c r="AT29" s="70" t="s">
        <v>96</v>
      </c>
    </row>
    <row r="30" spans="1:48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Y30" s="2"/>
      <c r="AT30" s="77" t="s">
        <v>99</v>
      </c>
      <c r="AU30" s="82" t="s">
        <v>98</v>
      </c>
    </row>
    <row r="31" spans="1:48">
      <c r="A31" s="74">
        <v>1</v>
      </c>
      <c r="B31" s="85" t="s">
        <v>100</v>
      </c>
      <c r="C31" s="92">
        <f>销量!C8</f>
        <v>771.27</v>
      </c>
      <c r="D31" s="92">
        <f>销量!D8</f>
        <v>1785.88</v>
      </c>
      <c r="E31" s="92">
        <f>销量!E8</f>
        <v>407</v>
      </c>
      <c r="F31" s="92">
        <f>销量!F8</f>
        <v>1212.2</v>
      </c>
      <c r="G31" s="92">
        <f>销量!G8</f>
        <v>771.27</v>
      </c>
      <c r="H31" s="92">
        <f>销量!H8</f>
        <v>9</v>
      </c>
      <c r="I31" s="92">
        <f>销量!I8</f>
        <v>127.86</v>
      </c>
      <c r="J31" s="92">
        <f>销量!J8</f>
        <v>316.24</v>
      </c>
      <c r="K31" s="92">
        <f>销量!K8</f>
        <v>290.22000000000003</v>
      </c>
      <c r="L31" s="92">
        <f>销量!L8</f>
        <v>139.91</v>
      </c>
      <c r="M31" s="92">
        <f>销量!M8</f>
        <v>154.81</v>
      </c>
      <c r="N31" s="92">
        <f>销量!N8</f>
        <v>120.31</v>
      </c>
      <c r="O31" s="92">
        <f>销量!O8</f>
        <v>106.42</v>
      </c>
      <c r="P31" s="92">
        <f>销量!P8</f>
        <v>144.27000000000001</v>
      </c>
      <c r="Q31" s="92">
        <f>销量!Q8</f>
        <v>126</v>
      </c>
      <c r="R31" s="92">
        <f>销量!R8</f>
        <v>0</v>
      </c>
      <c r="S31" s="92">
        <f>销量!S8</f>
        <v>0</v>
      </c>
      <c r="T31" s="88"/>
      <c r="U31" s="2"/>
      <c r="V31" s="2"/>
      <c r="W31" s="2"/>
      <c r="Y31" s="2"/>
      <c r="AT31" s="77" t="s">
        <v>55</v>
      </c>
      <c r="AU31" s="77" t="s">
        <v>100</v>
      </c>
    </row>
    <row r="32" spans="1:48">
      <c r="A32" s="74">
        <v>2</v>
      </c>
      <c r="B32" s="77" t="s">
        <v>150</v>
      </c>
      <c r="C32" s="80">
        <f>C9/C6</f>
        <v>755.84460000000001</v>
      </c>
      <c r="D32" s="80" t="e">
        <f t="shared" ref="D32:F32" si="59">D9/D6</f>
        <v>#DIV/0!</v>
      </c>
      <c r="E32" s="80">
        <f t="shared" si="59"/>
        <v>398.86</v>
      </c>
      <c r="F32" s="80">
        <f t="shared" si="59"/>
        <v>1187.9559999999999</v>
      </c>
      <c r="G32" s="80">
        <f t="shared" ref="G32:Q32" si="60">G9/G6</f>
        <v>755.84460000000001</v>
      </c>
      <c r="H32" s="80">
        <f t="shared" si="60"/>
        <v>8.82</v>
      </c>
      <c r="I32" s="80">
        <f t="shared" si="60"/>
        <v>125.3028</v>
      </c>
      <c r="J32" s="80">
        <f t="shared" si="60"/>
        <v>309.91519999999997</v>
      </c>
      <c r="K32" s="80">
        <f t="shared" si="60"/>
        <v>284.41560000000004</v>
      </c>
      <c r="L32" s="80">
        <f t="shared" si="60"/>
        <v>137.11179999999999</v>
      </c>
      <c r="M32" s="80">
        <f t="shared" si="60"/>
        <v>151.71379999999999</v>
      </c>
      <c r="N32" s="80">
        <f t="shared" si="60"/>
        <v>117.9038</v>
      </c>
      <c r="O32" s="80">
        <f t="shared" si="60"/>
        <v>104.2916</v>
      </c>
      <c r="P32" s="80">
        <f t="shared" si="60"/>
        <v>141.38460000000001</v>
      </c>
      <c r="Q32" s="80">
        <f t="shared" si="60"/>
        <v>123.48</v>
      </c>
      <c r="R32" s="80" t="e">
        <f t="shared" ref="R32:S32" si="61">R9/R6</f>
        <v>#DIV/0!</v>
      </c>
      <c r="S32" s="80" t="e">
        <f t="shared" si="61"/>
        <v>#DIV/0!</v>
      </c>
      <c r="T32" s="88"/>
      <c r="U32" s="2"/>
      <c r="V32" s="2"/>
      <c r="W32" s="2"/>
      <c r="X32" s="2"/>
      <c r="Y32" s="2"/>
      <c r="Z32" s="2"/>
      <c r="AA32" s="2"/>
      <c r="AT32" s="77"/>
      <c r="AU32" s="77"/>
    </row>
    <row r="33" spans="1:47">
      <c r="A33" s="74">
        <v>3</v>
      </c>
      <c r="B33" s="85" t="s">
        <v>101</v>
      </c>
      <c r="C33" s="80">
        <f>材料成本!D25</f>
        <v>602.2002</v>
      </c>
      <c r="D33" s="80">
        <f>材料成本!E25</f>
        <v>0</v>
      </c>
      <c r="E33" s="80">
        <f>材料成本!F25</f>
        <v>294.87219999999996</v>
      </c>
      <c r="F33" s="80">
        <f>材料成本!G25</f>
        <v>834.14911031439397</v>
      </c>
      <c r="G33" s="80">
        <f>材料成本!H25</f>
        <v>602.2002</v>
      </c>
      <c r="H33" s="80">
        <f>材料成本!I25</f>
        <v>4.8216000000000001</v>
      </c>
      <c r="I33" s="80">
        <f>材料成本!J25</f>
        <v>87.738009758867989</v>
      </c>
      <c r="J33" s="80">
        <f>材料成本!K25</f>
        <v>282.47520000000003</v>
      </c>
      <c r="K33" s="80">
        <f>材料成本!L25</f>
        <v>249.5864</v>
      </c>
      <c r="L33" s="80">
        <f>材料成本!M25</f>
        <v>89.247198605880001</v>
      </c>
      <c r="M33" s="80">
        <f>材料成本!N25</f>
        <v>128.27471320999999</v>
      </c>
      <c r="N33" s="80">
        <f>材料成本!O25</f>
        <v>110.97519999999999</v>
      </c>
      <c r="O33" s="80">
        <f>材料成本!P25</f>
        <v>75.550921461862004</v>
      </c>
      <c r="P33" s="80">
        <f>材料成本!Q25</f>
        <v>97.561451220982008</v>
      </c>
      <c r="Q33" s="80">
        <f>材料成本!R25</f>
        <v>86.484999999999999</v>
      </c>
      <c r="R33" s="80">
        <f>材料成本!S25</f>
        <v>0</v>
      </c>
      <c r="S33" s="80">
        <f>材料成本!T25</f>
        <v>0</v>
      </c>
      <c r="T33" s="88"/>
      <c r="V33" s="2"/>
      <c r="W33" s="2"/>
      <c r="X33" s="2"/>
      <c r="Y33" s="2"/>
      <c r="Z33" s="2"/>
      <c r="AA33" s="2"/>
      <c r="AT33" s="77" t="s">
        <v>57</v>
      </c>
      <c r="AU33" s="77" t="s">
        <v>101</v>
      </c>
    </row>
    <row r="34" spans="1:47" ht="17.25" customHeight="1">
      <c r="A34" s="74">
        <v>4</v>
      </c>
      <c r="B34" s="77" t="s">
        <v>103</v>
      </c>
      <c r="C34" s="93">
        <f>C32-C33</f>
        <v>153.64440000000002</v>
      </c>
      <c r="D34" s="93" t="e">
        <f t="shared" ref="D34:F34" si="62">D32-D33</f>
        <v>#DIV/0!</v>
      </c>
      <c r="E34" s="93">
        <f t="shared" si="62"/>
        <v>103.98780000000005</v>
      </c>
      <c r="F34" s="93">
        <f t="shared" si="62"/>
        <v>353.80688968560594</v>
      </c>
      <c r="G34" s="93">
        <f t="shared" ref="G34:Q34" si="63">G32-G33</f>
        <v>153.64440000000002</v>
      </c>
      <c r="H34" s="93">
        <f t="shared" si="63"/>
        <v>3.9984000000000002</v>
      </c>
      <c r="I34" s="93">
        <f t="shared" si="63"/>
        <v>37.564790241132016</v>
      </c>
      <c r="J34" s="93">
        <f t="shared" si="63"/>
        <v>27.439999999999941</v>
      </c>
      <c r="K34" s="93">
        <f t="shared" si="63"/>
        <v>34.829200000000043</v>
      </c>
      <c r="L34" s="93">
        <f t="shared" si="63"/>
        <v>47.864601394119987</v>
      </c>
      <c r="M34" s="93">
        <f t="shared" si="63"/>
        <v>23.439086790000005</v>
      </c>
      <c r="N34" s="93">
        <f t="shared" si="63"/>
        <v>6.9286000000000172</v>
      </c>
      <c r="O34" s="93">
        <f t="shared" si="63"/>
        <v>28.740678538137999</v>
      </c>
      <c r="P34" s="93">
        <f t="shared" si="63"/>
        <v>43.823148779017998</v>
      </c>
      <c r="Q34" s="93">
        <f t="shared" si="63"/>
        <v>36.995000000000005</v>
      </c>
      <c r="R34" s="93" t="e">
        <f t="shared" ref="R34:S34" si="64">R32-R33</f>
        <v>#DIV/0!</v>
      </c>
      <c r="S34" s="93" t="e">
        <f t="shared" si="64"/>
        <v>#DIV/0!</v>
      </c>
      <c r="T34" s="88"/>
      <c r="V34" s="2"/>
      <c r="W34" s="2"/>
      <c r="X34" s="2"/>
      <c r="Y34" s="2"/>
      <c r="Z34" s="2"/>
      <c r="AA34" s="2"/>
      <c r="AT34" s="77" t="s">
        <v>102</v>
      </c>
      <c r="AU34" s="77" t="s">
        <v>103</v>
      </c>
    </row>
    <row r="35" spans="1:47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7" t="s">
        <v>105</v>
      </c>
      <c r="AU35" s="82" t="s">
        <v>9</v>
      </c>
    </row>
    <row r="36" spans="1:47">
      <c r="A36" s="74">
        <v>1</v>
      </c>
      <c r="B36" s="77" t="s">
        <v>106</v>
      </c>
      <c r="C36" s="86">
        <f>'2026年'!C36</f>
        <v>53.526138000000003</v>
      </c>
      <c r="D36" s="86">
        <f>'2026年'!D36</f>
        <v>123.94007200000001</v>
      </c>
      <c r="E36" s="86">
        <f>'2026年'!E36</f>
        <v>28.245800000000003</v>
      </c>
      <c r="F36" s="86">
        <f>'2026年'!F36</f>
        <v>84.126680000000007</v>
      </c>
      <c r="G36" s="86">
        <f>'2026年'!G36</f>
        <v>53.526138000000003</v>
      </c>
      <c r="H36" s="86">
        <f>'2026年'!H36</f>
        <v>0.62460000000000004</v>
      </c>
      <c r="I36" s="86">
        <f>'2026年'!I36</f>
        <v>8.8734840000000013</v>
      </c>
      <c r="J36" s="86">
        <f>'2026年'!J36</f>
        <v>21.947056000000003</v>
      </c>
      <c r="K36" s="86">
        <f>'2026年'!K36</f>
        <v>20.141268000000004</v>
      </c>
      <c r="L36" s="86">
        <f>'2026年'!L36</f>
        <v>9.7097540000000002</v>
      </c>
      <c r="M36" s="86">
        <f>'2026年'!M36</f>
        <v>10.743814</v>
      </c>
      <c r="N36" s="86">
        <f>'2026年'!N36</f>
        <v>8.349514000000001</v>
      </c>
      <c r="O36" s="86">
        <f>'2026年'!O36</f>
        <v>7.3855480000000009</v>
      </c>
      <c r="P36" s="86">
        <f>'2026年'!P36</f>
        <v>10.012338000000002</v>
      </c>
      <c r="Q36" s="86">
        <f>'2026年'!Q36</f>
        <v>8.7444000000000006</v>
      </c>
      <c r="R36" s="86">
        <f>'2026年'!R36</f>
        <v>0</v>
      </c>
      <c r="S36" s="86">
        <f>'2026年'!S36</f>
        <v>0</v>
      </c>
      <c r="T36" s="92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7" t="s">
        <v>102</v>
      </c>
      <c r="AU36" s="77" t="s">
        <v>106</v>
      </c>
    </row>
    <row r="37" spans="1:47">
      <c r="A37" s="74">
        <v>2</v>
      </c>
      <c r="B37" s="77" t="s">
        <v>107</v>
      </c>
      <c r="C37" s="86">
        <f>'2026年'!C37</f>
        <v>33.473117999999999</v>
      </c>
      <c r="D37" s="86">
        <f>'2026年'!D37</f>
        <v>77.507192000000003</v>
      </c>
      <c r="E37" s="86">
        <f>'2026年'!E37</f>
        <v>17.663800000000002</v>
      </c>
      <c r="F37" s="86">
        <f>'2026年'!F37</f>
        <v>52.609480000000005</v>
      </c>
      <c r="G37" s="86">
        <f>'2026年'!G37</f>
        <v>33.473117999999999</v>
      </c>
      <c r="H37" s="86">
        <f>'2026年'!H37</f>
        <v>0.3906</v>
      </c>
      <c r="I37" s="86">
        <f>'2026年'!I37</f>
        <v>5.5491239999999999</v>
      </c>
      <c r="J37" s="86">
        <f>'2026年'!J37</f>
        <v>13.724816000000001</v>
      </c>
      <c r="K37" s="86">
        <f>'2026年'!K37</f>
        <v>12.595548000000001</v>
      </c>
      <c r="L37" s="86">
        <f>'2026年'!L37</f>
        <v>6.0720939999999999</v>
      </c>
      <c r="M37" s="86">
        <f>'2026年'!M37</f>
        <v>6.7187540000000006</v>
      </c>
      <c r="N37" s="86">
        <f>'2026年'!N37</f>
        <v>5.2214540000000005</v>
      </c>
      <c r="O37" s="86">
        <f>'2026年'!O37</f>
        <v>4.6186280000000002</v>
      </c>
      <c r="P37" s="86">
        <f>'2026年'!P37</f>
        <v>6.2613180000000002</v>
      </c>
      <c r="Q37" s="86">
        <f>'2026年'!Q37</f>
        <v>5.4683999999999999</v>
      </c>
      <c r="R37" s="86">
        <f>'2026年'!R37</f>
        <v>0</v>
      </c>
      <c r="S37" s="86">
        <f>'2026年'!S37</f>
        <v>0</v>
      </c>
      <c r="T37" s="92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7" t="s">
        <v>60</v>
      </c>
      <c r="AU37" s="77" t="s">
        <v>107</v>
      </c>
    </row>
    <row r="38" spans="1:47">
      <c r="A38" s="74">
        <v>3</v>
      </c>
      <c r="B38" s="77" t="s">
        <v>108</v>
      </c>
      <c r="C38" s="86">
        <f>'2026年'!C38</f>
        <v>15</v>
      </c>
      <c r="D38" s="86">
        <f>'2026年'!D38</f>
        <v>23</v>
      </c>
      <c r="E38" s="86">
        <f>'2026年'!E38</f>
        <v>15</v>
      </c>
      <c r="F38" s="86">
        <f>'2026年'!F38</f>
        <v>23</v>
      </c>
      <c r="G38" s="86">
        <f>'2026年'!G38</f>
        <v>15</v>
      </c>
      <c r="H38" s="86">
        <f>'2026年'!H38</f>
        <v>0.58590000000000009</v>
      </c>
      <c r="I38" s="86">
        <f>'2026年'!I38</f>
        <v>10</v>
      </c>
      <c r="J38" s="86">
        <f>'2026年'!J38</f>
        <v>10</v>
      </c>
      <c r="K38" s="86">
        <f>'2026年'!K38</f>
        <v>10</v>
      </c>
      <c r="L38" s="86">
        <f>'2026年'!L38</f>
        <v>10</v>
      </c>
      <c r="M38" s="86">
        <f>'2026年'!M38</f>
        <v>6</v>
      </c>
      <c r="N38" s="86">
        <f>'2026年'!N38</f>
        <v>6</v>
      </c>
      <c r="O38" s="86">
        <f>'2026年'!O38</f>
        <v>4</v>
      </c>
      <c r="P38" s="86">
        <f>'2026年'!P38</f>
        <v>4</v>
      </c>
      <c r="Q38" s="86">
        <f>'2026年'!Q38</f>
        <v>4</v>
      </c>
      <c r="R38" s="86">
        <f>'2026年'!R38</f>
        <v>0</v>
      </c>
      <c r="S38" s="86">
        <f>'2026年'!S38</f>
        <v>0</v>
      </c>
      <c r="T38" s="92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7" t="s">
        <v>66</v>
      </c>
      <c r="AU38" s="77" t="s">
        <v>108</v>
      </c>
    </row>
    <row r="39" spans="1:47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AT39" s="77" t="s">
        <v>109</v>
      </c>
      <c r="AU39" s="82" t="s">
        <v>110</v>
      </c>
    </row>
    <row r="40" spans="1:47">
      <c r="A40" s="74">
        <v>1</v>
      </c>
      <c r="B40" s="77" t="s">
        <v>111</v>
      </c>
      <c r="C40" s="88">
        <f>C34-C36-C37-C38</f>
        <v>51.645144000000016</v>
      </c>
      <c r="D40" s="88" t="e">
        <f>D34-D36-D37-D38</f>
        <v>#DIV/0!</v>
      </c>
      <c r="E40" s="88">
        <f t="shared" ref="E40:F40" si="65">E34-E36-E37-E38</f>
        <v>43.078200000000045</v>
      </c>
      <c r="F40" s="88">
        <f t="shared" si="65"/>
        <v>194.0707296856059</v>
      </c>
      <c r="G40" s="88">
        <f t="shared" ref="G40:Q40" si="66">G34-G36-G37-G38</f>
        <v>51.645144000000016</v>
      </c>
      <c r="H40" s="88">
        <f t="shared" si="66"/>
        <v>2.3973</v>
      </c>
      <c r="I40" s="88">
        <f t="shared" si="66"/>
        <v>13.142182241132016</v>
      </c>
      <c r="J40" s="88">
        <f t="shared" si="66"/>
        <v>-18.231872000000063</v>
      </c>
      <c r="K40" s="88">
        <f t="shared" si="66"/>
        <v>-7.9076159999999618</v>
      </c>
      <c r="L40" s="88">
        <f t="shared" si="66"/>
        <v>22.082753394119983</v>
      </c>
      <c r="M40" s="88">
        <f t="shared" si="66"/>
        <v>-2.3481209999996366E-2</v>
      </c>
      <c r="N40" s="88">
        <f t="shared" si="66"/>
        <v>-12.642367999999983</v>
      </c>
      <c r="O40" s="88">
        <f t="shared" si="66"/>
        <v>12.736502538137998</v>
      </c>
      <c r="P40" s="88">
        <f t="shared" si="66"/>
        <v>23.549492779017999</v>
      </c>
      <c r="Q40" s="88">
        <f t="shared" si="66"/>
        <v>18.782200000000007</v>
      </c>
      <c r="R40" s="88" t="e">
        <f t="shared" ref="R40:S40" si="67">R34-R36-R37-R38</f>
        <v>#DIV/0!</v>
      </c>
      <c r="S40" s="88" t="e">
        <f t="shared" si="67"/>
        <v>#DIV/0!</v>
      </c>
      <c r="T40" s="88"/>
      <c r="AT40" s="77" t="s">
        <v>55</v>
      </c>
      <c r="AU40" s="77" t="s">
        <v>111</v>
      </c>
    </row>
    <row r="41" spans="1:47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AT41" s="77" t="s">
        <v>57</v>
      </c>
      <c r="AU41" s="77" t="s">
        <v>112</v>
      </c>
    </row>
    <row r="42" spans="1:47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AT42" s="77" t="s">
        <v>113</v>
      </c>
      <c r="AU42" s="82" t="s">
        <v>114</v>
      </c>
    </row>
    <row r="43" spans="1:47">
      <c r="A43" s="74">
        <v>1</v>
      </c>
      <c r="B43" s="89" t="s">
        <v>115</v>
      </c>
      <c r="C43" s="86">
        <f>'2026年'!C43</f>
        <v>63.629775000000002</v>
      </c>
      <c r="D43" s="86">
        <f>'2026年'!D43</f>
        <v>147.33510000000001</v>
      </c>
      <c r="E43" s="86">
        <f>'2026年'!E43</f>
        <v>33.577500000000001</v>
      </c>
      <c r="F43" s="86">
        <f>'2026年'!F43</f>
        <v>100.0065</v>
      </c>
      <c r="G43" s="86">
        <f>'2026年'!G43</f>
        <v>63.629775000000002</v>
      </c>
      <c r="H43" s="86">
        <f>'2026年'!H43</f>
        <v>0.74250000000000005</v>
      </c>
      <c r="I43" s="86">
        <f>'2026年'!I43</f>
        <v>10.548450000000001</v>
      </c>
      <c r="J43" s="86">
        <f>'2026年'!J43</f>
        <v>26.0898</v>
      </c>
      <c r="K43" s="86">
        <f>'2026年'!K43</f>
        <v>23.943150000000003</v>
      </c>
      <c r="L43" s="86">
        <f>'2026年'!L43</f>
        <v>11.542575000000001</v>
      </c>
      <c r="M43" s="86">
        <f>'2026年'!M43</f>
        <v>12.771825000000002</v>
      </c>
      <c r="N43" s="86">
        <f>'2026年'!N43</f>
        <v>9.9255750000000003</v>
      </c>
      <c r="O43" s="86">
        <f>'2026年'!O43</f>
        <v>8.7796500000000002</v>
      </c>
      <c r="P43" s="86">
        <f>'2026年'!P43</f>
        <v>11.902275000000001</v>
      </c>
      <c r="Q43" s="86">
        <f>'2026年'!Q43</f>
        <v>10.395000000000001</v>
      </c>
      <c r="R43" s="86">
        <f>'2026年'!R43</f>
        <v>0</v>
      </c>
      <c r="S43" s="86">
        <f>'2026年'!S43</f>
        <v>0</v>
      </c>
      <c r="T43" s="88"/>
      <c r="AT43" s="77" t="s">
        <v>55</v>
      </c>
      <c r="AU43" s="77" t="s">
        <v>115</v>
      </c>
    </row>
    <row r="44" spans="1:47">
      <c r="A44" s="74">
        <v>2</v>
      </c>
      <c r="B44" s="89" t="s">
        <v>116</v>
      </c>
      <c r="C44" s="86">
        <f>'2026年'!C44</f>
        <v>13.265844</v>
      </c>
      <c r="D44" s="86">
        <f>'2026年'!D44</f>
        <v>30.717136000000004</v>
      </c>
      <c r="E44" s="86">
        <f>'2026年'!E44</f>
        <v>7.0004</v>
      </c>
      <c r="F44" s="86">
        <f>'2026年'!F44</f>
        <v>20.84984</v>
      </c>
      <c r="G44" s="86">
        <f>'2026年'!G44</f>
        <v>13.265844</v>
      </c>
      <c r="H44" s="86">
        <f>'2026年'!H44</f>
        <v>0.15479999999999999</v>
      </c>
      <c r="I44" s="86">
        <f>'2026年'!I44</f>
        <v>2.199192</v>
      </c>
      <c r="J44" s="86">
        <f>'2026年'!J44</f>
        <v>5.4393279999999997</v>
      </c>
      <c r="K44" s="86">
        <f>'2026年'!K44</f>
        <v>4.9917840000000009</v>
      </c>
      <c r="L44" s="86">
        <f>'2026年'!L44</f>
        <v>2.4064519999999998</v>
      </c>
      <c r="M44" s="86">
        <f>'2026年'!M44</f>
        <v>2.6627320000000001</v>
      </c>
      <c r="N44" s="86">
        <f>'2026年'!N44</f>
        <v>2.0693320000000002</v>
      </c>
      <c r="O44" s="86">
        <f>'2026年'!O44</f>
        <v>1.8304240000000001</v>
      </c>
      <c r="P44" s="86">
        <f>'2026年'!P44</f>
        <v>2.4814440000000002</v>
      </c>
      <c r="Q44" s="86">
        <f>'2026年'!Q44</f>
        <v>2.1671999999999998</v>
      </c>
      <c r="R44" s="86">
        <f>'2026年'!R44</f>
        <v>0</v>
      </c>
      <c r="S44" s="86">
        <f>'2026年'!S44</f>
        <v>0</v>
      </c>
      <c r="T44" s="88"/>
      <c r="AT44" s="77" t="s">
        <v>57</v>
      </c>
      <c r="AU44" s="77" t="s">
        <v>116</v>
      </c>
    </row>
    <row r="45" spans="1:47">
      <c r="A45" s="74">
        <v>3</v>
      </c>
      <c r="B45" s="89" t="s">
        <v>117</v>
      </c>
      <c r="C45" s="86">
        <f>'2026年'!C45</f>
        <v>20.361528</v>
      </c>
      <c r="D45" s="86">
        <f>'2026年'!D45</f>
        <v>47.147232000000002</v>
      </c>
      <c r="E45" s="86">
        <f>'2026年'!E45</f>
        <v>10.7448</v>
      </c>
      <c r="F45" s="86">
        <f>'2026年'!F45</f>
        <v>32.002079999999999</v>
      </c>
      <c r="G45" s="86">
        <f>'2026年'!G45</f>
        <v>20.361528</v>
      </c>
      <c r="H45" s="86">
        <f>'2026年'!H45</f>
        <v>0.23760000000000001</v>
      </c>
      <c r="I45" s="86">
        <f>'2026年'!I45</f>
        <v>3.3755039999999998</v>
      </c>
      <c r="J45" s="86">
        <f>'2026年'!J45</f>
        <v>8.3487360000000006</v>
      </c>
      <c r="K45" s="86">
        <f>'2026年'!K45</f>
        <v>7.6618080000000006</v>
      </c>
      <c r="L45" s="86">
        <f>'2026年'!L45</f>
        <v>3.6936239999999998</v>
      </c>
      <c r="M45" s="86">
        <f>'2026年'!M45</f>
        <v>4.0869840000000002</v>
      </c>
      <c r="N45" s="86">
        <f>'2026年'!N45</f>
        <v>3.1761840000000001</v>
      </c>
      <c r="O45" s="86">
        <f>'2026年'!O45</f>
        <v>2.809488</v>
      </c>
      <c r="P45" s="86">
        <f>'2026年'!P45</f>
        <v>3.8087280000000003</v>
      </c>
      <c r="Q45" s="86">
        <f>'2026年'!Q45</f>
        <v>3.3264</v>
      </c>
      <c r="R45" s="86">
        <f>'2026年'!R45</f>
        <v>0</v>
      </c>
      <c r="S45" s="86">
        <f>'2026年'!S45</f>
        <v>0</v>
      </c>
      <c r="T45" s="88"/>
      <c r="AT45" s="77" t="s">
        <v>102</v>
      </c>
      <c r="AU45" s="77" t="s">
        <v>117</v>
      </c>
    </row>
    <row r="46" spans="1:47" s="72" customFormat="1">
      <c r="A46" s="74">
        <v>4</v>
      </c>
      <c r="B46" s="89" t="s">
        <v>118</v>
      </c>
      <c r="C46" s="94">
        <f>C21/C6</f>
        <v>0.62222222222222223</v>
      </c>
      <c r="D46" s="94" t="e">
        <f>D21/D6</f>
        <v>#DIV/0!</v>
      </c>
      <c r="E46" s="94">
        <f t="shared" ref="E46:F46" si="68">E21/E6</f>
        <v>0.62222222222222223</v>
      </c>
      <c r="F46" s="94">
        <f t="shared" si="68"/>
        <v>0.62222222222222223</v>
      </c>
      <c r="G46" s="94">
        <f t="shared" ref="G46:Q46" si="69">G21/G6</f>
        <v>0.62222222222222223</v>
      </c>
      <c r="H46" s="94">
        <f t="shared" si="69"/>
        <v>0.62222222222222223</v>
      </c>
      <c r="I46" s="94">
        <f t="shared" si="69"/>
        <v>0.62222222222222223</v>
      </c>
      <c r="J46" s="94">
        <f t="shared" si="69"/>
        <v>0.62222222222222223</v>
      </c>
      <c r="K46" s="94">
        <f t="shared" si="69"/>
        <v>0.62222222222222223</v>
      </c>
      <c r="L46" s="94">
        <f t="shared" si="69"/>
        <v>0.62222222222222223</v>
      </c>
      <c r="M46" s="94">
        <f t="shared" si="69"/>
        <v>0.62222222222222223</v>
      </c>
      <c r="N46" s="94">
        <f t="shared" si="69"/>
        <v>0.62222222222222223</v>
      </c>
      <c r="O46" s="94">
        <f t="shared" si="69"/>
        <v>0.62222222222222223</v>
      </c>
      <c r="P46" s="94">
        <f t="shared" si="69"/>
        <v>0.62222222222222223</v>
      </c>
      <c r="Q46" s="94">
        <f t="shared" si="69"/>
        <v>0.62222222222222223</v>
      </c>
      <c r="R46" s="94" t="e">
        <f t="shared" ref="R46:S46" si="70">R21/R6</f>
        <v>#DIV/0!</v>
      </c>
      <c r="S46" s="94" t="e">
        <f t="shared" si="70"/>
        <v>#DIV/0!</v>
      </c>
      <c r="T46" s="94"/>
      <c r="AT46" s="89" t="s">
        <v>62</v>
      </c>
      <c r="AU46" s="89" t="s">
        <v>120</v>
      </c>
    </row>
    <row r="47" spans="1:47" s="72" customFormat="1">
      <c r="A47" s="74">
        <v>5</v>
      </c>
      <c r="B47" s="89" t="s">
        <v>120</v>
      </c>
      <c r="C47" s="86">
        <f>'2026年'!C47</f>
        <v>27.380084999999998</v>
      </c>
      <c r="D47" s="86">
        <f>'2026年'!D47</f>
        <v>63.398739999999997</v>
      </c>
      <c r="E47" s="86">
        <f>'2026年'!E47</f>
        <v>14.448499999999999</v>
      </c>
      <c r="F47" s="86">
        <f>'2026年'!F47</f>
        <v>43.033099999999997</v>
      </c>
      <c r="G47" s="86">
        <f>'2026年'!G47</f>
        <v>27.380084999999998</v>
      </c>
      <c r="H47" s="86">
        <f>'2026年'!H47</f>
        <v>0.31949999999999995</v>
      </c>
      <c r="I47" s="86">
        <f>'2026年'!I47</f>
        <v>4.5390299999999995</v>
      </c>
      <c r="J47" s="86">
        <f>'2026年'!J47</f>
        <v>11.226519999999999</v>
      </c>
      <c r="K47" s="86">
        <f>'2026年'!K47</f>
        <v>10.302810000000001</v>
      </c>
      <c r="L47" s="86">
        <f>'2026年'!L47</f>
        <v>4.966804999999999</v>
      </c>
      <c r="M47" s="86">
        <f>'2026年'!M47</f>
        <v>5.4957549999999999</v>
      </c>
      <c r="N47" s="86">
        <f>'2026年'!N47</f>
        <v>4.2710049999999997</v>
      </c>
      <c r="O47" s="86">
        <f>'2026年'!O47</f>
        <v>3.7779099999999999</v>
      </c>
      <c r="P47" s="86">
        <f>'2026年'!P47</f>
        <v>5.1215849999999996</v>
      </c>
      <c r="Q47" s="86">
        <f>'2026年'!Q47</f>
        <v>4.4729999999999999</v>
      </c>
      <c r="R47" s="86">
        <f>'2026年'!R47</f>
        <v>0</v>
      </c>
      <c r="S47" s="86">
        <f>'2026年'!S47</f>
        <v>0</v>
      </c>
      <c r="T47" s="94"/>
      <c r="AT47" s="89" t="s">
        <v>62</v>
      </c>
      <c r="AU47" s="89" t="s">
        <v>120</v>
      </c>
    </row>
    <row r="48" spans="1:47">
      <c r="A48" s="77" t="s">
        <v>113</v>
      </c>
      <c r="B48" s="82" t="s">
        <v>131</v>
      </c>
      <c r="C48" s="88">
        <f>C40-C43-C44-C45-C47-C46</f>
        <v>-73.614310222222201</v>
      </c>
      <c r="D48" s="88" t="e">
        <f>D40-D43-D44-D45-D47-D46</f>
        <v>#DIV/0!</v>
      </c>
      <c r="E48" s="88">
        <f t="shared" ref="E48:F48" si="71">E40-E43-E44-E45-E47-E46</f>
        <v>-23.315222222222179</v>
      </c>
      <c r="F48" s="88">
        <f t="shared" si="71"/>
        <v>-2.4430125366163247</v>
      </c>
      <c r="G48" s="88">
        <f t="shared" ref="G48:Q48" si="72">G40-G43-G44-G45-G47-G46</f>
        <v>-73.614310222222201</v>
      </c>
      <c r="H48" s="88">
        <f t="shared" si="72"/>
        <v>0.32067777777777762</v>
      </c>
      <c r="I48" s="88">
        <f t="shared" si="72"/>
        <v>-8.1422159810902066</v>
      </c>
      <c r="J48" s="88">
        <f t="shared" si="72"/>
        <v>-69.958478222222283</v>
      </c>
      <c r="K48" s="88">
        <f t="shared" si="72"/>
        <v>-55.429390222222189</v>
      </c>
      <c r="L48" s="88">
        <f t="shared" si="72"/>
        <v>-1.1489248281022388</v>
      </c>
      <c r="M48" s="88">
        <f t="shared" si="72"/>
        <v>-25.662999432222222</v>
      </c>
      <c r="N48" s="88">
        <f t="shared" si="72"/>
        <v>-32.706686222222203</v>
      </c>
      <c r="O48" s="88">
        <f t="shared" si="72"/>
        <v>-5.0831916840842233</v>
      </c>
      <c r="P48" s="88">
        <f t="shared" si="72"/>
        <v>-0.3867614432042239</v>
      </c>
      <c r="Q48" s="88">
        <f t="shared" si="72"/>
        <v>-2.2016222222222162</v>
      </c>
      <c r="R48" s="88" t="e">
        <f t="shared" ref="R48:S48" si="73">R40-R43-R44-R45-R47-R46</f>
        <v>#DIV/0!</v>
      </c>
      <c r="S48" s="88" t="e">
        <f t="shared" si="73"/>
        <v>#DIV/0!</v>
      </c>
      <c r="T48" s="88"/>
      <c r="AT48" s="77" t="s">
        <v>130</v>
      </c>
      <c r="AU48" s="82" t="s">
        <v>131</v>
      </c>
    </row>
    <row r="51" spans="2:25"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4" spans="2:25">
      <c r="B54" s="2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"/>
      <c r="V54" s="2"/>
      <c r="W54" s="2"/>
      <c r="X54" s="2"/>
      <c r="Y54" s="2"/>
    </row>
    <row r="55" spans="2:25">
      <c r="B55" s="2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"/>
      <c r="V55" s="2"/>
      <c r="W55" s="2"/>
      <c r="X55" s="2"/>
      <c r="Y55" s="2"/>
    </row>
    <row r="56" spans="2:25">
      <c r="B56" s="2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"/>
      <c r="V56" s="2"/>
      <c r="W56" s="2"/>
      <c r="X56" s="2"/>
      <c r="Y56" s="2"/>
    </row>
    <row r="57" spans="2:25">
      <c r="B57" s="2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"/>
      <c r="V57" s="2"/>
      <c r="W57" s="2"/>
      <c r="X57" s="2"/>
      <c r="Y57" s="2"/>
    </row>
    <row r="58" spans="2:25">
      <c r="B58" s="2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2"/>
      <c r="V58" s="2"/>
      <c r="W58" s="2"/>
      <c r="X58" s="2"/>
      <c r="Y58" s="2"/>
    </row>
    <row r="59" spans="2:25">
      <c r="B59" s="2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2"/>
      <c r="V59" s="2"/>
      <c r="W59" s="2"/>
      <c r="X59" s="2"/>
      <c r="Y59" s="2"/>
    </row>
    <row r="60" spans="2:25">
      <c r="B60" s="2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2"/>
      <c r="V60" s="2"/>
      <c r="W60" s="2"/>
      <c r="X60" s="2"/>
      <c r="Y60" s="2"/>
    </row>
    <row r="61" spans="2:25">
      <c r="B61" s="2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2"/>
      <c r="V61" s="2"/>
      <c r="W61" s="2"/>
      <c r="X61" s="2"/>
      <c r="Y61" s="2"/>
    </row>
    <row r="62" spans="2:25">
      <c r="B62" s="2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2"/>
      <c r="V62" s="2"/>
      <c r="W62" s="2"/>
      <c r="X62" s="2"/>
      <c r="Y62" s="2"/>
    </row>
    <row r="63" spans="2:25">
      <c r="B63" s="2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2"/>
      <c r="V63" s="2"/>
      <c r="W63" s="2"/>
      <c r="X63" s="2"/>
      <c r="Y63" s="2"/>
    </row>
    <row r="64" spans="2:25">
      <c r="B64" s="2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2"/>
      <c r="V64" s="2"/>
      <c r="W64" s="2"/>
      <c r="X64" s="2"/>
      <c r="Y64" s="2"/>
    </row>
    <row r="65" spans="2:25">
      <c r="B65" s="2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2"/>
      <c r="V65" s="2"/>
      <c r="W65" s="2"/>
      <c r="X65" s="2"/>
      <c r="Y65" s="2"/>
    </row>
    <row r="66" spans="2:25">
      <c r="B66" s="2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2"/>
      <c r="V66" s="2"/>
      <c r="W66" s="2"/>
      <c r="X66" s="2"/>
      <c r="Y66" s="2"/>
    </row>
    <row r="67" spans="2:25">
      <c r="B67" s="2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2"/>
    </row>
    <row r="68" spans="2:25">
      <c r="B68" s="2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2"/>
    </row>
    <row r="69" spans="2:25">
      <c r="B69" s="2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"/>
    </row>
    <row r="70" spans="2:25">
      <c r="B70" s="2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2"/>
    </row>
    <row r="71" spans="2:25">
      <c r="B71" s="2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2"/>
    </row>
    <row r="72" spans="2:25">
      <c r="B72" s="2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2"/>
    </row>
    <row r="73" spans="2:25">
      <c r="B73" s="2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"/>
    </row>
    <row r="74" spans="2:25">
      <c r="B74" s="2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L26" activePane="bottomRight" state="frozen"/>
      <selection pane="topRight"/>
      <selection pane="bottomLeft"/>
      <selection pane="bottomRight" activeCell="N50" sqref="N50"/>
    </sheetView>
  </sheetViews>
  <sheetFormatPr defaultColWidth="9" defaultRowHeight="16.5"/>
  <cols>
    <col min="1" max="1" width="5.125" style="70" customWidth="1"/>
    <col min="2" max="2" width="17.5" style="70" customWidth="1"/>
    <col min="3" max="3" width="15.375" style="73" customWidth="1"/>
    <col min="4" max="19" width="14.375" style="73" customWidth="1"/>
    <col min="20" max="20" width="18.75" style="73" customWidth="1"/>
    <col min="21" max="21" width="12.375" style="70" customWidth="1"/>
    <col min="22" max="22" width="10.125" style="70" customWidth="1"/>
    <col min="23" max="29" width="9" style="70" customWidth="1"/>
    <col min="30" max="45" width="9" style="70"/>
    <col min="46" max="46" width="4.375" style="70" customWidth="1"/>
    <col min="47" max="47" width="13.875" style="70" customWidth="1"/>
    <col min="48" max="16384" width="9" style="70"/>
  </cols>
  <sheetData>
    <row r="1" spans="1:48">
      <c r="A1" s="244" t="s">
        <v>141</v>
      </c>
      <c r="B1" s="244"/>
      <c r="C1" s="248" t="s">
        <v>262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48">
      <c r="A2" s="244" t="s">
        <v>142</v>
      </c>
      <c r="B2" s="244"/>
      <c r="C2" s="251" t="str">
        <f>'2026年'!$C$2</f>
        <v>一汽解放（青岛事业部）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48" ht="22.5">
      <c r="A3" s="244" t="s">
        <v>143</v>
      </c>
      <c r="B3" s="244"/>
      <c r="C3" s="75" t="str">
        <f>'2026年'!C3</f>
        <v>驾驶员座总成</v>
      </c>
      <c r="D3" s="75" t="str">
        <f>'2026年'!D3</f>
        <v>驾驶员座总成</v>
      </c>
      <c r="E3" s="75" t="str">
        <f>'2026年'!E3</f>
        <v>驾驶员座总成</v>
      </c>
      <c r="F3" s="75" t="str">
        <f>'2026年'!F3</f>
        <v>驾驶员座总成</v>
      </c>
      <c r="G3" s="75" t="str">
        <f>'2026年'!G3</f>
        <v>驾驶员座总成</v>
      </c>
      <c r="H3" s="75" t="str">
        <f>'2026年'!H3</f>
        <v>固定支架焊接总成-连接主副靠背</v>
      </c>
      <c r="I3" s="75" t="str">
        <f>'2026年'!I3</f>
        <v>前座座垫总成</v>
      </c>
      <c r="J3" s="75" t="str">
        <f>'2026年'!J3</f>
        <v>前座座垫总成</v>
      </c>
      <c r="K3" s="75" t="str">
        <f>'2026年'!K3</f>
        <v>前座座垫总成</v>
      </c>
      <c r="L3" s="75" t="str">
        <f>'2026年'!L3</f>
        <v>前座座垫总成</v>
      </c>
      <c r="M3" s="75" t="str">
        <f>'2026年'!M3</f>
        <v>主靠背总成-前座</v>
      </c>
      <c r="N3" s="75" t="str">
        <f>'2026年'!N3</f>
        <v>主靠背总成-前座</v>
      </c>
      <c r="O3" s="75" t="str">
        <f>'2026年'!O3</f>
        <v>副靠背总成-前座</v>
      </c>
      <c r="P3" s="75" t="str">
        <f>'2026年'!P3</f>
        <v>副靠背总成-前座</v>
      </c>
      <c r="Q3" s="75" t="str">
        <f>'2026年'!Q3</f>
        <v>副靠背总成-前座</v>
      </c>
      <c r="R3" s="75">
        <f>'2026年'!R3</f>
        <v>0</v>
      </c>
      <c r="S3" s="75">
        <f>'2026年'!S3</f>
        <v>0</v>
      </c>
      <c r="T3" s="245" t="s">
        <v>51</v>
      </c>
    </row>
    <row r="4" spans="1:48">
      <c r="A4" s="244" t="s">
        <v>144</v>
      </c>
      <c r="B4" s="244"/>
      <c r="C4" s="75" t="str">
        <f>'2026年'!C4</f>
        <v>6800010-J36-C00</v>
      </c>
      <c r="D4" s="75" t="str">
        <f>'2026年'!D4</f>
        <v>6800010-J37-C00</v>
      </c>
      <c r="E4" s="75" t="str">
        <f>'2026年'!E4</f>
        <v>6800010AJ36-C00</v>
      </c>
      <c r="F4" s="75" t="str">
        <f>'2026年'!F4</f>
        <v>6800010AJ37-C00</v>
      </c>
      <c r="G4" s="75" t="str">
        <f>'2026年'!G4</f>
        <v>6800010BJ37-C00</v>
      </c>
      <c r="H4" s="75" t="str">
        <f>'2026年'!H4</f>
        <v>6900015-J37-C00</v>
      </c>
      <c r="I4" s="75" t="str">
        <f>'2026年'!I4</f>
        <v>6903010-J36-C00</v>
      </c>
      <c r="J4" s="75" t="str">
        <f>'2026年'!J4</f>
        <v>6903010-J37-C00</v>
      </c>
      <c r="K4" s="75" t="str">
        <f>'2026年'!K4</f>
        <v>6903010AJ37-C00</v>
      </c>
      <c r="L4" s="75" t="str">
        <f>'2026年'!L4</f>
        <v>6903010BJ37-C00</v>
      </c>
      <c r="M4" s="75" t="str">
        <f>'2026年'!M4</f>
        <v>6905020-J37-C00</v>
      </c>
      <c r="N4" s="75">
        <f>'2026年'!N4</f>
        <v>0</v>
      </c>
      <c r="O4" s="75" t="str">
        <f>'2026年'!O4</f>
        <v>6905100-J36-C00</v>
      </c>
      <c r="P4" s="75" t="str">
        <f>'2026年'!P4</f>
        <v>6905100-J37-C00</v>
      </c>
      <c r="Q4" s="75">
        <f>'2026年'!Q4</f>
        <v>0</v>
      </c>
      <c r="R4" s="75">
        <f>'2026年'!R4</f>
        <v>0</v>
      </c>
      <c r="S4" s="75">
        <f>'2026年'!S4</f>
        <v>0</v>
      </c>
      <c r="T4" s="246"/>
    </row>
    <row r="5" spans="1:48" ht="99.75">
      <c r="A5" s="244" t="s">
        <v>145</v>
      </c>
      <c r="B5" s="244"/>
      <c r="C5" s="76" t="str">
        <f>'2026年'!C5</f>
        <v>靠背角度调整，座椅前后调节，通风加热，通风织物，右侧单扶手，L型头枕，左侧半包围</v>
      </c>
      <c r="D5" s="76" t="str">
        <f>'2026年'!D5</f>
        <v>空气减震，靠背角度调整，座椅前后调节，气动腰托，通风加热，超纤皮，右侧单扶手，音乐头枕+靠背按摩，左侧半包围</v>
      </c>
      <c r="E5" s="76" t="str">
        <f>'2026年'!E5</f>
        <v>靠背角度调整，座椅前后调节，通风织物，右侧单扶手，L型头枕，左侧半包围</v>
      </c>
      <c r="F5" s="76" t="str">
        <f>'2026年'!F5</f>
        <v>空气减震，靠背角度调整，座椅前后调节，气动腰托，通风加热，超纤皮，右侧单扶手，L型头枕，左侧半包围</v>
      </c>
      <c r="G5" s="76" t="str">
        <f>'2026年'!G5</f>
        <v>靠背角度调整，座椅前后调节，通风加热，通风织物，右侧单扶手，L型头枕，左侧半包围</v>
      </c>
      <c r="H5" s="76">
        <f>'2026年'!H5</f>
        <v>0</v>
      </c>
      <c r="I5" s="76" t="str">
        <f>'2026年'!I5</f>
        <v>通风织物，固定式</v>
      </c>
      <c r="J5" s="76" t="str">
        <f>'2026年'!J5</f>
        <v>抽拉功能，超纤</v>
      </c>
      <c r="K5" s="76" t="str">
        <f>'2026年'!K5</f>
        <v>抽拉功能，通风织物</v>
      </c>
      <c r="L5" s="76" t="str">
        <f>'2026年'!L5</f>
        <v>通风织物，固定式</v>
      </c>
      <c r="M5" s="76" t="str">
        <f>'2026年'!M5</f>
        <v>主靠背向前放平，中间座向前放平，L型头枕，中间座靠背集成放物盒</v>
      </c>
      <c r="N5" s="76" t="str">
        <f>'2026年'!N5</f>
        <v>参考6905020-H26-C00织物</v>
      </c>
      <c r="O5" s="76" t="str">
        <f>'2026年'!O5</f>
        <v>主靠背向前放平，中间座向前放平，L型头枕，中间座靠背集成放物盒</v>
      </c>
      <c r="P5" s="76" t="str">
        <f>'2026年'!P5</f>
        <v>主靠背向前放平，中间座向前放平，L型头枕，中间座靠背集成放物盒</v>
      </c>
      <c r="Q5" s="76" t="str">
        <f>'2026年'!Q5</f>
        <v>参考6905100-H22-C00织物</v>
      </c>
      <c r="R5" s="76">
        <f>'2026年'!R5</f>
        <v>0</v>
      </c>
      <c r="S5" s="76">
        <f>'2026年'!S5</f>
        <v>0</v>
      </c>
      <c r="T5" s="247"/>
      <c r="AV5" s="70" t="s">
        <v>52</v>
      </c>
    </row>
    <row r="6" spans="1:48">
      <c r="A6" s="77" t="s">
        <v>18</v>
      </c>
      <c r="B6" s="78" t="s">
        <v>146</v>
      </c>
      <c r="C6" s="79">
        <f>销量!C11</f>
        <v>3600</v>
      </c>
      <c r="D6" s="79">
        <f>销量!D11</f>
        <v>0</v>
      </c>
      <c r="E6" s="79">
        <f>销量!E11</f>
        <v>3600</v>
      </c>
      <c r="F6" s="79">
        <f>销量!F11</f>
        <v>14400</v>
      </c>
      <c r="G6" s="79">
        <f>销量!G11</f>
        <v>14400</v>
      </c>
      <c r="H6" s="79">
        <f>销量!H11</f>
        <v>36000</v>
      </c>
      <c r="I6" s="79">
        <f>销量!I11</f>
        <v>7200</v>
      </c>
      <c r="J6" s="79">
        <f>销量!J11</f>
        <v>14400</v>
      </c>
      <c r="K6" s="79">
        <f>销量!K11</f>
        <v>7200</v>
      </c>
      <c r="L6" s="79">
        <f>销量!L11</f>
        <v>7200</v>
      </c>
      <c r="M6" s="79">
        <f>销量!M11</f>
        <v>14400</v>
      </c>
      <c r="N6" s="79">
        <f>销量!N11</f>
        <v>21600</v>
      </c>
      <c r="O6" s="79">
        <f>销量!O11</f>
        <v>7200</v>
      </c>
      <c r="P6" s="79">
        <f>销量!P11</f>
        <v>14400</v>
      </c>
      <c r="Q6" s="79">
        <f>销量!Q11</f>
        <v>14400</v>
      </c>
      <c r="R6" s="79">
        <f>销量!R11</f>
        <v>0</v>
      </c>
      <c r="S6" s="79">
        <f>销量!S11</f>
        <v>0</v>
      </c>
      <c r="T6" s="80">
        <f>+SUM(C6:S6)</f>
        <v>180000</v>
      </c>
      <c r="AT6" s="77" t="s">
        <v>18</v>
      </c>
      <c r="AU6" s="78" t="s">
        <v>3</v>
      </c>
      <c r="AV6" s="70" t="s">
        <v>53</v>
      </c>
    </row>
    <row r="7" spans="1:48">
      <c r="A7" s="74">
        <v>1</v>
      </c>
      <c r="B7" s="78" t="s">
        <v>54</v>
      </c>
      <c r="C7" s="80">
        <f>C6*销量!C8</f>
        <v>2776572</v>
      </c>
      <c r="D7" s="80">
        <f>D6*销量!D8</f>
        <v>0</v>
      </c>
      <c r="E7" s="80">
        <f>E6*销量!E8</f>
        <v>1465200</v>
      </c>
      <c r="F7" s="80">
        <f>F6*销量!F8</f>
        <v>17455680</v>
      </c>
      <c r="G7" s="80">
        <f>G6*销量!G8</f>
        <v>11106288</v>
      </c>
      <c r="H7" s="80">
        <f>H6*销量!H8</f>
        <v>324000</v>
      </c>
      <c r="I7" s="80">
        <f>I6*销量!I8</f>
        <v>920592</v>
      </c>
      <c r="J7" s="80">
        <f>J6*销量!J8</f>
        <v>4553856</v>
      </c>
      <c r="K7" s="80">
        <f>K6*销量!K8</f>
        <v>2089584.0000000002</v>
      </c>
      <c r="L7" s="80">
        <f>L6*销量!L8</f>
        <v>1007352</v>
      </c>
      <c r="M7" s="80">
        <f>M6*销量!M8</f>
        <v>2229264</v>
      </c>
      <c r="N7" s="80">
        <f>N6*销量!N8</f>
        <v>2598696</v>
      </c>
      <c r="O7" s="80">
        <f>O6*销量!O8</f>
        <v>766224</v>
      </c>
      <c r="P7" s="80">
        <f>P6*销量!P8</f>
        <v>2077488.0000000002</v>
      </c>
      <c r="Q7" s="80">
        <f>Q6*销量!Q8</f>
        <v>1814400</v>
      </c>
      <c r="R7" s="80">
        <f>R6*销量!R8</f>
        <v>0</v>
      </c>
      <c r="S7" s="80">
        <f>S6*销量!S8</f>
        <v>0</v>
      </c>
      <c r="T7" s="80">
        <f t="shared" ref="T7:T13" si="0">+SUM(C7:S7)</f>
        <v>51185196</v>
      </c>
      <c r="U7" s="73"/>
      <c r="AT7" s="77" t="s">
        <v>55</v>
      </c>
      <c r="AU7" s="78" t="s">
        <v>54</v>
      </c>
      <c r="AV7" s="70" t="s">
        <v>53</v>
      </c>
    </row>
    <row r="8" spans="1:48">
      <c r="A8" s="74">
        <v>2</v>
      </c>
      <c r="B8" s="74" t="s">
        <v>56</v>
      </c>
      <c r="C8" s="80">
        <f>C7*(1-销量!$W$8)</f>
        <v>109952.25120000022</v>
      </c>
      <c r="D8" s="80">
        <f>D7*(1-销量!$W$8)</f>
        <v>0</v>
      </c>
      <c r="E8" s="80">
        <f>E7*(1-销量!$W$8)</f>
        <v>58021.920000000115</v>
      </c>
      <c r="F8" s="80">
        <f>F7*(1-销量!$W$8)</f>
        <v>691244.92800000135</v>
      </c>
      <c r="G8" s="80">
        <f>G7*(1-销量!$W$8)</f>
        <v>439809.00480000087</v>
      </c>
      <c r="H8" s="80">
        <f>H7*(1-销量!$W$8)</f>
        <v>12830.400000000025</v>
      </c>
      <c r="I8" s="80">
        <f>I7*(1-销量!$W$8)</f>
        <v>36455.443200000074</v>
      </c>
      <c r="J8" s="80">
        <f>J7*(1-销量!$W$8)</f>
        <v>180332.69760000036</v>
      </c>
      <c r="K8" s="80">
        <f>K7*(1-销量!$W$8)</f>
        <v>82747.526400000177</v>
      </c>
      <c r="L8" s="80">
        <f>L7*(1-销量!$W$8)</f>
        <v>39891.139200000078</v>
      </c>
      <c r="M8" s="80">
        <f>M7*(1-销量!$W$8)</f>
        <v>88278.854400000171</v>
      </c>
      <c r="N8" s="80">
        <f>N7*(1-销量!$W$8)</f>
        <v>102908.36160000021</v>
      </c>
      <c r="O8" s="80">
        <f>O7*(1-销量!$W$8)</f>
        <v>30342.47040000006</v>
      </c>
      <c r="P8" s="80">
        <f>P7*(1-销量!$W$8)</f>
        <v>82268.524800000174</v>
      </c>
      <c r="Q8" s="80">
        <f>Q7*(1-销量!$W$8)</f>
        <v>71850.240000000151</v>
      </c>
      <c r="R8" s="80">
        <f>R7*(1-销量!$W$8)</f>
        <v>0</v>
      </c>
      <c r="S8" s="80">
        <f>S7*(1-销量!$W$8)</f>
        <v>0</v>
      </c>
      <c r="T8" s="80">
        <f t="shared" si="0"/>
        <v>2026933.761600004</v>
      </c>
      <c r="U8" s="81"/>
      <c r="AT8" s="77" t="s">
        <v>57</v>
      </c>
      <c r="AU8" s="74" t="s">
        <v>58</v>
      </c>
      <c r="AV8" s="70" t="s">
        <v>53</v>
      </c>
    </row>
    <row r="9" spans="1:48">
      <c r="A9" s="74">
        <v>3</v>
      </c>
      <c r="B9" s="78" t="s">
        <v>59</v>
      </c>
      <c r="C9" s="80">
        <f>+C7-C8</f>
        <v>2666619.7487999997</v>
      </c>
      <c r="D9" s="80">
        <f>+D7-D8</f>
        <v>0</v>
      </c>
      <c r="E9" s="80">
        <f t="shared" ref="E9:F9" si="1">+E7-E8</f>
        <v>1407178.0799999998</v>
      </c>
      <c r="F9" s="80">
        <f t="shared" si="1"/>
        <v>16764435.071999999</v>
      </c>
      <c r="G9" s="80">
        <f t="shared" ref="G9:Q9" si="2">+G7-G8</f>
        <v>10666478.995199999</v>
      </c>
      <c r="H9" s="80">
        <f t="shared" si="2"/>
        <v>311169.59999999998</v>
      </c>
      <c r="I9" s="80">
        <f t="shared" si="2"/>
        <v>884136.5567999999</v>
      </c>
      <c r="J9" s="80">
        <f t="shared" si="2"/>
        <v>4373523.3023999995</v>
      </c>
      <c r="K9" s="80">
        <f t="shared" si="2"/>
        <v>2006836.4736000001</v>
      </c>
      <c r="L9" s="80">
        <f t="shared" si="2"/>
        <v>967460.86079999991</v>
      </c>
      <c r="M9" s="80">
        <f t="shared" si="2"/>
        <v>2140985.1455999999</v>
      </c>
      <c r="N9" s="80">
        <f t="shared" si="2"/>
        <v>2495787.6383999996</v>
      </c>
      <c r="O9" s="80">
        <f t="shared" si="2"/>
        <v>735881.52959999989</v>
      </c>
      <c r="P9" s="80">
        <f t="shared" si="2"/>
        <v>1995219.4752</v>
      </c>
      <c r="Q9" s="80">
        <f t="shared" si="2"/>
        <v>1742549.7599999998</v>
      </c>
      <c r="R9" s="80">
        <f t="shared" ref="R9:S9" si="3">+R7-R8</f>
        <v>0</v>
      </c>
      <c r="S9" s="80">
        <f t="shared" si="3"/>
        <v>0</v>
      </c>
      <c r="T9" s="80">
        <f t="shared" si="0"/>
        <v>49158262.238399997</v>
      </c>
      <c r="AT9" s="77" t="s">
        <v>60</v>
      </c>
      <c r="AU9" s="78" t="s">
        <v>59</v>
      </c>
      <c r="AV9" s="70" t="s">
        <v>61</v>
      </c>
    </row>
    <row r="10" spans="1:48">
      <c r="A10" s="74">
        <v>4</v>
      </c>
      <c r="B10" s="77" t="s">
        <v>63</v>
      </c>
      <c r="C10" s="80">
        <f>C6*C33</f>
        <v>2124562.3056000001</v>
      </c>
      <c r="D10" s="80">
        <f>D6*D33</f>
        <v>0</v>
      </c>
      <c r="E10" s="80">
        <f t="shared" ref="E10:F10" si="4">E6*E33</f>
        <v>1040309.1215999998</v>
      </c>
      <c r="F10" s="80">
        <f t="shared" si="4"/>
        <v>11771512.244756728</v>
      </c>
      <c r="G10" s="80">
        <f t="shared" ref="G10:Q10" si="5">G6*G33</f>
        <v>8498249.2224000003</v>
      </c>
      <c r="H10" s="80">
        <f t="shared" si="5"/>
        <v>170106.04800000001</v>
      </c>
      <c r="I10" s="80">
        <f t="shared" si="5"/>
        <v>619079.39685857261</v>
      </c>
      <c r="J10" s="80">
        <f t="shared" si="5"/>
        <v>3986290.0224000006</v>
      </c>
      <c r="K10" s="80">
        <f t="shared" si="5"/>
        <v>1761081.6384000001</v>
      </c>
      <c r="L10" s="80">
        <f t="shared" si="5"/>
        <v>629728.23336308927</v>
      </c>
      <c r="M10" s="80">
        <f t="shared" si="5"/>
        <v>1810212.75281952</v>
      </c>
      <c r="N10" s="80">
        <f t="shared" si="5"/>
        <v>2349123.0335999997</v>
      </c>
      <c r="O10" s="80">
        <f t="shared" si="5"/>
        <v>533087.3018348983</v>
      </c>
      <c r="P10" s="80">
        <f t="shared" si="5"/>
        <v>1376787.199630498</v>
      </c>
      <c r="Q10" s="80">
        <f t="shared" si="5"/>
        <v>1220476.3199999998</v>
      </c>
      <c r="R10" s="80">
        <f t="shared" ref="R10:S10" si="6">R6*R33</f>
        <v>0</v>
      </c>
      <c r="S10" s="80">
        <f t="shared" si="6"/>
        <v>0</v>
      </c>
      <c r="T10" s="80">
        <f t="shared" si="0"/>
        <v>37890604.841263302</v>
      </c>
      <c r="AT10" s="77" t="s">
        <v>62</v>
      </c>
      <c r="AU10" s="77" t="s">
        <v>63</v>
      </c>
      <c r="AV10" s="70" t="s">
        <v>64</v>
      </c>
    </row>
    <row r="11" spans="1:48">
      <c r="A11" s="74">
        <v>5</v>
      </c>
      <c r="B11" s="77" t="s">
        <v>65</v>
      </c>
      <c r="C11" s="80">
        <f>+C6*C36</f>
        <v>192694.0968</v>
      </c>
      <c r="D11" s="80">
        <f>+D6*D36</f>
        <v>0</v>
      </c>
      <c r="E11" s="80">
        <f t="shared" ref="E11:F11" si="7">+E6*E36</f>
        <v>101684.88</v>
      </c>
      <c r="F11" s="80">
        <f t="shared" si="7"/>
        <v>1211424.192</v>
      </c>
      <c r="G11" s="80">
        <f t="shared" ref="G11:Q11" si="8">+G6*G36</f>
        <v>770776.3872</v>
      </c>
      <c r="H11" s="80">
        <f t="shared" si="8"/>
        <v>22485.600000000002</v>
      </c>
      <c r="I11" s="80">
        <f t="shared" si="8"/>
        <v>63889.084800000011</v>
      </c>
      <c r="J11" s="80">
        <f t="shared" si="8"/>
        <v>316037.60640000005</v>
      </c>
      <c r="K11" s="80">
        <f t="shared" si="8"/>
        <v>145017.12960000001</v>
      </c>
      <c r="L11" s="80">
        <f t="shared" si="8"/>
        <v>69910.228799999997</v>
      </c>
      <c r="M11" s="80">
        <f t="shared" si="8"/>
        <v>154710.9216</v>
      </c>
      <c r="N11" s="80">
        <f t="shared" si="8"/>
        <v>180349.50240000003</v>
      </c>
      <c r="O11" s="80">
        <f t="shared" si="8"/>
        <v>53175.945600000006</v>
      </c>
      <c r="P11" s="80">
        <f t="shared" si="8"/>
        <v>144177.66720000003</v>
      </c>
      <c r="Q11" s="80">
        <f t="shared" si="8"/>
        <v>125919.36000000002</v>
      </c>
      <c r="R11" s="80">
        <f t="shared" ref="R11:S11" si="9">+R6*R36</f>
        <v>0</v>
      </c>
      <c r="S11" s="80">
        <f t="shared" si="9"/>
        <v>0</v>
      </c>
      <c r="T11" s="80">
        <f t="shared" si="0"/>
        <v>3552252.6024000002</v>
      </c>
      <c r="AT11" s="77" t="s">
        <v>66</v>
      </c>
      <c r="AU11" s="77" t="s">
        <v>65</v>
      </c>
    </row>
    <row r="12" spans="1:48">
      <c r="A12" s="74">
        <v>6</v>
      </c>
      <c r="B12" s="77" t="s">
        <v>67</v>
      </c>
      <c r="C12" s="80">
        <f>+C6*C37</f>
        <v>120503.2248</v>
      </c>
      <c r="D12" s="80">
        <f>+D6*D37</f>
        <v>0</v>
      </c>
      <c r="E12" s="80">
        <f t="shared" ref="E12:F12" si="10">+E6*E37</f>
        <v>63589.680000000008</v>
      </c>
      <c r="F12" s="80">
        <f t="shared" si="10"/>
        <v>757576.5120000001</v>
      </c>
      <c r="G12" s="80">
        <f t="shared" ref="G12:Q12" si="11">+G6*G37</f>
        <v>482012.89919999999</v>
      </c>
      <c r="H12" s="80">
        <f t="shared" si="11"/>
        <v>14061.6</v>
      </c>
      <c r="I12" s="80">
        <f t="shared" si="11"/>
        <v>39953.692799999997</v>
      </c>
      <c r="J12" s="80">
        <f t="shared" si="11"/>
        <v>197637.3504</v>
      </c>
      <c r="K12" s="80">
        <f t="shared" si="11"/>
        <v>90687.945600000006</v>
      </c>
      <c r="L12" s="80">
        <f t="shared" si="11"/>
        <v>43719.076800000003</v>
      </c>
      <c r="M12" s="80">
        <f t="shared" si="11"/>
        <v>96750.057600000015</v>
      </c>
      <c r="N12" s="80">
        <f t="shared" si="11"/>
        <v>112783.40640000001</v>
      </c>
      <c r="O12" s="80">
        <f t="shared" si="11"/>
        <v>33254.121599999999</v>
      </c>
      <c r="P12" s="80">
        <f t="shared" si="11"/>
        <v>90162.979200000002</v>
      </c>
      <c r="Q12" s="80">
        <f t="shared" si="11"/>
        <v>78744.959999999992</v>
      </c>
      <c r="R12" s="80">
        <f t="shared" ref="R12:S12" si="12">+R6*R37</f>
        <v>0</v>
      </c>
      <c r="S12" s="80">
        <f t="shared" si="12"/>
        <v>0</v>
      </c>
      <c r="T12" s="80">
        <f t="shared" si="0"/>
        <v>2221437.5064000003</v>
      </c>
      <c r="AT12" s="77" t="s">
        <v>68</v>
      </c>
      <c r="AU12" s="77" t="s">
        <v>67</v>
      </c>
    </row>
    <row r="13" spans="1:48">
      <c r="A13" s="74">
        <v>7</v>
      </c>
      <c r="B13" s="77" t="s">
        <v>69</v>
      </c>
      <c r="C13" s="80">
        <f>+C6*C38</f>
        <v>54000</v>
      </c>
      <c r="D13" s="80">
        <f>+D6*D38</f>
        <v>0</v>
      </c>
      <c r="E13" s="80">
        <f t="shared" ref="E13:F13" si="13">+E6*E38</f>
        <v>54000</v>
      </c>
      <c r="F13" s="80">
        <f t="shared" si="13"/>
        <v>331200</v>
      </c>
      <c r="G13" s="80">
        <f t="shared" ref="G13:Q13" si="14">+G6*G38</f>
        <v>216000</v>
      </c>
      <c r="H13" s="80">
        <f t="shared" si="14"/>
        <v>21092.400000000001</v>
      </c>
      <c r="I13" s="80">
        <f t="shared" si="14"/>
        <v>72000</v>
      </c>
      <c r="J13" s="80">
        <f t="shared" si="14"/>
        <v>144000</v>
      </c>
      <c r="K13" s="80">
        <f t="shared" si="14"/>
        <v>72000</v>
      </c>
      <c r="L13" s="80">
        <f t="shared" si="14"/>
        <v>72000</v>
      </c>
      <c r="M13" s="80">
        <f t="shared" si="14"/>
        <v>86400</v>
      </c>
      <c r="N13" s="80">
        <f t="shared" si="14"/>
        <v>129600</v>
      </c>
      <c r="O13" s="80">
        <f t="shared" si="14"/>
        <v>28800</v>
      </c>
      <c r="P13" s="80">
        <f t="shared" si="14"/>
        <v>57600</v>
      </c>
      <c r="Q13" s="80">
        <f t="shared" si="14"/>
        <v>57600</v>
      </c>
      <c r="R13" s="80">
        <f t="shared" ref="R13:S13" si="15">+R6*R38</f>
        <v>0</v>
      </c>
      <c r="S13" s="80">
        <f t="shared" si="15"/>
        <v>0</v>
      </c>
      <c r="T13" s="80">
        <f t="shared" si="0"/>
        <v>1396292.4</v>
      </c>
      <c r="AT13" s="77" t="s">
        <v>70</v>
      </c>
      <c r="AU13" s="77" t="s">
        <v>69</v>
      </c>
      <c r="AV13" s="70" t="s">
        <v>53</v>
      </c>
    </row>
    <row r="14" spans="1:48">
      <c r="A14" s="74">
        <v>8</v>
      </c>
      <c r="B14" s="82" t="s">
        <v>71</v>
      </c>
      <c r="C14" s="80">
        <f>SUM(C11:C13)</f>
        <v>367197.32160000002</v>
      </c>
      <c r="D14" s="80">
        <f>SUM(D11:D13)</f>
        <v>0</v>
      </c>
      <c r="E14" s="80">
        <f t="shared" ref="E14:T14" si="16">SUM(E11:E13)</f>
        <v>219274.56</v>
      </c>
      <c r="F14" s="80">
        <f t="shared" si="16"/>
        <v>2300200.7039999999</v>
      </c>
      <c r="G14" s="80">
        <f t="shared" ref="G14:Q14" si="17">SUM(G11:G13)</f>
        <v>1468789.2864000001</v>
      </c>
      <c r="H14" s="80">
        <f t="shared" si="17"/>
        <v>57639.600000000006</v>
      </c>
      <c r="I14" s="80">
        <f t="shared" si="17"/>
        <v>175842.7776</v>
      </c>
      <c r="J14" s="80">
        <f t="shared" si="17"/>
        <v>657674.95680000004</v>
      </c>
      <c r="K14" s="80">
        <f t="shared" si="17"/>
        <v>307705.07520000002</v>
      </c>
      <c r="L14" s="80">
        <f t="shared" si="17"/>
        <v>185629.30559999999</v>
      </c>
      <c r="M14" s="80">
        <f t="shared" si="17"/>
        <v>337860.9792</v>
      </c>
      <c r="N14" s="80">
        <f t="shared" si="17"/>
        <v>422732.90880000003</v>
      </c>
      <c r="O14" s="80">
        <f t="shared" si="17"/>
        <v>115230.0672</v>
      </c>
      <c r="P14" s="80">
        <f t="shared" si="17"/>
        <v>291940.64640000003</v>
      </c>
      <c r="Q14" s="80">
        <f t="shared" si="17"/>
        <v>262264.32000000001</v>
      </c>
      <c r="R14" s="80">
        <f t="shared" ref="R14:S14" si="18">SUM(R11:R13)</f>
        <v>0</v>
      </c>
      <c r="S14" s="80">
        <f t="shared" si="18"/>
        <v>0</v>
      </c>
      <c r="T14" s="80">
        <f t="shared" si="16"/>
        <v>7169982.5088</v>
      </c>
      <c r="AT14" s="77" t="s">
        <v>72</v>
      </c>
      <c r="AU14" s="82" t="s">
        <v>71</v>
      </c>
    </row>
    <row r="15" spans="1:48">
      <c r="A15" s="74">
        <v>9</v>
      </c>
      <c r="B15" s="82" t="s">
        <v>73</v>
      </c>
      <c r="C15" s="80">
        <f>+C9-C10-C14</f>
        <v>174860.12159999961</v>
      </c>
      <c r="D15" s="80">
        <f>+D9-D10-D14</f>
        <v>0</v>
      </c>
      <c r="E15" s="80">
        <f t="shared" ref="E15:T15" si="19">+E9-E10-E14</f>
        <v>147594.39840000001</v>
      </c>
      <c r="F15" s="80">
        <f t="shared" si="19"/>
        <v>2692722.1232432704</v>
      </c>
      <c r="G15" s="80">
        <f t="shared" ref="G15:Q15" si="20">+G9-G10-G14</f>
        <v>699440.48639999842</v>
      </c>
      <c r="H15" s="80">
        <f t="shared" si="20"/>
        <v>83423.951999999961</v>
      </c>
      <c r="I15" s="80">
        <f t="shared" si="20"/>
        <v>89214.382341427292</v>
      </c>
      <c r="J15" s="80">
        <f t="shared" si="20"/>
        <v>-270441.67680000118</v>
      </c>
      <c r="K15" s="80">
        <f t="shared" si="20"/>
        <v>-61950.239999999932</v>
      </c>
      <c r="L15" s="80">
        <f t="shared" si="20"/>
        <v>152103.32183691065</v>
      </c>
      <c r="M15" s="80">
        <f t="shared" si="20"/>
        <v>-7088.5864195200265</v>
      </c>
      <c r="N15" s="80">
        <f t="shared" si="20"/>
        <v>-276068.30400000018</v>
      </c>
      <c r="O15" s="80">
        <f t="shared" si="20"/>
        <v>87564.160565101585</v>
      </c>
      <c r="P15" s="80">
        <f t="shared" si="20"/>
        <v>326491.629169502</v>
      </c>
      <c r="Q15" s="80">
        <f t="shared" si="20"/>
        <v>259809.11999999994</v>
      </c>
      <c r="R15" s="80">
        <f t="shared" ref="R15:S15" si="21">+R9-R10-R14</f>
        <v>0</v>
      </c>
      <c r="S15" s="80">
        <f t="shared" si="21"/>
        <v>0</v>
      </c>
      <c r="T15" s="80">
        <f t="shared" si="19"/>
        <v>4097674.8883366957</v>
      </c>
      <c r="AT15" s="77" t="s">
        <v>74</v>
      </c>
      <c r="AU15" s="82" t="s">
        <v>73</v>
      </c>
    </row>
    <row r="16" spans="1:48">
      <c r="A16" s="74">
        <v>10</v>
      </c>
      <c r="B16" s="77" t="s">
        <v>75</v>
      </c>
      <c r="C16" s="83">
        <f>+C15/C9</f>
        <v>6.5573699316780379E-2</v>
      </c>
      <c r="D16" s="83" t="e">
        <f>+D15/D9</f>
        <v>#DIV/0!</v>
      </c>
      <c r="E16" s="83">
        <f t="shared" ref="E16:F16" si="22">+E15/E9</f>
        <v>0.10488679471186761</v>
      </c>
      <c r="F16" s="83">
        <f t="shared" si="22"/>
        <v>0.16062110722362852</v>
      </c>
      <c r="G16" s="83">
        <f t="shared" ref="G16:Q16" si="23">+G15/G9</f>
        <v>6.5573699316780379E-2</v>
      </c>
      <c r="H16" s="83">
        <f t="shared" si="23"/>
        <v>0.2680980147160904</v>
      </c>
      <c r="I16" s="83">
        <f t="shared" si="23"/>
        <v>0.10090565948808339</v>
      </c>
      <c r="J16" s="83">
        <f t="shared" si="23"/>
        <v>-6.1836112008730931E-2</v>
      </c>
      <c r="K16" s="83">
        <f t="shared" si="23"/>
        <v>-3.0869600395925317E-2</v>
      </c>
      <c r="L16" s="83">
        <f t="shared" si="23"/>
        <v>0.15721909588273719</v>
      </c>
      <c r="M16" s="83">
        <f t="shared" si="23"/>
        <v>-3.3108993932480027E-3</v>
      </c>
      <c r="N16" s="83">
        <f t="shared" si="23"/>
        <v>-0.11061369956018459</v>
      </c>
      <c r="O16" s="83">
        <f t="shared" si="23"/>
        <v>0.11899219785105691</v>
      </c>
      <c r="P16" s="83">
        <f t="shared" si="23"/>
        <v>0.16363694983318797</v>
      </c>
      <c r="Q16" s="83">
        <f t="shared" si="23"/>
        <v>0.14909710239781043</v>
      </c>
      <c r="R16" s="83" t="e">
        <f t="shared" ref="R16:S16" si="24">+R15/R9</f>
        <v>#DIV/0!</v>
      </c>
      <c r="S16" s="83" t="e">
        <f t="shared" si="24"/>
        <v>#DIV/0!</v>
      </c>
      <c r="T16" s="83">
        <f>+T15/T9</f>
        <v>8.3356788904872942E-2</v>
      </c>
      <c r="AT16" s="77" t="s">
        <v>76</v>
      </c>
      <c r="AU16" s="77" t="s">
        <v>75</v>
      </c>
    </row>
    <row r="17" spans="1:48">
      <c r="A17" s="74">
        <v>11</v>
      </c>
      <c r="B17" s="77" t="s">
        <v>77</v>
      </c>
      <c r="C17" s="80">
        <f>C6*C43+C18</f>
        <v>235641.19</v>
      </c>
      <c r="D17" s="80">
        <f>D6*D43+D18</f>
        <v>0</v>
      </c>
      <c r="E17" s="80">
        <f t="shared" ref="E17:F17" si="25">E6*E43+E18</f>
        <v>127453</v>
      </c>
      <c r="F17" s="80">
        <f t="shared" si="25"/>
        <v>1466389.6</v>
      </c>
      <c r="G17" s="80">
        <f t="shared" ref="G17:Q17" si="26">G6*G43+G18</f>
        <v>942564.76</v>
      </c>
      <c r="H17" s="80">
        <f t="shared" si="26"/>
        <v>92470</v>
      </c>
      <c r="I17" s="80">
        <f t="shared" si="26"/>
        <v>89096.840000000011</v>
      </c>
      <c r="J17" s="80">
        <f t="shared" si="26"/>
        <v>401989.12</v>
      </c>
      <c r="K17" s="80">
        <f t="shared" si="26"/>
        <v>185538.68000000002</v>
      </c>
      <c r="L17" s="80">
        <f t="shared" si="26"/>
        <v>96254.540000000008</v>
      </c>
      <c r="M17" s="80">
        <f t="shared" si="26"/>
        <v>210210.28000000003</v>
      </c>
      <c r="N17" s="80">
        <f t="shared" si="26"/>
        <v>253836.42</v>
      </c>
      <c r="O17" s="80">
        <f t="shared" si="26"/>
        <v>76361.48000000001</v>
      </c>
      <c r="P17" s="80">
        <f t="shared" si="26"/>
        <v>197688.76</v>
      </c>
      <c r="Q17" s="80">
        <f t="shared" si="26"/>
        <v>175984.00000000003</v>
      </c>
      <c r="R17" s="80">
        <f t="shared" ref="R17:S17" si="27">R6*R43+R18</f>
        <v>0</v>
      </c>
      <c r="S17" s="80">
        <f t="shared" si="27"/>
        <v>0</v>
      </c>
      <c r="T17" s="80">
        <f>+SUM(C17:S17)</f>
        <v>4551478.67</v>
      </c>
      <c r="U17" s="81"/>
      <c r="AT17" s="77" t="s">
        <v>78</v>
      </c>
      <c r="AU17" s="77" t="s">
        <v>77</v>
      </c>
    </row>
    <row r="18" spans="1:48" s="71" customFormat="1">
      <c r="A18" s="74">
        <v>12</v>
      </c>
      <c r="B18" s="85" t="s">
        <v>147</v>
      </c>
      <c r="C18" s="86">
        <f t="shared" ref="C18:Q18" si="28">$T$18/$T$6*C6</f>
        <v>6574</v>
      </c>
      <c r="D18" s="86">
        <f t="shared" si="28"/>
        <v>0</v>
      </c>
      <c r="E18" s="86">
        <f t="shared" si="28"/>
        <v>6574</v>
      </c>
      <c r="F18" s="86">
        <f t="shared" si="28"/>
        <v>26296</v>
      </c>
      <c r="G18" s="86">
        <f t="shared" si="28"/>
        <v>26296</v>
      </c>
      <c r="H18" s="86">
        <f t="shared" si="28"/>
        <v>65740</v>
      </c>
      <c r="I18" s="86">
        <f t="shared" si="28"/>
        <v>13148</v>
      </c>
      <c r="J18" s="86">
        <f t="shared" si="28"/>
        <v>26296</v>
      </c>
      <c r="K18" s="86">
        <f t="shared" si="28"/>
        <v>13148</v>
      </c>
      <c r="L18" s="86">
        <f t="shared" si="28"/>
        <v>13148</v>
      </c>
      <c r="M18" s="86">
        <f t="shared" si="28"/>
        <v>26296</v>
      </c>
      <c r="N18" s="86">
        <f t="shared" si="28"/>
        <v>39444</v>
      </c>
      <c r="O18" s="86">
        <f t="shared" si="28"/>
        <v>13148</v>
      </c>
      <c r="P18" s="86">
        <f t="shared" si="28"/>
        <v>26296</v>
      </c>
      <c r="Q18" s="86">
        <f t="shared" si="28"/>
        <v>26296</v>
      </c>
      <c r="R18" s="86">
        <f t="shared" ref="R18:S18" si="29">$T$18/$T$6*R6</f>
        <v>0</v>
      </c>
      <c r="S18" s="86">
        <f t="shared" si="29"/>
        <v>0</v>
      </c>
      <c r="T18" s="80">
        <f>项目投资!F26</f>
        <v>328700</v>
      </c>
      <c r="U18" s="87" t="s">
        <v>148</v>
      </c>
      <c r="V18" s="87"/>
      <c r="W18" s="87"/>
    </row>
    <row r="19" spans="1:48">
      <c r="A19" s="74">
        <v>13</v>
      </c>
      <c r="B19" s="77" t="s">
        <v>79</v>
      </c>
      <c r="C19" s="80">
        <f>C6*C44</f>
        <v>47757.038399999998</v>
      </c>
      <c r="D19" s="80">
        <f>D6*D44</f>
        <v>0</v>
      </c>
      <c r="E19" s="80">
        <f t="shared" ref="E19:F19" si="30">E6*E44</f>
        <v>25201.439999999999</v>
      </c>
      <c r="F19" s="80">
        <f t="shared" si="30"/>
        <v>300237.696</v>
      </c>
      <c r="G19" s="80">
        <f t="shared" ref="G19:Q19" si="31">G6*G44</f>
        <v>191028.15359999999</v>
      </c>
      <c r="H19" s="80">
        <f t="shared" si="31"/>
        <v>5572.8</v>
      </c>
      <c r="I19" s="80">
        <f t="shared" si="31"/>
        <v>15834.1824</v>
      </c>
      <c r="J19" s="80">
        <f t="shared" si="31"/>
        <v>78326.323199999999</v>
      </c>
      <c r="K19" s="80">
        <f t="shared" si="31"/>
        <v>35940.844800000006</v>
      </c>
      <c r="L19" s="80">
        <f t="shared" si="31"/>
        <v>17326.454399999999</v>
      </c>
      <c r="M19" s="80">
        <f t="shared" si="31"/>
        <v>38343.340799999998</v>
      </c>
      <c r="N19" s="80">
        <f t="shared" si="31"/>
        <v>44697.571200000006</v>
      </c>
      <c r="O19" s="80">
        <f t="shared" si="31"/>
        <v>13179.052799999999</v>
      </c>
      <c r="P19" s="80">
        <f t="shared" si="31"/>
        <v>35732.793600000005</v>
      </c>
      <c r="Q19" s="80">
        <f t="shared" si="31"/>
        <v>31207.679999999997</v>
      </c>
      <c r="R19" s="80">
        <f t="shared" ref="R19:S19" si="32">R6*R44</f>
        <v>0</v>
      </c>
      <c r="S19" s="80">
        <f t="shared" si="32"/>
        <v>0</v>
      </c>
      <c r="T19" s="80">
        <f>+SUM(C19:S19)</f>
        <v>880385.37120000005</v>
      </c>
      <c r="U19" s="71"/>
      <c r="AT19" s="77" t="s">
        <v>80</v>
      </c>
      <c r="AU19" s="77" t="s">
        <v>79</v>
      </c>
      <c r="AV19" s="70" t="s">
        <v>53</v>
      </c>
    </row>
    <row r="20" spans="1:48">
      <c r="A20" s="74">
        <v>14</v>
      </c>
      <c r="B20" s="77" t="s">
        <v>81</v>
      </c>
      <c r="C20" s="80">
        <f>C6*C45</f>
        <v>73301.500799999994</v>
      </c>
      <c r="D20" s="80">
        <f>D6*D45</f>
        <v>0</v>
      </c>
      <c r="E20" s="80">
        <f t="shared" ref="E20:F20" si="33">E6*E45</f>
        <v>38681.279999999999</v>
      </c>
      <c r="F20" s="80">
        <f t="shared" si="33"/>
        <v>460829.95199999999</v>
      </c>
      <c r="G20" s="80">
        <f t="shared" ref="G20:Q20" si="34">G6*G45</f>
        <v>293206.00319999998</v>
      </c>
      <c r="H20" s="80">
        <f t="shared" si="34"/>
        <v>8553.6</v>
      </c>
      <c r="I20" s="80">
        <f t="shared" si="34"/>
        <v>24303.628799999999</v>
      </c>
      <c r="J20" s="80">
        <f t="shared" si="34"/>
        <v>120221.79840000001</v>
      </c>
      <c r="K20" s="80">
        <f t="shared" si="34"/>
        <v>55165.017600000006</v>
      </c>
      <c r="L20" s="80">
        <f t="shared" si="34"/>
        <v>26594.092799999999</v>
      </c>
      <c r="M20" s="80">
        <f t="shared" si="34"/>
        <v>58852.569600000003</v>
      </c>
      <c r="N20" s="80">
        <f t="shared" si="34"/>
        <v>68605.574399999998</v>
      </c>
      <c r="O20" s="80">
        <f t="shared" si="34"/>
        <v>20228.313600000001</v>
      </c>
      <c r="P20" s="80">
        <f t="shared" si="34"/>
        <v>54845.683200000007</v>
      </c>
      <c r="Q20" s="80">
        <f t="shared" si="34"/>
        <v>47900.160000000003</v>
      </c>
      <c r="R20" s="80">
        <f t="shared" ref="R20:S20" si="35">R6*R45</f>
        <v>0</v>
      </c>
      <c r="S20" s="80">
        <f t="shared" si="35"/>
        <v>0</v>
      </c>
      <c r="T20" s="80">
        <f>+SUM(C20:S20)</f>
        <v>1351289.1743999999</v>
      </c>
      <c r="AT20" s="77" t="s">
        <v>82</v>
      </c>
      <c r="AU20" s="77" t="s">
        <v>81</v>
      </c>
    </row>
    <row r="21" spans="1:48">
      <c r="A21" s="74">
        <v>15</v>
      </c>
      <c r="B21" s="77" t="s">
        <v>83</v>
      </c>
      <c r="C21" s="88">
        <f t="shared" ref="C21:Q21" si="36">$T$21/$T$6*C6</f>
        <v>2240</v>
      </c>
      <c r="D21" s="88">
        <f t="shared" si="36"/>
        <v>0</v>
      </c>
      <c r="E21" s="88">
        <f t="shared" si="36"/>
        <v>2240</v>
      </c>
      <c r="F21" s="88">
        <f t="shared" si="36"/>
        <v>8960</v>
      </c>
      <c r="G21" s="88">
        <f t="shared" si="36"/>
        <v>8960</v>
      </c>
      <c r="H21" s="88">
        <f t="shared" si="36"/>
        <v>22400</v>
      </c>
      <c r="I21" s="88">
        <f t="shared" si="36"/>
        <v>4480</v>
      </c>
      <c r="J21" s="88">
        <f t="shared" si="36"/>
        <v>8960</v>
      </c>
      <c r="K21" s="88">
        <f t="shared" si="36"/>
        <v>4480</v>
      </c>
      <c r="L21" s="88">
        <f t="shared" si="36"/>
        <v>4480</v>
      </c>
      <c r="M21" s="88">
        <f t="shared" si="36"/>
        <v>8960</v>
      </c>
      <c r="N21" s="88">
        <f t="shared" si="36"/>
        <v>13440</v>
      </c>
      <c r="O21" s="88">
        <f t="shared" si="36"/>
        <v>4480</v>
      </c>
      <c r="P21" s="88">
        <f t="shared" si="36"/>
        <v>8960</v>
      </c>
      <c r="Q21" s="88">
        <f t="shared" si="36"/>
        <v>8960</v>
      </c>
      <c r="R21" s="88">
        <f t="shared" ref="R21:S21" si="37">$T$21/$T$6*R6</f>
        <v>0</v>
      </c>
      <c r="S21" s="88">
        <f t="shared" si="37"/>
        <v>0</v>
      </c>
      <c r="T21" s="80">
        <f>项目投资!F27</f>
        <v>112000</v>
      </c>
      <c r="AT21" s="77"/>
      <c r="AU21" s="77"/>
    </row>
    <row r="22" spans="1:48">
      <c r="A22" s="74">
        <v>16</v>
      </c>
      <c r="B22" s="77" t="s">
        <v>84</v>
      </c>
      <c r="C22" s="80">
        <f>C6*C47</f>
        <v>98568.305999999997</v>
      </c>
      <c r="D22" s="80">
        <f>D6*D47</f>
        <v>0</v>
      </c>
      <c r="E22" s="80">
        <f t="shared" ref="E22:F22" si="38">E6*E47</f>
        <v>52014.6</v>
      </c>
      <c r="F22" s="80">
        <f t="shared" si="38"/>
        <v>619676.64</v>
      </c>
      <c r="G22" s="80">
        <f t="shared" ref="G22:Q22" si="39">G6*G47</f>
        <v>394273.22399999999</v>
      </c>
      <c r="H22" s="80">
        <f t="shared" si="39"/>
        <v>11501.999999999998</v>
      </c>
      <c r="I22" s="80">
        <f t="shared" si="39"/>
        <v>32681.015999999996</v>
      </c>
      <c r="J22" s="80">
        <f t="shared" si="39"/>
        <v>161661.88799999998</v>
      </c>
      <c r="K22" s="80">
        <f t="shared" si="39"/>
        <v>74180.232000000004</v>
      </c>
      <c r="L22" s="80">
        <f t="shared" si="39"/>
        <v>35760.995999999992</v>
      </c>
      <c r="M22" s="80">
        <f t="shared" si="39"/>
        <v>79138.872000000003</v>
      </c>
      <c r="N22" s="80">
        <f t="shared" si="39"/>
        <v>92253.707999999999</v>
      </c>
      <c r="O22" s="80">
        <f t="shared" si="39"/>
        <v>27200.951999999997</v>
      </c>
      <c r="P22" s="80">
        <f t="shared" si="39"/>
        <v>73750.823999999993</v>
      </c>
      <c r="Q22" s="80">
        <f t="shared" si="39"/>
        <v>64411.199999999997</v>
      </c>
      <c r="R22" s="80">
        <f t="shared" ref="R22:S22" si="40">R6*R47</f>
        <v>0</v>
      </c>
      <c r="S22" s="80">
        <f t="shared" si="40"/>
        <v>0</v>
      </c>
      <c r="T22" s="80">
        <f t="shared" ref="T22:T23" si="41">+SUM(C22:S22)</f>
        <v>1817074.4580000003</v>
      </c>
      <c r="AT22" s="77" t="s">
        <v>85</v>
      </c>
      <c r="AU22" s="77" t="s">
        <v>84</v>
      </c>
    </row>
    <row r="23" spans="1:48">
      <c r="A23" s="74">
        <v>17</v>
      </c>
      <c r="B23" s="82" t="s">
        <v>86</v>
      </c>
      <c r="C23" s="88">
        <f>+C22+C21+C20+C19+C17</f>
        <v>457508.03519999998</v>
      </c>
      <c r="D23" s="88">
        <f>+D22+D21+D20+D19+D17</f>
        <v>0</v>
      </c>
      <c r="E23" s="88">
        <f t="shared" ref="E23:F23" si="42">+E22+E21+E20+E19+E17</f>
        <v>245590.32</v>
      </c>
      <c r="F23" s="88">
        <f t="shared" si="42"/>
        <v>2856093.8880000003</v>
      </c>
      <c r="G23" s="88">
        <f t="shared" ref="G23:Q23" si="43">+G22+G21+G20+G19+G17</f>
        <v>1830032.1407999999</v>
      </c>
      <c r="H23" s="88">
        <f t="shared" si="43"/>
        <v>140498.4</v>
      </c>
      <c r="I23" s="88">
        <f t="shared" si="43"/>
        <v>166395.66720000003</v>
      </c>
      <c r="J23" s="88">
        <f t="shared" si="43"/>
        <v>771159.12959999999</v>
      </c>
      <c r="K23" s="88">
        <f t="shared" si="43"/>
        <v>355304.77439999999</v>
      </c>
      <c r="L23" s="88">
        <f t="shared" si="43"/>
        <v>180416.08319999999</v>
      </c>
      <c r="M23" s="88">
        <f t="shared" si="43"/>
        <v>395505.06240000005</v>
      </c>
      <c r="N23" s="88">
        <f t="shared" si="43"/>
        <v>472833.27360000001</v>
      </c>
      <c r="O23" s="88">
        <f t="shared" si="43"/>
        <v>141449.7984</v>
      </c>
      <c r="P23" s="88">
        <f t="shared" si="43"/>
        <v>370978.06079999998</v>
      </c>
      <c r="Q23" s="88">
        <f t="shared" si="43"/>
        <v>328463.04000000004</v>
      </c>
      <c r="R23" s="88">
        <f t="shared" ref="R23:S23" si="44">+R22+R21+R20+R19+R17</f>
        <v>0</v>
      </c>
      <c r="S23" s="88">
        <f t="shared" si="44"/>
        <v>0</v>
      </c>
      <c r="T23" s="80">
        <f t="shared" si="41"/>
        <v>8712227.6735999994</v>
      </c>
      <c r="AT23" s="77" t="s">
        <v>87</v>
      </c>
      <c r="AU23" s="82" t="s">
        <v>86</v>
      </c>
    </row>
    <row r="24" spans="1:48">
      <c r="A24" s="74">
        <v>18</v>
      </c>
      <c r="B24" s="89" t="s">
        <v>88</v>
      </c>
      <c r="C24" s="88">
        <f>+C15-C23</f>
        <v>-282647.91360000038</v>
      </c>
      <c r="D24" s="88">
        <f>+D15-D23</f>
        <v>0</v>
      </c>
      <c r="E24" s="88">
        <f t="shared" ref="E24:F24" si="45">+E15-E23</f>
        <v>-97995.921600000001</v>
      </c>
      <c r="F24" s="88">
        <f t="shared" si="45"/>
        <v>-163371.76475672983</v>
      </c>
      <c r="G24" s="88">
        <f t="shared" ref="G24:Q24" si="46">+G15-G23</f>
        <v>-1130591.6544000015</v>
      </c>
      <c r="H24" s="88">
        <f t="shared" si="46"/>
        <v>-57074.448000000033</v>
      </c>
      <c r="I24" s="88">
        <f t="shared" si="46"/>
        <v>-77181.284858572733</v>
      </c>
      <c r="J24" s="88">
        <f t="shared" si="46"/>
        <v>-1041600.8064000012</v>
      </c>
      <c r="K24" s="88">
        <f t="shared" si="46"/>
        <v>-417255.01439999993</v>
      </c>
      <c r="L24" s="88">
        <f t="shared" si="46"/>
        <v>-28312.761363089347</v>
      </c>
      <c r="M24" s="88">
        <f t="shared" si="46"/>
        <v>-402593.64881952008</v>
      </c>
      <c r="N24" s="88">
        <f t="shared" si="46"/>
        <v>-748901.57760000019</v>
      </c>
      <c r="O24" s="88">
        <f t="shared" si="46"/>
        <v>-53885.637834898414</v>
      </c>
      <c r="P24" s="88">
        <f t="shared" si="46"/>
        <v>-44486.431630497973</v>
      </c>
      <c r="Q24" s="88">
        <f t="shared" si="46"/>
        <v>-68653.9200000001</v>
      </c>
      <c r="R24" s="88">
        <f t="shared" ref="R24:S24" si="47">+R15-R23</f>
        <v>0</v>
      </c>
      <c r="S24" s="88">
        <f t="shared" si="47"/>
        <v>0</v>
      </c>
      <c r="T24" s="88">
        <f>+T15-T23</f>
        <v>-4614552.7852633037</v>
      </c>
      <c r="V24" s="90"/>
      <c r="AT24" s="77" t="s">
        <v>89</v>
      </c>
      <c r="AU24" s="77" t="s">
        <v>88</v>
      </c>
    </row>
    <row r="25" spans="1:48">
      <c r="A25" s="74">
        <v>19</v>
      </c>
      <c r="B25" s="77" t="s">
        <v>271</v>
      </c>
      <c r="C25" s="88">
        <f>IF(C24&lt;0,0,C24*0.15)</f>
        <v>0</v>
      </c>
      <c r="D25" s="88">
        <f t="shared" ref="D25:T25" si="48">IF(D24&lt;0,0,D24*0.15)</f>
        <v>0</v>
      </c>
      <c r="E25" s="88">
        <f t="shared" ref="E25:F25" si="49">IF(E24&lt;0,0,E24*0.15)</f>
        <v>0</v>
      </c>
      <c r="F25" s="88">
        <f t="shared" si="49"/>
        <v>0</v>
      </c>
      <c r="G25" s="88">
        <f t="shared" ref="G25:Q25" si="50">IF(G24&lt;0,0,G24*0.15)</f>
        <v>0</v>
      </c>
      <c r="H25" s="88">
        <f t="shared" si="50"/>
        <v>0</v>
      </c>
      <c r="I25" s="88">
        <f t="shared" si="50"/>
        <v>0</v>
      </c>
      <c r="J25" s="88">
        <f t="shared" si="50"/>
        <v>0</v>
      </c>
      <c r="K25" s="88">
        <f t="shared" si="50"/>
        <v>0</v>
      </c>
      <c r="L25" s="88">
        <f t="shared" si="50"/>
        <v>0</v>
      </c>
      <c r="M25" s="88">
        <f t="shared" si="50"/>
        <v>0</v>
      </c>
      <c r="N25" s="88">
        <f t="shared" si="50"/>
        <v>0</v>
      </c>
      <c r="O25" s="88">
        <f t="shared" si="50"/>
        <v>0</v>
      </c>
      <c r="P25" s="88">
        <f t="shared" si="50"/>
        <v>0</v>
      </c>
      <c r="Q25" s="88">
        <f t="shared" si="50"/>
        <v>0</v>
      </c>
      <c r="R25" s="88">
        <f t="shared" ref="R25:S25" si="51">IF(R24&lt;0,0,R24*0.15)</f>
        <v>0</v>
      </c>
      <c r="S25" s="88">
        <f t="shared" si="51"/>
        <v>0</v>
      </c>
      <c r="T25" s="88">
        <f t="shared" si="48"/>
        <v>0</v>
      </c>
      <c r="U25" s="2"/>
      <c r="V25" s="2"/>
      <c r="W25" s="2"/>
      <c r="AT25" s="77" t="s">
        <v>90</v>
      </c>
      <c r="AU25" s="77" t="s">
        <v>35</v>
      </c>
    </row>
    <row r="26" spans="1:48">
      <c r="A26" s="74">
        <v>20</v>
      </c>
      <c r="B26" s="77" t="s">
        <v>91</v>
      </c>
      <c r="C26" s="88">
        <f>C24-C25</f>
        <v>-282647.91360000038</v>
      </c>
      <c r="D26" s="88">
        <f>D24-D25</f>
        <v>0</v>
      </c>
      <c r="E26" s="88">
        <f t="shared" ref="E26:T26" si="52">E24-E25</f>
        <v>-97995.921600000001</v>
      </c>
      <c r="F26" s="88">
        <f t="shared" si="52"/>
        <v>-163371.76475672983</v>
      </c>
      <c r="G26" s="88">
        <f t="shared" ref="G26:Q26" si="53">G24-G25</f>
        <v>-1130591.6544000015</v>
      </c>
      <c r="H26" s="88">
        <f t="shared" si="53"/>
        <v>-57074.448000000033</v>
      </c>
      <c r="I26" s="88">
        <f t="shared" si="53"/>
        <v>-77181.284858572733</v>
      </c>
      <c r="J26" s="88">
        <f t="shared" si="53"/>
        <v>-1041600.8064000012</v>
      </c>
      <c r="K26" s="88">
        <f t="shared" si="53"/>
        <v>-417255.01439999993</v>
      </c>
      <c r="L26" s="88">
        <f t="shared" si="53"/>
        <v>-28312.761363089347</v>
      </c>
      <c r="M26" s="88">
        <f t="shared" si="53"/>
        <v>-402593.64881952008</v>
      </c>
      <c r="N26" s="88">
        <f t="shared" si="53"/>
        <v>-748901.57760000019</v>
      </c>
      <c r="O26" s="88">
        <f t="shared" si="53"/>
        <v>-53885.637834898414</v>
      </c>
      <c r="P26" s="88">
        <f t="shared" si="53"/>
        <v>-44486.431630497973</v>
      </c>
      <c r="Q26" s="88">
        <f t="shared" si="53"/>
        <v>-68653.9200000001</v>
      </c>
      <c r="R26" s="88">
        <f t="shared" ref="R26:S26" si="54">R24-R25</f>
        <v>0</v>
      </c>
      <c r="S26" s="88">
        <f t="shared" si="54"/>
        <v>0</v>
      </c>
      <c r="T26" s="88">
        <f t="shared" si="52"/>
        <v>-4614552.7852633037</v>
      </c>
      <c r="U26" s="2"/>
      <c r="V26" s="2"/>
      <c r="W26" s="2"/>
      <c r="AT26" s="77" t="s">
        <v>92</v>
      </c>
      <c r="AU26" s="77" t="s">
        <v>91</v>
      </c>
    </row>
    <row r="27" spans="1:48">
      <c r="A27" s="74">
        <v>21</v>
      </c>
      <c r="B27" s="77" t="s">
        <v>95</v>
      </c>
      <c r="C27" s="91">
        <f>C26/C9</f>
        <v>-0.10599483249428203</v>
      </c>
      <c r="D27" s="91" t="e">
        <f t="shared" ref="D27:T27" si="55">D26/D9</f>
        <v>#DIV/0!</v>
      </c>
      <c r="E27" s="91">
        <f t="shared" si="55"/>
        <v>-6.9640028503002271E-2</v>
      </c>
      <c r="F27" s="91">
        <f t="shared" si="55"/>
        <v>-9.7451398782648965E-3</v>
      </c>
      <c r="G27" s="91">
        <f t="shared" ref="G27:Q27" si="56">G26/G9</f>
        <v>-0.10599483249428203</v>
      </c>
      <c r="H27" s="91">
        <f t="shared" si="56"/>
        <v>-0.1834191000663305</v>
      </c>
      <c r="I27" s="91">
        <f t="shared" si="56"/>
        <v>-8.7295660681556767E-2</v>
      </c>
      <c r="J27" s="91">
        <f t="shared" si="56"/>
        <v>-0.23816057086706635</v>
      </c>
      <c r="K27" s="91">
        <f t="shared" si="56"/>
        <v>-0.20791679834854676</v>
      </c>
      <c r="L27" s="91">
        <f t="shared" si="56"/>
        <v>-2.9265019919955556E-2</v>
      </c>
      <c r="M27" s="91">
        <f t="shared" si="56"/>
        <v>-0.18804130876241801</v>
      </c>
      <c r="N27" s="91">
        <f t="shared" si="56"/>
        <v>-0.30006622601917615</v>
      </c>
      <c r="O27" s="91">
        <f t="shared" si="56"/>
        <v>-7.3225968674861031E-2</v>
      </c>
      <c r="P27" s="91">
        <f t="shared" si="56"/>
        <v>-2.2296510325531316E-2</v>
      </c>
      <c r="Q27" s="91">
        <f t="shared" si="56"/>
        <v>-3.9398542053685807E-2</v>
      </c>
      <c r="R27" s="91" t="e">
        <f t="shared" ref="R27:S27" si="57">R26/R9</f>
        <v>#DIV/0!</v>
      </c>
      <c r="S27" s="91" t="e">
        <f t="shared" si="57"/>
        <v>#DIV/0!</v>
      </c>
      <c r="T27" s="91">
        <f t="shared" si="55"/>
        <v>-9.3871357024061838E-2</v>
      </c>
      <c r="U27" s="2"/>
      <c r="V27" s="2"/>
      <c r="W27" s="2"/>
      <c r="AT27" s="77" t="s">
        <v>94</v>
      </c>
      <c r="AU27" s="77" t="s">
        <v>95</v>
      </c>
    </row>
    <row r="28" spans="1:48">
      <c r="U28" s="2"/>
      <c r="V28" s="2"/>
      <c r="W28" s="2"/>
    </row>
    <row r="29" spans="1:48">
      <c r="A29" s="70" t="s">
        <v>96</v>
      </c>
      <c r="T29" s="73" t="s">
        <v>149</v>
      </c>
      <c r="U29" s="2"/>
      <c r="V29" s="2"/>
      <c r="W29" s="2"/>
      <c r="AT29" s="70" t="s">
        <v>96</v>
      </c>
    </row>
    <row r="30" spans="1:48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Y30" s="2"/>
      <c r="AT30" s="77" t="s">
        <v>99</v>
      </c>
      <c r="AU30" s="82" t="s">
        <v>98</v>
      </c>
    </row>
    <row r="31" spans="1:48">
      <c r="A31" s="74">
        <v>1</v>
      </c>
      <c r="B31" s="85" t="s">
        <v>100</v>
      </c>
      <c r="C31" s="92">
        <f>销量!C8</f>
        <v>771.27</v>
      </c>
      <c r="D31" s="92">
        <f>销量!D8</f>
        <v>1785.88</v>
      </c>
      <c r="E31" s="92">
        <f>销量!E8</f>
        <v>407</v>
      </c>
      <c r="F31" s="92">
        <f>销量!F8</f>
        <v>1212.2</v>
      </c>
      <c r="G31" s="92">
        <f>销量!G8</f>
        <v>771.27</v>
      </c>
      <c r="H31" s="92">
        <f>销量!H8</f>
        <v>9</v>
      </c>
      <c r="I31" s="92">
        <f>销量!I8</f>
        <v>127.86</v>
      </c>
      <c r="J31" s="92">
        <f>销量!J8</f>
        <v>316.24</v>
      </c>
      <c r="K31" s="92">
        <f>销量!K8</f>
        <v>290.22000000000003</v>
      </c>
      <c r="L31" s="92">
        <f>销量!L8</f>
        <v>139.91</v>
      </c>
      <c r="M31" s="92">
        <f>销量!M8</f>
        <v>154.81</v>
      </c>
      <c r="N31" s="92">
        <f>销量!N8</f>
        <v>120.31</v>
      </c>
      <c r="O31" s="92">
        <f>销量!O8</f>
        <v>106.42</v>
      </c>
      <c r="P31" s="92">
        <f>销量!P8</f>
        <v>144.27000000000001</v>
      </c>
      <c r="Q31" s="92">
        <f>销量!Q8</f>
        <v>126</v>
      </c>
      <c r="R31" s="92">
        <f>销量!R8</f>
        <v>0</v>
      </c>
      <c r="S31" s="92">
        <f>销量!S8</f>
        <v>0</v>
      </c>
      <c r="T31" s="88"/>
      <c r="U31" s="2"/>
      <c r="V31" s="2"/>
      <c r="W31" s="2"/>
      <c r="Y31" s="2"/>
      <c r="AT31" s="77" t="s">
        <v>55</v>
      </c>
      <c r="AU31" s="77" t="s">
        <v>100</v>
      </c>
    </row>
    <row r="32" spans="1:48">
      <c r="A32" s="74">
        <v>2</v>
      </c>
      <c r="B32" s="77" t="s">
        <v>150</v>
      </c>
      <c r="C32" s="80">
        <f>C9/C6</f>
        <v>740.72770799999989</v>
      </c>
      <c r="D32" s="80" t="e">
        <f t="shared" ref="D32:F32" si="58">D9/D6</f>
        <v>#DIV/0!</v>
      </c>
      <c r="E32" s="80">
        <f t="shared" si="58"/>
        <v>390.88279999999997</v>
      </c>
      <c r="F32" s="80">
        <f t="shared" si="58"/>
        <v>1164.19688</v>
      </c>
      <c r="G32" s="80">
        <f t="shared" ref="G32:Q32" si="59">G9/G6</f>
        <v>740.72770799999989</v>
      </c>
      <c r="H32" s="80">
        <f t="shared" si="59"/>
        <v>8.6435999999999993</v>
      </c>
      <c r="I32" s="80">
        <f t="shared" si="59"/>
        <v>122.79674399999999</v>
      </c>
      <c r="J32" s="80">
        <f t="shared" si="59"/>
        <v>303.71689599999996</v>
      </c>
      <c r="K32" s="80">
        <f t="shared" si="59"/>
        <v>278.72728800000004</v>
      </c>
      <c r="L32" s="80">
        <f t="shared" si="59"/>
        <v>134.369564</v>
      </c>
      <c r="M32" s="80">
        <f t="shared" si="59"/>
        <v>148.67952399999999</v>
      </c>
      <c r="N32" s="80">
        <f t="shared" si="59"/>
        <v>115.54572399999998</v>
      </c>
      <c r="O32" s="80">
        <f t="shared" si="59"/>
        <v>102.20576799999999</v>
      </c>
      <c r="P32" s="80">
        <f t="shared" si="59"/>
        <v>138.55690799999999</v>
      </c>
      <c r="Q32" s="80">
        <f t="shared" si="59"/>
        <v>121.01039999999999</v>
      </c>
      <c r="R32" s="80" t="e">
        <f t="shared" ref="R32:S32" si="60">R9/R6</f>
        <v>#DIV/0!</v>
      </c>
      <c r="S32" s="80" t="e">
        <f t="shared" si="60"/>
        <v>#DIV/0!</v>
      </c>
      <c r="T32" s="88"/>
      <c r="U32" s="2"/>
      <c r="V32" s="2"/>
      <c r="W32" s="2"/>
      <c r="X32" s="2"/>
      <c r="Y32" s="2"/>
      <c r="Z32" s="2"/>
      <c r="AA32" s="2"/>
      <c r="AT32" s="77"/>
      <c r="AU32" s="77"/>
    </row>
    <row r="33" spans="1:47">
      <c r="A33" s="74">
        <v>3</v>
      </c>
      <c r="B33" s="85" t="s">
        <v>101</v>
      </c>
      <c r="C33" s="80">
        <f>材料成本!D26</f>
        <v>590.15619600000002</v>
      </c>
      <c r="D33" s="80">
        <f>材料成本!E26</f>
        <v>0</v>
      </c>
      <c r="E33" s="80">
        <f>材料成本!F26</f>
        <v>288.97475599999996</v>
      </c>
      <c r="F33" s="80">
        <f>材料成本!G26</f>
        <v>817.46612810810609</v>
      </c>
      <c r="G33" s="80">
        <f>材料成本!H26</f>
        <v>590.15619600000002</v>
      </c>
      <c r="H33" s="80">
        <f>材料成本!I26</f>
        <v>4.725168</v>
      </c>
      <c r="I33" s="80">
        <f>材料成本!J26</f>
        <v>85.983249563690634</v>
      </c>
      <c r="J33" s="80">
        <f>材料成本!K26</f>
        <v>276.82569600000005</v>
      </c>
      <c r="K33" s="80">
        <f>材料成本!L26</f>
        <v>244.594672</v>
      </c>
      <c r="L33" s="80">
        <f>材料成本!M26</f>
        <v>87.462254633762399</v>
      </c>
      <c r="M33" s="80">
        <f>材料成本!N26</f>
        <v>125.70921894579999</v>
      </c>
      <c r="N33" s="80">
        <f>材料成本!O26</f>
        <v>108.75569599999999</v>
      </c>
      <c r="O33" s="80">
        <f>材料成本!P26</f>
        <v>74.039903032624764</v>
      </c>
      <c r="P33" s="80">
        <f>材料成本!Q26</f>
        <v>95.610222196562361</v>
      </c>
      <c r="Q33" s="80">
        <f>材料成本!R26</f>
        <v>84.755299999999991</v>
      </c>
      <c r="R33" s="80">
        <f>材料成本!S26</f>
        <v>0</v>
      </c>
      <c r="S33" s="80">
        <f>材料成本!T26</f>
        <v>0</v>
      </c>
      <c r="T33" s="88"/>
      <c r="V33" s="2"/>
      <c r="W33" s="2"/>
      <c r="X33" s="2"/>
      <c r="Y33" s="2"/>
      <c r="Z33" s="2"/>
      <c r="AA33" s="2"/>
      <c r="AT33" s="77" t="s">
        <v>57</v>
      </c>
      <c r="AU33" s="77" t="s">
        <v>101</v>
      </c>
    </row>
    <row r="34" spans="1:47" ht="17.25" customHeight="1">
      <c r="A34" s="74">
        <v>4</v>
      </c>
      <c r="B34" s="77" t="s">
        <v>103</v>
      </c>
      <c r="C34" s="93">
        <f>C32-C33</f>
        <v>150.57151199999987</v>
      </c>
      <c r="D34" s="93" t="e">
        <f>D32-D33</f>
        <v>#DIV/0!</v>
      </c>
      <c r="E34" s="93">
        <f t="shared" ref="E34:F34" si="61">E32-E33</f>
        <v>101.90804400000002</v>
      </c>
      <c r="F34" s="93">
        <f t="shared" si="61"/>
        <v>346.73075189189387</v>
      </c>
      <c r="G34" s="93">
        <f t="shared" ref="G34:Q34" si="62">G32-G33</f>
        <v>150.57151199999987</v>
      </c>
      <c r="H34" s="93">
        <f t="shared" si="62"/>
        <v>3.9184319999999992</v>
      </c>
      <c r="I34" s="93">
        <f t="shared" si="62"/>
        <v>36.813494436309355</v>
      </c>
      <c r="J34" s="93">
        <f t="shared" si="62"/>
        <v>26.891199999999913</v>
      </c>
      <c r="K34" s="93">
        <f t="shared" si="62"/>
        <v>34.132616000000041</v>
      </c>
      <c r="L34" s="93">
        <f t="shared" si="62"/>
        <v>46.907309366237598</v>
      </c>
      <c r="M34" s="93">
        <f t="shared" si="62"/>
        <v>22.970305054199997</v>
      </c>
      <c r="N34" s="93">
        <f t="shared" si="62"/>
        <v>6.7900279999999924</v>
      </c>
      <c r="O34" s="93">
        <f t="shared" si="62"/>
        <v>28.165864967375228</v>
      </c>
      <c r="P34" s="93">
        <f t="shared" si="62"/>
        <v>42.946685803437632</v>
      </c>
      <c r="Q34" s="93">
        <f t="shared" si="62"/>
        <v>36.255099999999999</v>
      </c>
      <c r="R34" s="93" t="e">
        <f t="shared" ref="R34:S34" si="63">R32-R33</f>
        <v>#DIV/0!</v>
      </c>
      <c r="S34" s="93" t="e">
        <f t="shared" si="63"/>
        <v>#DIV/0!</v>
      </c>
      <c r="T34" s="88"/>
      <c r="V34" s="2"/>
      <c r="W34" s="2"/>
      <c r="X34" s="2"/>
      <c r="Y34" s="2"/>
      <c r="Z34" s="2"/>
      <c r="AA34" s="2"/>
      <c r="AT34" s="77" t="s">
        <v>102</v>
      </c>
      <c r="AU34" s="77" t="s">
        <v>103</v>
      </c>
    </row>
    <row r="35" spans="1:47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7" t="s">
        <v>105</v>
      </c>
      <c r="AU35" s="82" t="s">
        <v>9</v>
      </c>
    </row>
    <row r="36" spans="1:47">
      <c r="A36" s="74">
        <v>1</v>
      </c>
      <c r="B36" s="77" t="s">
        <v>106</v>
      </c>
      <c r="C36" s="86">
        <f>'2026年'!C36</f>
        <v>53.526138000000003</v>
      </c>
      <c r="D36" s="86">
        <f>'2026年'!D36</f>
        <v>123.94007200000001</v>
      </c>
      <c r="E36" s="86">
        <f>'2026年'!E36</f>
        <v>28.245800000000003</v>
      </c>
      <c r="F36" s="86">
        <f>'2026年'!F36</f>
        <v>84.126680000000007</v>
      </c>
      <c r="G36" s="86">
        <f>'2026年'!G36</f>
        <v>53.526138000000003</v>
      </c>
      <c r="H36" s="86">
        <f>'2026年'!H36</f>
        <v>0.62460000000000004</v>
      </c>
      <c r="I36" s="86">
        <f>'2026年'!I36</f>
        <v>8.8734840000000013</v>
      </c>
      <c r="J36" s="86">
        <f>'2026年'!J36</f>
        <v>21.947056000000003</v>
      </c>
      <c r="K36" s="86">
        <f>'2026年'!K36</f>
        <v>20.141268000000004</v>
      </c>
      <c r="L36" s="86">
        <f>'2026年'!L36</f>
        <v>9.7097540000000002</v>
      </c>
      <c r="M36" s="86">
        <f>'2026年'!M36</f>
        <v>10.743814</v>
      </c>
      <c r="N36" s="86">
        <f>'2026年'!N36</f>
        <v>8.349514000000001</v>
      </c>
      <c r="O36" s="86">
        <f>'2026年'!O36</f>
        <v>7.3855480000000009</v>
      </c>
      <c r="P36" s="86">
        <f>'2026年'!P36</f>
        <v>10.012338000000002</v>
      </c>
      <c r="Q36" s="86">
        <f>'2026年'!Q36</f>
        <v>8.7444000000000006</v>
      </c>
      <c r="R36" s="86">
        <f>'2026年'!R36</f>
        <v>0</v>
      </c>
      <c r="S36" s="86">
        <f>'2026年'!S36</f>
        <v>0</v>
      </c>
      <c r="T36" s="92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7" t="s">
        <v>102</v>
      </c>
      <c r="AU36" s="77" t="s">
        <v>106</v>
      </c>
    </row>
    <row r="37" spans="1:47">
      <c r="A37" s="74">
        <v>2</v>
      </c>
      <c r="B37" s="77" t="s">
        <v>107</v>
      </c>
      <c r="C37" s="86">
        <f>'2026年'!C37</f>
        <v>33.473117999999999</v>
      </c>
      <c r="D37" s="86">
        <f>'2026年'!D37</f>
        <v>77.507192000000003</v>
      </c>
      <c r="E37" s="86">
        <f>'2026年'!E37</f>
        <v>17.663800000000002</v>
      </c>
      <c r="F37" s="86">
        <f>'2026年'!F37</f>
        <v>52.609480000000005</v>
      </c>
      <c r="G37" s="86">
        <f>'2026年'!G37</f>
        <v>33.473117999999999</v>
      </c>
      <c r="H37" s="86">
        <f>'2026年'!H37</f>
        <v>0.3906</v>
      </c>
      <c r="I37" s="86">
        <f>'2026年'!I37</f>
        <v>5.5491239999999999</v>
      </c>
      <c r="J37" s="86">
        <f>'2026年'!J37</f>
        <v>13.724816000000001</v>
      </c>
      <c r="K37" s="86">
        <f>'2026年'!K37</f>
        <v>12.595548000000001</v>
      </c>
      <c r="L37" s="86">
        <f>'2026年'!L37</f>
        <v>6.0720939999999999</v>
      </c>
      <c r="M37" s="86">
        <f>'2026年'!M37</f>
        <v>6.7187540000000006</v>
      </c>
      <c r="N37" s="86">
        <f>'2026年'!N37</f>
        <v>5.2214540000000005</v>
      </c>
      <c r="O37" s="86">
        <f>'2026年'!O37</f>
        <v>4.6186280000000002</v>
      </c>
      <c r="P37" s="86">
        <f>'2026年'!P37</f>
        <v>6.2613180000000002</v>
      </c>
      <c r="Q37" s="86">
        <f>'2026年'!Q37</f>
        <v>5.4683999999999999</v>
      </c>
      <c r="R37" s="86">
        <f>'2026年'!R37</f>
        <v>0</v>
      </c>
      <c r="S37" s="86">
        <f>'2026年'!S37</f>
        <v>0</v>
      </c>
      <c r="T37" s="92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7" t="s">
        <v>60</v>
      </c>
      <c r="AU37" s="77" t="s">
        <v>107</v>
      </c>
    </row>
    <row r="38" spans="1:47">
      <c r="A38" s="74">
        <v>3</v>
      </c>
      <c r="B38" s="77" t="s">
        <v>108</v>
      </c>
      <c r="C38" s="86">
        <f>'2026年'!C38</f>
        <v>15</v>
      </c>
      <c r="D38" s="86">
        <f>'2026年'!D38</f>
        <v>23</v>
      </c>
      <c r="E38" s="86">
        <f>'2026年'!E38</f>
        <v>15</v>
      </c>
      <c r="F38" s="86">
        <f>'2026年'!F38</f>
        <v>23</v>
      </c>
      <c r="G38" s="86">
        <f>'2026年'!G38</f>
        <v>15</v>
      </c>
      <c r="H38" s="86">
        <f>'2026年'!H38</f>
        <v>0.58590000000000009</v>
      </c>
      <c r="I38" s="86">
        <f>'2026年'!I38</f>
        <v>10</v>
      </c>
      <c r="J38" s="86">
        <f>'2026年'!J38</f>
        <v>10</v>
      </c>
      <c r="K38" s="86">
        <f>'2026年'!K38</f>
        <v>10</v>
      </c>
      <c r="L38" s="86">
        <f>'2026年'!L38</f>
        <v>10</v>
      </c>
      <c r="M38" s="86">
        <f>'2026年'!M38</f>
        <v>6</v>
      </c>
      <c r="N38" s="86">
        <f>'2026年'!N38</f>
        <v>6</v>
      </c>
      <c r="O38" s="86">
        <f>'2026年'!O38</f>
        <v>4</v>
      </c>
      <c r="P38" s="86">
        <f>'2026年'!P38</f>
        <v>4</v>
      </c>
      <c r="Q38" s="86">
        <f>'2026年'!Q38</f>
        <v>4</v>
      </c>
      <c r="R38" s="86">
        <f>'2026年'!R38</f>
        <v>0</v>
      </c>
      <c r="S38" s="86">
        <f>'2026年'!S38</f>
        <v>0</v>
      </c>
      <c r="T38" s="92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7" t="s">
        <v>66</v>
      </c>
      <c r="AU38" s="77" t="s">
        <v>108</v>
      </c>
    </row>
    <row r="39" spans="1:47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AT39" s="77" t="s">
        <v>109</v>
      </c>
      <c r="AU39" s="82" t="s">
        <v>110</v>
      </c>
    </row>
    <row r="40" spans="1:47">
      <c r="A40" s="74">
        <v>1</v>
      </c>
      <c r="B40" s="77" t="s">
        <v>111</v>
      </c>
      <c r="C40" s="88">
        <f>C34-C36-C37-C38</f>
        <v>48.572255999999868</v>
      </c>
      <c r="D40" s="88" t="e">
        <f>D34-D36-D37-D38</f>
        <v>#DIV/0!</v>
      </c>
      <c r="E40" s="88">
        <f t="shared" ref="E40:F40" si="64">E34-E36-E37-E38</f>
        <v>40.998444000000013</v>
      </c>
      <c r="F40" s="88">
        <f t="shared" si="64"/>
        <v>186.99459189189383</v>
      </c>
      <c r="G40" s="88">
        <f t="shared" ref="G40:Q40" si="65">G34-G36-G37-G38</f>
        <v>48.572255999999868</v>
      </c>
      <c r="H40" s="88">
        <f t="shared" si="65"/>
        <v>2.3173319999999991</v>
      </c>
      <c r="I40" s="88">
        <f t="shared" si="65"/>
        <v>12.390886436309355</v>
      </c>
      <c r="J40" s="88">
        <f t="shared" si="65"/>
        <v>-18.780672000000092</v>
      </c>
      <c r="K40" s="88">
        <f t="shared" si="65"/>
        <v>-8.6041999999999632</v>
      </c>
      <c r="L40" s="88">
        <f t="shared" si="65"/>
        <v>21.125461366237595</v>
      </c>
      <c r="M40" s="88">
        <f t="shared" si="65"/>
        <v>-0.49226294580000385</v>
      </c>
      <c r="N40" s="88">
        <f t="shared" si="65"/>
        <v>-12.780940000000008</v>
      </c>
      <c r="O40" s="88">
        <f t="shared" si="65"/>
        <v>12.161688967375227</v>
      </c>
      <c r="P40" s="88">
        <f t="shared" si="65"/>
        <v>22.673029803437633</v>
      </c>
      <c r="Q40" s="88">
        <f t="shared" si="65"/>
        <v>18.042300000000001</v>
      </c>
      <c r="R40" s="88" t="e">
        <f t="shared" ref="R40:S40" si="66">R34-R36-R37-R38</f>
        <v>#DIV/0!</v>
      </c>
      <c r="S40" s="88" t="e">
        <f t="shared" si="66"/>
        <v>#DIV/0!</v>
      </c>
      <c r="T40" s="88"/>
      <c r="AT40" s="77" t="s">
        <v>55</v>
      </c>
      <c r="AU40" s="77" t="s">
        <v>111</v>
      </c>
    </row>
    <row r="41" spans="1:47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AT41" s="77" t="s">
        <v>57</v>
      </c>
      <c r="AU41" s="77" t="s">
        <v>112</v>
      </c>
    </row>
    <row r="42" spans="1:47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AT42" s="77" t="s">
        <v>113</v>
      </c>
      <c r="AU42" s="82" t="s">
        <v>114</v>
      </c>
    </row>
    <row r="43" spans="1:47">
      <c r="A43" s="74">
        <v>1</v>
      </c>
      <c r="B43" s="89" t="s">
        <v>115</v>
      </c>
      <c r="C43" s="86">
        <f>'2026年'!C43</f>
        <v>63.629775000000002</v>
      </c>
      <c r="D43" s="86">
        <f>'2026年'!D43</f>
        <v>147.33510000000001</v>
      </c>
      <c r="E43" s="86">
        <f>'2026年'!E43</f>
        <v>33.577500000000001</v>
      </c>
      <c r="F43" s="86">
        <f>'2026年'!F43</f>
        <v>100.0065</v>
      </c>
      <c r="G43" s="86">
        <f>'2026年'!G43</f>
        <v>63.629775000000002</v>
      </c>
      <c r="H43" s="86">
        <f>'2026年'!H43</f>
        <v>0.74250000000000005</v>
      </c>
      <c r="I43" s="86">
        <f>'2026年'!I43</f>
        <v>10.548450000000001</v>
      </c>
      <c r="J43" s="86">
        <f>'2026年'!J43</f>
        <v>26.0898</v>
      </c>
      <c r="K43" s="86">
        <f>'2026年'!K43</f>
        <v>23.943150000000003</v>
      </c>
      <c r="L43" s="86">
        <f>'2026年'!L43</f>
        <v>11.542575000000001</v>
      </c>
      <c r="M43" s="86">
        <f>'2026年'!M43</f>
        <v>12.771825000000002</v>
      </c>
      <c r="N43" s="86">
        <f>'2026年'!N43</f>
        <v>9.9255750000000003</v>
      </c>
      <c r="O43" s="86">
        <f>'2026年'!O43</f>
        <v>8.7796500000000002</v>
      </c>
      <c r="P43" s="86">
        <f>'2026年'!P43</f>
        <v>11.902275000000001</v>
      </c>
      <c r="Q43" s="86">
        <f>'2026年'!Q43</f>
        <v>10.395000000000001</v>
      </c>
      <c r="R43" s="86">
        <f>'2026年'!R43</f>
        <v>0</v>
      </c>
      <c r="S43" s="86">
        <f>'2026年'!S43</f>
        <v>0</v>
      </c>
      <c r="T43" s="88"/>
      <c r="AT43" s="77" t="s">
        <v>55</v>
      </c>
      <c r="AU43" s="77" t="s">
        <v>115</v>
      </c>
    </row>
    <row r="44" spans="1:47">
      <c r="A44" s="74">
        <v>2</v>
      </c>
      <c r="B44" s="89" t="s">
        <v>116</v>
      </c>
      <c r="C44" s="86">
        <f>'2026年'!C44</f>
        <v>13.265844</v>
      </c>
      <c r="D44" s="86">
        <f>'2026年'!D44</f>
        <v>30.717136000000004</v>
      </c>
      <c r="E44" s="86">
        <f>'2026年'!E44</f>
        <v>7.0004</v>
      </c>
      <c r="F44" s="86">
        <f>'2026年'!F44</f>
        <v>20.84984</v>
      </c>
      <c r="G44" s="86">
        <f>'2026年'!G44</f>
        <v>13.265844</v>
      </c>
      <c r="H44" s="86">
        <f>'2026年'!H44</f>
        <v>0.15479999999999999</v>
      </c>
      <c r="I44" s="86">
        <f>'2026年'!I44</f>
        <v>2.199192</v>
      </c>
      <c r="J44" s="86">
        <f>'2026年'!J44</f>
        <v>5.4393279999999997</v>
      </c>
      <c r="K44" s="86">
        <f>'2026年'!K44</f>
        <v>4.9917840000000009</v>
      </c>
      <c r="L44" s="86">
        <f>'2026年'!L44</f>
        <v>2.4064519999999998</v>
      </c>
      <c r="M44" s="86">
        <f>'2026年'!M44</f>
        <v>2.6627320000000001</v>
      </c>
      <c r="N44" s="86">
        <f>'2026年'!N44</f>
        <v>2.0693320000000002</v>
      </c>
      <c r="O44" s="86">
        <f>'2026年'!O44</f>
        <v>1.8304240000000001</v>
      </c>
      <c r="P44" s="86">
        <f>'2026年'!P44</f>
        <v>2.4814440000000002</v>
      </c>
      <c r="Q44" s="86">
        <f>'2026年'!Q44</f>
        <v>2.1671999999999998</v>
      </c>
      <c r="R44" s="86">
        <f>'2026年'!R44</f>
        <v>0</v>
      </c>
      <c r="S44" s="86">
        <f>'2026年'!S44</f>
        <v>0</v>
      </c>
      <c r="T44" s="88"/>
      <c r="AT44" s="77" t="s">
        <v>57</v>
      </c>
      <c r="AU44" s="77" t="s">
        <v>116</v>
      </c>
    </row>
    <row r="45" spans="1:47">
      <c r="A45" s="74">
        <v>3</v>
      </c>
      <c r="B45" s="89" t="s">
        <v>117</v>
      </c>
      <c r="C45" s="86">
        <f>'2026年'!C45</f>
        <v>20.361528</v>
      </c>
      <c r="D45" s="86">
        <f>'2026年'!D45</f>
        <v>47.147232000000002</v>
      </c>
      <c r="E45" s="86">
        <f>'2026年'!E45</f>
        <v>10.7448</v>
      </c>
      <c r="F45" s="86">
        <f>'2026年'!F45</f>
        <v>32.002079999999999</v>
      </c>
      <c r="G45" s="86">
        <f>'2026年'!G45</f>
        <v>20.361528</v>
      </c>
      <c r="H45" s="86">
        <f>'2026年'!H45</f>
        <v>0.23760000000000001</v>
      </c>
      <c r="I45" s="86">
        <f>'2026年'!I45</f>
        <v>3.3755039999999998</v>
      </c>
      <c r="J45" s="86">
        <f>'2026年'!J45</f>
        <v>8.3487360000000006</v>
      </c>
      <c r="K45" s="86">
        <f>'2026年'!K45</f>
        <v>7.6618080000000006</v>
      </c>
      <c r="L45" s="86">
        <f>'2026年'!L45</f>
        <v>3.6936239999999998</v>
      </c>
      <c r="M45" s="86">
        <f>'2026年'!M45</f>
        <v>4.0869840000000002</v>
      </c>
      <c r="N45" s="86">
        <f>'2026年'!N45</f>
        <v>3.1761840000000001</v>
      </c>
      <c r="O45" s="86">
        <f>'2026年'!O45</f>
        <v>2.809488</v>
      </c>
      <c r="P45" s="86">
        <f>'2026年'!P45</f>
        <v>3.8087280000000003</v>
      </c>
      <c r="Q45" s="86">
        <f>'2026年'!Q45</f>
        <v>3.3264</v>
      </c>
      <c r="R45" s="86">
        <f>'2026年'!R45</f>
        <v>0</v>
      </c>
      <c r="S45" s="86">
        <f>'2026年'!S45</f>
        <v>0</v>
      </c>
      <c r="T45" s="88"/>
      <c r="AT45" s="77" t="s">
        <v>102</v>
      </c>
      <c r="AU45" s="77" t="s">
        <v>117</v>
      </c>
    </row>
    <row r="46" spans="1:47" s="72" customFormat="1">
      <c r="A46" s="74">
        <v>4</v>
      </c>
      <c r="B46" s="89" t="s">
        <v>118</v>
      </c>
      <c r="C46" s="94">
        <f>C21/C6</f>
        <v>0.62222222222222223</v>
      </c>
      <c r="D46" s="94" t="e">
        <f>D21/D6</f>
        <v>#DIV/0!</v>
      </c>
      <c r="E46" s="94">
        <f t="shared" ref="E46:F46" si="67">E21/E6</f>
        <v>0.62222222222222223</v>
      </c>
      <c r="F46" s="94">
        <f t="shared" si="67"/>
        <v>0.62222222222222223</v>
      </c>
      <c r="G46" s="94">
        <f t="shared" ref="G46:Q46" si="68">G21/G6</f>
        <v>0.62222222222222223</v>
      </c>
      <c r="H46" s="94">
        <f t="shared" si="68"/>
        <v>0.62222222222222223</v>
      </c>
      <c r="I46" s="94">
        <f t="shared" si="68"/>
        <v>0.62222222222222223</v>
      </c>
      <c r="J46" s="94">
        <f t="shared" si="68"/>
        <v>0.62222222222222223</v>
      </c>
      <c r="K46" s="94">
        <f t="shared" si="68"/>
        <v>0.62222222222222223</v>
      </c>
      <c r="L46" s="94">
        <f t="shared" si="68"/>
        <v>0.62222222222222223</v>
      </c>
      <c r="M46" s="94">
        <f t="shared" si="68"/>
        <v>0.62222222222222223</v>
      </c>
      <c r="N46" s="94">
        <f t="shared" si="68"/>
        <v>0.62222222222222223</v>
      </c>
      <c r="O46" s="94">
        <f t="shared" si="68"/>
        <v>0.62222222222222223</v>
      </c>
      <c r="P46" s="94">
        <f t="shared" si="68"/>
        <v>0.62222222222222223</v>
      </c>
      <c r="Q46" s="94">
        <f t="shared" si="68"/>
        <v>0.62222222222222223</v>
      </c>
      <c r="R46" s="94" t="e">
        <f t="shared" ref="R46:S46" si="69">R21/R6</f>
        <v>#DIV/0!</v>
      </c>
      <c r="S46" s="94" t="e">
        <f t="shared" si="69"/>
        <v>#DIV/0!</v>
      </c>
      <c r="T46" s="94"/>
      <c r="AT46" s="89" t="s">
        <v>62</v>
      </c>
      <c r="AU46" s="89" t="s">
        <v>120</v>
      </c>
    </row>
    <row r="47" spans="1:47" s="72" customFormat="1">
      <c r="A47" s="74">
        <v>5</v>
      </c>
      <c r="B47" s="89" t="s">
        <v>120</v>
      </c>
      <c r="C47" s="86">
        <f>'2026年'!C47</f>
        <v>27.380084999999998</v>
      </c>
      <c r="D47" s="86">
        <f>'2026年'!D47</f>
        <v>63.398739999999997</v>
      </c>
      <c r="E47" s="86">
        <f>'2026年'!E47</f>
        <v>14.448499999999999</v>
      </c>
      <c r="F47" s="86">
        <f>'2026年'!F47</f>
        <v>43.033099999999997</v>
      </c>
      <c r="G47" s="86">
        <f>'2026年'!G47</f>
        <v>27.380084999999998</v>
      </c>
      <c r="H47" s="86">
        <f>'2026年'!H47</f>
        <v>0.31949999999999995</v>
      </c>
      <c r="I47" s="86">
        <f>'2026年'!I47</f>
        <v>4.5390299999999995</v>
      </c>
      <c r="J47" s="86">
        <f>'2026年'!J47</f>
        <v>11.226519999999999</v>
      </c>
      <c r="K47" s="86">
        <f>'2026年'!K47</f>
        <v>10.302810000000001</v>
      </c>
      <c r="L47" s="86">
        <f>'2026年'!L47</f>
        <v>4.966804999999999</v>
      </c>
      <c r="M47" s="86">
        <f>'2026年'!M47</f>
        <v>5.4957549999999999</v>
      </c>
      <c r="N47" s="86">
        <f>'2026年'!N47</f>
        <v>4.2710049999999997</v>
      </c>
      <c r="O47" s="86">
        <f>'2026年'!O47</f>
        <v>3.7779099999999999</v>
      </c>
      <c r="P47" s="86">
        <f>'2026年'!P47</f>
        <v>5.1215849999999996</v>
      </c>
      <c r="Q47" s="86">
        <f>'2026年'!Q47</f>
        <v>4.4729999999999999</v>
      </c>
      <c r="R47" s="86">
        <f>'2026年'!R47</f>
        <v>0</v>
      </c>
      <c r="S47" s="86">
        <f>'2026年'!S47</f>
        <v>0</v>
      </c>
      <c r="T47" s="94"/>
      <c r="AT47" s="89" t="s">
        <v>62</v>
      </c>
      <c r="AU47" s="89" t="s">
        <v>120</v>
      </c>
    </row>
    <row r="48" spans="1:47">
      <c r="A48" s="77" t="s">
        <v>113</v>
      </c>
      <c r="B48" s="82" t="s">
        <v>131</v>
      </c>
      <c r="C48" s="88">
        <f>C40-C43-C44-C45-C47-C46</f>
        <v>-76.687198222222349</v>
      </c>
      <c r="D48" s="88" t="e">
        <f>D40-D43-D44-D45-D47-D46</f>
        <v>#DIV/0!</v>
      </c>
      <c r="E48" s="88">
        <f t="shared" ref="E48:F48" si="70">E40-E43-E44-E45-E47-E46</f>
        <v>-25.39497822222221</v>
      </c>
      <c r="F48" s="88">
        <f t="shared" si="70"/>
        <v>-9.5191503303283884</v>
      </c>
      <c r="G48" s="88">
        <f t="shared" ref="G48:Q48" si="71">G40-G43-G44-G45-G47-G46</f>
        <v>-76.687198222222349</v>
      </c>
      <c r="H48" s="88">
        <f t="shared" si="71"/>
        <v>0.24070977777777669</v>
      </c>
      <c r="I48" s="88">
        <f t="shared" si="71"/>
        <v>-8.8935117859128674</v>
      </c>
      <c r="J48" s="88">
        <f t="shared" si="71"/>
        <v>-70.507278222222311</v>
      </c>
      <c r="K48" s="88">
        <f t="shared" si="71"/>
        <v>-56.12597422222219</v>
      </c>
      <c r="L48" s="88">
        <f t="shared" si="71"/>
        <v>-2.1062168559846275</v>
      </c>
      <c r="M48" s="88">
        <f t="shared" si="71"/>
        <v>-26.131781168022229</v>
      </c>
      <c r="N48" s="88">
        <f t="shared" si="71"/>
        <v>-32.845258222222228</v>
      </c>
      <c r="O48" s="88">
        <f t="shared" si="71"/>
        <v>-5.6580052548469961</v>
      </c>
      <c r="P48" s="88">
        <f t="shared" si="71"/>
        <v>-1.2632244187845907</v>
      </c>
      <c r="Q48" s="88">
        <f t="shared" si="71"/>
        <v>-2.9415222222222219</v>
      </c>
      <c r="R48" s="88" t="e">
        <f t="shared" ref="R48:S48" si="72">R40-R43-R44-R45-R47-R46</f>
        <v>#DIV/0!</v>
      </c>
      <c r="S48" s="88" t="e">
        <f t="shared" si="72"/>
        <v>#DIV/0!</v>
      </c>
      <c r="T48" s="88"/>
      <c r="AT48" s="77" t="s">
        <v>130</v>
      </c>
      <c r="AU48" s="82" t="s">
        <v>131</v>
      </c>
    </row>
    <row r="51" spans="2:25"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4" spans="2:25">
      <c r="B54" s="2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"/>
      <c r="V54" s="2"/>
      <c r="W54" s="2"/>
      <c r="X54" s="2"/>
      <c r="Y54" s="2"/>
    </row>
    <row r="55" spans="2:25">
      <c r="B55" s="2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"/>
      <c r="V55" s="2"/>
      <c r="W55" s="2"/>
      <c r="X55" s="2"/>
      <c r="Y55" s="2"/>
    </row>
    <row r="56" spans="2:25">
      <c r="B56" s="2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"/>
      <c r="V56" s="2"/>
      <c r="W56" s="2"/>
      <c r="X56" s="2"/>
      <c r="Y56" s="2"/>
    </row>
    <row r="57" spans="2:25">
      <c r="B57" s="2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"/>
      <c r="V57" s="2"/>
      <c r="W57" s="2"/>
      <c r="X57" s="2"/>
      <c r="Y57" s="2"/>
    </row>
    <row r="58" spans="2:25">
      <c r="B58" s="2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2"/>
      <c r="V58" s="2"/>
      <c r="W58" s="2"/>
      <c r="X58" s="2"/>
      <c r="Y58" s="2"/>
    </row>
    <row r="59" spans="2:25">
      <c r="B59" s="2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2"/>
      <c r="V59" s="2"/>
      <c r="W59" s="2"/>
      <c r="X59" s="2"/>
      <c r="Y59" s="2"/>
    </row>
    <row r="60" spans="2:25">
      <c r="B60" s="2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2"/>
      <c r="V60" s="2"/>
      <c r="W60" s="2"/>
      <c r="X60" s="2"/>
      <c r="Y60" s="2"/>
    </row>
    <row r="61" spans="2:25">
      <c r="B61" s="2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2"/>
      <c r="V61" s="2"/>
      <c r="W61" s="2"/>
      <c r="X61" s="2"/>
      <c r="Y61" s="2"/>
    </row>
    <row r="62" spans="2:25">
      <c r="B62" s="2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2"/>
      <c r="V62" s="2"/>
      <c r="W62" s="2"/>
      <c r="X62" s="2"/>
      <c r="Y62" s="2"/>
    </row>
    <row r="63" spans="2:25">
      <c r="B63" s="2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2"/>
      <c r="V63" s="2"/>
      <c r="W63" s="2"/>
      <c r="X63" s="2"/>
      <c r="Y63" s="2"/>
    </row>
    <row r="64" spans="2:25">
      <c r="B64" s="2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2"/>
      <c r="V64" s="2"/>
      <c r="W64" s="2"/>
      <c r="X64" s="2"/>
      <c r="Y64" s="2"/>
    </row>
    <row r="65" spans="2:25">
      <c r="B65" s="2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2"/>
      <c r="V65" s="2"/>
      <c r="W65" s="2"/>
      <c r="X65" s="2"/>
      <c r="Y65" s="2"/>
    </row>
    <row r="66" spans="2:25">
      <c r="B66" s="2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2"/>
      <c r="V66" s="2"/>
      <c r="W66" s="2"/>
      <c r="X66" s="2"/>
      <c r="Y66" s="2"/>
    </row>
    <row r="67" spans="2:25">
      <c r="B67" s="2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2"/>
    </row>
    <row r="68" spans="2:25">
      <c r="B68" s="2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2"/>
    </row>
    <row r="69" spans="2:25">
      <c r="B69" s="2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"/>
    </row>
    <row r="70" spans="2:25">
      <c r="B70" s="2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2"/>
    </row>
    <row r="71" spans="2:25">
      <c r="B71" s="2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2"/>
    </row>
    <row r="72" spans="2:25">
      <c r="B72" s="2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2"/>
    </row>
    <row r="73" spans="2:25">
      <c r="B73" s="2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"/>
    </row>
    <row r="74" spans="2:25">
      <c r="B74" s="2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85" zoomScaleNormal="85" workbookViewId="0">
      <pane xSplit="2" ySplit="7" topLeftCell="L8" activePane="bottomRight" state="frozen"/>
      <selection pane="topRight"/>
      <selection pane="bottomLeft"/>
      <selection pane="bottomRight" activeCell="T24" sqref="T24"/>
    </sheetView>
  </sheetViews>
  <sheetFormatPr defaultColWidth="9" defaultRowHeight="16.5"/>
  <cols>
    <col min="1" max="1" width="5.125" style="70" customWidth="1"/>
    <col min="2" max="2" width="17.5" style="70" customWidth="1"/>
    <col min="3" max="19" width="14.375" style="73" customWidth="1"/>
    <col min="20" max="20" width="18.75" style="73" customWidth="1"/>
    <col min="21" max="21" width="12.375" style="70" customWidth="1"/>
    <col min="22" max="22" width="10.125" style="70" customWidth="1"/>
    <col min="23" max="29" width="9" style="70" customWidth="1"/>
    <col min="30" max="45" width="9" style="70"/>
    <col min="46" max="46" width="4.375" style="70" customWidth="1"/>
    <col min="47" max="47" width="13.875" style="70" customWidth="1"/>
    <col min="48" max="16384" width="9" style="70"/>
  </cols>
  <sheetData>
    <row r="1" spans="1:48">
      <c r="A1" s="244" t="s">
        <v>141</v>
      </c>
      <c r="B1" s="244"/>
      <c r="C1" s="248" t="s">
        <v>261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48">
      <c r="A2" s="244" t="s">
        <v>142</v>
      </c>
      <c r="B2" s="244"/>
      <c r="C2" s="251" t="str">
        <f>'2026年'!$C$2</f>
        <v>一汽解放（青岛事业部）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48" ht="22.5">
      <c r="A3" s="244" t="s">
        <v>143</v>
      </c>
      <c r="B3" s="244"/>
      <c r="C3" s="75" t="str">
        <f>'2026年'!C3</f>
        <v>驾驶员座总成</v>
      </c>
      <c r="D3" s="75" t="str">
        <f>'2026年'!D3</f>
        <v>驾驶员座总成</v>
      </c>
      <c r="E3" s="75" t="str">
        <f>'2026年'!E3</f>
        <v>驾驶员座总成</v>
      </c>
      <c r="F3" s="75" t="str">
        <f>'2026年'!F3</f>
        <v>驾驶员座总成</v>
      </c>
      <c r="G3" s="75" t="str">
        <f>'2026年'!G3</f>
        <v>驾驶员座总成</v>
      </c>
      <c r="H3" s="75" t="str">
        <f>'2026年'!H3</f>
        <v>固定支架焊接总成-连接主副靠背</v>
      </c>
      <c r="I3" s="75" t="str">
        <f>'2026年'!I3</f>
        <v>前座座垫总成</v>
      </c>
      <c r="J3" s="75" t="str">
        <f>'2026年'!J3</f>
        <v>前座座垫总成</v>
      </c>
      <c r="K3" s="75" t="str">
        <f>'2026年'!K3</f>
        <v>前座座垫总成</v>
      </c>
      <c r="L3" s="75" t="str">
        <f>'2026年'!L3</f>
        <v>前座座垫总成</v>
      </c>
      <c r="M3" s="75" t="str">
        <f>'2026年'!M3</f>
        <v>主靠背总成-前座</v>
      </c>
      <c r="N3" s="75" t="str">
        <f>'2026年'!N3</f>
        <v>主靠背总成-前座</v>
      </c>
      <c r="O3" s="75" t="str">
        <f>'2026年'!O3</f>
        <v>副靠背总成-前座</v>
      </c>
      <c r="P3" s="75" t="str">
        <f>'2026年'!P3</f>
        <v>副靠背总成-前座</v>
      </c>
      <c r="Q3" s="75" t="str">
        <f>'2026年'!Q3</f>
        <v>副靠背总成-前座</v>
      </c>
      <c r="R3" s="75">
        <f>'2026年'!R3</f>
        <v>0</v>
      </c>
      <c r="S3" s="75">
        <f>'2026年'!S3</f>
        <v>0</v>
      </c>
      <c r="T3" s="245" t="s">
        <v>51</v>
      </c>
    </row>
    <row r="4" spans="1:48">
      <c r="A4" s="244" t="s">
        <v>144</v>
      </c>
      <c r="B4" s="244"/>
      <c r="C4" s="75" t="str">
        <f>'2026年'!C4</f>
        <v>6800010-J36-C00</v>
      </c>
      <c r="D4" s="75" t="str">
        <f>'2026年'!D4</f>
        <v>6800010-J37-C00</v>
      </c>
      <c r="E4" s="75" t="str">
        <f>'2026年'!E4</f>
        <v>6800010AJ36-C00</v>
      </c>
      <c r="F4" s="75" t="str">
        <f>'2026年'!F4</f>
        <v>6800010AJ37-C00</v>
      </c>
      <c r="G4" s="75" t="str">
        <f>'2026年'!G4</f>
        <v>6800010BJ37-C00</v>
      </c>
      <c r="H4" s="75" t="str">
        <f>'2026年'!H4</f>
        <v>6900015-J37-C00</v>
      </c>
      <c r="I4" s="75" t="str">
        <f>'2026年'!I4</f>
        <v>6903010-J36-C00</v>
      </c>
      <c r="J4" s="75" t="str">
        <f>'2026年'!J4</f>
        <v>6903010-J37-C00</v>
      </c>
      <c r="K4" s="75" t="str">
        <f>'2026年'!K4</f>
        <v>6903010AJ37-C00</v>
      </c>
      <c r="L4" s="75" t="str">
        <f>'2026年'!L4</f>
        <v>6903010BJ37-C00</v>
      </c>
      <c r="M4" s="75" t="str">
        <f>'2026年'!M4</f>
        <v>6905020-J37-C00</v>
      </c>
      <c r="N4" s="75">
        <f>'2026年'!N4</f>
        <v>0</v>
      </c>
      <c r="O4" s="75" t="str">
        <f>'2026年'!O4</f>
        <v>6905100-J36-C00</v>
      </c>
      <c r="P4" s="75" t="str">
        <f>'2026年'!P4</f>
        <v>6905100-J37-C00</v>
      </c>
      <c r="Q4" s="75">
        <f>'2026年'!Q4</f>
        <v>0</v>
      </c>
      <c r="R4" s="75">
        <f>'2026年'!R4</f>
        <v>0</v>
      </c>
      <c r="S4" s="75">
        <f>'2026年'!S4</f>
        <v>0</v>
      </c>
      <c r="T4" s="246"/>
    </row>
    <row r="5" spans="1:48" ht="99.75">
      <c r="A5" s="244" t="s">
        <v>145</v>
      </c>
      <c r="B5" s="244"/>
      <c r="C5" s="76" t="str">
        <f>'2026年'!C5</f>
        <v>靠背角度调整，座椅前后调节，通风加热，通风织物，右侧单扶手，L型头枕，左侧半包围</v>
      </c>
      <c r="D5" s="76" t="str">
        <f>'2026年'!D5</f>
        <v>空气减震，靠背角度调整，座椅前后调节，气动腰托，通风加热，超纤皮，右侧单扶手，音乐头枕+靠背按摩，左侧半包围</v>
      </c>
      <c r="E5" s="76" t="str">
        <f>'2026年'!E5</f>
        <v>靠背角度调整，座椅前后调节，通风织物，右侧单扶手，L型头枕，左侧半包围</v>
      </c>
      <c r="F5" s="76" t="str">
        <f>'2026年'!F5</f>
        <v>空气减震，靠背角度调整，座椅前后调节，气动腰托，通风加热，超纤皮，右侧单扶手，L型头枕，左侧半包围</v>
      </c>
      <c r="G5" s="76" t="str">
        <f>'2026年'!G5</f>
        <v>靠背角度调整，座椅前后调节，通风加热，通风织物，右侧单扶手，L型头枕，左侧半包围</v>
      </c>
      <c r="H5" s="76">
        <f>'2026年'!H5</f>
        <v>0</v>
      </c>
      <c r="I5" s="76" t="str">
        <f>'2026年'!I5</f>
        <v>通风织物，固定式</v>
      </c>
      <c r="J5" s="76" t="str">
        <f>'2026年'!J5</f>
        <v>抽拉功能，超纤</v>
      </c>
      <c r="K5" s="76" t="str">
        <f>'2026年'!K5</f>
        <v>抽拉功能，通风织物</v>
      </c>
      <c r="L5" s="76" t="str">
        <f>'2026年'!L5</f>
        <v>通风织物，固定式</v>
      </c>
      <c r="M5" s="76" t="str">
        <f>'2026年'!M5</f>
        <v>主靠背向前放平，中间座向前放平，L型头枕，中间座靠背集成放物盒</v>
      </c>
      <c r="N5" s="76" t="str">
        <f>'2026年'!N5</f>
        <v>参考6905020-H26-C00织物</v>
      </c>
      <c r="O5" s="76" t="str">
        <f>'2026年'!O5</f>
        <v>主靠背向前放平，中间座向前放平，L型头枕，中间座靠背集成放物盒</v>
      </c>
      <c r="P5" s="76" t="str">
        <f>'2026年'!P5</f>
        <v>主靠背向前放平，中间座向前放平，L型头枕，中间座靠背集成放物盒</v>
      </c>
      <c r="Q5" s="76" t="str">
        <f>'2026年'!Q5</f>
        <v>参考6905100-H22-C00织物</v>
      </c>
      <c r="R5" s="76">
        <f>'2026年'!R5</f>
        <v>0</v>
      </c>
      <c r="S5" s="76">
        <f>'2026年'!S5</f>
        <v>0</v>
      </c>
      <c r="T5" s="247"/>
      <c r="AV5" s="70" t="s">
        <v>52</v>
      </c>
    </row>
    <row r="6" spans="1:48" ht="17.25">
      <c r="A6" s="77" t="s">
        <v>18</v>
      </c>
      <c r="B6" s="78" t="s">
        <v>146</v>
      </c>
      <c r="C6" s="97">
        <f>销量!C12</f>
        <v>3600</v>
      </c>
      <c r="D6" s="97">
        <f>销量!D12</f>
        <v>0</v>
      </c>
      <c r="E6" s="97">
        <f>销量!E12</f>
        <v>3600</v>
      </c>
      <c r="F6" s="97">
        <f>销量!F12</f>
        <v>14400</v>
      </c>
      <c r="G6" s="97">
        <f>销量!G12</f>
        <v>14400</v>
      </c>
      <c r="H6" s="97">
        <f>销量!H12</f>
        <v>36000</v>
      </c>
      <c r="I6" s="97">
        <f>销量!I12</f>
        <v>7200</v>
      </c>
      <c r="J6" s="97">
        <f>销量!J12</f>
        <v>14400</v>
      </c>
      <c r="K6" s="97">
        <f>销量!K12</f>
        <v>7200</v>
      </c>
      <c r="L6" s="97">
        <f>销量!L12</f>
        <v>7200</v>
      </c>
      <c r="M6" s="97">
        <f>销量!M12</f>
        <v>14400</v>
      </c>
      <c r="N6" s="97">
        <f>销量!N12</f>
        <v>21600</v>
      </c>
      <c r="O6" s="97">
        <f>销量!O12</f>
        <v>7200</v>
      </c>
      <c r="P6" s="97">
        <f>销量!P12</f>
        <v>14400</v>
      </c>
      <c r="Q6" s="97">
        <f>销量!Q12</f>
        <v>14400</v>
      </c>
      <c r="R6" s="97">
        <f>销量!R12</f>
        <v>0</v>
      </c>
      <c r="S6" s="97">
        <f>销量!S12</f>
        <v>0</v>
      </c>
      <c r="T6" s="80">
        <f>+SUM(C6:S6)</f>
        <v>180000</v>
      </c>
      <c r="AT6" s="77" t="s">
        <v>18</v>
      </c>
      <c r="AU6" s="78" t="s">
        <v>3</v>
      </c>
      <c r="AV6" s="70" t="s">
        <v>53</v>
      </c>
    </row>
    <row r="7" spans="1:48">
      <c r="A7" s="74">
        <v>1</v>
      </c>
      <c r="B7" s="78" t="s">
        <v>54</v>
      </c>
      <c r="C7" s="80">
        <f>C6*销量!C8</f>
        <v>2776572</v>
      </c>
      <c r="D7" s="80">
        <f>D6*销量!D8</f>
        <v>0</v>
      </c>
      <c r="E7" s="80">
        <f>E6*销量!E8</f>
        <v>1465200</v>
      </c>
      <c r="F7" s="80">
        <f>F6*销量!F8</f>
        <v>17455680</v>
      </c>
      <c r="G7" s="80">
        <f>G6*销量!G8</f>
        <v>11106288</v>
      </c>
      <c r="H7" s="80">
        <f>H6*销量!H8</f>
        <v>324000</v>
      </c>
      <c r="I7" s="80">
        <f>I6*销量!I8</f>
        <v>920592</v>
      </c>
      <c r="J7" s="80">
        <f>J6*销量!J8</f>
        <v>4553856</v>
      </c>
      <c r="K7" s="80">
        <f>K6*销量!K8</f>
        <v>2089584.0000000002</v>
      </c>
      <c r="L7" s="80">
        <f>L6*销量!L8</f>
        <v>1007352</v>
      </c>
      <c r="M7" s="80">
        <f>M6*销量!M8</f>
        <v>2229264</v>
      </c>
      <c r="N7" s="80">
        <f>N6*销量!N8</f>
        <v>2598696</v>
      </c>
      <c r="O7" s="80">
        <f>O6*销量!O8</f>
        <v>766224</v>
      </c>
      <c r="P7" s="80">
        <f>P6*销量!P8</f>
        <v>2077488.0000000002</v>
      </c>
      <c r="Q7" s="80">
        <f>Q6*销量!Q8</f>
        <v>1814400</v>
      </c>
      <c r="R7" s="80">
        <f>R6*销量!R8</f>
        <v>0</v>
      </c>
      <c r="S7" s="80">
        <f>S6*销量!S8</f>
        <v>0</v>
      </c>
      <c r="T7" s="80">
        <f t="shared" ref="T7:T13" si="0">+SUM(C7:S7)</f>
        <v>51185196</v>
      </c>
      <c r="U7" s="73"/>
      <c r="AT7" s="77" t="s">
        <v>55</v>
      </c>
      <c r="AU7" s="78" t="s">
        <v>54</v>
      </c>
      <c r="AV7" s="70" t="s">
        <v>53</v>
      </c>
    </row>
    <row r="8" spans="1:48">
      <c r="A8" s="74">
        <v>2</v>
      </c>
      <c r="B8" s="74" t="s">
        <v>56</v>
      </c>
      <c r="C8" s="80">
        <f>C7*(1-销量!$W$9)</f>
        <v>163284.64617600024</v>
      </c>
      <c r="D8" s="80">
        <f>D7*(1-销量!$W$9)</f>
        <v>0</v>
      </c>
      <c r="E8" s="80">
        <f>E7*(1-销量!$W$9)</f>
        <v>86165.481600000116</v>
      </c>
      <c r="F8" s="80">
        <f>F7*(1-销量!$W$9)</f>
        <v>1026533.6294400014</v>
      </c>
      <c r="G8" s="80">
        <f>G7*(1-销量!$W$9)</f>
        <v>653138.58470400097</v>
      </c>
      <c r="H8" s="80">
        <f>H7*(1-销量!$W$9)</f>
        <v>19053.792000000027</v>
      </c>
      <c r="I8" s="80">
        <f>I7*(1-销量!$W$9)</f>
        <v>54138.174336000076</v>
      </c>
      <c r="J8" s="80">
        <f>J7*(1-销量!$W$9)</f>
        <v>267803.16364800039</v>
      </c>
      <c r="K8" s="80">
        <f>K7*(1-销量!$W$9)</f>
        <v>122884.25587200018</v>
      </c>
      <c r="L8" s="80">
        <f>L7*(1-销量!$W$9)</f>
        <v>59240.356416000082</v>
      </c>
      <c r="M8" s="80">
        <f>M7*(1-销量!$W$9)</f>
        <v>131098.55731200019</v>
      </c>
      <c r="N8" s="80">
        <f>N7*(1-销量!$W$9)</f>
        <v>152824.11436800021</v>
      </c>
      <c r="O8" s="80">
        <f>O7*(1-销量!$W$9)</f>
        <v>45060.100992000065</v>
      </c>
      <c r="P8" s="80">
        <f>P7*(1-销量!$W$9)</f>
        <v>122172.91430400018</v>
      </c>
      <c r="Q8" s="80">
        <f>Q7*(1-销量!$W$9)</f>
        <v>106701.23520000016</v>
      </c>
      <c r="R8" s="80">
        <f>R7*(1-销量!$W$9)</f>
        <v>0</v>
      </c>
      <c r="S8" s="80">
        <f>S7*(1-销量!$W$9)</f>
        <v>0</v>
      </c>
      <c r="T8" s="80">
        <f t="shared" si="0"/>
        <v>3010099.0063680043</v>
      </c>
      <c r="U8" s="81"/>
      <c r="AT8" s="77" t="s">
        <v>57</v>
      </c>
      <c r="AU8" s="74" t="s">
        <v>58</v>
      </c>
      <c r="AV8" s="70" t="s">
        <v>53</v>
      </c>
    </row>
    <row r="9" spans="1:48">
      <c r="A9" s="74">
        <v>3</v>
      </c>
      <c r="B9" s="78" t="s">
        <v>59</v>
      </c>
      <c r="C9" s="80">
        <f>+C7-C8</f>
        <v>2613287.3538239999</v>
      </c>
      <c r="D9" s="80">
        <f>+D7-D8</f>
        <v>0</v>
      </c>
      <c r="E9" s="80">
        <f t="shared" ref="E9:T9" si="1">+E7-E8</f>
        <v>1379034.5183999999</v>
      </c>
      <c r="F9" s="80">
        <f t="shared" si="1"/>
        <v>16429146.370559998</v>
      </c>
      <c r="G9" s="80">
        <f t="shared" ref="G9:Q9" si="2">+G7-G8</f>
        <v>10453149.415295999</v>
      </c>
      <c r="H9" s="80">
        <f t="shared" si="2"/>
        <v>304946.20799999998</v>
      </c>
      <c r="I9" s="80">
        <f t="shared" si="2"/>
        <v>866453.82566399989</v>
      </c>
      <c r="J9" s="80">
        <f t="shared" si="2"/>
        <v>4286052.836352</v>
      </c>
      <c r="K9" s="80">
        <f t="shared" si="2"/>
        <v>1966699.744128</v>
      </c>
      <c r="L9" s="80">
        <f t="shared" si="2"/>
        <v>948111.64358399995</v>
      </c>
      <c r="M9" s="80">
        <f t="shared" si="2"/>
        <v>2098165.4426879999</v>
      </c>
      <c r="N9" s="80">
        <f t="shared" si="2"/>
        <v>2445871.8856319999</v>
      </c>
      <c r="O9" s="80">
        <f t="shared" si="2"/>
        <v>721163.89900799992</v>
      </c>
      <c r="P9" s="80">
        <f t="shared" si="2"/>
        <v>1955315.0856960001</v>
      </c>
      <c r="Q9" s="80">
        <f t="shared" si="2"/>
        <v>1707698.7647999998</v>
      </c>
      <c r="R9" s="80">
        <f t="shared" ref="R9:S9" si="3">+R7-R8</f>
        <v>0</v>
      </c>
      <c r="S9" s="80">
        <f t="shared" si="3"/>
        <v>0</v>
      </c>
      <c r="T9" s="80">
        <f t="shared" si="1"/>
        <v>48175096.993631996</v>
      </c>
      <c r="AT9" s="77" t="s">
        <v>60</v>
      </c>
      <c r="AU9" s="78" t="s">
        <v>59</v>
      </c>
      <c r="AV9" s="70" t="s">
        <v>61</v>
      </c>
    </row>
    <row r="10" spans="1:48">
      <c r="A10" s="74">
        <v>4</v>
      </c>
      <c r="B10" s="77" t="s">
        <v>63</v>
      </c>
      <c r="C10" s="80">
        <f>C6*C33</f>
        <v>2082071.0594880001</v>
      </c>
      <c r="D10" s="80">
        <f>D6*D33</f>
        <v>0</v>
      </c>
      <c r="E10" s="80">
        <f t="shared" ref="E10:F10" si="4">E6*E33</f>
        <v>1019502.9391679999</v>
      </c>
      <c r="F10" s="80">
        <f t="shared" si="4"/>
        <v>11536081.999861592</v>
      </c>
      <c r="G10" s="80">
        <f t="shared" ref="G10:Q10" si="5">G6*G33</f>
        <v>8328284.2379520005</v>
      </c>
      <c r="H10" s="80">
        <f t="shared" si="5"/>
        <v>166703.92704000001</v>
      </c>
      <c r="I10" s="80">
        <f t="shared" si="5"/>
        <v>606697.80892140104</v>
      </c>
      <c r="J10" s="80">
        <f t="shared" si="5"/>
        <v>3906564.2219520006</v>
      </c>
      <c r="K10" s="80">
        <f t="shared" si="5"/>
        <v>1725860.0056319998</v>
      </c>
      <c r="L10" s="80">
        <f t="shared" si="5"/>
        <v>617133.66869582748</v>
      </c>
      <c r="M10" s="80">
        <f t="shared" si="5"/>
        <v>1774008.4977631294</v>
      </c>
      <c r="N10" s="80">
        <f t="shared" si="5"/>
        <v>2302140.5729279998</v>
      </c>
      <c r="O10" s="80">
        <f t="shared" si="5"/>
        <v>522425.55579820025</v>
      </c>
      <c r="P10" s="80">
        <f t="shared" si="5"/>
        <v>1349251.4556378881</v>
      </c>
      <c r="Q10" s="80">
        <f t="shared" si="5"/>
        <v>1196066.7936</v>
      </c>
      <c r="R10" s="80">
        <f t="shared" ref="R10:S10" si="6">R6*R33</f>
        <v>0</v>
      </c>
      <c r="S10" s="80">
        <f t="shared" si="6"/>
        <v>0</v>
      </c>
      <c r="T10" s="80">
        <f t="shared" si="0"/>
        <v>37132792.744438037</v>
      </c>
      <c r="AT10" s="77" t="s">
        <v>62</v>
      </c>
      <c r="AU10" s="77" t="s">
        <v>63</v>
      </c>
      <c r="AV10" s="70" t="s">
        <v>64</v>
      </c>
    </row>
    <row r="11" spans="1:48">
      <c r="A11" s="74">
        <v>5</v>
      </c>
      <c r="B11" s="77" t="s">
        <v>65</v>
      </c>
      <c r="C11" s="80">
        <f>+C6*C36</f>
        <v>192694.0968</v>
      </c>
      <c r="D11" s="80">
        <f>+D6*D36</f>
        <v>0</v>
      </c>
      <c r="E11" s="80">
        <f t="shared" ref="E11:F11" si="7">+E6*E36</f>
        <v>101684.88</v>
      </c>
      <c r="F11" s="80">
        <f t="shared" si="7"/>
        <v>1211424.192</v>
      </c>
      <c r="G11" s="80">
        <f t="shared" ref="G11:Q11" si="8">+G6*G36</f>
        <v>770776.3872</v>
      </c>
      <c r="H11" s="80">
        <f t="shared" si="8"/>
        <v>22485.600000000002</v>
      </c>
      <c r="I11" s="80">
        <f t="shared" si="8"/>
        <v>63889.084800000011</v>
      </c>
      <c r="J11" s="80">
        <f t="shared" si="8"/>
        <v>316037.60640000005</v>
      </c>
      <c r="K11" s="80">
        <f t="shared" si="8"/>
        <v>145017.12960000001</v>
      </c>
      <c r="L11" s="80">
        <f t="shared" si="8"/>
        <v>69910.228799999997</v>
      </c>
      <c r="M11" s="80">
        <f t="shared" si="8"/>
        <v>154710.9216</v>
      </c>
      <c r="N11" s="80">
        <f t="shared" si="8"/>
        <v>180349.50240000003</v>
      </c>
      <c r="O11" s="80">
        <f t="shared" si="8"/>
        <v>53175.945600000006</v>
      </c>
      <c r="P11" s="80">
        <f t="shared" si="8"/>
        <v>144177.66720000003</v>
      </c>
      <c r="Q11" s="80">
        <f t="shared" si="8"/>
        <v>125919.36000000002</v>
      </c>
      <c r="R11" s="80">
        <f t="shared" ref="R11:S11" si="9">+R6*R36</f>
        <v>0</v>
      </c>
      <c r="S11" s="80">
        <f t="shared" si="9"/>
        <v>0</v>
      </c>
      <c r="T11" s="80">
        <f t="shared" si="0"/>
        <v>3552252.6024000002</v>
      </c>
      <c r="AT11" s="77" t="s">
        <v>66</v>
      </c>
      <c r="AU11" s="77" t="s">
        <v>65</v>
      </c>
    </row>
    <row r="12" spans="1:48">
      <c r="A12" s="74">
        <v>6</v>
      </c>
      <c r="B12" s="77" t="s">
        <v>67</v>
      </c>
      <c r="C12" s="80">
        <f>+C6*C37</f>
        <v>120503.2248</v>
      </c>
      <c r="D12" s="80">
        <f>+D6*D37</f>
        <v>0</v>
      </c>
      <c r="E12" s="80">
        <f t="shared" ref="E12:F12" si="10">+E6*E37</f>
        <v>63589.680000000008</v>
      </c>
      <c r="F12" s="80">
        <f t="shared" si="10"/>
        <v>757576.5120000001</v>
      </c>
      <c r="G12" s="80">
        <f t="shared" ref="G12:Q12" si="11">+G6*G37</f>
        <v>482012.89919999999</v>
      </c>
      <c r="H12" s="80">
        <f t="shared" si="11"/>
        <v>14061.6</v>
      </c>
      <c r="I12" s="80">
        <f t="shared" si="11"/>
        <v>39953.692799999997</v>
      </c>
      <c r="J12" s="80">
        <f t="shared" si="11"/>
        <v>197637.3504</v>
      </c>
      <c r="K12" s="80">
        <f t="shared" si="11"/>
        <v>90687.945600000006</v>
      </c>
      <c r="L12" s="80">
        <f t="shared" si="11"/>
        <v>43719.076800000003</v>
      </c>
      <c r="M12" s="80">
        <f t="shared" si="11"/>
        <v>96750.057600000015</v>
      </c>
      <c r="N12" s="80">
        <f t="shared" si="11"/>
        <v>112783.40640000001</v>
      </c>
      <c r="O12" s="80">
        <f t="shared" si="11"/>
        <v>33254.121599999999</v>
      </c>
      <c r="P12" s="80">
        <f t="shared" si="11"/>
        <v>90162.979200000002</v>
      </c>
      <c r="Q12" s="80">
        <f t="shared" si="11"/>
        <v>78744.959999999992</v>
      </c>
      <c r="R12" s="80">
        <f t="shared" ref="R12:S12" si="12">+R6*R37</f>
        <v>0</v>
      </c>
      <c r="S12" s="80">
        <f t="shared" si="12"/>
        <v>0</v>
      </c>
      <c r="T12" s="80">
        <f t="shared" si="0"/>
        <v>2221437.5064000003</v>
      </c>
      <c r="AT12" s="77" t="s">
        <v>68</v>
      </c>
      <c r="AU12" s="77" t="s">
        <v>67</v>
      </c>
    </row>
    <row r="13" spans="1:48">
      <c r="A13" s="74">
        <v>7</v>
      </c>
      <c r="B13" s="77" t="s">
        <v>69</v>
      </c>
      <c r="C13" s="80">
        <f>+C6*C38</f>
        <v>54000</v>
      </c>
      <c r="D13" s="80">
        <f>+D6*D38</f>
        <v>0</v>
      </c>
      <c r="E13" s="80">
        <f t="shared" ref="E13:F13" si="13">+E6*E38</f>
        <v>54000</v>
      </c>
      <c r="F13" s="80">
        <f t="shared" si="13"/>
        <v>331200</v>
      </c>
      <c r="G13" s="80">
        <f t="shared" ref="G13:Q13" si="14">+G6*G38</f>
        <v>216000</v>
      </c>
      <c r="H13" s="80">
        <f t="shared" si="14"/>
        <v>21092.400000000001</v>
      </c>
      <c r="I13" s="80">
        <f t="shared" si="14"/>
        <v>72000</v>
      </c>
      <c r="J13" s="80">
        <f t="shared" si="14"/>
        <v>144000</v>
      </c>
      <c r="K13" s="80">
        <f t="shared" si="14"/>
        <v>72000</v>
      </c>
      <c r="L13" s="80">
        <f t="shared" si="14"/>
        <v>72000</v>
      </c>
      <c r="M13" s="80">
        <f t="shared" si="14"/>
        <v>86400</v>
      </c>
      <c r="N13" s="80">
        <f t="shared" si="14"/>
        <v>129600</v>
      </c>
      <c r="O13" s="80">
        <f t="shared" si="14"/>
        <v>28800</v>
      </c>
      <c r="P13" s="80">
        <f t="shared" si="14"/>
        <v>57600</v>
      </c>
      <c r="Q13" s="80">
        <f t="shared" si="14"/>
        <v>57600</v>
      </c>
      <c r="R13" s="80">
        <f t="shared" ref="R13:S13" si="15">+R6*R38</f>
        <v>0</v>
      </c>
      <c r="S13" s="80">
        <f t="shared" si="15"/>
        <v>0</v>
      </c>
      <c r="T13" s="80">
        <f t="shared" si="0"/>
        <v>1396292.4</v>
      </c>
      <c r="AT13" s="77" t="s">
        <v>70</v>
      </c>
      <c r="AU13" s="77" t="s">
        <v>69</v>
      </c>
      <c r="AV13" s="70" t="s">
        <v>53</v>
      </c>
    </row>
    <row r="14" spans="1:48">
      <c r="A14" s="74">
        <v>8</v>
      </c>
      <c r="B14" s="82" t="s">
        <v>71</v>
      </c>
      <c r="C14" s="80">
        <f>SUM(C11:C13)</f>
        <v>367197.32160000002</v>
      </c>
      <c r="D14" s="80">
        <f>SUM(D11:D13)</f>
        <v>0</v>
      </c>
      <c r="E14" s="80">
        <f t="shared" ref="E14:T14" si="16">SUM(E11:E13)</f>
        <v>219274.56</v>
      </c>
      <c r="F14" s="80">
        <f t="shared" si="16"/>
        <v>2300200.7039999999</v>
      </c>
      <c r="G14" s="80">
        <f t="shared" ref="G14:Q14" si="17">SUM(G11:G13)</f>
        <v>1468789.2864000001</v>
      </c>
      <c r="H14" s="80">
        <f t="shared" si="17"/>
        <v>57639.600000000006</v>
      </c>
      <c r="I14" s="80">
        <f t="shared" si="17"/>
        <v>175842.7776</v>
      </c>
      <c r="J14" s="80">
        <f t="shared" si="17"/>
        <v>657674.95680000004</v>
      </c>
      <c r="K14" s="80">
        <f t="shared" si="17"/>
        <v>307705.07520000002</v>
      </c>
      <c r="L14" s="80">
        <f t="shared" si="17"/>
        <v>185629.30559999999</v>
      </c>
      <c r="M14" s="80">
        <f t="shared" si="17"/>
        <v>337860.9792</v>
      </c>
      <c r="N14" s="80">
        <f t="shared" si="17"/>
        <v>422732.90880000003</v>
      </c>
      <c r="O14" s="80">
        <f t="shared" si="17"/>
        <v>115230.0672</v>
      </c>
      <c r="P14" s="80">
        <f t="shared" si="17"/>
        <v>291940.64640000003</v>
      </c>
      <c r="Q14" s="80">
        <f t="shared" si="17"/>
        <v>262264.32000000001</v>
      </c>
      <c r="R14" s="80">
        <f t="shared" ref="R14:S14" si="18">SUM(R11:R13)</f>
        <v>0</v>
      </c>
      <c r="S14" s="80">
        <f t="shared" si="18"/>
        <v>0</v>
      </c>
      <c r="T14" s="80">
        <f t="shared" si="16"/>
        <v>7169982.5088</v>
      </c>
      <c r="AT14" s="77" t="s">
        <v>72</v>
      </c>
      <c r="AU14" s="82" t="s">
        <v>71</v>
      </c>
    </row>
    <row r="15" spans="1:48">
      <c r="A15" s="74">
        <v>9</v>
      </c>
      <c r="B15" s="82" t="s">
        <v>73</v>
      </c>
      <c r="C15" s="80">
        <f>+C9-C10-C14</f>
        <v>164018.97273599973</v>
      </c>
      <c r="D15" s="80">
        <f>+D9-D10-D14</f>
        <v>0</v>
      </c>
      <c r="E15" s="80">
        <f t="shared" ref="E15:T15" si="19">+E9-E10-E14</f>
        <v>140257.01923200005</v>
      </c>
      <c r="F15" s="80">
        <f t="shared" si="19"/>
        <v>2592863.6666984055</v>
      </c>
      <c r="G15" s="80">
        <f t="shared" ref="G15:Q15" si="20">+G9-G10-G14</f>
        <v>656075.89094399894</v>
      </c>
      <c r="H15" s="80">
        <f t="shared" si="20"/>
        <v>80602.680959999969</v>
      </c>
      <c r="I15" s="80">
        <f t="shared" si="20"/>
        <v>83913.239142598846</v>
      </c>
      <c r="J15" s="80">
        <f t="shared" si="20"/>
        <v>-278186.34240000066</v>
      </c>
      <c r="K15" s="80">
        <f t="shared" si="20"/>
        <v>-66865.336703999841</v>
      </c>
      <c r="L15" s="80">
        <f t="shared" si="20"/>
        <v>145348.66928817247</v>
      </c>
      <c r="M15" s="80">
        <f t="shared" si="20"/>
        <v>-13704.034275129496</v>
      </c>
      <c r="N15" s="80">
        <f t="shared" si="20"/>
        <v>-279001.59609599988</v>
      </c>
      <c r="O15" s="80">
        <f t="shared" si="20"/>
        <v>83508.276009799665</v>
      </c>
      <c r="P15" s="80">
        <f t="shared" si="20"/>
        <v>314122.98365811206</v>
      </c>
      <c r="Q15" s="80">
        <f t="shared" si="20"/>
        <v>249367.65119999979</v>
      </c>
      <c r="R15" s="80">
        <f t="shared" ref="R15:S15" si="21">+R9-R10-R14</f>
        <v>0</v>
      </c>
      <c r="S15" s="80">
        <f t="shared" si="21"/>
        <v>0</v>
      </c>
      <c r="T15" s="80">
        <f t="shared" si="19"/>
        <v>3872321.740393959</v>
      </c>
      <c r="AT15" s="77" t="s">
        <v>74</v>
      </c>
      <c r="AU15" s="82" t="s">
        <v>73</v>
      </c>
    </row>
    <row r="16" spans="1:48">
      <c r="A16" s="74">
        <v>10</v>
      </c>
      <c r="B16" s="77" t="s">
        <v>75</v>
      </c>
      <c r="C16" s="83">
        <f>+C15/C9</f>
        <v>6.2763466289305014E-2</v>
      </c>
      <c r="D16" s="83" t="e">
        <f>+D15/D9</f>
        <v>#DIV/0!</v>
      </c>
      <c r="E16" s="83">
        <f t="shared" ref="E16:F16" si="22">+E15/E9</f>
        <v>0.10170667765062961</v>
      </c>
      <c r="F16" s="83">
        <f t="shared" si="22"/>
        <v>0.15782096088355843</v>
      </c>
      <c r="G16" s="83">
        <f t="shared" ref="G16:Q16" si="23">+G15/G9</f>
        <v>6.2763466289305014E-2</v>
      </c>
      <c r="H16" s="83">
        <f t="shared" si="23"/>
        <v>0.26431770209124872</v>
      </c>
      <c r="I16" s="83">
        <f t="shared" si="23"/>
        <v>9.6846752425950242E-2</v>
      </c>
      <c r="J16" s="83">
        <f t="shared" si="23"/>
        <v>-6.4905019378336495E-2</v>
      </c>
      <c r="K16" s="83">
        <f t="shared" si="23"/>
        <v>-3.399875192115142E-2</v>
      </c>
      <c r="L16" s="83">
        <f t="shared" si="23"/>
        <v>0.15330332695708004</v>
      </c>
      <c r="M16" s="83">
        <f t="shared" si="23"/>
        <v>-6.5314364617372568E-3</v>
      </c>
      <c r="N16" s="83">
        <f t="shared" si="23"/>
        <v>-0.11407040480532257</v>
      </c>
      <c r="O16" s="83">
        <f t="shared" si="23"/>
        <v>0.11579652853487235</v>
      </c>
      <c r="P16" s="83">
        <f t="shared" si="23"/>
        <v>0.16065082602597477</v>
      </c>
      <c r="Q16" s="83">
        <f t="shared" si="23"/>
        <v>0.1460255499038233</v>
      </c>
      <c r="R16" s="83" t="e">
        <f t="shared" ref="R16:S16" si="24">+R15/R9</f>
        <v>#DIV/0!</v>
      </c>
      <c r="S16" s="83" t="e">
        <f t="shared" si="24"/>
        <v>#DIV/0!</v>
      </c>
      <c r="T16" s="83">
        <f>+T15/T9</f>
        <v>8.0380154520619237E-2</v>
      </c>
      <c r="U16" s="84"/>
      <c r="V16" s="84"/>
      <c r="W16" s="84"/>
      <c r="AT16" s="77" t="s">
        <v>76</v>
      </c>
      <c r="AU16" s="77" t="s">
        <v>75</v>
      </c>
    </row>
    <row r="17" spans="1:48">
      <c r="A17" s="74">
        <v>11</v>
      </c>
      <c r="B17" s="77" t="s">
        <v>77</v>
      </c>
      <c r="C17" s="80">
        <f>C6*C43+C18</f>
        <v>235641.19</v>
      </c>
      <c r="D17" s="80">
        <f>D6*D43+D18</f>
        <v>0</v>
      </c>
      <c r="E17" s="80">
        <f t="shared" ref="E17:F17" si="25">E6*E43+E18</f>
        <v>127453</v>
      </c>
      <c r="F17" s="80">
        <f t="shared" si="25"/>
        <v>1466389.6</v>
      </c>
      <c r="G17" s="80">
        <f t="shared" ref="G17:Q17" si="26">G6*G43+G18</f>
        <v>942564.76</v>
      </c>
      <c r="H17" s="80">
        <f t="shared" si="26"/>
        <v>92470</v>
      </c>
      <c r="I17" s="80">
        <f t="shared" si="26"/>
        <v>89096.840000000011</v>
      </c>
      <c r="J17" s="80">
        <f t="shared" si="26"/>
        <v>401989.12</v>
      </c>
      <c r="K17" s="80">
        <f t="shared" si="26"/>
        <v>185538.68000000002</v>
      </c>
      <c r="L17" s="80">
        <f t="shared" si="26"/>
        <v>96254.540000000008</v>
      </c>
      <c r="M17" s="80">
        <f t="shared" si="26"/>
        <v>210210.28000000003</v>
      </c>
      <c r="N17" s="80">
        <f t="shared" si="26"/>
        <v>253836.42</v>
      </c>
      <c r="O17" s="80">
        <f t="shared" si="26"/>
        <v>76361.48000000001</v>
      </c>
      <c r="P17" s="80">
        <f t="shared" si="26"/>
        <v>197688.76</v>
      </c>
      <c r="Q17" s="80">
        <f t="shared" si="26"/>
        <v>175984.00000000003</v>
      </c>
      <c r="R17" s="80">
        <f t="shared" ref="R17:S17" si="27">R6*R43+R18</f>
        <v>0</v>
      </c>
      <c r="S17" s="80">
        <f t="shared" si="27"/>
        <v>0</v>
      </c>
      <c r="T17" s="80">
        <f>+SUM(C17:S17)</f>
        <v>4551478.67</v>
      </c>
      <c r="U17" s="81"/>
      <c r="AT17" s="77" t="s">
        <v>78</v>
      </c>
      <c r="AU17" s="77" t="s">
        <v>77</v>
      </c>
    </row>
    <row r="18" spans="1:48" s="71" customFormat="1">
      <c r="A18" s="74">
        <v>12</v>
      </c>
      <c r="B18" s="85" t="s">
        <v>147</v>
      </c>
      <c r="C18" s="86">
        <f t="shared" ref="C18:Q18" si="28">$T$18/$T$6*C6</f>
        <v>6574</v>
      </c>
      <c r="D18" s="86">
        <f t="shared" si="28"/>
        <v>0</v>
      </c>
      <c r="E18" s="86">
        <f t="shared" si="28"/>
        <v>6574</v>
      </c>
      <c r="F18" s="86">
        <f t="shared" si="28"/>
        <v>26296</v>
      </c>
      <c r="G18" s="86">
        <f t="shared" si="28"/>
        <v>26296</v>
      </c>
      <c r="H18" s="86">
        <f t="shared" si="28"/>
        <v>65740</v>
      </c>
      <c r="I18" s="86">
        <f t="shared" si="28"/>
        <v>13148</v>
      </c>
      <c r="J18" s="86">
        <f t="shared" si="28"/>
        <v>26296</v>
      </c>
      <c r="K18" s="86">
        <f t="shared" si="28"/>
        <v>13148</v>
      </c>
      <c r="L18" s="86">
        <f t="shared" si="28"/>
        <v>13148</v>
      </c>
      <c r="M18" s="86">
        <f t="shared" si="28"/>
        <v>26296</v>
      </c>
      <c r="N18" s="86">
        <f t="shared" si="28"/>
        <v>39444</v>
      </c>
      <c r="O18" s="86">
        <f t="shared" si="28"/>
        <v>13148</v>
      </c>
      <c r="P18" s="86">
        <f t="shared" si="28"/>
        <v>26296</v>
      </c>
      <c r="Q18" s="86">
        <f t="shared" si="28"/>
        <v>26296</v>
      </c>
      <c r="R18" s="86">
        <f t="shared" ref="R18:S18" si="29">$T$18/$T$6*R6</f>
        <v>0</v>
      </c>
      <c r="S18" s="86">
        <f t="shared" si="29"/>
        <v>0</v>
      </c>
      <c r="T18" s="80">
        <f>项目投资!G26</f>
        <v>328700</v>
      </c>
      <c r="U18" s="87" t="s">
        <v>148</v>
      </c>
      <c r="V18" s="87"/>
      <c r="W18" s="87"/>
    </row>
    <row r="19" spans="1:48">
      <c r="A19" s="74">
        <v>13</v>
      </c>
      <c r="B19" s="77" t="s">
        <v>79</v>
      </c>
      <c r="C19" s="80">
        <f>C6*C44</f>
        <v>47757.038399999998</v>
      </c>
      <c r="D19" s="80">
        <f>D6*D44</f>
        <v>0</v>
      </c>
      <c r="E19" s="80">
        <f t="shared" ref="E19:F19" si="30">E6*E44</f>
        <v>25201.439999999999</v>
      </c>
      <c r="F19" s="80">
        <f t="shared" si="30"/>
        <v>300237.696</v>
      </c>
      <c r="G19" s="80">
        <f t="shared" ref="G19:Q19" si="31">G6*G44</f>
        <v>191028.15359999999</v>
      </c>
      <c r="H19" s="80">
        <f t="shared" si="31"/>
        <v>5572.8</v>
      </c>
      <c r="I19" s="80">
        <f t="shared" si="31"/>
        <v>15834.1824</v>
      </c>
      <c r="J19" s="80">
        <f t="shared" si="31"/>
        <v>78326.323199999999</v>
      </c>
      <c r="K19" s="80">
        <f t="shared" si="31"/>
        <v>35940.844800000006</v>
      </c>
      <c r="L19" s="80">
        <f t="shared" si="31"/>
        <v>17326.454399999999</v>
      </c>
      <c r="M19" s="80">
        <f t="shared" si="31"/>
        <v>38343.340799999998</v>
      </c>
      <c r="N19" s="80">
        <f t="shared" si="31"/>
        <v>44697.571200000006</v>
      </c>
      <c r="O19" s="80">
        <f t="shared" si="31"/>
        <v>13179.052799999999</v>
      </c>
      <c r="P19" s="80">
        <f t="shared" si="31"/>
        <v>35732.793600000005</v>
      </c>
      <c r="Q19" s="80">
        <f t="shared" si="31"/>
        <v>31207.679999999997</v>
      </c>
      <c r="R19" s="80">
        <f t="shared" ref="R19:S19" si="32">R6*R44</f>
        <v>0</v>
      </c>
      <c r="S19" s="80">
        <f t="shared" si="32"/>
        <v>0</v>
      </c>
      <c r="T19" s="80">
        <f t="shared" ref="T19:T20" si="33">+SUM(C19:S19)</f>
        <v>880385.37120000005</v>
      </c>
      <c r="U19" s="71"/>
      <c r="AT19" s="77" t="s">
        <v>80</v>
      </c>
      <c r="AU19" s="77" t="s">
        <v>79</v>
      </c>
      <c r="AV19" s="70" t="s">
        <v>53</v>
      </c>
    </row>
    <row r="20" spans="1:48">
      <c r="A20" s="74">
        <v>14</v>
      </c>
      <c r="B20" s="77" t="s">
        <v>81</v>
      </c>
      <c r="C20" s="80">
        <f>C6*C45</f>
        <v>73301.500799999994</v>
      </c>
      <c r="D20" s="80">
        <f>D6*D45</f>
        <v>0</v>
      </c>
      <c r="E20" s="80">
        <f t="shared" ref="E20:F20" si="34">E6*E45</f>
        <v>38681.279999999999</v>
      </c>
      <c r="F20" s="80">
        <f t="shared" si="34"/>
        <v>460829.95199999999</v>
      </c>
      <c r="G20" s="80">
        <f t="shared" ref="G20:Q20" si="35">G6*G45</f>
        <v>293206.00319999998</v>
      </c>
      <c r="H20" s="80">
        <f t="shared" si="35"/>
        <v>8553.6</v>
      </c>
      <c r="I20" s="80">
        <f t="shared" si="35"/>
        <v>24303.628799999999</v>
      </c>
      <c r="J20" s="80">
        <f t="shared" si="35"/>
        <v>120221.79840000001</v>
      </c>
      <c r="K20" s="80">
        <f t="shared" si="35"/>
        <v>55165.017600000006</v>
      </c>
      <c r="L20" s="80">
        <f t="shared" si="35"/>
        <v>26594.092799999999</v>
      </c>
      <c r="M20" s="80">
        <f t="shared" si="35"/>
        <v>58852.569600000003</v>
      </c>
      <c r="N20" s="80">
        <f t="shared" si="35"/>
        <v>68605.574399999998</v>
      </c>
      <c r="O20" s="80">
        <f t="shared" si="35"/>
        <v>20228.313600000001</v>
      </c>
      <c r="P20" s="80">
        <f t="shared" si="35"/>
        <v>54845.683200000007</v>
      </c>
      <c r="Q20" s="80">
        <f t="shared" si="35"/>
        <v>47900.160000000003</v>
      </c>
      <c r="R20" s="80">
        <f t="shared" ref="R20:S20" si="36">R6*R45</f>
        <v>0</v>
      </c>
      <c r="S20" s="80">
        <f t="shared" si="36"/>
        <v>0</v>
      </c>
      <c r="T20" s="80">
        <f t="shared" si="33"/>
        <v>1351289.1743999999</v>
      </c>
      <c r="AT20" s="77" t="s">
        <v>82</v>
      </c>
      <c r="AU20" s="77" t="s">
        <v>81</v>
      </c>
    </row>
    <row r="21" spans="1:48">
      <c r="A21" s="74">
        <v>15</v>
      </c>
      <c r="B21" s="77" t="s">
        <v>83</v>
      </c>
      <c r="C21" s="88">
        <f>$T$21/$T$6*C6</f>
        <v>2240</v>
      </c>
      <c r="D21" s="88">
        <f>$T$21/$T$6*D6</f>
        <v>0</v>
      </c>
      <c r="E21" s="88">
        <f t="shared" ref="E21:F21" si="37">$T$21/$T$6*E6</f>
        <v>2240</v>
      </c>
      <c r="F21" s="88">
        <f t="shared" si="37"/>
        <v>8960</v>
      </c>
      <c r="G21" s="88">
        <f t="shared" ref="G21:Q21" si="38">$T$21/$T$6*G6</f>
        <v>8960</v>
      </c>
      <c r="H21" s="88">
        <f t="shared" si="38"/>
        <v>22400</v>
      </c>
      <c r="I21" s="88">
        <f t="shared" si="38"/>
        <v>4480</v>
      </c>
      <c r="J21" s="88">
        <f t="shared" si="38"/>
        <v>8960</v>
      </c>
      <c r="K21" s="88">
        <f t="shared" si="38"/>
        <v>4480</v>
      </c>
      <c r="L21" s="88">
        <f t="shared" si="38"/>
        <v>4480</v>
      </c>
      <c r="M21" s="88">
        <f t="shared" si="38"/>
        <v>8960</v>
      </c>
      <c r="N21" s="88">
        <f t="shared" si="38"/>
        <v>13440</v>
      </c>
      <c r="O21" s="88">
        <f t="shared" si="38"/>
        <v>4480</v>
      </c>
      <c r="P21" s="88">
        <f t="shared" si="38"/>
        <v>8960</v>
      </c>
      <c r="Q21" s="88">
        <f t="shared" si="38"/>
        <v>8960</v>
      </c>
      <c r="R21" s="88">
        <f t="shared" ref="R21:S21" si="39">$T$21/$T$6*R6</f>
        <v>0</v>
      </c>
      <c r="S21" s="88">
        <f t="shared" si="39"/>
        <v>0</v>
      </c>
      <c r="T21" s="80">
        <f>项目投资!G27</f>
        <v>112000</v>
      </c>
      <c r="AT21" s="77"/>
      <c r="AU21" s="77"/>
    </row>
    <row r="22" spans="1:48">
      <c r="A22" s="74">
        <v>16</v>
      </c>
      <c r="B22" s="77" t="s">
        <v>84</v>
      </c>
      <c r="C22" s="80">
        <f>C6*C47</f>
        <v>98568.305999999997</v>
      </c>
      <c r="D22" s="80">
        <f>D6*D47</f>
        <v>0</v>
      </c>
      <c r="E22" s="80">
        <f t="shared" ref="E22:F22" si="40">E6*E47</f>
        <v>52014.6</v>
      </c>
      <c r="F22" s="80">
        <f t="shared" si="40"/>
        <v>619676.64</v>
      </c>
      <c r="G22" s="80">
        <f t="shared" ref="G22:Q22" si="41">G6*G47</f>
        <v>394273.22399999999</v>
      </c>
      <c r="H22" s="80">
        <f t="shared" si="41"/>
        <v>11501.999999999998</v>
      </c>
      <c r="I22" s="80">
        <f t="shared" si="41"/>
        <v>32681.015999999996</v>
      </c>
      <c r="J22" s="80">
        <f t="shared" si="41"/>
        <v>161661.88799999998</v>
      </c>
      <c r="K22" s="80">
        <f t="shared" si="41"/>
        <v>74180.232000000004</v>
      </c>
      <c r="L22" s="80">
        <f t="shared" si="41"/>
        <v>35760.995999999992</v>
      </c>
      <c r="M22" s="80">
        <f t="shared" si="41"/>
        <v>79138.872000000003</v>
      </c>
      <c r="N22" s="80">
        <f t="shared" si="41"/>
        <v>92253.707999999999</v>
      </c>
      <c r="O22" s="80">
        <f t="shared" si="41"/>
        <v>27200.951999999997</v>
      </c>
      <c r="P22" s="80">
        <f t="shared" si="41"/>
        <v>73750.823999999993</v>
      </c>
      <c r="Q22" s="80">
        <f t="shared" si="41"/>
        <v>64411.199999999997</v>
      </c>
      <c r="R22" s="80">
        <f t="shared" ref="R22:S22" si="42">R6*R47</f>
        <v>0</v>
      </c>
      <c r="S22" s="80">
        <f t="shared" si="42"/>
        <v>0</v>
      </c>
      <c r="T22" s="80">
        <f>+SUM(C22:S22)</f>
        <v>1817074.4580000003</v>
      </c>
      <c r="AT22" s="77" t="s">
        <v>85</v>
      </c>
      <c r="AU22" s="77" t="s">
        <v>84</v>
      </c>
    </row>
    <row r="23" spans="1:48">
      <c r="A23" s="74">
        <v>17</v>
      </c>
      <c r="B23" s="82" t="s">
        <v>86</v>
      </c>
      <c r="C23" s="88">
        <f>+C22+C21+C20+C19+C17</f>
        <v>457508.03519999998</v>
      </c>
      <c r="D23" s="88">
        <f>+D22+D21+D20+D19+D17</f>
        <v>0</v>
      </c>
      <c r="E23" s="88">
        <f t="shared" ref="E23:F23" si="43">+E22+E21+E20+E19+E17</f>
        <v>245590.32</v>
      </c>
      <c r="F23" s="88">
        <f t="shared" si="43"/>
        <v>2856093.8880000003</v>
      </c>
      <c r="G23" s="88">
        <f t="shared" ref="G23:Q23" si="44">+G22+G21+G20+G19+G17</f>
        <v>1830032.1407999999</v>
      </c>
      <c r="H23" s="88">
        <f t="shared" si="44"/>
        <v>140498.4</v>
      </c>
      <c r="I23" s="88">
        <f t="shared" si="44"/>
        <v>166395.66720000003</v>
      </c>
      <c r="J23" s="88">
        <f t="shared" si="44"/>
        <v>771159.12959999999</v>
      </c>
      <c r="K23" s="88">
        <f t="shared" si="44"/>
        <v>355304.77439999999</v>
      </c>
      <c r="L23" s="88">
        <f t="shared" si="44"/>
        <v>180416.08319999999</v>
      </c>
      <c r="M23" s="88">
        <f t="shared" si="44"/>
        <v>395505.06240000005</v>
      </c>
      <c r="N23" s="88">
        <f t="shared" si="44"/>
        <v>472833.27360000001</v>
      </c>
      <c r="O23" s="88">
        <f t="shared" si="44"/>
        <v>141449.7984</v>
      </c>
      <c r="P23" s="88">
        <f t="shared" si="44"/>
        <v>370978.06079999998</v>
      </c>
      <c r="Q23" s="88">
        <f t="shared" si="44"/>
        <v>328463.04000000004</v>
      </c>
      <c r="R23" s="88">
        <f t="shared" ref="R23:S23" si="45">+R22+R21+R20+R19+R17</f>
        <v>0</v>
      </c>
      <c r="S23" s="88">
        <f t="shared" si="45"/>
        <v>0</v>
      </c>
      <c r="T23" s="88">
        <f>+T22+T21+T20+T19+T17</f>
        <v>8712227.6735999994</v>
      </c>
      <c r="AT23" s="77" t="s">
        <v>87</v>
      </c>
      <c r="AU23" s="82" t="s">
        <v>86</v>
      </c>
    </row>
    <row r="24" spans="1:48">
      <c r="A24" s="74">
        <v>18</v>
      </c>
      <c r="B24" s="89" t="s">
        <v>88</v>
      </c>
      <c r="C24" s="88">
        <f>+C15-C23</f>
        <v>-293489.06246400025</v>
      </c>
      <c r="D24" s="88">
        <f>+D15-D23</f>
        <v>0</v>
      </c>
      <c r="E24" s="88">
        <f t="shared" ref="E24:F24" si="46">+E15-E23</f>
        <v>-105333.30076799996</v>
      </c>
      <c r="F24" s="88">
        <f t="shared" si="46"/>
        <v>-263230.22130159475</v>
      </c>
      <c r="G24" s="88">
        <f t="shared" ref="G24:Q24" si="47">+G15-G23</f>
        <v>-1173956.249856001</v>
      </c>
      <c r="H24" s="88">
        <f t="shared" si="47"/>
        <v>-59895.719040000025</v>
      </c>
      <c r="I24" s="88">
        <f t="shared" si="47"/>
        <v>-82482.428057401179</v>
      </c>
      <c r="J24" s="88">
        <f t="shared" si="47"/>
        <v>-1049345.4720000005</v>
      </c>
      <c r="K24" s="88">
        <f t="shared" si="47"/>
        <v>-422170.11110399984</v>
      </c>
      <c r="L24" s="88">
        <f t="shared" si="47"/>
        <v>-35067.41391182752</v>
      </c>
      <c r="M24" s="88">
        <f t="shared" si="47"/>
        <v>-409209.09667512955</v>
      </c>
      <c r="N24" s="88">
        <f t="shared" si="47"/>
        <v>-751834.86969599989</v>
      </c>
      <c r="O24" s="88">
        <f t="shared" si="47"/>
        <v>-57941.522390200334</v>
      </c>
      <c r="P24" s="88">
        <f t="shared" si="47"/>
        <v>-56855.077141887916</v>
      </c>
      <c r="Q24" s="88">
        <f t="shared" si="47"/>
        <v>-79095.388800000248</v>
      </c>
      <c r="R24" s="88">
        <f t="shared" ref="R24:S24" si="48">+R15-R23</f>
        <v>0</v>
      </c>
      <c r="S24" s="88">
        <f t="shared" si="48"/>
        <v>0</v>
      </c>
      <c r="T24" s="88">
        <f>+T15-T23</f>
        <v>-4839905.9332060404</v>
      </c>
      <c r="V24" s="90"/>
      <c r="AT24" s="77" t="s">
        <v>89</v>
      </c>
      <c r="AU24" s="77" t="s">
        <v>88</v>
      </c>
    </row>
    <row r="25" spans="1:48">
      <c r="A25" s="74">
        <v>19</v>
      </c>
      <c r="B25" s="77" t="s">
        <v>271</v>
      </c>
      <c r="C25" s="88">
        <f>IF(C24&lt;0,0,C24*0.15)</f>
        <v>0</v>
      </c>
      <c r="D25" s="88">
        <f t="shared" ref="D25:T25" si="49">IF(D24&lt;0,0,D24*0.15)</f>
        <v>0</v>
      </c>
      <c r="E25" s="88">
        <f t="shared" ref="E25:F25" si="50">IF(E24&lt;0,0,E24*0.15)</f>
        <v>0</v>
      </c>
      <c r="F25" s="88">
        <f t="shared" si="50"/>
        <v>0</v>
      </c>
      <c r="G25" s="88">
        <f t="shared" ref="G25:Q25" si="51">IF(G24&lt;0,0,G24*0.15)</f>
        <v>0</v>
      </c>
      <c r="H25" s="88">
        <f t="shared" si="51"/>
        <v>0</v>
      </c>
      <c r="I25" s="88">
        <f t="shared" si="51"/>
        <v>0</v>
      </c>
      <c r="J25" s="88">
        <f t="shared" si="51"/>
        <v>0</v>
      </c>
      <c r="K25" s="88">
        <f t="shared" si="51"/>
        <v>0</v>
      </c>
      <c r="L25" s="88">
        <f t="shared" si="51"/>
        <v>0</v>
      </c>
      <c r="M25" s="88">
        <f t="shared" si="51"/>
        <v>0</v>
      </c>
      <c r="N25" s="88">
        <f t="shared" si="51"/>
        <v>0</v>
      </c>
      <c r="O25" s="88">
        <f t="shared" si="51"/>
        <v>0</v>
      </c>
      <c r="P25" s="88">
        <f t="shared" si="51"/>
        <v>0</v>
      </c>
      <c r="Q25" s="88">
        <f t="shared" si="51"/>
        <v>0</v>
      </c>
      <c r="R25" s="88">
        <f t="shared" ref="R25:S25" si="52">IF(R24&lt;0,0,R24*0.15)</f>
        <v>0</v>
      </c>
      <c r="S25" s="88">
        <f t="shared" si="52"/>
        <v>0</v>
      </c>
      <c r="T25" s="88">
        <f t="shared" si="49"/>
        <v>0</v>
      </c>
      <c r="U25" s="2"/>
      <c r="V25" s="2"/>
      <c r="W25" s="2"/>
      <c r="AT25" s="77" t="s">
        <v>90</v>
      </c>
      <c r="AU25" s="77" t="s">
        <v>35</v>
      </c>
    </row>
    <row r="26" spans="1:48">
      <c r="A26" s="74">
        <v>20</v>
      </c>
      <c r="B26" s="77" t="s">
        <v>91</v>
      </c>
      <c r="C26" s="88">
        <f>C24-C25</f>
        <v>-293489.06246400025</v>
      </c>
      <c r="D26" s="88">
        <f>D24-D25</f>
        <v>0</v>
      </c>
      <c r="E26" s="88">
        <f t="shared" ref="E26:T26" si="53">E24-E25</f>
        <v>-105333.30076799996</v>
      </c>
      <c r="F26" s="88">
        <f t="shared" si="53"/>
        <v>-263230.22130159475</v>
      </c>
      <c r="G26" s="88">
        <f t="shared" ref="G26:Q26" si="54">G24-G25</f>
        <v>-1173956.249856001</v>
      </c>
      <c r="H26" s="88">
        <f t="shared" si="54"/>
        <v>-59895.719040000025</v>
      </c>
      <c r="I26" s="88">
        <f t="shared" si="54"/>
        <v>-82482.428057401179</v>
      </c>
      <c r="J26" s="88">
        <f t="shared" si="54"/>
        <v>-1049345.4720000005</v>
      </c>
      <c r="K26" s="88">
        <f t="shared" si="54"/>
        <v>-422170.11110399984</v>
      </c>
      <c r="L26" s="88">
        <f t="shared" si="54"/>
        <v>-35067.41391182752</v>
      </c>
      <c r="M26" s="88">
        <f t="shared" si="54"/>
        <v>-409209.09667512955</v>
      </c>
      <c r="N26" s="88">
        <f t="shared" si="54"/>
        <v>-751834.86969599989</v>
      </c>
      <c r="O26" s="88">
        <f t="shared" si="54"/>
        <v>-57941.522390200334</v>
      </c>
      <c r="P26" s="88">
        <f t="shared" si="54"/>
        <v>-56855.077141887916</v>
      </c>
      <c r="Q26" s="88">
        <f t="shared" si="54"/>
        <v>-79095.388800000248</v>
      </c>
      <c r="R26" s="88">
        <f t="shared" ref="R26:S26" si="55">R24-R25</f>
        <v>0</v>
      </c>
      <c r="S26" s="88">
        <f t="shared" si="55"/>
        <v>0</v>
      </c>
      <c r="T26" s="88">
        <f t="shared" si="53"/>
        <v>-4839905.9332060404</v>
      </c>
      <c r="U26" s="2"/>
      <c r="V26" s="2"/>
      <c r="W26" s="2"/>
      <c r="AT26" s="77" t="s">
        <v>92</v>
      </c>
      <c r="AU26" s="77" t="s">
        <v>91</v>
      </c>
    </row>
    <row r="27" spans="1:48">
      <c r="A27" s="74">
        <v>21</v>
      </c>
      <c r="B27" s="77" t="s">
        <v>95</v>
      </c>
      <c r="C27" s="91">
        <f>C26/C9</f>
        <v>-0.1123064641301464</v>
      </c>
      <c r="D27" s="91" t="e">
        <f t="shared" ref="D27:T27" si="56">D26/D9</f>
        <v>#DIV/0!</v>
      </c>
      <c r="E27" s="91">
        <f t="shared" si="56"/>
        <v>-7.6381917466584542E-2</v>
      </c>
      <c r="F27" s="91">
        <f t="shared" si="56"/>
        <v>-1.6022148404087923E-2</v>
      </c>
      <c r="G27" s="91">
        <f t="shared" ref="G27:Q27" si="57">G26/G9</f>
        <v>-0.1123064641301464</v>
      </c>
      <c r="H27" s="91">
        <f t="shared" si="57"/>
        <v>-0.19641404768673179</v>
      </c>
      <c r="I27" s="91">
        <f t="shared" si="57"/>
        <v>-9.5195411012458098E-2</v>
      </c>
      <c r="J27" s="91">
        <f t="shared" si="57"/>
        <v>-0.24482793658071952</v>
      </c>
      <c r="K27" s="91">
        <f t="shared" si="57"/>
        <v>-0.21465915799525495</v>
      </c>
      <c r="L27" s="91">
        <f t="shared" si="57"/>
        <v>-3.6986587127300317E-2</v>
      </c>
      <c r="M27" s="91">
        <f t="shared" si="57"/>
        <v>-0.19503185418538013</v>
      </c>
      <c r="N27" s="91">
        <f t="shared" si="57"/>
        <v>-0.30738930935531394</v>
      </c>
      <c r="O27" s="91">
        <f t="shared" si="57"/>
        <v>-8.0344457716064327E-2</v>
      </c>
      <c r="P27" s="91">
        <f t="shared" si="57"/>
        <v>-2.9077194544146926E-2</v>
      </c>
      <c r="Q27" s="91">
        <f t="shared" si="57"/>
        <v>-4.6316944434438144E-2</v>
      </c>
      <c r="R27" s="91" t="e">
        <f t="shared" ref="R27:S27" si="58">R26/R9</f>
        <v>#DIV/0!</v>
      </c>
      <c r="S27" s="91" t="e">
        <f t="shared" si="58"/>
        <v>#DIV/0!</v>
      </c>
      <c r="T27" s="91">
        <f t="shared" si="56"/>
        <v>-0.10046489234564077</v>
      </c>
      <c r="U27" s="2"/>
      <c r="V27" s="2"/>
      <c r="W27" s="2"/>
      <c r="AT27" s="77" t="s">
        <v>94</v>
      </c>
      <c r="AU27" s="77" t="s">
        <v>95</v>
      </c>
    </row>
    <row r="28" spans="1:48">
      <c r="U28" s="2"/>
      <c r="V28" s="2"/>
      <c r="W28" s="2"/>
    </row>
    <row r="29" spans="1:48">
      <c r="A29" s="70" t="s">
        <v>96</v>
      </c>
      <c r="T29" s="73" t="s">
        <v>149</v>
      </c>
      <c r="U29" s="2"/>
      <c r="V29" s="2"/>
      <c r="W29" s="2"/>
      <c r="AT29" s="70" t="s">
        <v>96</v>
      </c>
    </row>
    <row r="30" spans="1:48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Y30" s="2"/>
      <c r="AT30" s="77" t="s">
        <v>99</v>
      </c>
      <c r="AU30" s="82" t="s">
        <v>98</v>
      </c>
    </row>
    <row r="31" spans="1:48">
      <c r="A31" s="74">
        <v>1</v>
      </c>
      <c r="B31" s="85" t="s">
        <v>100</v>
      </c>
      <c r="C31" s="92">
        <f>销量!C8</f>
        <v>771.27</v>
      </c>
      <c r="D31" s="92">
        <f>销量!D8</f>
        <v>1785.88</v>
      </c>
      <c r="E31" s="92">
        <f>销量!E8</f>
        <v>407</v>
      </c>
      <c r="F31" s="92">
        <f>销量!F8</f>
        <v>1212.2</v>
      </c>
      <c r="G31" s="92">
        <f>销量!G8</f>
        <v>771.27</v>
      </c>
      <c r="H31" s="92">
        <f>销量!H8</f>
        <v>9</v>
      </c>
      <c r="I31" s="92">
        <f>销量!I8</f>
        <v>127.86</v>
      </c>
      <c r="J31" s="92">
        <f>销量!J8</f>
        <v>316.24</v>
      </c>
      <c r="K31" s="92">
        <f>销量!K8</f>
        <v>290.22000000000003</v>
      </c>
      <c r="L31" s="92">
        <f>销量!L8</f>
        <v>139.91</v>
      </c>
      <c r="M31" s="92">
        <f>销量!M8</f>
        <v>154.81</v>
      </c>
      <c r="N31" s="92">
        <f>销量!N8</f>
        <v>120.31</v>
      </c>
      <c r="O31" s="92">
        <f>销量!O8</f>
        <v>106.42</v>
      </c>
      <c r="P31" s="92">
        <f>销量!P8</f>
        <v>144.27000000000001</v>
      </c>
      <c r="Q31" s="92">
        <f>销量!Q8</f>
        <v>126</v>
      </c>
      <c r="R31" s="92">
        <f>销量!R8</f>
        <v>0</v>
      </c>
      <c r="S31" s="92">
        <f>销量!S8</f>
        <v>0</v>
      </c>
      <c r="T31" s="88"/>
      <c r="U31" s="2"/>
      <c r="V31" s="2"/>
      <c r="W31" s="2"/>
      <c r="Y31" s="2"/>
      <c r="AT31" s="77" t="s">
        <v>55</v>
      </c>
      <c r="AU31" s="77" t="s">
        <v>100</v>
      </c>
    </row>
    <row r="32" spans="1:48">
      <c r="A32" s="74">
        <v>2</v>
      </c>
      <c r="B32" s="77" t="s">
        <v>150</v>
      </c>
      <c r="C32" s="80">
        <f>C9/C6</f>
        <v>725.91315383999995</v>
      </c>
      <c r="D32" s="80" t="e">
        <f t="shared" ref="D32:F32" si="59">D9/D6</f>
        <v>#DIV/0!</v>
      </c>
      <c r="E32" s="80">
        <f t="shared" si="59"/>
        <v>383.06514399999998</v>
      </c>
      <c r="F32" s="80">
        <f t="shared" si="59"/>
        <v>1140.9129423999998</v>
      </c>
      <c r="G32" s="80">
        <f t="shared" ref="G32:Q32" si="60">G9/G6</f>
        <v>725.91315383999995</v>
      </c>
      <c r="H32" s="80">
        <f t="shared" si="60"/>
        <v>8.4707279999999994</v>
      </c>
      <c r="I32" s="80">
        <f t="shared" si="60"/>
        <v>120.34080911999999</v>
      </c>
      <c r="J32" s="80">
        <f t="shared" si="60"/>
        <v>297.64255808000001</v>
      </c>
      <c r="K32" s="80">
        <f t="shared" si="60"/>
        <v>273.15274224000001</v>
      </c>
      <c r="L32" s="80">
        <f t="shared" si="60"/>
        <v>131.68217271999998</v>
      </c>
      <c r="M32" s="80">
        <f t="shared" si="60"/>
        <v>145.70593352</v>
      </c>
      <c r="N32" s="80">
        <f t="shared" si="60"/>
        <v>113.23480952</v>
      </c>
      <c r="O32" s="80">
        <f t="shared" si="60"/>
        <v>100.16165263999999</v>
      </c>
      <c r="P32" s="80">
        <f t="shared" si="60"/>
        <v>135.78576984</v>
      </c>
      <c r="Q32" s="80">
        <f t="shared" si="60"/>
        <v>118.59019199999999</v>
      </c>
      <c r="R32" s="80" t="e">
        <f t="shared" ref="R32:S32" si="61">R9/R6</f>
        <v>#DIV/0!</v>
      </c>
      <c r="S32" s="80" t="e">
        <f t="shared" si="61"/>
        <v>#DIV/0!</v>
      </c>
      <c r="T32" s="88"/>
      <c r="U32" s="2"/>
      <c r="V32" s="2"/>
      <c r="W32" s="2"/>
      <c r="X32" s="2"/>
      <c r="Y32" s="2"/>
      <c r="Z32" s="2"/>
      <c r="AA32" s="2"/>
      <c r="AT32" s="77"/>
      <c r="AU32" s="77"/>
    </row>
    <row r="33" spans="1:47">
      <c r="A33" s="74">
        <v>3</v>
      </c>
      <c r="B33" s="85" t="s">
        <v>101</v>
      </c>
      <c r="C33" s="80">
        <f>材料成本!D27</f>
        <v>578.35307208000006</v>
      </c>
      <c r="D33" s="80">
        <f>材料成本!E27</f>
        <v>0</v>
      </c>
      <c r="E33" s="80">
        <f>材料成本!F27</f>
        <v>283.19526087999998</v>
      </c>
      <c r="F33" s="80">
        <f>材料成本!G27</f>
        <v>801.11680554594398</v>
      </c>
      <c r="G33" s="80">
        <f>材料成本!H27</f>
        <v>578.35307208000006</v>
      </c>
      <c r="H33" s="80">
        <f>材料成本!I27</f>
        <v>4.63066464</v>
      </c>
      <c r="I33" s="80">
        <f>材料成本!J27</f>
        <v>84.263584572416818</v>
      </c>
      <c r="J33" s="80">
        <f>材料成本!K27</f>
        <v>271.28918208000005</v>
      </c>
      <c r="K33" s="80">
        <f>材料成本!L27</f>
        <v>239.70277855999998</v>
      </c>
      <c r="L33" s="80">
        <f>材料成本!M27</f>
        <v>85.713009541087146</v>
      </c>
      <c r="M33" s="80">
        <f>材料成本!N27</f>
        <v>123.19503456688399</v>
      </c>
      <c r="N33" s="80">
        <f>材料成本!O27</f>
        <v>106.58058207999999</v>
      </c>
      <c r="O33" s="80">
        <f>材料成本!P27</f>
        <v>72.559104971972261</v>
      </c>
      <c r="P33" s="80">
        <f>材料成本!Q27</f>
        <v>93.698017752631117</v>
      </c>
      <c r="Q33" s="80">
        <f>材料成本!R27</f>
        <v>83.060193999999996</v>
      </c>
      <c r="R33" s="80">
        <f>材料成本!S27</f>
        <v>0</v>
      </c>
      <c r="S33" s="80">
        <f>材料成本!T27</f>
        <v>0</v>
      </c>
      <c r="T33" s="88"/>
      <c r="V33" s="2"/>
      <c r="W33" s="2"/>
      <c r="X33" s="2"/>
      <c r="Y33" s="2"/>
      <c r="Z33" s="2"/>
      <c r="AA33" s="2"/>
      <c r="AT33" s="77" t="s">
        <v>57</v>
      </c>
      <c r="AU33" s="77" t="s">
        <v>101</v>
      </c>
    </row>
    <row r="34" spans="1:47" ht="17.25" customHeight="1">
      <c r="A34" s="74">
        <v>4</v>
      </c>
      <c r="B34" s="77" t="s">
        <v>103</v>
      </c>
      <c r="C34" s="93">
        <f>C32-C33</f>
        <v>147.56008175999989</v>
      </c>
      <c r="D34" s="93" t="e">
        <f>D32-D33</f>
        <v>#DIV/0!</v>
      </c>
      <c r="E34" s="93">
        <f t="shared" ref="E34:F34" si="62">E32-E33</f>
        <v>99.869883119999997</v>
      </c>
      <c r="F34" s="93">
        <f t="shared" si="62"/>
        <v>339.79613685405582</v>
      </c>
      <c r="G34" s="93">
        <f t="shared" ref="G34:Q34" si="63">G32-G33</f>
        <v>147.56008175999989</v>
      </c>
      <c r="H34" s="93">
        <f t="shared" si="63"/>
        <v>3.8400633599999994</v>
      </c>
      <c r="I34" s="93">
        <f t="shared" si="63"/>
        <v>36.077224547583171</v>
      </c>
      <c r="J34" s="93">
        <f t="shared" si="63"/>
        <v>26.353375999999969</v>
      </c>
      <c r="K34" s="93">
        <f t="shared" si="63"/>
        <v>33.449963680000025</v>
      </c>
      <c r="L34" s="93">
        <f t="shared" si="63"/>
        <v>45.969163178912837</v>
      </c>
      <c r="M34" s="93">
        <f t="shared" si="63"/>
        <v>22.510898953116012</v>
      </c>
      <c r="N34" s="93">
        <f t="shared" si="63"/>
        <v>6.6542274400000139</v>
      </c>
      <c r="O34" s="93">
        <f t="shared" si="63"/>
        <v>27.602547668027725</v>
      </c>
      <c r="P34" s="93">
        <f t="shared" si="63"/>
        <v>42.087752087368884</v>
      </c>
      <c r="Q34" s="93">
        <f t="shared" si="63"/>
        <v>35.529997999999992</v>
      </c>
      <c r="R34" s="93" t="e">
        <f t="shared" ref="R34:S34" si="64">R32-R33</f>
        <v>#DIV/0!</v>
      </c>
      <c r="S34" s="93" t="e">
        <f t="shared" si="64"/>
        <v>#DIV/0!</v>
      </c>
      <c r="T34" s="88"/>
      <c r="V34" s="2"/>
      <c r="W34" s="2"/>
      <c r="X34" s="2"/>
      <c r="Y34" s="2"/>
      <c r="Z34" s="2"/>
      <c r="AA34" s="2"/>
      <c r="AT34" s="77" t="s">
        <v>102</v>
      </c>
      <c r="AU34" s="77" t="s">
        <v>103</v>
      </c>
    </row>
    <row r="35" spans="1:47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7" t="s">
        <v>105</v>
      </c>
      <c r="AU35" s="82" t="s">
        <v>9</v>
      </c>
    </row>
    <row r="36" spans="1:47">
      <c r="A36" s="74">
        <v>1</v>
      </c>
      <c r="B36" s="77" t="s">
        <v>106</v>
      </c>
      <c r="C36" s="86">
        <f>'2026年'!C36</f>
        <v>53.526138000000003</v>
      </c>
      <c r="D36" s="86">
        <f>'2026年'!D36</f>
        <v>123.94007200000001</v>
      </c>
      <c r="E36" s="86">
        <f>'2026年'!E36</f>
        <v>28.245800000000003</v>
      </c>
      <c r="F36" s="86">
        <f>'2026年'!F36</f>
        <v>84.126680000000007</v>
      </c>
      <c r="G36" s="86">
        <f>'2026年'!G36</f>
        <v>53.526138000000003</v>
      </c>
      <c r="H36" s="86">
        <f>'2026年'!H36</f>
        <v>0.62460000000000004</v>
      </c>
      <c r="I36" s="86">
        <f>'2026年'!I36</f>
        <v>8.8734840000000013</v>
      </c>
      <c r="J36" s="86">
        <f>'2026年'!J36</f>
        <v>21.947056000000003</v>
      </c>
      <c r="K36" s="86">
        <f>'2026年'!K36</f>
        <v>20.141268000000004</v>
      </c>
      <c r="L36" s="86">
        <f>'2026年'!L36</f>
        <v>9.7097540000000002</v>
      </c>
      <c r="M36" s="86">
        <f>'2026年'!M36</f>
        <v>10.743814</v>
      </c>
      <c r="N36" s="86">
        <f>'2026年'!N36</f>
        <v>8.349514000000001</v>
      </c>
      <c r="O36" s="86">
        <f>'2026年'!O36</f>
        <v>7.3855480000000009</v>
      </c>
      <c r="P36" s="86">
        <f>'2026年'!P36</f>
        <v>10.012338000000002</v>
      </c>
      <c r="Q36" s="86">
        <f>'2026年'!Q36</f>
        <v>8.7444000000000006</v>
      </c>
      <c r="R36" s="86">
        <f>'2026年'!R36</f>
        <v>0</v>
      </c>
      <c r="S36" s="86">
        <f>'2026年'!S36</f>
        <v>0</v>
      </c>
      <c r="T36" s="92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7" t="s">
        <v>102</v>
      </c>
      <c r="AU36" s="77" t="s">
        <v>106</v>
      </c>
    </row>
    <row r="37" spans="1:47">
      <c r="A37" s="74">
        <v>2</v>
      </c>
      <c r="B37" s="77" t="s">
        <v>107</v>
      </c>
      <c r="C37" s="86">
        <f>'2026年'!C37</f>
        <v>33.473117999999999</v>
      </c>
      <c r="D37" s="86">
        <f>'2026年'!D37</f>
        <v>77.507192000000003</v>
      </c>
      <c r="E37" s="86">
        <f>'2026年'!E37</f>
        <v>17.663800000000002</v>
      </c>
      <c r="F37" s="86">
        <f>'2026年'!F37</f>
        <v>52.609480000000005</v>
      </c>
      <c r="G37" s="86">
        <f>'2026年'!G37</f>
        <v>33.473117999999999</v>
      </c>
      <c r="H37" s="86">
        <f>'2026年'!H37</f>
        <v>0.3906</v>
      </c>
      <c r="I37" s="86">
        <f>'2026年'!I37</f>
        <v>5.5491239999999999</v>
      </c>
      <c r="J37" s="86">
        <f>'2026年'!J37</f>
        <v>13.724816000000001</v>
      </c>
      <c r="K37" s="86">
        <f>'2026年'!K37</f>
        <v>12.595548000000001</v>
      </c>
      <c r="L37" s="86">
        <f>'2026年'!L37</f>
        <v>6.0720939999999999</v>
      </c>
      <c r="M37" s="86">
        <f>'2026年'!M37</f>
        <v>6.7187540000000006</v>
      </c>
      <c r="N37" s="86">
        <f>'2026年'!N37</f>
        <v>5.2214540000000005</v>
      </c>
      <c r="O37" s="86">
        <f>'2026年'!O37</f>
        <v>4.6186280000000002</v>
      </c>
      <c r="P37" s="86">
        <f>'2026年'!P37</f>
        <v>6.2613180000000002</v>
      </c>
      <c r="Q37" s="86">
        <f>'2026年'!Q37</f>
        <v>5.4683999999999999</v>
      </c>
      <c r="R37" s="86">
        <f>'2026年'!R37</f>
        <v>0</v>
      </c>
      <c r="S37" s="86">
        <f>'2026年'!S37</f>
        <v>0</v>
      </c>
      <c r="T37" s="92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7" t="s">
        <v>60</v>
      </c>
      <c r="AU37" s="77" t="s">
        <v>107</v>
      </c>
    </row>
    <row r="38" spans="1:47">
      <c r="A38" s="74">
        <v>3</v>
      </c>
      <c r="B38" s="77" t="s">
        <v>108</v>
      </c>
      <c r="C38" s="86">
        <f>'2026年'!C38</f>
        <v>15</v>
      </c>
      <c r="D38" s="86">
        <f>'2026年'!D38</f>
        <v>23</v>
      </c>
      <c r="E38" s="86">
        <f>'2026年'!E38</f>
        <v>15</v>
      </c>
      <c r="F38" s="86">
        <f>'2026年'!F38</f>
        <v>23</v>
      </c>
      <c r="G38" s="86">
        <f>'2026年'!G38</f>
        <v>15</v>
      </c>
      <c r="H38" s="86">
        <f>'2026年'!H38</f>
        <v>0.58590000000000009</v>
      </c>
      <c r="I38" s="86">
        <f>'2026年'!I38</f>
        <v>10</v>
      </c>
      <c r="J38" s="86">
        <f>'2026年'!J38</f>
        <v>10</v>
      </c>
      <c r="K38" s="86">
        <f>'2026年'!K38</f>
        <v>10</v>
      </c>
      <c r="L38" s="86">
        <f>'2026年'!L38</f>
        <v>10</v>
      </c>
      <c r="M38" s="86">
        <f>'2026年'!M38</f>
        <v>6</v>
      </c>
      <c r="N38" s="86">
        <f>'2026年'!N38</f>
        <v>6</v>
      </c>
      <c r="O38" s="86">
        <f>'2026年'!O38</f>
        <v>4</v>
      </c>
      <c r="P38" s="86">
        <f>'2026年'!P38</f>
        <v>4</v>
      </c>
      <c r="Q38" s="86">
        <f>'2026年'!Q38</f>
        <v>4</v>
      </c>
      <c r="R38" s="86">
        <f>'2026年'!R38</f>
        <v>0</v>
      </c>
      <c r="S38" s="86">
        <f>'2026年'!S38</f>
        <v>0</v>
      </c>
      <c r="T38" s="92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7" t="s">
        <v>66</v>
      </c>
      <c r="AU38" s="77" t="s">
        <v>108</v>
      </c>
    </row>
    <row r="39" spans="1:47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AT39" s="77" t="s">
        <v>109</v>
      </c>
      <c r="AU39" s="82" t="s">
        <v>110</v>
      </c>
    </row>
    <row r="40" spans="1:47">
      <c r="A40" s="74">
        <v>1</v>
      </c>
      <c r="B40" s="77" t="s">
        <v>111</v>
      </c>
      <c r="C40" s="88">
        <f>C34-C36-C37-C38</f>
        <v>45.560825759999886</v>
      </c>
      <c r="D40" s="88" t="e">
        <f>D34-D36-D37-D38</f>
        <v>#DIV/0!</v>
      </c>
      <c r="E40" s="88">
        <f t="shared" ref="E40:F40" si="65">E34-E36-E37-E38</f>
        <v>38.960283119999993</v>
      </c>
      <c r="F40" s="88">
        <f t="shared" si="65"/>
        <v>180.05997685405578</v>
      </c>
      <c r="G40" s="88">
        <f t="shared" ref="G40:Q40" si="66">G34-G36-G37-G38</f>
        <v>45.560825759999886</v>
      </c>
      <c r="H40" s="88">
        <f t="shared" si="66"/>
        <v>2.2389633599999992</v>
      </c>
      <c r="I40" s="88">
        <f t="shared" si="66"/>
        <v>11.654616547583171</v>
      </c>
      <c r="J40" s="88">
        <f t="shared" si="66"/>
        <v>-19.318496000000035</v>
      </c>
      <c r="K40" s="88">
        <f t="shared" si="66"/>
        <v>-9.28685231999998</v>
      </c>
      <c r="L40" s="88">
        <f t="shared" si="66"/>
        <v>20.187315178912833</v>
      </c>
      <c r="M40" s="88">
        <f t="shared" si="66"/>
        <v>-0.95166904688398901</v>
      </c>
      <c r="N40" s="88">
        <f t="shared" si="66"/>
        <v>-12.916740559999987</v>
      </c>
      <c r="O40" s="88">
        <f t="shared" si="66"/>
        <v>11.598371668027724</v>
      </c>
      <c r="P40" s="88">
        <f t="shared" si="66"/>
        <v>21.814096087368885</v>
      </c>
      <c r="Q40" s="88">
        <f t="shared" si="66"/>
        <v>17.317197999999994</v>
      </c>
      <c r="R40" s="88" t="e">
        <f t="shared" ref="R40:S40" si="67">R34-R36-R37-R38</f>
        <v>#DIV/0!</v>
      </c>
      <c r="S40" s="88" t="e">
        <f t="shared" si="67"/>
        <v>#DIV/0!</v>
      </c>
      <c r="T40" s="88"/>
      <c r="AT40" s="77" t="s">
        <v>55</v>
      </c>
      <c r="AU40" s="77" t="s">
        <v>111</v>
      </c>
    </row>
    <row r="41" spans="1:47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AT41" s="77" t="s">
        <v>57</v>
      </c>
      <c r="AU41" s="77" t="s">
        <v>112</v>
      </c>
    </row>
    <row r="42" spans="1:47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AT42" s="77" t="s">
        <v>113</v>
      </c>
      <c r="AU42" s="82" t="s">
        <v>114</v>
      </c>
    </row>
    <row r="43" spans="1:47">
      <c r="A43" s="74">
        <v>1</v>
      </c>
      <c r="B43" s="89" t="s">
        <v>115</v>
      </c>
      <c r="C43" s="86">
        <f>'2026年'!C43</f>
        <v>63.629775000000002</v>
      </c>
      <c r="D43" s="86">
        <f>'2026年'!D43</f>
        <v>147.33510000000001</v>
      </c>
      <c r="E43" s="86">
        <f>'2026年'!E43</f>
        <v>33.577500000000001</v>
      </c>
      <c r="F43" s="86">
        <f>'2026年'!F43</f>
        <v>100.0065</v>
      </c>
      <c r="G43" s="86">
        <f>'2026年'!G43</f>
        <v>63.629775000000002</v>
      </c>
      <c r="H43" s="86">
        <f>'2026年'!H43</f>
        <v>0.74250000000000005</v>
      </c>
      <c r="I43" s="86">
        <f>'2026年'!I43</f>
        <v>10.548450000000001</v>
      </c>
      <c r="J43" s="86">
        <f>'2026年'!J43</f>
        <v>26.0898</v>
      </c>
      <c r="K43" s="86">
        <f>'2026年'!K43</f>
        <v>23.943150000000003</v>
      </c>
      <c r="L43" s="86">
        <f>'2026年'!L43</f>
        <v>11.542575000000001</v>
      </c>
      <c r="M43" s="86">
        <f>'2026年'!M43</f>
        <v>12.771825000000002</v>
      </c>
      <c r="N43" s="86">
        <f>'2026年'!N43</f>
        <v>9.9255750000000003</v>
      </c>
      <c r="O43" s="86">
        <f>'2026年'!O43</f>
        <v>8.7796500000000002</v>
      </c>
      <c r="P43" s="86">
        <f>'2026年'!P43</f>
        <v>11.902275000000001</v>
      </c>
      <c r="Q43" s="86">
        <f>'2026年'!Q43</f>
        <v>10.395000000000001</v>
      </c>
      <c r="R43" s="86">
        <f>'2026年'!R43</f>
        <v>0</v>
      </c>
      <c r="S43" s="86">
        <f>'2026年'!S43</f>
        <v>0</v>
      </c>
      <c r="T43" s="88"/>
      <c r="AT43" s="77" t="s">
        <v>55</v>
      </c>
      <c r="AU43" s="77" t="s">
        <v>115</v>
      </c>
    </row>
    <row r="44" spans="1:47">
      <c r="A44" s="74">
        <v>2</v>
      </c>
      <c r="B44" s="89" t="s">
        <v>116</v>
      </c>
      <c r="C44" s="86">
        <f>'2026年'!C44</f>
        <v>13.265844</v>
      </c>
      <c r="D44" s="86">
        <f>'2026年'!D44</f>
        <v>30.717136000000004</v>
      </c>
      <c r="E44" s="86">
        <f>'2026年'!E44</f>
        <v>7.0004</v>
      </c>
      <c r="F44" s="86">
        <f>'2026年'!F44</f>
        <v>20.84984</v>
      </c>
      <c r="G44" s="86">
        <f>'2026年'!G44</f>
        <v>13.265844</v>
      </c>
      <c r="H44" s="86">
        <f>'2026年'!H44</f>
        <v>0.15479999999999999</v>
      </c>
      <c r="I44" s="86">
        <f>'2026年'!I44</f>
        <v>2.199192</v>
      </c>
      <c r="J44" s="86">
        <f>'2026年'!J44</f>
        <v>5.4393279999999997</v>
      </c>
      <c r="K44" s="86">
        <f>'2026年'!K44</f>
        <v>4.9917840000000009</v>
      </c>
      <c r="L44" s="86">
        <f>'2026年'!L44</f>
        <v>2.4064519999999998</v>
      </c>
      <c r="M44" s="86">
        <f>'2026年'!M44</f>
        <v>2.6627320000000001</v>
      </c>
      <c r="N44" s="86">
        <f>'2026年'!N44</f>
        <v>2.0693320000000002</v>
      </c>
      <c r="O44" s="86">
        <f>'2026年'!O44</f>
        <v>1.8304240000000001</v>
      </c>
      <c r="P44" s="86">
        <f>'2026年'!P44</f>
        <v>2.4814440000000002</v>
      </c>
      <c r="Q44" s="86">
        <f>'2026年'!Q44</f>
        <v>2.1671999999999998</v>
      </c>
      <c r="R44" s="86">
        <f>'2026年'!R44</f>
        <v>0</v>
      </c>
      <c r="S44" s="86">
        <f>'2026年'!S44</f>
        <v>0</v>
      </c>
      <c r="T44" s="88"/>
      <c r="AT44" s="77" t="s">
        <v>57</v>
      </c>
      <c r="AU44" s="77" t="s">
        <v>116</v>
      </c>
    </row>
    <row r="45" spans="1:47">
      <c r="A45" s="74">
        <v>3</v>
      </c>
      <c r="B45" s="89" t="s">
        <v>117</v>
      </c>
      <c r="C45" s="86">
        <f>'2026年'!C45</f>
        <v>20.361528</v>
      </c>
      <c r="D45" s="86">
        <f>'2026年'!D45</f>
        <v>47.147232000000002</v>
      </c>
      <c r="E45" s="86">
        <f>'2026年'!E45</f>
        <v>10.7448</v>
      </c>
      <c r="F45" s="86">
        <f>'2026年'!F45</f>
        <v>32.002079999999999</v>
      </c>
      <c r="G45" s="86">
        <f>'2026年'!G45</f>
        <v>20.361528</v>
      </c>
      <c r="H45" s="86">
        <f>'2026年'!H45</f>
        <v>0.23760000000000001</v>
      </c>
      <c r="I45" s="86">
        <f>'2026年'!I45</f>
        <v>3.3755039999999998</v>
      </c>
      <c r="J45" s="86">
        <f>'2026年'!J45</f>
        <v>8.3487360000000006</v>
      </c>
      <c r="K45" s="86">
        <f>'2026年'!K45</f>
        <v>7.6618080000000006</v>
      </c>
      <c r="L45" s="86">
        <f>'2026年'!L45</f>
        <v>3.6936239999999998</v>
      </c>
      <c r="M45" s="86">
        <f>'2026年'!M45</f>
        <v>4.0869840000000002</v>
      </c>
      <c r="N45" s="86">
        <f>'2026年'!N45</f>
        <v>3.1761840000000001</v>
      </c>
      <c r="O45" s="86">
        <f>'2026年'!O45</f>
        <v>2.809488</v>
      </c>
      <c r="P45" s="86">
        <f>'2026年'!P45</f>
        <v>3.8087280000000003</v>
      </c>
      <c r="Q45" s="86">
        <f>'2026年'!Q45</f>
        <v>3.3264</v>
      </c>
      <c r="R45" s="86">
        <f>'2026年'!R45</f>
        <v>0</v>
      </c>
      <c r="S45" s="86">
        <f>'2026年'!S45</f>
        <v>0</v>
      </c>
      <c r="T45" s="88"/>
      <c r="AT45" s="77" t="s">
        <v>102</v>
      </c>
      <c r="AU45" s="77" t="s">
        <v>117</v>
      </c>
    </row>
    <row r="46" spans="1:47" s="72" customFormat="1">
      <c r="A46" s="74">
        <v>4</v>
      </c>
      <c r="B46" s="89" t="s">
        <v>118</v>
      </c>
      <c r="C46" s="94">
        <f>C21/C6</f>
        <v>0.62222222222222223</v>
      </c>
      <c r="D46" s="94" t="e">
        <f>D21/D6</f>
        <v>#DIV/0!</v>
      </c>
      <c r="E46" s="94">
        <f t="shared" ref="E46:F46" si="68">E21/E6</f>
        <v>0.62222222222222223</v>
      </c>
      <c r="F46" s="94">
        <f t="shared" si="68"/>
        <v>0.62222222222222223</v>
      </c>
      <c r="G46" s="94">
        <f t="shared" ref="G46:Q46" si="69">G21/G6</f>
        <v>0.62222222222222223</v>
      </c>
      <c r="H46" s="94">
        <f t="shared" si="69"/>
        <v>0.62222222222222223</v>
      </c>
      <c r="I46" s="94">
        <f t="shared" si="69"/>
        <v>0.62222222222222223</v>
      </c>
      <c r="J46" s="94">
        <f t="shared" si="69"/>
        <v>0.62222222222222223</v>
      </c>
      <c r="K46" s="94">
        <f t="shared" si="69"/>
        <v>0.62222222222222223</v>
      </c>
      <c r="L46" s="94">
        <f t="shared" si="69"/>
        <v>0.62222222222222223</v>
      </c>
      <c r="M46" s="94">
        <f t="shared" si="69"/>
        <v>0.62222222222222223</v>
      </c>
      <c r="N46" s="94">
        <f t="shared" si="69"/>
        <v>0.62222222222222223</v>
      </c>
      <c r="O46" s="94">
        <f t="shared" si="69"/>
        <v>0.62222222222222223</v>
      </c>
      <c r="P46" s="94">
        <f t="shared" si="69"/>
        <v>0.62222222222222223</v>
      </c>
      <c r="Q46" s="94">
        <f t="shared" si="69"/>
        <v>0.62222222222222223</v>
      </c>
      <c r="R46" s="94" t="e">
        <f t="shared" ref="R46:S46" si="70">R21/R6</f>
        <v>#DIV/0!</v>
      </c>
      <c r="S46" s="94" t="e">
        <f t="shared" si="70"/>
        <v>#DIV/0!</v>
      </c>
      <c r="T46" s="94"/>
      <c r="AT46" s="89" t="s">
        <v>62</v>
      </c>
      <c r="AU46" s="89" t="s">
        <v>120</v>
      </c>
    </row>
    <row r="47" spans="1:47" s="72" customFormat="1">
      <c r="A47" s="74">
        <v>5</v>
      </c>
      <c r="B47" s="89" t="s">
        <v>120</v>
      </c>
      <c r="C47" s="86">
        <f>'2026年'!C47</f>
        <v>27.380084999999998</v>
      </c>
      <c r="D47" s="86">
        <f>'2026年'!D47</f>
        <v>63.398739999999997</v>
      </c>
      <c r="E47" s="86">
        <f>'2026年'!E47</f>
        <v>14.448499999999999</v>
      </c>
      <c r="F47" s="86">
        <f>'2026年'!F47</f>
        <v>43.033099999999997</v>
      </c>
      <c r="G47" s="86">
        <f>'2026年'!G47</f>
        <v>27.380084999999998</v>
      </c>
      <c r="H47" s="86">
        <f>'2026年'!H47</f>
        <v>0.31949999999999995</v>
      </c>
      <c r="I47" s="86">
        <f>'2026年'!I47</f>
        <v>4.5390299999999995</v>
      </c>
      <c r="J47" s="86">
        <f>'2026年'!J47</f>
        <v>11.226519999999999</v>
      </c>
      <c r="K47" s="86">
        <f>'2026年'!K47</f>
        <v>10.302810000000001</v>
      </c>
      <c r="L47" s="86">
        <f>'2026年'!L47</f>
        <v>4.966804999999999</v>
      </c>
      <c r="M47" s="86">
        <f>'2026年'!M47</f>
        <v>5.4957549999999999</v>
      </c>
      <c r="N47" s="86">
        <f>'2026年'!N47</f>
        <v>4.2710049999999997</v>
      </c>
      <c r="O47" s="86">
        <f>'2026年'!O47</f>
        <v>3.7779099999999999</v>
      </c>
      <c r="P47" s="86">
        <f>'2026年'!P47</f>
        <v>5.1215849999999996</v>
      </c>
      <c r="Q47" s="86">
        <f>'2026年'!Q47</f>
        <v>4.4729999999999999</v>
      </c>
      <c r="R47" s="86">
        <f>'2026年'!R47</f>
        <v>0</v>
      </c>
      <c r="S47" s="86">
        <f>'2026年'!S47</f>
        <v>0</v>
      </c>
      <c r="T47" s="94"/>
      <c r="AT47" s="89" t="s">
        <v>62</v>
      </c>
      <c r="AU47" s="89" t="s">
        <v>120</v>
      </c>
    </row>
    <row r="48" spans="1:47">
      <c r="A48" s="77" t="s">
        <v>113</v>
      </c>
      <c r="B48" s="82" t="s">
        <v>131</v>
      </c>
      <c r="C48" s="88">
        <f>C40-C43-C44-C45-C47-C46</f>
        <v>-79.698628462222331</v>
      </c>
      <c r="D48" s="88" t="e">
        <f>D40-D43-D44-D45-D47-D46</f>
        <v>#DIV/0!</v>
      </c>
      <c r="E48" s="88">
        <f t="shared" ref="E48:F48" si="71">E40-E43-E44-E45-E47-E46</f>
        <v>-27.433139102222231</v>
      </c>
      <c r="F48" s="88">
        <f t="shared" si="71"/>
        <v>-16.453765368166447</v>
      </c>
      <c r="G48" s="88">
        <f t="shared" ref="G48:Q48" si="72">G40-G43-G44-G45-G47-G46</f>
        <v>-79.698628462222331</v>
      </c>
      <c r="H48" s="88">
        <f t="shared" si="72"/>
        <v>0.16234113777777681</v>
      </c>
      <c r="I48" s="88">
        <f t="shared" si="72"/>
        <v>-9.6297816746390499</v>
      </c>
      <c r="J48" s="88">
        <f t="shared" si="72"/>
        <v>-71.045102222222255</v>
      </c>
      <c r="K48" s="88">
        <f t="shared" si="72"/>
        <v>-56.808626542222207</v>
      </c>
      <c r="L48" s="88">
        <f t="shared" si="72"/>
        <v>-3.0443630433093891</v>
      </c>
      <c r="M48" s="88">
        <f t="shared" si="72"/>
        <v>-26.591187269106214</v>
      </c>
      <c r="N48" s="88">
        <f t="shared" si="72"/>
        <v>-32.981058782222206</v>
      </c>
      <c r="O48" s="88">
        <f t="shared" si="72"/>
        <v>-6.221322554194499</v>
      </c>
      <c r="P48" s="88">
        <f t="shared" si="72"/>
        <v>-2.1221581348533385</v>
      </c>
      <c r="Q48" s="88">
        <f t="shared" si="72"/>
        <v>-3.6666242222222287</v>
      </c>
      <c r="R48" s="88" t="e">
        <f t="shared" ref="R48:S48" si="73">R40-R43-R44-R45-R47-R46</f>
        <v>#DIV/0!</v>
      </c>
      <c r="S48" s="88" t="e">
        <f t="shared" si="73"/>
        <v>#DIV/0!</v>
      </c>
      <c r="T48" s="88"/>
      <c r="AT48" s="77" t="s">
        <v>130</v>
      </c>
      <c r="AU48" s="82" t="s">
        <v>131</v>
      </c>
    </row>
    <row r="51" spans="2:25"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4" spans="2:25">
      <c r="B54" s="2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"/>
      <c r="V54" s="2"/>
      <c r="W54" s="2"/>
      <c r="X54" s="2"/>
      <c r="Y54" s="2"/>
    </row>
    <row r="55" spans="2:25">
      <c r="B55" s="2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"/>
      <c r="V55" s="2"/>
      <c r="W55" s="2"/>
      <c r="X55" s="2"/>
      <c r="Y55" s="2"/>
    </row>
    <row r="56" spans="2:25">
      <c r="B56" s="2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"/>
      <c r="V56" s="2"/>
      <c r="W56" s="2"/>
      <c r="X56" s="2"/>
      <c r="Y56" s="2"/>
    </row>
    <row r="57" spans="2:25">
      <c r="B57" s="2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"/>
      <c r="V57" s="2"/>
      <c r="W57" s="2"/>
      <c r="X57" s="2"/>
      <c r="Y57" s="2"/>
    </row>
    <row r="58" spans="2:25">
      <c r="B58" s="2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2"/>
      <c r="V58" s="2"/>
      <c r="W58" s="2"/>
      <c r="X58" s="2"/>
      <c r="Y58" s="2"/>
    </row>
    <row r="59" spans="2:25">
      <c r="B59" s="2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2"/>
      <c r="V59" s="2"/>
      <c r="W59" s="2"/>
      <c r="X59" s="2"/>
      <c r="Y59" s="2"/>
    </row>
    <row r="60" spans="2:25">
      <c r="B60" s="2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2"/>
      <c r="V60" s="2"/>
      <c r="W60" s="2"/>
      <c r="X60" s="2"/>
      <c r="Y60" s="2"/>
    </row>
    <row r="61" spans="2:25">
      <c r="B61" s="2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2"/>
      <c r="V61" s="2"/>
      <c r="W61" s="2"/>
      <c r="X61" s="2"/>
      <c r="Y61" s="2"/>
    </row>
    <row r="62" spans="2:25">
      <c r="B62" s="2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2"/>
      <c r="V62" s="2"/>
      <c r="W62" s="2"/>
      <c r="X62" s="2"/>
      <c r="Y62" s="2"/>
    </row>
    <row r="63" spans="2:25">
      <c r="B63" s="2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2"/>
      <c r="V63" s="2"/>
      <c r="W63" s="2"/>
      <c r="X63" s="2"/>
      <c r="Y63" s="2"/>
    </row>
    <row r="64" spans="2:25">
      <c r="B64" s="2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2"/>
      <c r="V64" s="2"/>
      <c r="W64" s="2"/>
      <c r="X64" s="2"/>
      <c r="Y64" s="2"/>
    </row>
    <row r="65" spans="2:25">
      <c r="B65" s="2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2"/>
      <c r="V65" s="2"/>
      <c r="W65" s="2"/>
      <c r="X65" s="2"/>
      <c r="Y65" s="2"/>
    </row>
    <row r="66" spans="2:25">
      <c r="B66" s="2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2"/>
      <c r="V66" s="2"/>
      <c r="W66" s="2"/>
      <c r="X66" s="2"/>
      <c r="Y66" s="2"/>
    </row>
    <row r="67" spans="2:25">
      <c r="B67" s="2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2"/>
    </row>
    <row r="68" spans="2:25">
      <c r="B68" s="2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2"/>
    </row>
    <row r="69" spans="2:25">
      <c r="B69" s="2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"/>
    </row>
    <row r="70" spans="2:25">
      <c r="B70" s="2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2"/>
    </row>
    <row r="71" spans="2:25">
      <c r="B71" s="2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2"/>
    </row>
    <row r="72" spans="2:25">
      <c r="B72" s="2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2"/>
    </row>
    <row r="73" spans="2:25">
      <c r="B73" s="2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"/>
    </row>
    <row r="74" spans="2:25">
      <c r="B74" s="2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90" zoomScaleNormal="9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T24" sqref="T24"/>
    </sheetView>
  </sheetViews>
  <sheetFormatPr defaultColWidth="9" defaultRowHeight="16.5"/>
  <cols>
    <col min="1" max="1" width="5.125" style="70" customWidth="1"/>
    <col min="2" max="2" width="17.5" style="70" customWidth="1"/>
    <col min="3" max="19" width="14.375" style="73" customWidth="1"/>
    <col min="20" max="20" width="18.75" style="73" customWidth="1"/>
    <col min="21" max="21" width="12.375" style="70" customWidth="1"/>
    <col min="22" max="22" width="10.125" style="70" customWidth="1"/>
    <col min="23" max="29" width="9" style="70" customWidth="1"/>
    <col min="30" max="45" width="9" style="70"/>
    <col min="46" max="46" width="4.375" style="70" customWidth="1"/>
    <col min="47" max="47" width="13.875" style="70" customWidth="1"/>
    <col min="48" max="16384" width="9" style="70"/>
  </cols>
  <sheetData>
    <row r="1" spans="1:48">
      <c r="A1" s="244" t="s">
        <v>141</v>
      </c>
      <c r="B1" s="244"/>
      <c r="C1" s="248" t="s">
        <v>260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/>
    </row>
    <row r="2" spans="1:48">
      <c r="A2" s="244" t="s">
        <v>142</v>
      </c>
      <c r="B2" s="244"/>
      <c r="C2" s="251" t="str">
        <f>'2026年'!$C$2</f>
        <v>一汽解放（青岛事业部）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48" ht="22.5">
      <c r="A3" s="244" t="s">
        <v>143</v>
      </c>
      <c r="B3" s="244"/>
      <c r="C3" s="75" t="str">
        <f>'2026年'!C3</f>
        <v>驾驶员座总成</v>
      </c>
      <c r="D3" s="75" t="str">
        <f>'2026年'!D3</f>
        <v>驾驶员座总成</v>
      </c>
      <c r="E3" s="75" t="str">
        <f>'2026年'!E3</f>
        <v>驾驶员座总成</v>
      </c>
      <c r="F3" s="75" t="str">
        <f>'2026年'!F3</f>
        <v>驾驶员座总成</v>
      </c>
      <c r="G3" s="75" t="str">
        <f>'2026年'!G3</f>
        <v>驾驶员座总成</v>
      </c>
      <c r="H3" s="75" t="str">
        <f>'2026年'!H3</f>
        <v>固定支架焊接总成-连接主副靠背</v>
      </c>
      <c r="I3" s="75" t="str">
        <f>'2026年'!I3</f>
        <v>前座座垫总成</v>
      </c>
      <c r="J3" s="75" t="str">
        <f>'2026年'!J3</f>
        <v>前座座垫总成</v>
      </c>
      <c r="K3" s="75" t="str">
        <f>'2026年'!K3</f>
        <v>前座座垫总成</v>
      </c>
      <c r="L3" s="75" t="str">
        <f>'2026年'!L3</f>
        <v>前座座垫总成</v>
      </c>
      <c r="M3" s="75" t="str">
        <f>'2026年'!M3</f>
        <v>主靠背总成-前座</v>
      </c>
      <c r="N3" s="75" t="str">
        <f>'2026年'!N3</f>
        <v>主靠背总成-前座</v>
      </c>
      <c r="O3" s="75" t="str">
        <f>'2026年'!O3</f>
        <v>副靠背总成-前座</v>
      </c>
      <c r="P3" s="75" t="str">
        <f>'2026年'!P3</f>
        <v>副靠背总成-前座</v>
      </c>
      <c r="Q3" s="75" t="str">
        <f>'2026年'!Q3</f>
        <v>副靠背总成-前座</v>
      </c>
      <c r="R3" s="75">
        <f>'2026年'!R3</f>
        <v>0</v>
      </c>
      <c r="S3" s="75">
        <f>'2026年'!S3</f>
        <v>0</v>
      </c>
      <c r="T3" s="245" t="s">
        <v>51</v>
      </c>
    </row>
    <row r="4" spans="1:48">
      <c r="A4" s="244" t="s">
        <v>144</v>
      </c>
      <c r="B4" s="244"/>
      <c r="C4" s="75" t="str">
        <f>'2026年'!C4</f>
        <v>6800010-J36-C00</v>
      </c>
      <c r="D4" s="75" t="str">
        <f>'2026年'!D4</f>
        <v>6800010-J37-C00</v>
      </c>
      <c r="E4" s="75" t="str">
        <f>'2026年'!E4</f>
        <v>6800010AJ36-C00</v>
      </c>
      <c r="F4" s="75" t="str">
        <f>'2026年'!F4</f>
        <v>6800010AJ37-C00</v>
      </c>
      <c r="G4" s="75" t="str">
        <f>'2026年'!G4</f>
        <v>6800010BJ37-C00</v>
      </c>
      <c r="H4" s="75" t="str">
        <f>'2026年'!H4</f>
        <v>6900015-J37-C00</v>
      </c>
      <c r="I4" s="75" t="str">
        <f>'2026年'!I4</f>
        <v>6903010-J36-C00</v>
      </c>
      <c r="J4" s="75" t="str">
        <f>'2026年'!J4</f>
        <v>6903010-J37-C00</v>
      </c>
      <c r="K4" s="75" t="str">
        <f>'2026年'!K4</f>
        <v>6903010AJ37-C00</v>
      </c>
      <c r="L4" s="75" t="str">
        <f>'2026年'!L4</f>
        <v>6903010BJ37-C00</v>
      </c>
      <c r="M4" s="75" t="str">
        <f>'2026年'!M4</f>
        <v>6905020-J37-C00</v>
      </c>
      <c r="N4" s="75">
        <f>'2026年'!N4</f>
        <v>0</v>
      </c>
      <c r="O4" s="75" t="str">
        <f>'2026年'!O4</f>
        <v>6905100-J36-C00</v>
      </c>
      <c r="P4" s="75" t="str">
        <f>'2026年'!P4</f>
        <v>6905100-J37-C00</v>
      </c>
      <c r="Q4" s="75">
        <f>'2026年'!Q4</f>
        <v>0</v>
      </c>
      <c r="R4" s="75">
        <f>'2026年'!R4</f>
        <v>0</v>
      </c>
      <c r="S4" s="75">
        <f>'2026年'!S4</f>
        <v>0</v>
      </c>
      <c r="T4" s="246"/>
    </row>
    <row r="5" spans="1:48" ht="99.75">
      <c r="A5" s="244" t="s">
        <v>145</v>
      </c>
      <c r="B5" s="244"/>
      <c r="C5" s="76" t="str">
        <f>'2026年'!C5</f>
        <v>靠背角度调整，座椅前后调节，通风加热，通风织物，右侧单扶手，L型头枕，左侧半包围</v>
      </c>
      <c r="D5" s="76" t="str">
        <f>'2026年'!D5</f>
        <v>空气减震，靠背角度调整，座椅前后调节，气动腰托，通风加热，超纤皮，右侧单扶手，音乐头枕+靠背按摩，左侧半包围</v>
      </c>
      <c r="E5" s="76" t="str">
        <f>'2026年'!E5</f>
        <v>靠背角度调整，座椅前后调节，通风织物，右侧单扶手，L型头枕，左侧半包围</v>
      </c>
      <c r="F5" s="76" t="str">
        <f>'2026年'!F5</f>
        <v>空气减震，靠背角度调整，座椅前后调节，气动腰托，通风加热，超纤皮，右侧单扶手，L型头枕，左侧半包围</v>
      </c>
      <c r="G5" s="76" t="str">
        <f>'2026年'!G5</f>
        <v>靠背角度调整，座椅前后调节，通风加热，通风织物，右侧单扶手，L型头枕，左侧半包围</v>
      </c>
      <c r="H5" s="76">
        <f>'2026年'!H5</f>
        <v>0</v>
      </c>
      <c r="I5" s="76" t="str">
        <f>'2026年'!I5</f>
        <v>通风织物，固定式</v>
      </c>
      <c r="J5" s="76" t="str">
        <f>'2026年'!J5</f>
        <v>抽拉功能，超纤</v>
      </c>
      <c r="K5" s="76" t="str">
        <f>'2026年'!K5</f>
        <v>抽拉功能，通风织物</v>
      </c>
      <c r="L5" s="76" t="str">
        <f>'2026年'!L5</f>
        <v>通风织物，固定式</v>
      </c>
      <c r="M5" s="76" t="str">
        <f>'2026年'!M5</f>
        <v>主靠背向前放平，中间座向前放平，L型头枕，中间座靠背集成放物盒</v>
      </c>
      <c r="N5" s="76" t="str">
        <f>'2026年'!N5</f>
        <v>参考6905020-H26-C00织物</v>
      </c>
      <c r="O5" s="76" t="str">
        <f>'2026年'!O5</f>
        <v>主靠背向前放平，中间座向前放平，L型头枕，中间座靠背集成放物盒</v>
      </c>
      <c r="P5" s="76" t="str">
        <f>'2026年'!P5</f>
        <v>主靠背向前放平，中间座向前放平，L型头枕，中间座靠背集成放物盒</v>
      </c>
      <c r="Q5" s="76" t="str">
        <f>'2026年'!Q5</f>
        <v>参考6905100-H22-C00织物</v>
      </c>
      <c r="R5" s="76">
        <f>'2026年'!R5</f>
        <v>0</v>
      </c>
      <c r="S5" s="76">
        <f>'2026年'!S5</f>
        <v>0</v>
      </c>
      <c r="T5" s="247"/>
      <c r="AV5" s="70" t="s">
        <v>52</v>
      </c>
    </row>
    <row r="6" spans="1:48">
      <c r="A6" s="77" t="s">
        <v>18</v>
      </c>
      <c r="B6" s="78" t="s">
        <v>146</v>
      </c>
      <c r="C6" s="79">
        <f>销量!C13</f>
        <v>3600</v>
      </c>
      <c r="D6" s="79">
        <f>销量!D13</f>
        <v>0</v>
      </c>
      <c r="E6" s="79">
        <f>销量!E13</f>
        <v>3600</v>
      </c>
      <c r="F6" s="79">
        <f>销量!F13</f>
        <v>14400</v>
      </c>
      <c r="G6" s="79">
        <f>销量!G13</f>
        <v>14400</v>
      </c>
      <c r="H6" s="79">
        <f>销量!H13</f>
        <v>36000</v>
      </c>
      <c r="I6" s="79">
        <f>销量!I13</f>
        <v>7200</v>
      </c>
      <c r="J6" s="79">
        <f>销量!J13</f>
        <v>14400</v>
      </c>
      <c r="K6" s="79">
        <f>销量!K13</f>
        <v>7200</v>
      </c>
      <c r="L6" s="79">
        <f>销量!L13</f>
        <v>7200</v>
      </c>
      <c r="M6" s="79">
        <f>销量!M13</f>
        <v>14400</v>
      </c>
      <c r="N6" s="79">
        <f>销量!N13</f>
        <v>21600</v>
      </c>
      <c r="O6" s="79">
        <f>销量!O13</f>
        <v>7200</v>
      </c>
      <c r="P6" s="79">
        <f>销量!P13</f>
        <v>14400</v>
      </c>
      <c r="Q6" s="79">
        <f>销量!Q13</f>
        <v>14400</v>
      </c>
      <c r="R6" s="79">
        <f>销量!R13</f>
        <v>0</v>
      </c>
      <c r="S6" s="79">
        <f>销量!S13</f>
        <v>0</v>
      </c>
      <c r="T6" s="80">
        <f>+SUM(C6:S6)</f>
        <v>180000</v>
      </c>
      <c r="AT6" s="77" t="s">
        <v>18</v>
      </c>
      <c r="AU6" s="78" t="s">
        <v>3</v>
      </c>
      <c r="AV6" s="70" t="s">
        <v>53</v>
      </c>
    </row>
    <row r="7" spans="1:48">
      <c r="A7" s="74">
        <v>1</v>
      </c>
      <c r="B7" s="78" t="s">
        <v>54</v>
      </c>
      <c r="C7" s="80">
        <f>C6*销量!C8</f>
        <v>2776572</v>
      </c>
      <c r="D7" s="80">
        <f>D6*销量!D8</f>
        <v>0</v>
      </c>
      <c r="E7" s="80">
        <f>E6*销量!E8</f>
        <v>1465200</v>
      </c>
      <c r="F7" s="80">
        <f>F6*销量!F8</f>
        <v>17455680</v>
      </c>
      <c r="G7" s="80">
        <f>G6*销量!G8</f>
        <v>11106288</v>
      </c>
      <c r="H7" s="80">
        <f>H6*销量!H8</f>
        <v>324000</v>
      </c>
      <c r="I7" s="80">
        <f>I6*销量!I8</f>
        <v>920592</v>
      </c>
      <c r="J7" s="80">
        <f>J6*销量!J8</f>
        <v>4553856</v>
      </c>
      <c r="K7" s="80">
        <f>K6*销量!K8</f>
        <v>2089584.0000000002</v>
      </c>
      <c r="L7" s="80">
        <f>L6*销量!L8</f>
        <v>1007352</v>
      </c>
      <c r="M7" s="80">
        <f>M6*销量!M8</f>
        <v>2229264</v>
      </c>
      <c r="N7" s="80">
        <f>N6*销量!N8</f>
        <v>2598696</v>
      </c>
      <c r="O7" s="80">
        <f>O6*销量!O8</f>
        <v>766224</v>
      </c>
      <c r="P7" s="80">
        <f>P6*销量!P8</f>
        <v>2077488.0000000002</v>
      </c>
      <c r="Q7" s="80">
        <f>Q6*销量!Q8</f>
        <v>1814400</v>
      </c>
      <c r="R7" s="80">
        <f>R6*销量!R8</f>
        <v>0</v>
      </c>
      <c r="S7" s="80">
        <f>S6*销量!S8</f>
        <v>0</v>
      </c>
      <c r="T7" s="80">
        <f t="shared" ref="T7:T13" si="0">+SUM(C7:S7)</f>
        <v>51185196</v>
      </c>
      <c r="U7" s="73"/>
      <c r="AT7" s="77" t="s">
        <v>55</v>
      </c>
      <c r="AU7" s="78" t="s">
        <v>54</v>
      </c>
      <c r="AV7" s="70" t="s">
        <v>53</v>
      </c>
    </row>
    <row r="8" spans="1:48">
      <c r="A8" s="74">
        <v>2</v>
      </c>
      <c r="B8" s="74" t="s">
        <v>56</v>
      </c>
      <c r="C8" s="80">
        <f>C7*(1-销量!$W$10)</f>
        <v>215550.39325248034</v>
      </c>
      <c r="D8" s="80">
        <f>D7*(1-销量!$W$10)</f>
        <v>0</v>
      </c>
      <c r="E8" s="80">
        <f>E7*(1-销量!$W$10)</f>
        <v>113746.17196800017</v>
      </c>
      <c r="F8" s="80">
        <f>F7*(1-销量!$W$10)</f>
        <v>1355116.5568512022</v>
      </c>
      <c r="G8" s="80">
        <f>G7*(1-销量!$W$10)</f>
        <v>862201.57300992135</v>
      </c>
      <c r="H8" s="80">
        <f>H7*(1-销量!$W$10)</f>
        <v>25152.71616000004</v>
      </c>
      <c r="I8" s="80">
        <f>I7*(1-销量!$W$10)</f>
        <v>71467.250849280113</v>
      </c>
      <c r="J8" s="80">
        <f>J7*(1-销量!$W$10)</f>
        <v>353524.22037504055</v>
      </c>
      <c r="K8" s="80">
        <f>K7*(1-销量!$W$10)</f>
        <v>162218.25075456026</v>
      </c>
      <c r="L8" s="80">
        <f>L7*(1-销量!$W$10)</f>
        <v>78202.589287680123</v>
      </c>
      <c r="M8" s="80">
        <f>M7*(1-销量!$W$10)</f>
        <v>173061.86616576026</v>
      </c>
      <c r="N8" s="80">
        <f>N7*(1-销量!$W$10)</f>
        <v>201741.55208064031</v>
      </c>
      <c r="O8" s="80">
        <f>O7*(1-销量!$W$10)</f>
        <v>59483.378972160092</v>
      </c>
      <c r="P8" s="80">
        <f>P7*(1-销量!$W$10)</f>
        <v>161279.21601792026</v>
      </c>
      <c r="Q8" s="80">
        <f>Q7*(1-销量!$W$10)</f>
        <v>140855.21049600022</v>
      </c>
      <c r="R8" s="80">
        <f>R7*(1-销量!$W$10)</f>
        <v>0</v>
      </c>
      <c r="S8" s="80">
        <f>S7*(1-销量!$W$10)</f>
        <v>0</v>
      </c>
      <c r="T8" s="80">
        <f t="shared" si="0"/>
        <v>3973600.9462406458</v>
      </c>
      <c r="U8" s="81"/>
      <c r="AT8" s="77" t="s">
        <v>57</v>
      </c>
      <c r="AU8" s="74" t="s">
        <v>58</v>
      </c>
      <c r="AV8" s="70" t="s">
        <v>53</v>
      </c>
    </row>
    <row r="9" spans="1:48">
      <c r="A9" s="74">
        <v>3</v>
      </c>
      <c r="B9" s="78" t="s">
        <v>59</v>
      </c>
      <c r="C9" s="80">
        <f>+C7-C8</f>
        <v>2561021.6067475197</v>
      </c>
      <c r="D9" s="80">
        <f>+D7-D8</f>
        <v>0</v>
      </c>
      <c r="E9" s="80">
        <f t="shared" ref="E9:T9" si="1">+E7-E8</f>
        <v>1351453.8280319998</v>
      </c>
      <c r="F9" s="80">
        <f t="shared" si="1"/>
        <v>16100563.443148797</v>
      </c>
      <c r="G9" s="80">
        <f t="shared" ref="G9:Q9" si="2">+G7-G8</f>
        <v>10244086.426990079</v>
      </c>
      <c r="H9" s="80">
        <f t="shared" si="2"/>
        <v>298847.28383999993</v>
      </c>
      <c r="I9" s="80">
        <f t="shared" si="2"/>
        <v>849124.74915071984</v>
      </c>
      <c r="J9" s="80">
        <f t="shared" si="2"/>
        <v>4200331.7796249595</v>
      </c>
      <c r="K9" s="80">
        <f t="shared" si="2"/>
        <v>1927365.7492454399</v>
      </c>
      <c r="L9" s="80">
        <f t="shared" si="2"/>
        <v>929149.41071231989</v>
      </c>
      <c r="M9" s="80">
        <f t="shared" si="2"/>
        <v>2056202.1338342398</v>
      </c>
      <c r="N9" s="80">
        <f t="shared" si="2"/>
        <v>2396954.4479193599</v>
      </c>
      <c r="O9" s="80">
        <f t="shared" si="2"/>
        <v>706740.62102783995</v>
      </c>
      <c r="P9" s="80">
        <f t="shared" si="2"/>
        <v>1916208.7839820799</v>
      </c>
      <c r="Q9" s="80">
        <f t="shared" si="2"/>
        <v>1673544.7895039998</v>
      </c>
      <c r="R9" s="80">
        <f t="shared" ref="R9:S9" si="3">+R7-R8</f>
        <v>0</v>
      </c>
      <c r="S9" s="80">
        <f t="shared" si="3"/>
        <v>0</v>
      </c>
      <c r="T9" s="80">
        <f t="shared" si="1"/>
        <v>47211595.053759351</v>
      </c>
      <c r="AT9" s="77" t="s">
        <v>60</v>
      </c>
      <c r="AU9" s="78" t="s">
        <v>59</v>
      </c>
      <c r="AV9" s="70" t="s">
        <v>61</v>
      </c>
    </row>
    <row r="10" spans="1:48">
      <c r="A10" s="74">
        <v>4</v>
      </c>
      <c r="B10" s="77" t="s">
        <v>63</v>
      </c>
      <c r="C10" s="80">
        <f>C6*C33</f>
        <v>2040429.6382982403</v>
      </c>
      <c r="D10" s="80">
        <f>D6*D33</f>
        <v>0</v>
      </c>
      <c r="E10" s="80">
        <f t="shared" ref="E10:F10" si="4">E6*E33</f>
        <v>999112.88038463984</v>
      </c>
      <c r="F10" s="80">
        <f t="shared" si="4"/>
        <v>11305360.359864362</v>
      </c>
      <c r="G10" s="80">
        <f t="shared" ref="G10:Q10" si="5">G6*G33</f>
        <v>8161718.553192961</v>
      </c>
      <c r="H10" s="80">
        <f t="shared" si="5"/>
        <v>163369.84849919999</v>
      </c>
      <c r="I10" s="80">
        <f t="shared" si="5"/>
        <v>594563.85274297302</v>
      </c>
      <c r="J10" s="80">
        <f t="shared" si="5"/>
        <v>3828432.9375129608</v>
      </c>
      <c r="K10" s="80">
        <f t="shared" si="5"/>
        <v>1691342.8055193599</v>
      </c>
      <c r="L10" s="80">
        <f t="shared" si="5"/>
        <v>604790.99532191083</v>
      </c>
      <c r="M10" s="80">
        <f t="shared" si="5"/>
        <v>1738528.3278078667</v>
      </c>
      <c r="N10" s="80">
        <f t="shared" si="5"/>
        <v>2256097.7614694396</v>
      </c>
      <c r="O10" s="80">
        <f t="shared" si="5"/>
        <v>511977.04468223621</v>
      </c>
      <c r="P10" s="80">
        <f t="shared" si="5"/>
        <v>1322266.4265251304</v>
      </c>
      <c r="Q10" s="80">
        <f t="shared" si="5"/>
        <v>1172145.4577279999</v>
      </c>
      <c r="R10" s="80">
        <f t="shared" ref="R10:S10" si="6">R6*R33</f>
        <v>0</v>
      </c>
      <c r="S10" s="80">
        <f t="shared" si="6"/>
        <v>0</v>
      </c>
      <c r="T10" s="80">
        <f t="shared" si="0"/>
        <v>36390136.889549278</v>
      </c>
      <c r="AT10" s="77" t="s">
        <v>62</v>
      </c>
      <c r="AU10" s="77" t="s">
        <v>63</v>
      </c>
      <c r="AV10" s="70" t="s">
        <v>64</v>
      </c>
    </row>
    <row r="11" spans="1:48">
      <c r="A11" s="74">
        <v>5</v>
      </c>
      <c r="B11" s="77" t="s">
        <v>65</v>
      </c>
      <c r="C11" s="80">
        <f>+C6*C36</f>
        <v>192694.0968</v>
      </c>
      <c r="D11" s="80">
        <f>+D6*D36</f>
        <v>0</v>
      </c>
      <c r="E11" s="80">
        <f t="shared" ref="E11:F11" si="7">+E6*E36</f>
        <v>101684.88</v>
      </c>
      <c r="F11" s="80">
        <f t="shared" si="7"/>
        <v>1211424.192</v>
      </c>
      <c r="G11" s="80">
        <f t="shared" ref="G11:Q11" si="8">+G6*G36</f>
        <v>770776.3872</v>
      </c>
      <c r="H11" s="80">
        <f t="shared" si="8"/>
        <v>22485.600000000002</v>
      </c>
      <c r="I11" s="80">
        <f t="shared" si="8"/>
        <v>63889.084800000011</v>
      </c>
      <c r="J11" s="80">
        <f t="shared" si="8"/>
        <v>316037.60640000005</v>
      </c>
      <c r="K11" s="80">
        <f t="shared" si="8"/>
        <v>145017.12960000001</v>
      </c>
      <c r="L11" s="80">
        <f t="shared" si="8"/>
        <v>69910.228799999997</v>
      </c>
      <c r="M11" s="80">
        <f t="shared" si="8"/>
        <v>154710.9216</v>
      </c>
      <c r="N11" s="80">
        <f t="shared" si="8"/>
        <v>180349.50240000003</v>
      </c>
      <c r="O11" s="80">
        <f t="shared" si="8"/>
        <v>53175.945600000006</v>
      </c>
      <c r="P11" s="80">
        <f t="shared" si="8"/>
        <v>144177.66720000003</v>
      </c>
      <c r="Q11" s="80">
        <f t="shared" si="8"/>
        <v>125919.36000000002</v>
      </c>
      <c r="R11" s="80">
        <f t="shared" ref="R11:S11" si="9">+R6*R36</f>
        <v>0</v>
      </c>
      <c r="S11" s="80">
        <f t="shared" si="9"/>
        <v>0</v>
      </c>
      <c r="T11" s="80">
        <f t="shared" si="0"/>
        <v>3552252.6024000002</v>
      </c>
      <c r="AT11" s="77" t="s">
        <v>66</v>
      </c>
      <c r="AU11" s="77" t="s">
        <v>65</v>
      </c>
    </row>
    <row r="12" spans="1:48">
      <c r="A12" s="74">
        <v>6</v>
      </c>
      <c r="B12" s="77" t="s">
        <v>67</v>
      </c>
      <c r="C12" s="80">
        <f>+C6*C37</f>
        <v>120503.2248</v>
      </c>
      <c r="D12" s="80">
        <f>+D6*D37</f>
        <v>0</v>
      </c>
      <c r="E12" s="80">
        <f t="shared" ref="E12:F12" si="10">+E6*E37</f>
        <v>63589.680000000008</v>
      </c>
      <c r="F12" s="80">
        <f t="shared" si="10"/>
        <v>757576.5120000001</v>
      </c>
      <c r="G12" s="80">
        <f t="shared" ref="G12:Q12" si="11">+G6*G37</f>
        <v>482012.89919999999</v>
      </c>
      <c r="H12" s="80">
        <f t="shared" si="11"/>
        <v>14061.6</v>
      </c>
      <c r="I12" s="80">
        <f t="shared" si="11"/>
        <v>39953.692799999997</v>
      </c>
      <c r="J12" s="80">
        <f t="shared" si="11"/>
        <v>197637.3504</v>
      </c>
      <c r="K12" s="80">
        <f t="shared" si="11"/>
        <v>90687.945600000006</v>
      </c>
      <c r="L12" s="80">
        <f t="shared" si="11"/>
        <v>43719.076800000003</v>
      </c>
      <c r="M12" s="80">
        <f t="shared" si="11"/>
        <v>96750.057600000015</v>
      </c>
      <c r="N12" s="80">
        <f t="shared" si="11"/>
        <v>112783.40640000001</v>
      </c>
      <c r="O12" s="80">
        <f t="shared" si="11"/>
        <v>33254.121599999999</v>
      </c>
      <c r="P12" s="80">
        <f t="shared" si="11"/>
        <v>90162.979200000002</v>
      </c>
      <c r="Q12" s="80">
        <f t="shared" si="11"/>
        <v>78744.959999999992</v>
      </c>
      <c r="R12" s="80">
        <f t="shared" ref="R12:S12" si="12">+R6*R37</f>
        <v>0</v>
      </c>
      <c r="S12" s="80">
        <f t="shared" si="12"/>
        <v>0</v>
      </c>
      <c r="T12" s="80">
        <f t="shared" si="0"/>
        <v>2221437.5064000003</v>
      </c>
      <c r="AT12" s="77" t="s">
        <v>68</v>
      </c>
      <c r="AU12" s="77" t="s">
        <v>67</v>
      </c>
    </row>
    <row r="13" spans="1:48">
      <c r="A13" s="74">
        <v>7</v>
      </c>
      <c r="B13" s="77" t="s">
        <v>69</v>
      </c>
      <c r="C13" s="80">
        <f>+C6*C38</f>
        <v>54000</v>
      </c>
      <c r="D13" s="80">
        <f>+D6*D38</f>
        <v>0</v>
      </c>
      <c r="E13" s="80">
        <f t="shared" ref="E13:F13" si="13">+E6*E38</f>
        <v>54000</v>
      </c>
      <c r="F13" s="80">
        <f t="shared" si="13"/>
        <v>331200</v>
      </c>
      <c r="G13" s="80">
        <f t="shared" ref="G13:Q13" si="14">+G6*G38</f>
        <v>216000</v>
      </c>
      <c r="H13" s="80">
        <f t="shared" si="14"/>
        <v>21092.400000000001</v>
      </c>
      <c r="I13" s="80">
        <f t="shared" si="14"/>
        <v>72000</v>
      </c>
      <c r="J13" s="80">
        <f t="shared" si="14"/>
        <v>144000</v>
      </c>
      <c r="K13" s="80">
        <f t="shared" si="14"/>
        <v>72000</v>
      </c>
      <c r="L13" s="80">
        <f t="shared" si="14"/>
        <v>72000</v>
      </c>
      <c r="M13" s="80">
        <f t="shared" si="14"/>
        <v>86400</v>
      </c>
      <c r="N13" s="80">
        <f t="shared" si="14"/>
        <v>129600</v>
      </c>
      <c r="O13" s="80">
        <f t="shared" si="14"/>
        <v>28800</v>
      </c>
      <c r="P13" s="80">
        <f t="shared" si="14"/>
        <v>57600</v>
      </c>
      <c r="Q13" s="80">
        <f t="shared" si="14"/>
        <v>57600</v>
      </c>
      <c r="R13" s="80">
        <f t="shared" ref="R13:S13" si="15">+R6*R38</f>
        <v>0</v>
      </c>
      <c r="S13" s="80">
        <f t="shared" si="15"/>
        <v>0</v>
      </c>
      <c r="T13" s="80">
        <f t="shared" si="0"/>
        <v>1396292.4</v>
      </c>
      <c r="AT13" s="77" t="s">
        <v>70</v>
      </c>
      <c r="AU13" s="77" t="s">
        <v>69</v>
      </c>
      <c r="AV13" s="70" t="s">
        <v>53</v>
      </c>
    </row>
    <row r="14" spans="1:48">
      <c r="A14" s="74">
        <v>8</v>
      </c>
      <c r="B14" s="82" t="s">
        <v>71</v>
      </c>
      <c r="C14" s="80">
        <f>SUM(C11:C13)</f>
        <v>367197.32160000002</v>
      </c>
      <c r="D14" s="80">
        <f>SUM(D11:D13)</f>
        <v>0</v>
      </c>
      <c r="E14" s="80">
        <f t="shared" ref="E14:T14" si="16">SUM(E11:E13)</f>
        <v>219274.56</v>
      </c>
      <c r="F14" s="80">
        <f t="shared" si="16"/>
        <v>2300200.7039999999</v>
      </c>
      <c r="G14" s="80">
        <f t="shared" ref="G14:Q14" si="17">SUM(G11:G13)</f>
        <v>1468789.2864000001</v>
      </c>
      <c r="H14" s="80">
        <f t="shared" si="17"/>
        <v>57639.600000000006</v>
      </c>
      <c r="I14" s="80">
        <f t="shared" si="17"/>
        <v>175842.7776</v>
      </c>
      <c r="J14" s="80">
        <f t="shared" si="17"/>
        <v>657674.95680000004</v>
      </c>
      <c r="K14" s="80">
        <f t="shared" si="17"/>
        <v>307705.07520000002</v>
      </c>
      <c r="L14" s="80">
        <f t="shared" si="17"/>
        <v>185629.30559999999</v>
      </c>
      <c r="M14" s="80">
        <f t="shared" si="17"/>
        <v>337860.9792</v>
      </c>
      <c r="N14" s="80">
        <f t="shared" si="17"/>
        <v>422732.90880000003</v>
      </c>
      <c r="O14" s="80">
        <f t="shared" si="17"/>
        <v>115230.0672</v>
      </c>
      <c r="P14" s="80">
        <f t="shared" si="17"/>
        <v>291940.64640000003</v>
      </c>
      <c r="Q14" s="80">
        <f t="shared" si="17"/>
        <v>262264.32000000001</v>
      </c>
      <c r="R14" s="80">
        <f t="shared" ref="R14:S14" si="18">SUM(R11:R13)</f>
        <v>0</v>
      </c>
      <c r="S14" s="80">
        <f t="shared" si="18"/>
        <v>0</v>
      </c>
      <c r="T14" s="80">
        <f t="shared" si="16"/>
        <v>7169982.5088</v>
      </c>
      <c r="AT14" s="77" t="s">
        <v>72</v>
      </c>
      <c r="AU14" s="82" t="s">
        <v>71</v>
      </c>
    </row>
    <row r="15" spans="1:48">
      <c r="A15" s="74">
        <v>9</v>
      </c>
      <c r="B15" s="82" t="s">
        <v>73</v>
      </c>
      <c r="C15" s="80">
        <f>+C9-C10-C14</f>
        <v>153394.64684927941</v>
      </c>
      <c r="D15" s="80">
        <f>+D9-D10-D14</f>
        <v>0</v>
      </c>
      <c r="E15" s="80">
        <f t="shared" ref="E15:T15" si="19">+E9-E10-E14</f>
        <v>133066.38764735992</v>
      </c>
      <c r="F15" s="80">
        <f t="shared" si="19"/>
        <v>2495002.3792844359</v>
      </c>
      <c r="G15" s="80">
        <f t="shared" ref="G15:Q15" si="20">+G9-G10-G14</f>
        <v>613578.58739711763</v>
      </c>
      <c r="H15" s="80">
        <f t="shared" si="20"/>
        <v>77837.835340799938</v>
      </c>
      <c r="I15" s="80">
        <f t="shared" si="20"/>
        <v>78718.118807746825</v>
      </c>
      <c r="J15" s="80">
        <f t="shared" si="20"/>
        <v>-285776.11468800134</v>
      </c>
      <c r="K15" s="80">
        <f t="shared" si="20"/>
        <v>-71682.131473920017</v>
      </c>
      <c r="L15" s="80">
        <f t="shared" si="20"/>
        <v>138729.10979040907</v>
      </c>
      <c r="M15" s="80">
        <f t="shared" si="20"/>
        <v>-20187.173173626943</v>
      </c>
      <c r="N15" s="80">
        <f t="shared" si="20"/>
        <v>-281876.22235007974</v>
      </c>
      <c r="O15" s="80">
        <f t="shared" si="20"/>
        <v>79533.509145603733</v>
      </c>
      <c r="P15" s="80">
        <f t="shared" si="20"/>
        <v>302001.71105694951</v>
      </c>
      <c r="Q15" s="80">
        <f t="shared" si="20"/>
        <v>239135.01177599985</v>
      </c>
      <c r="R15" s="80">
        <f t="shared" ref="R15:S15" si="21">+R9-R10-R14</f>
        <v>0</v>
      </c>
      <c r="S15" s="80">
        <f t="shared" si="21"/>
        <v>0</v>
      </c>
      <c r="T15" s="80">
        <f t="shared" si="19"/>
        <v>3651475.6554100737</v>
      </c>
      <c r="AT15" s="77" t="s">
        <v>74</v>
      </c>
      <c r="AU15" s="82" t="s">
        <v>73</v>
      </c>
    </row>
    <row r="16" spans="1:48">
      <c r="A16" s="74">
        <v>10</v>
      </c>
      <c r="B16" s="77" t="s">
        <v>75</v>
      </c>
      <c r="C16" s="83">
        <f>+C15/C9</f>
        <v>5.9895881567391222E-2</v>
      </c>
      <c r="D16" s="83" t="e">
        <f>+D15/D9</f>
        <v>#DIV/0!</v>
      </c>
      <c r="E16" s="83">
        <f t="shared" ref="E16:F16" si="22">+E15/E9</f>
        <v>9.8461660241202981E-2</v>
      </c>
      <c r="F16" s="83">
        <f t="shared" si="22"/>
        <v>0.15496366869981332</v>
      </c>
      <c r="G16" s="83">
        <f t="shared" ref="G16:Q16" si="23">+G15/G9</f>
        <v>5.9895881567391222E-2</v>
      </c>
      <c r="H16" s="83">
        <f t="shared" si="23"/>
        <v>0.26046024022916531</v>
      </c>
      <c r="I16" s="83">
        <f t="shared" si="23"/>
        <v>9.2705010525814202E-2</v>
      </c>
      <c r="J16" s="83">
        <f t="shared" si="23"/>
        <v>-6.8036557510587362E-2</v>
      </c>
      <c r="K16" s="83">
        <f t="shared" si="23"/>
        <v>-3.7191763681586353E-2</v>
      </c>
      <c r="L16" s="83">
        <f t="shared" si="23"/>
        <v>0.14930764437987887</v>
      </c>
      <c r="M16" s="83">
        <f t="shared" si="23"/>
        <v>-9.8176987765222924E-3</v>
      </c>
      <c r="N16" s="83">
        <f t="shared" si="23"/>
        <v>-0.11759765505546346</v>
      </c>
      <c r="O16" s="83">
        <f t="shared" si="23"/>
        <v>0.11253564147754108</v>
      </c>
      <c r="P16" s="83">
        <f t="shared" si="23"/>
        <v>0.15760376091657338</v>
      </c>
      <c r="Q16" s="83">
        <f t="shared" si="23"/>
        <v>0.14289131266506108</v>
      </c>
      <c r="R16" s="83" t="e">
        <f t="shared" ref="R16:S16" si="24">+R15/R9</f>
        <v>#DIV/0!</v>
      </c>
      <c r="S16" s="83" t="e">
        <f t="shared" si="24"/>
        <v>#DIV/0!</v>
      </c>
      <c r="T16" s="83">
        <f>+T15/T9</f>
        <v>7.7342772495870488E-2</v>
      </c>
      <c r="U16" s="84"/>
      <c r="V16" s="84"/>
      <c r="W16" s="84"/>
      <c r="AT16" s="77" t="s">
        <v>76</v>
      </c>
      <c r="AU16" s="77" t="s">
        <v>75</v>
      </c>
    </row>
    <row r="17" spans="1:48">
      <c r="A17" s="74">
        <v>11</v>
      </c>
      <c r="B17" s="77" t="s">
        <v>77</v>
      </c>
      <c r="C17" s="80">
        <f>C6*C43+C18</f>
        <v>235641.19</v>
      </c>
      <c r="D17" s="80">
        <f>D6*D43+D18</f>
        <v>0</v>
      </c>
      <c r="E17" s="80">
        <f t="shared" ref="E17:F17" si="25">E6*E43+E18</f>
        <v>127453</v>
      </c>
      <c r="F17" s="80">
        <f t="shared" si="25"/>
        <v>1466389.6</v>
      </c>
      <c r="G17" s="80">
        <f t="shared" ref="G17:Q17" si="26">G6*G43+G18</f>
        <v>942564.76</v>
      </c>
      <c r="H17" s="80">
        <f t="shared" si="26"/>
        <v>92470</v>
      </c>
      <c r="I17" s="80">
        <f t="shared" si="26"/>
        <v>89096.840000000011</v>
      </c>
      <c r="J17" s="80">
        <f t="shared" si="26"/>
        <v>401989.12</v>
      </c>
      <c r="K17" s="80">
        <f t="shared" si="26"/>
        <v>185538.68000000002</v>
      </c>
      <c r="L17" s="80">
        <f t="shared" si="26"/>
        <v>96254.540000000008</v>
      </c>
      <c r="M17" s="80">
        <f t="shared" si="26"/>
        <v>210210.28000000003</v>
      </c>
      <c r="N17" s="80">
        <f t="shared" si="26"/>
        <v>253836.42</v>
      </c>
      <c r="O17" s="80">
        <f t="shared" si="26"/>
        <v>76361.48000000001</v>
      </c>
      <c r="P17" s="80">
        <f t="shared" si="26"/>
        <v>197688.76</v>
      </c>
      <c r="Q17" s="80">
        <f t="shared" si="26"/>
        <v>175984.00000000003</v>
      </c>
      <c r="R17" s="80">
        <f t="shared" ref="R17:S17" si="27">R6*R43+R18</f>
        <v>0</v>
      </c>
      <c r="S17" s="80">
        <f t="shared" si="27"/>
        <v>0</v>
      </c>
      <c r="T17" s="80">
        <f t="shared" ref="T17" si="28">+SUM(C17:S17)</f>
        <v>4551478.67</v>
      </c>
      <c r="U17" s="81"/>
      <c r="AT17" s="77" t="s">
        <v>78</v>
      </c>
      <c r="AU17" s="77" t="s">
        <v>77</v>
      </c>
    </row>
    <row r="18" spans="1:48" s="71" customFormat="1">
      <c r="A18" s="74">
        <v>12</v>
      </c>
      <c r="B18" s="85" t="s">
        <v>147</v>
      </c>
      <c r="C18" s="86">
        <f t="shared" ref="C18:Q18" si="29">$T$18/$T$6*C6</f>
        <v>6574</v>
      </c>
      <c r="D18" s="86">
        <f t="shared" si="29"/>
        <v>0</v>
      </c>
      <c r="E18" s="86">
        <f t="shared" si="29"/>
        <v>6574</v>
      </c>
      <c r="F18" s="86">
        <f t="shared" si="29"/>
        <v>26296</v>
      </c>
      <c r="G18" s="86">
        <f t="shared" si="29"/>
        <v>26296</v>
      </c>
      <c r="H18" s="86">
        <f t="shared" si="29"/>
        <v>65740</v>
      </c>
      <c r="I18" s="86">
        <f t="shared" si="29"/>
        <v>13148</v>
      </c>
      <c r="J18" s="86">
        <f t="shared" si="29"/>
        <v>26296</v>
      </c>
      <c r="K18" s="86">
        <f t="shared" si="29"/>
        <v>13148</v>
      </c>
      <c r="L18" s="86">
        <f t="shared" si="29"/>
        <v>13148</v>
      </c>
      <c r="M18" s="86">
        <f t="shared" si="29"/>
        <v>26296</v>
      </c>
      <c r="N18" s="86">
        <f t="shared" si="29"/>
        <v>39444</v>
      </c>
      <c r="O18" s="86">
        <f t="shared" si="29"/>
        <v>13148</v>
      </c>
      <c r="P18" s="86">
        <f t="shared" si="29"/>
        <v>26296</v>
      </c>
      <c r="Q18" s="86">
        <f t="shared" si="29"/>
        <v>26296</v>
      </c>
      <c r="R18" s="86">
        <f t="shared" ref="R18:S18" si="30">$T$18/$T$6*R6</f>
        <v>0</v>
      </c>
      <c r="S18" s="86">
        <f t="shared" si="30"/>
        <v>0</v>
      </c>
      <c r="T18" s="80">
        <f>项目投资!H26</f>
        <v>328700</v>
      </c>
      <c r="U18" s="87" t="s">
        <v>148</v>
      </c>
      <c r="V18" s="87"/>
      <c r="W18" s="87"/>
    </row>
    <row r="19" spans="1:48">
      <c r="A19" s="74">
        <v>13</v>
      </c>
      <c r="B19" s="77" t="s">
        <v>79</v>
      </c>
      <c r="C19" s="80">
        <f>C6*C44</f>
        <v>47757.038399999998</v>
      </c>
      <c r="D19" s="80">
        <f>D6*D44</f>
        <v>0</v>
      </c>
      <c r="E19" s="80">
        <f t="shared" ref="E19:F19" si="31">E6*E44</f>
        <v>25201.439999999999</v>
      </c>
      <c r="F19" s="80">
        <f t="shared" si="31"/>
        <v>300237.696</v>
      </c>
      <c r="G19" s="80">
        <f t="shared" ref="G19:Q19" si="32">G6*G44</f>
        <v>191028.15359999999</v>
      </c>
      <c r="H19" s="80">
        <f t="shared" si="32"/>
        <v>5572.8</v>
      </c>
      <c r="I19" s="80">
        <f t="shared" si="32"/>
        <v>15834.1824</v>
      </c>
      <c r="J19" s="80">
        <f t="shared" si="32"/>
        <v>78326.323199999999</v>
      </c>
      <c r="K19" s="80">
        <f t="shared" si="32"/>
        <v>35940.844800000006</v>
      </c>
      <c r="L19" s="80">
        <f t="shared" si="32"/>
        <v>17326.454399999999</v>
      </c>
      <c r="M19" s="80">
        <f t="shared" si="32"/>
        <v>38343.340799999998</v>
      </c>
      <c r="N19" s="80">
        <f t="shared" si="32"/>
        <v>44697.571200000006</v>
      </c>
      <c r="O19" s="80">
        <f t="shared" si="32"/>
        <v>13179.052799999999</v>
      </c>
      <c r="P19" s="80">
        <f t="shared" si="32"/>
        <v>35732.793600000005</v>
      </c>
      <c r="Q19" s="80">
        <f t="shared" si="32"/>
        <v>31207.679999999997</v>
      </c>
      <c r="R19" s="80">
        <f t="shared" ref="R19:S19" si="33">R6*R44</f>
        <v>0</v>
      </c>
      <c r="S19" s="80">
        <f t="shared" si="33"/>
        <v>0</v>
      </c>
      <c r="T19" s="80">
        <f t="shared" ref="T19:T20" si="34">+SUM(C19:S19)</f>
        <v>880385.37120000005</v>
      </c>
      <c r="U19" s="71"/>
      <c r="AT19" s="77" t="s">
        <v>80</v>
      </c>
      <c r="AU19" s="77" t="s">
        <v>79</v>
      </c>
      <c r="AV19" s="70" t="s">
        <v>53</v>
      </c>
    </row>
    <row r="20" spans="1:48">
      <c r="A20" s="74">
        <v>14</v>
      </c>
      <c r="B20" s="77" t="s">
        <v>81</v>
      </c>
      <c r="C20" s="80">
        <f>C6*C45</f>
        <v>73301.500799999994</v>
      </c>
      <c r="D20" s="80">
        <f>D6*D45</f>
        <v>0</v>
      </c>
      <c r="E20" s="80">
        <f t="shared" ref="E20:F20" si="35">E6*E45</f>
        <v>38681.279999999999</v>
      </c>
      <c r="F20" s="80">
        <f t="shared" si="35"/>
        <v>460829.95199999999</v>
      </c>
      <c r="G20" s="80">
        <f t="shared" ref="G20:Q20" si="36">G6*G45</f>
        <v>293206.00319999998</v>
      </c>
      <c r="H20" s="80">
        <f t="shared" si="36"/>
        <v>8553.6</v>
      </c>
      <c r="I20" s="80">
        <f t="shared" si="36"/>
        <v>24303.628799999999</v>
      </c>
      <c r="J20" s="80">
        <f t="shared" si="36"/>
        <v>120221.79840000001</v>
      </c>
      <c r="K20" s="80">
        <f t="shared" si="36"/>
        <v>55165.017600000006</v>
      </c>
      <c r="L20" s="80">
        <f t="shared" si="36"/>
        <v>26594.092799999999</v>
      </c>
      <c r="M20" s="80">
        <f t="shared" si="36"/>
        <v>58852.569600000003</v>
      </c>
      <c r="N20" s="80">
        <f t="shared" si="36"/>
        <v>68605.574399999998</v>
      </c>
      <c r="O20" s="80">
        <f t="shared" si="36"/>
        <v>20228.313600000001</v>
      </c>
      <c r="P20" s="80">
        <f t="shared" si="36"/>
        <v>54845.683200000007</v>
      </c>
      <c r="Q20" s="80">
        <f t="shared" si="36"/>
        <v>47900.160000000003</v>
      </c>
      <c r="R20" s="80">
        <f t="shared" ref="R20:S20" si="37">R6*R45</f>
        <v>0</v>
      </c>
      <c r="S20" s="80">
        <f t="shared" si="37"/>
        <v>0</v>
      </c>
      <c r="T20" s="80">
        <f t="shared" si="34"/>
        <v>1351289.1743999999</v>
      </c>
      <c r="AT20" s="77" t="s">
        <v>82</v>
      </c>
      <c r="AU20" s="77" t="s">
        <v>81</v>
      </c>
    </row>
    <row r="21" spans="1:48">
      <c r="A21" s="74">
        <v>15</v>
      </c>
      <c r="B21" s="77" t="s">
        <v>83</v>
      </c>
      <c r="C21" s="88">
        <f t="shared" ref="C21:Q21" si="38">$T$21/$T$6*C6</f>
        <v>2240</v>
      </c>
      <c r="D21" s="88">
        <f t="shared" si="38"/>
        <v>0</v>
      </c>
      <c r="E21" s="88">
        <f t="shared" si="38"/>
        <v>2240</v>
      </c>
      <c r="F21" s="88">
        <f t="shared" si="38"/>
        <v>8960</v>
      </c>
      <c r="G21" s="88">
        <f t="shared" si="38"/>
        <v>8960</v>
      </c>
      <c r="H21" s="88">
        <f t="shared" si="38"/>
        <v>22400</v>
      </c>
      <c r="I21" s="88">
        <f t="shared" si="38"/>
        <v>4480</v>
      </c>
      <c r="J21" s="88">
        <f t="shared" si="38"/>
        <v>8960</v>
      </c>
      <c r="K21" s="88">
        <f t="shared" si="38"/>
        <v>4480</v>
      </c>
      <c r="L21" s="88">
        <f t="shared" si="38"/>
        <v>4480</v>
      </c>
      <c r="M21" s="88">
        <f t="shared" si="38"/>
        <v>8960</v>
      </c>
      <c r="N21" s="88">
        <f t="shared" si="38"/>
        <v>13440</v>
      </c>
      <c r="O21" s="88">
        <f t="shared" si="38"/>
        <v>4480</v>
      </c>
      <c r="P21" s="88">
        <f t="shared" si="38"/>
        <v>8960</v>
      </c>
      <c r="Q21" s="88">
        <f t="shared" si="38"/>
        <v>8960</v>
      </c>
      <c r="R21" s="88">
        <f t="shared" ref="R21:S21" si="39">$T$21/$T$6*R6</f>
        <v>0</v>
      </c>
      <c r="S21" s="88">
        <f t="shared" si="39"/>
        <v>0</v>
      </c>
      <c r="T21" s="80">
        <f>项目投资!H27</f>
        <v>112000</v>
      </c>
      <c r="AT21" s="77"/>
      <c r="AU21" s="77"/>
    </row>
    <row r="22" spans="1:48">
      <c r="A22" s="74">
        <v>16</v>
      </c>
      <c r="B22" s="77" t="s">
        <v>84</v>
      </c>
      <c r="C22" s="80">
        <f>C6*C47</f>
        <v>98568.305999999997</v>
      </c>
      <c r="D22" s="80">
        <f>D6*D47</f>
        <v>0</v>
      </c>
      <c r="E22" s="80">
        <f t="shared" ref="E22:F22" si="40">E6*E47</f>
        <v>52014.6</v>
      </c>
      <c r="F22" s="80">
        <f t="shared" si="40"/>
        <v>619676.64</v>
      </c>
      <c r="G22" s="80">
        <f t="shared" ref="G22:Q22" si="41">G6*G47</f>
        <v>394273.22399999999</v>
      </c>
      <c r="H22" s="80">
        <f t="shared" si="41"/>
        <v>11501.999999999998</v>
      </c>
      <c r="I22" s="80">
        <f t="shared" si="41"/>
        <v>32681.015999999996</v>
      </c>
      <c r="J22" s="80">
        <f t="shared" si="41"/>
        <v>161661.88799999998</v>
      </c>
      <c r="K22" s="80">
        <f t="shared" si="41"/>
        <v>74180.232000000004</v>
      </c>
      <c r="L22" s="80">
        <f t="shared" si="41"/>
        <v>35760.995999999992</v>
      </c>
      <c r="M22" s="80">
        <f t="shared" si="41"/>
        <v>79138.872000000003</v>
      </c>
      <c r="N22" s="80">
        <f t="shared" si="41"/>
        <v>92253.707999999999</v>
      </c>
      <c r="O22" s="80">
        <f t="shared" si="41"/>
        <v>27200.951999999997</v>
      </c>
      <c r="P22" s="80">
        <f t="shared" si="41"/>
        <v>73750.823999999993</v>
      </c>
      <c r="Q22" s="80">
        <f t="shared" si="41"/>
        <v>64411.199999999997</v>
      </c>
      <c r="R22" s="80">
        <f t="shared" ref="R22:S22" si="42">R6*R47</f>
        <v>0</v>
      </c>
      <c r="S22" s="80">
        <f t="shared" si="42"/>
        <v>0</v>
      </c>
      <c r="T22" s="80">
        <f t="shared" ref="T22" si="43">+SUM(C22:S22)</f>
        <v>1817074.4580000003</v>
      </c>
      <c r="AT22" s="77" t="s">
        <v>85</v>
      </c>
      <c r="AU22" s="77" t="s">
        <v>84</v>
      </c>
    </row>
    <row r="23" spans="1:48">
      <c r="A23" s="74">
        <v>17</v>
      </c>
      <c r="B23" s="82" t="s">
        <v>86</v>
      </c>
      <c r="C23" s="88">
        <f>+C22+C21+C20+C19+C17</f>
        <v>457508.03519999998</v>
      </c>
      <c r="D23" s="88">
        <f>+D22+D21+D20+D19+D17</f>
        <v>0</v>
      </c>
      <c r="E23" s="88">
        <f t="shared" ref="E23:F23" si="44">+E22+E21+E20+E19+E17</f>
        <v>245590.32</v>
      </c>
      <c r="F23" s="88">
        <f t="shared" si="44"/>
        <v>2856093.8880000003</v>
      </c>
      <c r="G23" s="88">
        <f t="shared" ref="G23:Q23" si="45">+G22+G21+G20+G19+G17</f>
        <v>1830032.1407999999</v>
      </c>
      <c r="H23" s="88">
        <f t="shared" si="45"/>
        <v>140498.4</v>
      </c>
      <c r="I23" s="88">
        <f t="shared" si="45"/>
        <v>166395.66720000003</v>
      </c>
      <c r="J23" s="88">
        <f t="shared" si="45"/>
        <v>771159.12959999999</v>
      </c>
      <c r="K23" s="88">
        <f t="shared" si="45"/>
        <v>355304.77439999999</v>
      </c>
      <c r="L23" s="88">
        <f t="shared" si="45"/>
        <v>180416.08319999999</v>
      </c>
      <c r="M23" s="88">
        <f t="shared" si="45"/>
        <v>395505.06240000005</v>
      </c>
      <c r="N23" s="88">
        <f t="shared" si="45"/>
        <v>472833.27360000001</v>
      </c>
      <c r="O23" s="88">
        <f t="shared" si="45"/>
        <v>141449.7984</v>
      </c>
      <c r="P23" s="88">
        <f t="shared" si="45"/>
        <v>370978.06079999998</v>
      </c>
      <c r="Q23" s="88">
        <f t="shared" si="45"/>
        <v>328463.04000000004</v>
      </c>
      <c r="R23" s="88">
        <f t="shared" ref="R23:S23" si="46">+R22+R21+R20+R19+R17</f>
        <v>0</v>
      </c>
      <c r="S23" s="88">
        <f t="shared" si="46"/>
        <v>0</v>
      </c>
      <c r="T23" s="88">
        <f>+T22+T21+T20+T19+T17</f>
        <v>8712227.6735999994</v>
      </c>
      <c r="AT23" s="77" t="s">
        <v>87</v>
      </c>
      <c r="AU23" s="82" t="s">
        <v>86</v>
      </c>
    </row>
    <row r="24" spans="1:48">
      <c r="A24" s="74">
        <v>18</v>
      </c>
      <c r="B24" s="89" t="s">
        <v>88</v>
      </c>
      <c r="C24" s="88">
        <f>+C15-C23</f>
        <v>-304113.38835072058</v>
      </c>
      <c r="D24" s="88">
        <f>+D15-D23</f>
        <v>0</v>
      </c>
      <c r="E24" s="88">
        <f t="shared" ref="E24:F24" si="47">+E15-E23</f>
        <v>-112523.93235264008</v>
      </c>
      <c r="F24" s="88">
        <f t="shared" si="47"/>
        <v>-361091.50871556439</v>
      </c>
      <c r="G24" s="88">
        <f t="shared" ref="G24:Q24" si="48">+G15-G23</f>
        <v>-1216453.5534028823</v>
      </c>
      <c r="H24" s="88">
        <f t="shared" si="48"/>
        <v>-62660.564659200056</v>
      </c>
      <c r="I24" s="88">
        <f t="shared" si="48"/>
        <v>-87677.5483922532</v>
      </c>
      <c r="J24" s="88">
        <f t="shared" si="48"/>
        <v>-1056935.2442880012</v>
      </c>
      <c r="K24" s="88">
        <f t="shared" si="48"/>
        <v>-426986.90587392001</v>
      </c>
      <c r="L24" s="88">
        <f t="shared" si="48"/>
        <v>-41686.973409590923</v>
      </c>
      <c r="M24" s="88">
        <f t="shared" si="48"/>
        <v>-415692.235573627</v>
      </c>
      <c r="N24" s="88">
        <f t="shared" si="48"/>
        <v>-754709.49595007976</v>
      </c>
      <c r="O24" s="88">
        <f t="shared" si="48"/>
        <v>-61916.289254396266</v>
      </c>
      <c r="P24" s="88">
        <f t="shared" si="48"/>
        <v>-68976.349743050465</v>
      </c>
      <c r="Q24" s="88">
        <f t="shared" si="48"/>
        <v>-89328.028224000183</v>
      </c>
      <c r="R24" s="88">
        <f t="shared" ref="R24:S24" si="49">+R15-R23</f>
        <v>0</v>
      </c>
      <c r="S24" s="88">
        <f t="shared" si="49"/>
        <v>0</v>
      </c>
      <c r="T24" s="88">
        <f>+T15-T23</f>
        <v>-5060752.0181899257</v>
      </c>
      <c r="V24" s="90"/>
      <c r="AT24" s="77" t="s">
        <v>89</v>
      </c>
      <c r="AU24" s="77" t="s">
        <v>88</v>
      </c>
    </row>
    <row r="25" spans="1:48">
      <c r="A25" s="74">
        <v>19</v>
      </c>
      <c r="B25" s="77" t="s">
        <v>271</v>
      </c>
      <c r="C25" s="88">
        <f>IF(C24&lt;0,0,C24*0.15)</f>
        <v>0</v>
      </c>
      <c r="D25" s="88">
        <f t="shared" ref="D25:T25" si="50">IF(D24&lt;0,0,D24*0.15)</f>
        <v>0</v>
      </c>
      <c r="E25" s="88">
        <f t="shared" ref="E25:F25" si="51">IF(E24&lt;0,0,E24*0.15)</f>
        <v>0</v>
      </c>
      <c r="F25" s="88">
        <f t="shared" si="51"/>
        <v>0</v>
      </c>
      <c r="G25" s="88">
        <f t="shared" ref="G25:Q25" si="52">IF(G24&lt;0,0,G24*0.15)</f>
        <v>0</v>
      </c>
      <c r="H25" s="88">
        <f t="shared" si="52"/>
        <v>0</v>
      </c>
      <c r="I25" s="88">
        <f t="shared" si="52"/>
        <v>0</v>
      </c>
      <c r="J25" s="88">
        <f t="shared" si="52"/>
        <v>0</v>
      </c>
      <c r="K25" s="88">
        <f t="shared" si="52"/>
        <v>0</v>
      </c>
      <c r="L25" s="88">
        <f t="shared" si="52"/>
        <v>0</v>
      </c>
      <c r="M25" s="88">
        <f t="shared" si="52"/>
        <v>0</v>
      </c>
      <c r="N25" s="88">
        <f t="shared" si="52"/>
        <v>0</v>
      </c>
      <c r="O25" s="88">
        <f t="shared" si="52"/>
        <v>0</v>
      </c>
      <c r="P25" s="88">
        <f t="shared" si="52"/>
        <v>0</v>
      </c>
      <c r="Q25" s="88">
        <f t="shared" si="52"/>
        <v>0</v>
      </c>
      <c r="R25" s="88">
        <f t="shared" ref="R25:S25" si="53">IF(R24&lt;0,0,R24*0.15)</f>
        <v>0</v>
      </c>
      <c r="S25" s="88">
        <f t="shared" si="53"/>
        <v>0</v>
      </c>
      <c r="T25" s="88">
        <f t="shared" si="50"/>
        <v>0</v>
      </c>
      <c r="U25" s="2"/>
      <c r="V25" s="2"/>
      <c r="W25" s="2"/>
      <c r="AT25" s="77" t="s">
        <v>90</v>
      </c>
      <c r="AU25" s="77" t="s">
        <v>35</v>
      </c>
    </row>
    <row r="26" spans="1:48">
      <c r="A26" s="74">
        <v>20</v>
      </c>
      <c r="B26" s="77" t="s">
        <v>91</v>
      </c>
      <c r="C26" s="88">
        <f>C24-C25</f>
        <v>-304113.38835072058</v>
      </c>
      <c r="D26" s="88">
        <f>D24-D25</f>
        <v>0</v>
      </c>
      <c r="E26" s="88">
        <f t="shared" ref="E26:T26" si="54">E24-E25</f>
        <v>-112523.93235264008</v>
      </c>
      <c r="F26" s="88">
        <f t="shared" si="54"/>
        <v>-361091.50871556439</v>
      </c>
      <c r="G26" s="88">
        <f t="shared" ref="G26:Q26" si="55">G24-G25</f>
        <v>-1216453.5534028823</v>
      </c>
      <c r="H26" s="88">
        <f t="shared" si="55"/>
        <v>-62660.564659200056</v>
      </c>
      <c r="I26" s="88">
        <f t="shared" si="55"/>
        <v>-87677.5483922532</v>
      </c>
      <c r="J26" s="88">
        <f t="shared" si="55"/>
        <v>-1056935.2442880012</v>
      </c>
      <c r="K26" s="88">
        <f t="shared" si="55"/>
        <v>-426986.90587392001</v>
      </c>
      <c r="L26" s="88">
        <f t="shared" si="55"/>
        <v>-41686.973409590923</v>
      </c>
      <c r="M26" s="88">
        <f t="shared" si="55"/>
        <v>-415692.235573627</v>
      </c>
      <c r="N26" s="88">
        <f t="shared" si="55"/>
        <v>-754709.49595007976</v>
      </c>
      <c r="O26" s="88">
        <f t="shared" si="55"/>
        <v>-61916.289254396266</v>
      </c>
      <c r="P26" s="88">
        <f t="shared" si="55"/>
        <v>-68976.349743050465</v>
      </c>
      <c r="Q26" s="88">
        <f t="shared" si="55"/>
        <v>-89328.028224000183</v>
      </c>
      <c r="R26" s="88">
        <f t="shared" ref="R26:S26" si="56">R24-R25</f>
        <v>0</v>
      </c>
      <c r="S26" s="88">
        <f t="shared" si="56"/>
        <v>0</v>
      </c>
      <c r="T26" s="88">
        <f t="shared" si="54"/>
        <v>-5060752.0181899257</v>
      </c>
      <c r="U26" s="2"/>
      <c r="V26" s="2"/>
      <c r="W26" s="2"/>
      <c r="AT26" s="77" t="s">
        <v>92</v>
      </c>
      <c r="AU26" s="77" t="s">
        <v>91</v>
      </c>
    </row>
    <row r="27" spans="1:48">
      <c r="A27" s="74">
        <v>21</v>
      </c>
      <c r="B27" s="77" t="s">
        <v>95</v>
      </c>
      <c r="C27" s="91">
        <f>C26/C9</f>
        <v>-0.11874690457490616</v>
      </c>
      <c r="D27" s="91" t="e">
        <f t="shared" ref="D27:T27" si="57">D26/D9</f>
        <v>#DIV/0!</v>
      </c>
      <c r="E27" s="91">
        <f t="shared" si="57"/>
        <v>-8.3261396000852306E-2</v>
      </c>
      <c r="F27" s="91">
        <f t="shared" si="57"/>
        <v>-2.2427259144723787E-2</v>
      </c>
      <c r="G27" s="91">
        <f t="shared" ref="G27:Q27" si="58">G26/G9</f>
        <v>-0.11874690457490616</v>
      </c>
      <c r="H27" s="91">
        <f t="shared" si="58"/>
        <v>-0.20967419831979447</v>
      </c>
      <c r="I27" s="91">
        <f t="shared" si="58"/>
        <v>-0.10325638073786778</v>
      </c>
      <c r="J27" s="91">
        <f t="shared" si="58"/>
        <v>-0.25163137098240684</v>
      </c>
      <c r="K27" s="91">
        <f t="shared" si="58"/>
        <v>-0.2215391168184267</v>
      </c>
      <c r="L27" s="91">
        <f t="shared" si="58"/>
        <v>-4.4865737338876603E-2</v>
      </c>
      <c r="M27" s="91">
        <f t="shared" si="58"/>
        <v>-0.20216506380064769</v>
      </c>
      <c r="N27" s="91">
        <f t="shared" si="58"/>
        <v>-0.31486184337178119</v>
      </c>
      <c r="O27" s="91">
        <f t="shared" si="58"/>
        <v>-8.7608222043822861E-2</v>
      </c>
      <c r="P27" s="91">
        <f t="shared" si="58"/>
        <v>-3.5996260073346747E-2</v>
      </c>
      <c r="Q27" s="91">
        <f t="shared" si="58"/>
        <v>-5.3376538700511837E-2</v>
      </c>
      <c r="R27" s="91" t="e">
        <f t="shared" ref="R27:S27" si="59">R26/R9</f>
        <v>#DIV/0!</v>
      </c>
      <c r="S27" s="91" t="e">
        <f t="shared" si="59"/>
        <v>#DIV/0!</v>
      </c>
      <c r="T27" s="91">
        <f t="shared" si="57"/>
        <v>-0.1071929896125581</v>
      </c>
      <c r="U27" s="2"/>
      <c r="V27" s="2"/>
      <c r="W27" s="2"/>
      <c r="AT27" s="77" t="s">
        <v>94</v>
      </c>
      <c r="AU27" s="77" t="s">
        <v>95</v>
      </c>
    </row>
    <row r="28" spans="1:48">
      <c r="U28" s="2"/>
      <c r="V28" s="2"/>
      <c r="W28" s="2"/>
    </row>
    <row r="29" spans="1:48">
      <c r="A29" s="70" t="s">
        <v>96</v>
      </c>
      <c r="T29" s="73" t="s">
        <v>149</v>
      </c>
      <c r="U29" s="2"/>
      <c r="V29" s="2"/>
      <c r="W29" s="2"/>
      <c r="AT29" s="70" t="s">
        <v>96</v>
      </c>
    </row>
    <row r="30" spans="1:48" ht="21" customHeight="1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2"/>
      <c r="W30" s="2"/>
      <c r="Y30" s="2"/>
      <c r="AT30" s="77" t="s">
        <v>99</v>
      </c>
      <c r="AU30" s="82" t="s">
        <v>98</v>
      </c>
    </row>
    <row r="31" spans="1:48">
      <c r="A31" s="74">
        <v>1</v>
      </c>
      <c r="B31" s="85" t="s">
        <v>100</v>
      </c>
      <c r="C31" s="92">
        <f>销量!C8</f>
        <v>771.27</v>
      </c>
      <c r="D31" s="92">
        <f>销量!D8</f>
        <v>1785.88</v>
      </c>
      <c r="E31" s="92">
        <f>销量!E8</f>
        <v>407</v>
      </c>
      <c r="F31" s="92">
        <f>销量!F8</f>
        <v>1212.2</v>
      </c>
      <c r="G31" s="92">
        <f>销量!G8</f>
        <v>771.27</v>
      </c>
      <c r="H31" s="92">
        <f>销量!H8</f>
        <v>9</v>
      </c>
      <c r="I31" s="92">
        <f>销量!I8</f>
        <v>127.86</v>
      </c>
      <c r="J31" s="92">
        <f>销量!J8</f>
        <v>316.24</v>
      </c>
      <c r="K31" s="92">
        <f>销量!K8</f>
        <v>290.22000000000003</v>
      </c>
      <c r="L31" s="92">
        <f>销量!L8</f>
        <v>139.91</v>
      </c>
      <c r="M31" s="92">
        <f>销量!M8</f>
        <v>154.81</v>
      </c>
      <c r="N31" s="92">
        <f>销量!N8</f>
        <v>120.31</v>
      </c>
      <c r="O31" s="92">
        <f>销量!O8</f>
        <v>106.42</v>
      </c>
      <c r="P31" s="92">
        <f>销量!P8</f>
        <v>144.27000000000001</v>
      </c>
      <c r="Q31" s="92">
        <f>销量!Q8</f>
        <v>126</v>
      </c>
      <c r="R31" s="92">
        <f>销量!R8</f>
        <v>0</v>
      </c>
      <c r="S31" s="92">
        <f>销量!S8</f>
        <v>0</v>
      </c>
      <c r="T31" s="88"/>
      <c r="U31" s="2"/>
      <c r="V31" s="2"/>
      <c r="W31" s="2"/>
      <c r="Y31" s="2"/>
      <c r="AT31" s="77" t="s">
        <v>55</v>
      </c>
      <c r="AU31" s="77" t="s">
        <v>100</v>
      </c>
    </row>
    <row r="32" spans="1:48">
      <c r="A32" s="74">
        <v>2</v>
      </c>
      <c r="B32" s="77" t="s">
        <v>150</v>
      </c>
      <c r="C32" s="80">
        <f>C9/C6</f>
        <v>711.3948907631999</v>
      </c>
      <c r="D32" s="80" t="e">
        <f t="shared" ref="D32:F32" si="60">D9/D6</f>
        <v>#DIV/0!</v>
      </c>
      <c r="E32" s="80">
        <f t="shared" si="60"/>
        <v>375.40384111999992</v>
      </c>
      <c r="F32" s="80">
        <f t="shared" si="60"/>
        <v>1118.0946835519999</v>
      </c>
      <c r="G32" s="80">
        <f t="shared" ref="G32:Q32" si="61">G9/G6</f>
        <v>711.3948907631999</v>
      </c>
      <c r="H32" s="80">
        <f t="shared" si="61"/>
        <v>8.3013134399999977</v>
      </c>
      <c r="I32" s="80">
        <f t="shared" si="61"/>
        <v>117.93399293759998</v>
      </c>
      <c r="J32" s="80">
        <f t="shared" si="61"/>
        <v>291.68970691839996</v>
      </c>
      <c r="K32" s="80">
        <f t="shared" si="61"/>
        <v>267.6896873952</v>
      </c>
      <c r="L32" s="80">
        <f t="shared" si="61"/>
        <v>129.0485292656</v>
      </c>
      <c r="M32" s="80">
        <f t="shared" si="61"/>
        <v>142.79181484959997</v>
      </c>
      <c r="N32" s="80">
        <f t="shared" si="61"/>
        <v>110.9701133296</v>
      </c>
      <c r="O32" s="80">
        <f t="shared" si="61"/>
        <v>98.158419587199987</v>
      </c>
      <c r="P32" s="80">
        <f t="shared" si="61"/>
        <v>133.07005444320001</v>
      </c>
      <c r="Q32" s="80">
        <f t="shared" si="61"/>
        <v>116.21838815999999</v>
      </c>
      <c r="R32" s="80" t="e">
        <f t="shared" ref="R32:S32" si="62">R9/R6</f>
        <v>#DIV/0!</v>
      </c>
      <c r="S32" s="80" t="e">
        <f t="shared" si="62"/>
        <v>#DIV/0!</v>
      </c>
      <c r="T32" s="88"/>
      <c r="U32" s="2"/>
      <c r="V32" s="2"/>
      <c r="W32" s="2"/>
      <c r="X32" s="2"/>
      <c r="Y32" s="2"/>
      <c r="Z32" s="2"/>
      <c r="AA32" s="2"/>
      <c r="AT32" s="77"/>
      <c r="AU32" s="77"/>
    </row>
    <row r="33" spans="1:47">
      <c r="A33" s="74">
        <v>3</v>
      </c>
      <c r="B33" s="85" t="s">
        <v>101</v>
      </c>
      <c r="C33" s="80">
        <f>材料成本!D28</f>
        <v>566.78601063840006</v>
      </c>
      <c r="D33" s="80">
        <f>材料成本!E28</f>
        <v>0</v>
      </c>
      <c r="E33" s="80">
        <f>材料成本!F28</f>
        <v>277.53135566239996</v>
      </c>
      <c r="F33" s="80">
        <f>材料成本!G28</f>
        <v>785.09446943502508</v>
      </c>
      <c r="G33" s="80">
        <f>材料成本!H28</f>
        <v>566.78601063840006</v>
      </c>
      <c r="H33" s="80">
        <f>材料成本!I28</f>
        <v>4.5380513471999997</v>
      </c>
      <c r="I33" s="80">
        <f>材料成本!J28</f>
        <v>82.578312880968483</v>
      </c>
      <c r="J33" s="80">
        <f>材料成本!K28</f>
        <v>265.86339843840005</v>
      </c>
      <c r="K33" s="80">
        <f>材料成本!L28</f>
        <v>234.90872298879998</v>
      </c>
      <c r="L33" s="80">
        <f>材料成本!M28</f>
        <v>83.998749350265399</v>
      </c>
      <c r="M33" s="80">
        <f>材料成本!N28</f>
        <v>120.73113387554631</v>
      </c>
      <c r="N33" s="80">
        <f>材料成本!O28</f>
        <v>104.44897043839998</v>
      </c>
      <c r="O33" s="80">
        <f>材料成本!P28</f>
        <v>71.107922872532811</v>
      </c>
      <c r="P33" s="80">
        <f>材料成本!Q28</f>
        <v>91.8240573975785</v>
      </c>
      <c r="Q33" s="80">
        <f>材料成本!R28</f>
        <v>81.398990119999993</v>
      </c>
      <c r="R33" s="80">
        <f>材料成本!S28</f>
        <v>0</v>
      </c>
      <c r="S33" s="80">
        <f>材料成本!T28</f>
        <v>0</v>
      </c>
      <c r="T33" s="88"/>
      <c r="V33" s="2"/>
      <c r="W33" s="2"/>
      <c r="X33" s="2"/>
      <c r="Y33" s="2"/>
      <c r="Z33" s="2"/>
      <c r="AA33" s="2"/>
      <c r="AT33" s="77" t="s">
        <v>57</v>
      </c>
      <c r="AU33" s="77" t="s">
        <v>101</v>
      </c>
    </row>
    <row r="34" spans="1:47" ht="17.25" customHeight="1">
      <c r="A34" s="74">
        <v>4</v>
      </c>
      <c r="B34" s="77" t="s">
        <v>103</v>
      </c>
      <c r="C34" s="93">
        <f>C32-C33</f>
        <v>144.60888012479984</v>
      </c>
      <c r="D34" s="93" t="e">
        <f>D32-D33</f>
        <v>#DIV/0!</v>
      </c>
      <c r="E34" s="93">
        <f t="shared" ref="E34:F34" si="63">E32-E33</f>
        <v>97.872485457599964</v>
      </c>
      <c r="F34" s="93">
        <f t="shared" si="63"/>
        <v>333.0002141169748</v>
      </c>
      <c r="G34" s="93">
        <f t="shared" ref="G34:Q34" si="64">G32-G33</f>
        <v>144.60888012479984</v>
      </c>
      <c r="H34" s="93">
        <f t="shared" si="64"/>
        <v>3.763262092799998</v>
      </c>
      <c r="I34" s="93">
        <f t="shared" si="64"/>
        <v>35.355680056631499</v>
      </c>
      <c r="J34" s="93">
        <f t="shared" si="64"/>
        <v>25.826308479999909</v>
      </c>
      <c r="K34" s="93">
        <f t="shared" si="64"/>
        <v>32.780964406400017</v>
      </c>
      <c r="L34" s="93">
        <f t="shared" si="64"/>
        <v>45.049779915334597</v>
      </c>
      <c r="M34" s="93">
        <f t="shared" si="64"/>
        <v>22.060680974053668</v>
      </c>
      <c r="N34" s="93">
        <f t="shared" si="64"/>
        <v>6.5211428912000144</v>
      </c>
      <c r="O34" s="93">
        <f t="shared" si="64"/>
        <v>27.050496714667176</v>
      </c>
      <c r="P34" s="93">
        <f t="shared" si="64"/>
        <v>41.245997045621507</v>
      </c>
      <c r="Q34" s="93">
        <f t="shared" si="64"/>
        <v>34.819398039999996</v>
      </c>
      <c r="R34" s="93" t="e">
        <f t="shared" ref="R34:S34" si="65">R32-R33</f>
        <v>#DIV/0!</v>
      </c>
      <c r="S34" s="93" t="e">
        <f t="shared" si="65"/>
        <v>#DIV/0!</v>
      </c>
      <c r="T34" s="88"/>
      <c r="V34" s="2"/>
      <c r="W34" s="2"/>
      <c r="X34" s="2"/>
      <c r="Y34" s="2"/>
      <c r="Z34" s="2"/>
      <c r="AA34" s="2"/>
      <c r="AT34" s="77" t="s">
        <v>102</v>
      </c>
      <c r="AU34" s="77" t="s">
        <v>103</v>
      </c>
    </row>
    <row r="35" spans="1:47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2"/>
      <c r="V35" s="2"/>
      <c r="W35" s="2"/>
      <c r="X35" s="2"/>
      <c r="Y35" s="2"/>
      <c r="Z35" s="2"/>
      <c r="AA35" s="2"/>
      <c r="AB35" s="2"/>
      <c r="AC35" s="2"/>
      <c r="AD35" s="2"/>
      <c r="AT35" s="77" t="s">
        <v>105</v>
      </c>
      <c r="AU35" s="82" t="s">
        <v>9</v>
      </c>
    </row>
    <row r="36" spans="1:47">
      <c r="A36" s="74">
        <v>1</v>
      </c>
      <c r="B36" s="77" t="s">
        <v>106</v>
      </c>
      <c r="C36" s="86">
        <f>'2026年'!C36</f>
        <v>53.526138000000003</v>
      </c>
      <c r="D36" s="86">
        <f>'2026年'!D36</f>
        <v>123.94007200000001</v>
      </c>
      <c r="E36" s="86">
        <f>'2026年'!E36</f>
        <v>28.245800000000003</v>
      </c>
      <c r="F36" s="86">
        <f>'2026年'!F36</f>
        <v>84.126680000000007</v>
      </c>
      <c r="G36" s="86">
        <f>'2026年'!G36</f>
        <v>53.526138000000003</v>
      </c>
      <c r="H36" s="86">
        <f>'2026年'!H36</f>
        <v>0.62460000000000004</v>
      </c>
      <c r="I36" s="86">
        <f>'2026年'!I36</f>
        <v>8.8734840000000013</v>
      </c>
      <c r="J36" s="86">
        <f>'2026年'!J36</f>
        <v>21.947056000000003</v>
      </c>
      <c r="K36" s="86">
        <f>'2026年'!K36</f>
        <v>20.141268000000004</v>
      </c>
      <c r="L36" s="86">
        <f>'2026年'!L36</f>
        <v>9.7097540000000002</v>
      </c>
      <c r="M36" s="86">
        <f>'2026年'!M36</f>
        <v>10.743814</v>
      </c>
      <c r="N36" s="86">
        <f>'2026年'!N36</f>
        <v>8.349514000000001</v>
      </c>
      <c r="O36" s="86">
        <f>'2026年'!O36</f>
        <v>7.3855480000000009</v>
      </c>
      <c r="P36" s="86">
        <f>'2026年'!P36</f>
        <v>10.012338000000002</v>
      </c>
      <c r="Q36" s="86">
        <f>'2026年'!Q36</f>
        <v>8.7444000000000006</v>
      </c>
      <c r="R36" s="86">
        <f>'2026年'!R36</f>
        <v>0</v>
      </c>
      <c r="S36" s="86">
        <f>'2026年'!S36</f>
        <v>0</v>
      </c>
      <c r="T36" s="92"/>
      <c r="U36" s="2"/>
      <c r="V36" s="2"/>
      <c r="W36" s="2"/>
      <c r="X36" s="2"/>
      <c r="Y36" s="2"/>
      <c r="Z36" s="2"/>
      <c r="AA36" s="2"/>
      <c r="AB36" s="2"/>
      <c r="AC36" s="2"/>
      <c r="AD36" s="2"/>
      <c r="AT36" s="77" t="s">
        <v>102</v>
      </c>
      <c r="AU36" s="77" t="s">
        <v>106</v>
      </c>
    </row>
    <row r="37" spans="1:47">
      <c r="A37" s="74">
        <v>2</v>
      </c>
      <c r="B37" s="77" t="s">
        <v>107</v>
      </c>
      <c r="C37" s="86">
        <f>'2026年'!C37</f>
        <v>33.473117999999999</v>
      </c>
      <c r="D37" s="86">
        <f>'2026年'!D37</f>
        <v>77.507192000000003</v>
      </c>
      <c r="E37" s="86">
        <f>'2026年'!E37</f>
        <v>17.663800000000002</v>
      </c>
      <c r="F37" s="86">
        <f>'2026年'!F37</f>
        <v>52.609480000000005</v>
      </c>
      <c r="G37" s="86">
        <f>'2026年'!G37</f>
        <v>33.473117999999999</v>
      </c>
      <c r="H37" s="86">
        <f>'2026年'!H37</f>
        <v>0.3906</v>
      </c>
      <c r="I37" s="86">
        <f>'2026年'!I37</f>
        <v>5.5491239999999999</v>
      </c>
      <c r="J37" s="86">
        <f>'2026年'!J37</f>
        <v>13.724816000000001</v>
      </c>
      <c r="K37" s="86">
        <f>'2026年'!K37</f>
        <v>12.595548000000001</v>
      </c>
      <c r="L37" s="86">
        <f>'2026年'!L37</f>
        <v>6.0720939999999999</v>
      </c>
      <c r="M37" s="86">
        <f>'2026年'!M37</f>
        <v>6.7187540000000006</v>
      </c>
      <c r="N37" s="86">
        <f>'2026年'!N37</f>
        <v>5.2214540000000005</v>
      </c>
      <c r="O37" s="86">
        <f>'2026年'!O37</f>
        <v>4.6186280000000002</v>
      </c>
      <c r="P37" s="86">
        <f>'2026年'!P37</f>
        <v>6.2613180000000002</v>
      </c>
      <c r="Q37" s="86">
        <f>'2026年'!Q37</f>
        <v>5.4683999999999999</v>
      </c>
      <c r="R37" s="86">
        <f>'2026年'!R37</f>
        <v>0</v>
      </c>
      <c r="S37" s="86">
        <f>'2026年'!S37</f>
        <v>0</v>
      </c>
      <c r="T37" s="92"/>
      <c r="U37" s="2"/>
      <c r="V37" s="2"/>
      <c r="W37" s="2"/>
      <c r="X37" s="2"/>
      <c r="Y37" s="2"/>
      <c r="Z37" s="2"/>
      <c r="AA37" s="2"/>
      <c r="AB37" s="2"/>
      <c r="AC37" s="2"/>
      <c r="AD37" s="2"/>
      <c r="AT37" s="77" t="s">
        <v>60</v>
      </c>
      <c r="AU37" s="77" t="s">
        <v>107</v>
      </c>
    </row>
    <row r="38" spans="1:47">
      <c r="A38" s="74">
        <v>3</v>
      </c>
      <c r="B38" s="77" t="s">
        <v>108</v>
      </c>
      <c r="C38" s="86">
        <f>'2026年'!C38</f>
        <v>15</v>
      </c>
      <c r="D38" s="86">
        <f>'2026年'!D38</f>
        <v>23</v>
      </c>
      <c r="E38" s="86">
        <f>'2026年'!E38</f>
        <v>15</v>
      </c>
      <c r="F38" s="86">
        <f>'2026年'!F38</f>
        <v>23</v>
      </c>
      <c r="G38" s="86">
        <f>'2026年'!G38</f>
        <v>15</v>
      </c>
      <c r="H38" s="86">
        <f>'2026年'!H38</f>
        <v>0.58590000000000009</v>
      </c>
      <c r="I38" s="86">
        <f>'2026年'!I38</f>
        <v>10</v>
      </c>
      <c r="J38" s="86">
        <f>'2026年'!J38</f>
        <v>10</v>
      </c>
      <c r="K38" s="86">
        <f>'2026年'!K38</f>
        <v>10</v>
      </c>
      <c r="L38" s="86">
        <f>'2026年'!L38</f>
        <v>10</v>
      </c>
      <c r="M38" s="86">
        <f>'2026年'!M38</f>
        <v>6</v>
      </c>
      <c r="N38" s="86">
        <f>'2026年'!N38</f>
        <v>6</v>
      </c>
      <c r="O38" s="86">
        <f>'2026年'!O38</f>
        <v>4</v>
      </c>
      <c r="P38" s="86">
        <f>'2026年'!P38</f>
        <v>4</v>
      </c>
      <c r="Q38" s="86">
        <f>'2026年'!Q38</f>
        <v>4</v>
      </c>
      <c r="R38" s="86">
        <f>'2026年'!R38</f>
        <v>0</v>
      </c>
      <c r="S38" s="86">
        <f>'2026年'!S38</f>
        <v>0</v>
      </c>
      <c r="T38" s="92"/>
      <c r="U38" s="2"/>
      <c r="V38" s="2"/>
      <c r="W38" s="2"/>
      <c r="X38" s="2"/>
      <c r="Y38" s="2"/>
      <c r="Z38" s="2"/>
      <c r="AA38" s="2"/>
      <c r="AB38" s="2"/>
      <c r="AC38" s="2"/>
      <c r="AD38" s="2"/>
      <c r="AT38" s="77" t="s">
        <v>66</v>
      </c>
      <c r="AU38" s="77" t="s">
        <v>108</v>
      </c>
    </row>
    <row r="39" spans="1:47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AT39" s="77" t="s">
        <v>109</v>
      </c>
      <c r="AU39" s="82" t="s">
        <v>110</v>
      </c>
    </row>
    <row r="40" spans="1:47">
      <c r="A40" s="74">
        <v>1</v>
      </c>
      <c r="B40" s="77" t="s">
        <v>111</v>
      </c>
      <c r="C40" s="88">
        <f>C34-C36-C37-C38</f>
        <v>42.609624124799836</v>
      </c>
      <c r="D40" s="88" t="e">
        <f>D34-D36-D37-D38</f>
        <v>#DIV/0!</v>
      </c>
      <c r="E40" s="88">
        <f t="shared" ref="E40:F40" si="66">E34-E36-E37-E38</f>
        <v>36.96288545759996</v>
      </c>
      <c r="F40" s="88">
        <f t="shared" si="66"/>
        <v>173.26405411697476</v>
      </c>
      <c r="G40" s="88">
        <f t="shared" ref="G40:Q40" si="67">G34-G36-G37-G38</f>
        <v>42.609624124799836</v>
      </c>
      <c r="H40" s="88">
        <f t="shared" si="67"/>
        <v>2.1621620927999978</v>
      </c>
      <c r="I40" s="88">
        <f t="shared" si="67"/>
        <v>10.933072056631499</v>
      </c>
      <c r="J40" s="88">
        <f t="shared" si="67"/>
        <v>-19.845563520000095</v>
      </c>
      <c r="K40" s="88">
        <f t="shared" si="67"/>
        <v>-9.9558515935999878</v>
      </c>
      <c r="L40" s="88">
        <f t="shared" si="67"/>
        <v>19.267931915334593</v>
      </c>
      <c r="M40" s="88">
        <f t="shared" si="67"/>
        <v>-1.4018870259463334</v>
      </c>
      <c r="N40" s="88">
        <f t="shared" si="67"/>
        <v>-13.049825108799986</v>
      </c>
      <c r="O40" s="88">
        <f t="shared" si="67"/>
        <v>11.046320714667175</v>
      </c>
      <c r="P40" s="88">
        <f t="shared" si="67"/>
        <v>20.972341045621508</v>
      </c>
      <c r="Q40" s="88">
        <f t="shared" si="67"/>
        <v>16.606598039999998</v>
      </c>
      <c r="R40" s="88" t="e">
        <f t="shared" ref="R40:S40" si="68">R34-R36-R37-R38</f>
        <v>#DIV/0!</v>
      </c>
      <c r="S40" s="88" t="e">
        <f t="shared" si="68"/>
        <v>#DIV/0!</v>
      </c>
      <c r="T40" s="88"/>
      <c r="AT40" s="77" t="s">
        <v>55</v>
      </c>
      <c r="AU40" s="77" t="s">
        <v>111</v>
      </c>
    </row>
    <row r="41" spans="1:47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AT41" s="77" t="s">
        <v>57</v>
      </c>
      <c r="AU41" s="77" t="s">
        <v>112</v>
      </c>
    </row>
    <row r="42" spans="1:47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AT42" s="77" t="s">
        <v>113</v>
      </c>
      <c r="AU42" s="82" t="s">
        <v>114</v>
      </c>
    </row>
    <row r="43" spans="1:47">
      <c r="A43" s="74">
        <v>1</v>
      </c>
      <c r="B43" s="89" t="s">
        <v>115</v>
      </c>
      <c r="C43" s="86">
        <f>'2026年'!C43</f>
        <v>63.629775000000002</v>
      </c>
      <c r="D43" s="86">
        <f>'2026年'!D43</f>
        <v>147.33510000000001</v>
      </c>
      <c r="E43" s="86">
        <f>'2026年'!E43</f>
        <v>33.577500000000001</v>
      </c>
      <c r="F43" s="86">
        <f>'2026年'!F43</f>
        <v>100.0065</v>
      </c>
      <c r="G43" s="86">
        <f>'2026年'!G43</f>
        <v>63.629775000000002</v>
      </c>
      <c r="H43" s="86">
        <f>'2026年'!H43</f>
        <v>0.74250000000000005</v>
      </c>
      <c r="I43" s="86">
        <f>'2026年'!I43</f>
        <v>10.548450000000001</v>
      </c>
      <c r="J43" s="86">
        <f>'2026年'!J43</f>
        <v>26.0898</v>
      </c>
      <c r="K43" s="86">
        <f>'2026年'!K43</f>
        <v>23.943150000000003</v>
      </c>
      <c r="L43" s="86">
        <f>'2026年'!L43</f>
        <v>11.542575000000001</v>
      </c>
      <c r="M43" s="86">
        <f>'2026年'!M43</f>
        <v>12.771825000000002</v>
      </c>
      <c r="N43" s="86">
        <f>'2026年'!N43</f>
        <v>9.9255750000000003</v>
      </c>
      <c r="O43" s="86">
        <f>'2026年'!O43</f>
        <v>8.7796500000000002</v>
      </c>
      <c r="P43" s="86">
        <f>'2026年'!P43</f>
        <v>11.902275000000001</v>
      </c>
      <c r="Q43" s="86">
        <f>'2026年'!Q43</f>
        <v>10.395000000000001</v>
      </c>
      <c r="R43" s="86">
        <f>'2026年'!R43</f>
        <v>0</v>
      </c>
      <c r="S43" s="86">
        <f>'2026年'!S43</f>
        <v>0</v>
      </c>
      <c r="T43" s="88"/>
      <c r="AT43" s="77" t="s">
        <v>55</v>
      </c>
      <c r="AU43" s="77" t="s">
        <v>115</v>
      </c>
    </row>
    <row r="44" spans="1:47">
      <c r="A44" s="74">
        <v>2</v>
      </c>
      <c r="B44" s="89" t="s">
        <v>116</v>
      </c>
      <c r="C44" s="86">
        <f>'2026年'!C44</f>
        <v>13.265844</v>
      </c>
      <c r="D44" s="86">
        <f>'2026年'!D44</f>
        <v>30.717136000000004</v>
      </c>
      <c r="E44" s="86">
        <f>'2026年'!E44</f>
        <v>7.0004</v>
      </c>
      <c r="F44" s="86">
        <f>'2026年'!F44</f>
        <v>20.84984</v>
      </c>
      <c r="G44" s="86">
        <f>'2026年'!G44</f>
        <v>13.265844</v>
      </c>
      <c r="H44" s="86">
        <f>'2026年'!H44</f>
        <v>0.15479999999999999</v>
      </c>
      <c r="I44" s="86">
        <f>'2026年'!I44</f>
        <v>2.199192</v>
      </c>
      <c r="J44" s="86">
        <f>'2026年'!J44</f>
        <v>5.4393279999999997</v>
      </c>
      <c r="K44" s="86">
        <f>'2026年'!K44</f>
        <v>4.9917840000000009</v>
      </c>
      <c r="L44" s="86">
        <f>'2026年'!L44</f>
        <v>2.4064519999999998</v>
      </c>
      <c r="M44" s="86">
        <f>'2026年'!M44</f>
        <v>2.6627320000000001</v>
      </c>
      <c r="N44" s="86">
        <f>'2026年'!N44</f>
        <v>2.0693320000000002</v>
      </c>
      <c r="O44" s="86">
        <f>'2026年'!O44</f>
        <v>1.8304240000000001</v>
      </c>
      <c r="P44" s="86">
        <f>'2026年'!P44</f>
        <v>2.4814440000000002</v>
      </c>
      <c r="Q44" s="86">
        <f>'2026年'!Q44</f>
        <v>2.1671999999999998</v>
      </c>
      <c r="R44" s="86">
        <f>'2026年'!R44</f>
        <v>0</v>
      </c>
      <c r="S44" s="86">
        <f>'2026年'!S44</f>
        <v>0</v>
      </c>
      <c r="T44" s="88"/>
      <c r="AT44" s="77" t="s">
        <v>57</v>
      </c>
      <c r="AU44" s="77" t="s">
        <v>116</v>
      </c>
    </row>
    <row r="45" spans="1:47">
      <c r="A45" s="74">
        <v>3</v>
      </c>
      <c r="B45" s="89" t="s">
        <v>117</v>
      </c>
      <c r="C45" s="86">
        <f>'2026年'!C45</f>
        <v>20.361528</v>
      </c>
      <c r="D45" s="86">
        <f>'2026年'!D45</f>
        <v>47.147232000000002</v>
      </c>
      <c r="E45" s="86">
        <f>'2026年'!E45</f>
        <v>10.7448</v>
      </c>
      <c r="F45" s="86">
        <f>'2026年'!F45</f>
        <v>32.002079999999999</v>
      </c>
      <c r="G45" s="86">
        <f>'2026年'!G45</f>
        <v>20.361528</v>
      </c>
      <c r="H45" s="86">
        <f>'2026年'!H45</f>
        <v>0.23760000000000001</v>
      </c>
      <c r="I45" s="86">
        <f>'2026年'!I45</f>
        <v>3.3755039999999998</v>
      </c>
      <c r="J45" s="86">
        <f>'2026年'!J45</f>
        <v>8.3487360000000006</v>
      </c>
      <c r="K45" s="86">
        <f>'2026年'!K45</f>
        <v>7.6618080000000006</v>
      </c>
      <c r="L45" s="86">
        <f>'2026年'!L45</f>
        <v>3.6936239999999998</v>
      </c>
      <c r="M45" s="86">
        <f>'2026年'!M45</f>
        <v>4.0869840000000002</v>
      </c>
      <c r="N45" s="86">
        <f>'2026年'!N45</f>
        <v>3.1761840000000001</v>
      </c>
      <c r="O45" s="86">
        <f>'2026年'!O45</f>
        <v>2.809488</v>
      </c>
      <c r="P45" s="86">
        <f>'2026年'!P45</f>
        <v>3.8087280000000003</v>
      </c>
      <c r="Q45" s="86">
        <f>'2026年'!Q45</f>
        <v>3.3264</v>
      </c>
      <c r="R45" s="86">
        <f>'2026年'!R45</f>
        <v>0</v>
      </c>
      <c r="S45" s="86">
        <f>'2026年'!S45</f>
        <v>0</v>
      </c>
      <c r="T45" s="88"/>
      <c r="AT45" s="77" t="s">
        <v>102</v>
      </c>
      <c r="AU45" s="77" t="s">
        <v>117</v>
      </c>
    </row>
    <row r="46" spans="1:47" s="72" customFormat="1">
      <c r="A46" s="74">
        <v>4</v>
      </c>
      <c r="B46" s="89" t="s">
        <v>118</v>
      </c>
      <c r="C46" s="94">
        <f>C21/C6</f>
        <v>0.62222222222222223</v>
      </c>
      <c r="D46" s="94" t="e">
        <f>D21/D6</f>
        <v>#DIV/0!</v>
      </c>
      <c r="E46" s="94">
        <f t="shared" ref="E46:F46" si="69">E21/E6</f>
        <v>0.62222222222222223</v>
      </c>
      <c r="F46" s="94">
        <f t="shared" si="69"/>
        <v>0.62222222222222223</v>
      </c>
      <c r="G46" s="94">
        <f t="shared" ref="G46:Q46" si="70">G21/G6</f>
        <v>0.62222222222222223</v>
      </c>
      <c r="H46" s="94">
        <f t="shared" si="70"/>
        <v>0.62222222222222223</v>
      </c>
      <c r="I46" s="94">
        <f t="shared" si="70"/>
        <v>0.62222222222222223</v>
      </c>
      <c r="J46" s="94">
        <f t="shared" si="70"/>
        <v>0.62222222222222223</v>
      </c>
      <c r="K46" s="94">
        <f t="shared" si="70"/>
        <v>0.62222222222222223</v>
      </c>
      <c r="L46" s="94">
        <f t="shared" si="70"/>
        <v>0.62222222222222223</v>
      </c>
      <c r="M46" s="94">
        <f t="shared" si="70"/>
        <v>0.62222222222222223</v>
      </c>
      <c r="N46" s="94">
        <f t="shared" si="70"/>
        <v>0.62222222222222223</v>
      </c>
      <c r="O46" s="94">
        <f t="shared" si="70"/>
        <v>0.62222222222222223</v>
      </c>
      <c r="P46" s="94">
        <f t="shared" si="70"/>
        <v>0.62222222222222223</v>
      </c>
      <c r="Q46" s="94">
        <f t="shared" si="70"/>
        <v>0.62222222222222223</v>
      </c>
      <c r="R46" s="94" t="e">
        <f t="shared" ref="R46:S46" si="71">R21/R6</f>
        <v>#DIV/0!</v>
      </c>
      <c r="S46" s="94" t="e">
        <f t="shared" si="71"/>
        <v>#DIV/0!</v>
      </c>
      <c r="T46" s="94"/>
      <c r="AT46" s="89" t="s">
        <v>62</v>
      </c>
      <c r="AU46" s="89" t="s">
        <v>120</v>
      </c>
    </row>
    <row r="47" spans="1:47" s="72" customFormat="1">
      <c r="A47" s="74">
        <v>5</v>
      </c>
      <c r="B47" s="89" t="s">
        <v>120</v>
      </c>
      <c r="C47" s="86">
        <f>'2026年'!C47</f>
        <v>27.380084999999998</v>
      </c>
      <c r="D47" s="86">
        <f>'2026年'!D47</f>
        <v>63.398739999999997</v>
      </c>
      <c r="E47" s="86">
        <f>'2026年'!E47</f>
        <v>14.448499999999999</v>
      </c>
      <c r="F47" s="86">
        <f>'2026年'!F47</f>
        <v>43.033099999999997</v>
      </c>
      <c r="G47" s="86">
        <f>'2026年'!G47</f>
        <v>27.380084999999998</v>
      </c>
      <c r="H47" s="86">
        <f>'2026年'!H47</f>
        <v>0.31949999999999995</v>
      </c>
      <c r="I47" s="86">
        <f>'2026年'!I47</f>
        <v>4.5390299999999995</v>
      </c>
      <c r="J47" s="86">
        <f>'2026年'!J47</f>
        <v>11.226519999999999</v>
      </c>
      <c r="K47" s="86">
        <f>'2026年'!K47</f>
        <v>10.302810000000001</v>
      </c>
      <c r="L47" s="86">
        <f>'2026年'!L47</f>
        <v>4.966804999999999</v>
      </c>
      <c r="M47" s="86">
        <f>'2026年'!M47</f>
        <v>5.4957549999999999</v>
      </c>
      <c r="N47" s="86">
        <f>'2026年'!N47</f>
        <v>4.2710049999999997</v>
      </c>
      <c r="O47" s="86">
        <f>'2026年'!O47</f>
        <v>3.7779099999999999</v>
      </c>
      <c r="P47" s="86">
        <f>'2026年'!P47</f>
        <v>5.1215849999999996</v>
      </c>
      <c r="Q47" s="86">
        <f>'2026年'!Q47</f>
        <v>4.4729999999999999</v>
      </c>
      <c r="R47" s="86">
        <f>'2026年'!R47</f>
        <v>0</v>
      </c>
      <c r="S47" s="86">
        <f>'2026年'!S47</f>
        <v>0</v>
      </c>
      <c r="T47" s="94"/>
      <c r="AT47" s="89" t="s">
        <v>62</v>
      </c>
      <c r="AU47" s="89" t="s">
        <v>120</v>
      </c>
    </row>
    <row r="48" spans="1:47">
      <c r="A48" s="77" t="s">
        <v>113</v>
      </c>
      <c r="B48" s="82" t="s">
        <v>131</v>
      </c>
      <c r="C48" s="88">
        <f>C40-C43-C44-C45-C47-C46</f>
        <v>-82.649830097422381</v>
      </c>
      <c r="D48" s="88" t="e">
        <f>D40-D43-D44-D45-D47-D46</f>
        <v>#DIV/0!</v>
      </c>
      <c r="E48" s="88">
        <f t="shared" ref="E48:F48" si="72">E40-E43-E44-E45-E47-E46</f>
        <v>-29.430536764622264</v>
      </c>
      <c r="F48" s="88">
        <f t="shared" si="72"/>
        <v>-23.249688105247461</v>
      </c>
      <c r="G48" s="88">
        <f t="shared" ref="G48:Q48" si="73">G40-G43-G44-G45-G47-G46</f>
        <v>-82.649830097422381</v>
      </c>
      <c r="H48" s="88">
        <f t="shared" si="73"/>
        <v>8.5539870577775456E-2</v>
      </c>
      <c r="I48" s="88">
        <f t="shared" si="73"/>
        <v>-10.351326165590722</v>
      </c>
      <c r="J48" s="88">
        <f t="shared" si="73"/>
        <v>-71.572169742222314</v>
      </c>
      <c r="K48" s="88">
        <f t="shared" si="73"/>
        <v>-57.477625815822215</v>
      </c>
      <c r="L48" s="88">
        <f t="shared" si="73"/>
        <v>-3.9637463068876291</v>
      </c>
      <c r="M48" s="88">
        <f t="shared" si="73"/>
        <v>-27.041405248168559</v>
      </c>
      <c r="N48" s="88">
        <f t="shared" si="73"/>
        <v>-33.114143331022206</v>
      </c>
      <c r="O48" s="88">
        <f t="shared" si="73"/>
        <v>-6.7733735075550463</v>
      </c>
      <c r="P48" s="88">
        <f t="shared" si="73"/>
        <v>-2.9639131766007147</v>
      </c>
      <c r="Q48" s="88">
        <f t="shared" si="73"/>
        <v>-4.3772241822222249</v>
      </c>
      <c r="R48" s="88" t="e">
        <f t="shared" ref="R48:S48" si="74">R40-R43-R44-R45-R47-R46</f>
        <v>#DIV/0!</v>
      </c>
      <c r="S48" s="88" t="e">
        <f t="shared" si="74"/>
        <v>#DIV/0!</v>
      </c>
      <c r="T48" s="88"/>
      <c r="AT48" s="77" t="s">
        <v>130</v>
      </c>
      <c r="AU48" s="82" t="s">
        <v>131</v>
      </c>
    </row>
    <row r="51" spans="2:25"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4" spans="2:25">
      <c r="B54" s="2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"/>
      <c r="V54" s="2"/>
      <c r="W54" s="2"/>
      <c r="X54" s="2"/>
      <c r="Y54" s="2"/>
    </row>
    <row r="55" spans="2:25">
      <c r="B55" s="2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"/>
      <c r="V55" s="2"/>
      <c r="W55" s="2"/>
      <c r="X55" s="2"/>
      <c r="Y55" s="2"/>
    </row>
    <row r="56" spans="2:25">
      <c r="B56" s="2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"/>
      <c r="V56" s="2"/>
      <c r="W56" s="2"/>
      <c r="X56" s="2"/>
      <c r="Y56" s="2"/>
    </row>
    <row r="57" spans="2:25">
      <c r="B57" s="2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"/>
      <c r="V57" s="2"/>
      <c r="W57" s="2"/>
      <c r="X57" s="2"/>
      <c r="Y57" s="2"/>
    </row>
    <row r="58" spans="2:25">
      <c r="B58" s="2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2"/>
      <c r="V58" s="2"/>
      <c r="W58" s="2"/>
      <c r="X58" s="2"/>
      <c r="Y58" s="2"/>
    </row>
    <row r="59" spans="2:25">
      <c r="B59" s="2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2"/>
      <c r="V59" s="2"/>
      <c r="W59" s="2"/>
      <c r="X59" s="2"/>
      <c r="Y59" s="2"/>
    </row>
    <row r="60" spans="2:25">
      <c r="B60" s="2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2"/>
      <c r="V60" s="2"/>
      <c r="W60" s="2"/>
      <c r="X60" s="2"/>
      <c r="Y60" s="2"/>
    </row>
    <row r="61" spans="2:25">
      <c r="B61" s="2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2"/>
      <c r="V61" s="2"/>
      <c r="W61" s="2"/>
      <c r="X61" s="2"/>
      <c r="Y61" s="2"/>
    </row>
    <row r="62" spans="2:25">
      <c r="B62" s="2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2"/>
      <c r="V62" s="2"/>
      <c r="W62" s="2"/>
      <c r="X62" s="2"/>
      <c r="Y62" s="2"/>
    </row>
    <row r="63" spans="2:25">
      <c r="B63" s="2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2"/>
      <c r="V63" s="2"/>
      <c r="W63" s="2"/>
      <c r="X63" s="2"/>
      <c r="Y63" s="2"/>
    </row>
    <row r="64" spans="2:25">
      <c r="B64" s="2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2"/>
      <c r="V64" s="2"/>
      <c r="W64" s="2"/>
      <c r="X64" s="2"/>
      <c r="Y64" s="2"/>
    </row>
    <row r="65" spans="2:25">
      <c r="B65" s="2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2"/>
      <c r="V65" s="2"/>
      <c r="W65" s="2"/>
      <c r="X65" s="2"/>
      <c r="Y65" s="2"/>
    </row>
    <row r="66" spans="2:25">
      <c r="B66" s="2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2"/>
      <c r="V66" s="2"/>
      <c r="W66" s="2"/>
      <c r="X66" s="2"/>
      <c r="Y66" s="2"/>
    </row>
    <row r="67" spans="2:25">
      <c r="B67" s="2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2"/>
    </row>
    <row r="68" spans="2:25">
      <c r="B68" s="2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2"/>
    </row>
    <row r="69" spans="2:25">
      <c r="B69" s="2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"/>
    </row>
    <row r="70" spans="2:25">
      <c r="B70" s="2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2"/>
    </row>
    <row r="71" spans="2:25">
      <c r="B71" s="2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2"/>
    </row>
    <row r="72" spans="2:25">
      <c r="B72" s="2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2"/>
    </row>
    <row r="73" spans="2:25">
      <c r="B73" s="2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"/>
    </row>
    <row r="74" spans="2:25">
      <c r="B74" s="2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2"/>
    </row>
  </sheetData>
  <mergeCells count="8">
    <mergeCell ref="A4:B4"/>
    <mergeCell ref="A5:B5"/>
    <mergeCell ref="T3:T5"/>
    <mergeCell ref="A1:B1"/>
    <mergeCell ref="C1:T1"/>
    <mergeCell ref="A2:B2"/>
    <mergeCell ref="C2:T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K21" sqref="K21"/>
    </sheetView>
  </sheetViews>
  <sheetFormatPr defaultColWidth="9" defaultRowHeight="13.5"/>
  <cols>
    <col min="1" max="1" width="19.5" customWidth="1"/>
    <col min="2" max="2" width="14.875" style="43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52" t="s">
        <v>151</v>
      </c>
      <c r="B1" s="252"/>
      <c r="C1" s="252"/>
      <c r="E1" s="253" t="s">
        <v>257</v>
      </c>
      <c r="F1" s="254"/>
      <c r="G1" s="254"/>
      <c r="H1" s="255"/>
    </row>
    <row r="2" spans="1:10" ht="23.45" customHeight="1">
      <c r="A2" s="44" t="s">
        <v>1</v>
      </c>
      <c r="B2" s="45" t="s">
        <v>152</v>
      </c>
      <c r="C2" s="46" t="s">
        <v>153</v>
      </c>
      <c r="E2" s="47" t="s">
        <v>154</v>
      </c>
      <c r="F2" s="47" t="s">
        <v>1</v>
      </c>
      <c r="G2" s="48" t="s">
        <v>155</v>
      </c>
      <c r="H2" s="47" t="s">
        <v>153</v>
      </c>
    </row>
    <row r="3" spans="1:10" ht="15.75" customHeight="1">
      <c r="A3" s="49" t="s">
        <v>156</v>
      </c>
      <c r="B3" s="50"/>
      <c r="C3" s="51"/>
      <c r="E3" s="260" t="s">
        <v>157</v>
      </c>
      <c r="F3" s="52" t="s">
        <v>158</v>
      </c>
      <c r="G3" s="53"/>
      <c r="H3" s="52"/>
    </row>
    <row r="4" spans="1:10" ht="15.75" customHeight="1">
      <c r="A4" s="49" t="s">
        <v>159</v>
      </c>
      <c r="B4" s="50"/>
      <c r="C4" s="54"/>
      <c r="E4" s="261"/>
      <c r="F4" s="52" t="s">
        <v>160</v>
      </c>
      <c r="G4" s="53"/>
      <c r="H4" s="52"/>
    </row>
    <row r="5" spans="1:10" ht="15.75" customHeight="1">
      <c r="A5" s="49" t="s">
        <v>161</v>
      </c>
      <c r="B5" s="55">
        <f>SUM(G3:G4)</f>
        <v>0</v>
      </c>
      <c r="C5" s="51"/>
      <c r="E5" s="262" t="s">
        <v>162</v>
      </c>
      <c r="F5" s="56" t="s">
        <v>163</v>
      </c>
      <c r="G5" s="53">
        <v>53</v>
      </c>
      <c r="H5" s="56"/>
    </row>
    <row r="6" spans="1:10" ht="15.75" customHeight="1">
      <c r="A6" s="49" t="s">
        <v>164</v>
      </c>
      <c r="B6" s="50"/>
      <c r="C6" s="51"/>
      <c r="E6" s="263"/>
      <c r="F6" s="56" t="s">
        <v>165</v>
      </c>
      <c r="G6" s="53">
        <v>51</v>
      </c>
      <c r="H6" s="169"/>
      <c r="J6">
        <v>10000</v>
      </c>
    </row>
    <row r="7" spans="1:10" ht="15.75" customHeight="1">
      <c r="A7" s="57" t="s">
        <v>166</v>
      </c>
      <c r="B7" s="55">
        <f>SUM(B3:B6)</f>
        <v>0</v>
      </c>
      <c r="C7" s="51"/>
      <c r="E7" s="263"/>
      <c r="F7" s="56" t="s">
        <v>167</v>
      </c>
      <c r="G7" s="53">
        <v>31</v>
      </c>
      <c r="H7" s="169"/>
    </row>
    <row r="8" spans="1:10" ht="15.75" customHeight="1">
      <c r="A8" s="58" t="s">
        <v>168</v>
      </c>
      <c r="B8" s="55">
        <f>SUM(G5:G12)</f>
        <v>173</v>
      </c>
      <c r="C8" s="59"/>
      <c r="E8" s="263"/>
      <c r="F8" s="56" t="s">
        <v>169</v>
      </c>
      <c r="G8" s="53"/>
      <c r="H8" s="169"/>
    </row>
    <row r="9" spans="1:10" ht="15.75" customHeight="1">
      <c r="A9" s="49" t="s">
        <v>170</v>
      </c>
      <c r="B9" s="55">
        <f>SUM(G13:G21)</f>
        <v>56</v>
      </c>
      <c r="C9" s="51"/>
      <c r="E9" s="263"/>
      <c r="F9" s="52" t="s">
        <v>171</v>
      </c>
      <c r="G9" s="53">
        <v>18</v>
      </c>
      <c r="H9" s="169"/>
    </row>
    <row r="10" spans="1:10" ht="15.75" customHeight="1">
      <c r="A10" s="54" t="s">
        <v>51</v>
      </c>
      <c r="B10" s="55">
        <f>B7+B8+B9</f>
        <v>229</v>
      </c>
      <c r="C10" s="51"/>
      <c r="E10" s="263"/>
      <c r="F10" s="52" t="s">
        <v>172</v>
      </c>
      <c r="G10" s="60">
        <v>20</v>
      </c>
      <c r="H10" s="169"/>
    </row>
    <row r="11" spans="1:10" ht="15.75" customHeight="1">
      <c r="E11" s="263"/>
      <c r="F11" s="52" t="s">
        <v>173</v>
      </c>
      <c r="G11" s="60"/>
      <c r="H11" s="169"/>
    </row>
    <row r="12" spans="1:10" ht="15.75" customHeight="1">
      <c r="E12" s="264"/>
      <c r="F12" s="52" t="s">
        <v>174</v>
      </c>
      <c r="G12" s="53"/>
      <c r="H12" s="169"/>
    </row>
    <row r="13" spans="1:10" ht="15.75" customHeight="1">
      <c r="E13" s="260" t="s">
        <v>83</v>
      </c>
      <c r="F13" s="52" t="s">
        <v>175</v>
      </c>
      <c r="G13" s="53"/>
      <c r="H13" s="170"/>
    </row>
    <row r="14" spans="1:10" ht="15.75" customHeight="1">
      <c r="E14" s="261"/>
      <c r="F14" s="52" t="s">
        <v>176</v>
      </c>
      <c r="G14" s="53">
        <v>3</v>
      </c>
      <c r="H14" s="172"/>
    </row>
    <row r="15" spans="1:10" ht="15.75" customHeight="1">
      <c r="E15" s="261"/>
      <c r="F15" s="52" t="s">
        <v>177</v>
      </c>
      <c r="G15" s="53"/>
      <c r="H15" s="172"/>
    </row>
    <row r="16" spans="1:10" ht="15.75" customHeight="1">
      <c r="E16" s="261"/>
      <c r="F16" s="52" t="s">
        <v>178</v>
      </c>
      <c r="G16" s="53">
        <v>1</v>
      </c>
      <c r="H16" s="172"/>
    </row>
    <row r="17" spans="1:12" ht="15.75" customHeight="1">
      <c r="E17" s="261"/>
      <c r="F17" s="52" t="s">
        <v>179</v>
      </c>
      <c r="G17" s="53">
        <v>20</v>
      </c>
      <c r="H17" s="170"/>
    </row>
    <row r="18" spans="1:12" ht="15.75" customHeight="1">
      <c r="E18" s="261"/>
      <c r="F18" s="52" t="s">
        <v>180</v>
      </c>
      <c r="G18" s="53">
        <v>2</v>
      </c>
      <c r="H18" s="171"/>
    </row>
    <row r="19" spans="1:12" ht="15.75" customHeight="1">
      <c r="E19" s="261"/>
      <c r="F19" s="52" t="s">
        <v>181</v>
      </c>
      <c r="G19" s="53">
        <v>30</v>
      </c>
      <c r="H19" s="171"/>
      <c r="I19" s="173"/>
    </row>
    <row r="20" spans="1:12" ht="15.75" customHeight="1">
      <c r="E20" s="261"/>
      <c r="F20" s="52" t="s">
        <v>182</v>
      </c>
      <c r="G20" s="53"/>
      <c r="H20" s="52"/>
    </row>
    <row r="21" spans="1:12" ht="15.75" customHeight="1">
      <c r="E21" s="265"/>
      <c r="F21" s="52" t="s">
        <v>36</v>
      </c>
      <c r="G21" s="53">
        <v>0</v>
      </c>
      <c r="H21" s="52"/>
      <c r="I21" s="232" t="s">
        <v>328</v>
      </c>
      <c r="J21" s="232" t="s">
        <v>329</v>
      </c>
    </row>
    <row r="22" spans="1:12" ht="21.75" customHeight="1">
      <c r="E22" s="47" t="s">
        <v>51</v>
      </c>
      <c r="F22" s="52"/>
      <c r="G22" s="48">
        <f>SUM(G3:G21)</f>
        <v>229</v>
      </c>
      <c r="H22" s="61"/>
      <c r="I22">
        <v>202603</v>
      </c>
      <c r="J22" s="43">
        <f>B10*J6/(销量!T16-销量!H16)</f>
        <v>3.1805555555555554</v>
      </c>
    </row>
    <row r="23" spans="1:12" ht="30.75" customHeight="1">
      <c r="E23" s="256" t="s">
        <v>183</v>
      </c>
      <c r="F23" s="256"/>
      <c r="G23" s="256"/>
      <c r="H23" s="256"/>
    </row>
    <row r="25" spans="1:12" ht="24.75" customHeight="1">
      <c r="A25" s="62" t="s">
        <v>1</v>
      </c>
      <c r="B25" s="62" t="s">
        <v>152</v>
      </c>
      <c r="C25" s="62" t="s">
        <v>184</v>
      </c>
      <c r="D25" s="63" t="s">
        <v>325</v>
      </c>
      <c r="E25" s="63" t="s">
        <v>50</v>
      </c>
      <c r="F25" s="63" t="s">
        <v>185</v>
      </c>
      <c r="G25" s="63" t="s">
        <v>186</v>
      </c>
      <c r="H25" s="63" t="s">
        <v>187</v>
      </c>
      <c r="I25" s="63" t="s">
        <v>259</v>
      </c>
      <c r="J25" s="63" t="s">
        <v>326</v>
      </c>
      <c r="K25" s="63" t="s">
        <v>51</v>
      </c>
      <c r="L25" s="68" t="s">
        <v>188</v>
      </c>
    </row>
    <row r="26" spans="1:12" ht="16.5">
      <c r="A26" s="64" t="s">
        <v>147</v>
      </c>
      <c r="B26" s="65">
        <f>(B5+B8)*10000</f>
        <v>1730000</v>
      </c>
      <c r="C26" s="66">
        <v>0.05</v>
      </c>
      <c r="D26" s="67">
        <f>B26*(1-C26)/5</f>
        <v>328700</v>
      </c>
      <c r="E26" s="67">
        <f t="shared" ref="E26:F26" si="0">D26</f>
        <v>328700</v>
      </c>
      <c r="F26" s="67">
        <f t="shared" si="0"/>
        <v>328700</v>
      </c>
      <c r="G26" s="67">
        <f t="shared" ref="G26:G27" si="1">F26</f>
        <v>328700</v>
      </c>
      <c r="H26" s="67">
        <f t="shared" ref="H26:H27" si="2">G26</f>
        <v>328700</v>
      </c>
      <c r="I26" s="67"/>
      <c r="J26" s="67"/>
      <c r="K26" s="67">
        <f>SUM(D26:J26)</f>
        <v>1643500</v>
      </c>
      <c r="L26" s="67">
        <f>B26*0.05</f>
        <v>86500</v>
      </c>
    </row>
    <row r="27" spans="1:12" ht="16.5">
      <c r="A27" s="64" t="s">
        <v>189</v>
      </c>
      <c r="B27" s="65">
        <f>B9*10000</f>
        <v>560000</v>
      </c>
      <c r="C27" s="67"/>
      <c r="D27" s="67">
        <f>B27/5</f>
        <v>112000</v>
      </c>
      <c r="E27" s="67">
        <f t="shared" ref="E27:F27" si="3">D27</f>
        <v>112000</v>
      </c>
      <c r="F27" s="67">
        <f t="shared" si="3"/>
        <v>112000</v>
      </c>
      <c r="G27" s="67">
        <f t="shared" si="1"/>
        <v>112000</v>
      </c>
      <c r="H27" s="67">
        <f t="shared" si="2"/>
        <v>112000</v>
      </c>
      <c r="I27" s="67"/>
      <c r="J27" s="67"/>
      <c r="K27" s="67">
        <f>SUM(D27:J27)</f>
        <v>560000</v>
      </c>
      <c r="L27" s="67"/>
    </row>
    <row r="28" spans="1:12" ht="26.25" customHeight="1">
      <c r="A28" s="257" t="s">
        <v>139</v>
      </c>
      <c r="B28" s="258"/>
      <c r="C28" s="259"/>
      <c r="D28" s="67">
        <f>SUM(D26:D27)</f>
        <v>440700</v>
      </c>
      <c r="E28" s="67">
        <f t="shared" ref="E28:K28" si="4">SUM(E26:E27)</f>
        <v>440700</v>
      </c>
      <c r="F28" s="67">
        <f t="shared" si="4"/>
        <v>440700</v>
      </c>
      <c r="G28" s="67">
        <f t="shared" si="4"/>
        <v>440700</v>
      </c>
      <c r="H28" s="67">
        <f t="shared" si="4"/>
        <v>440700</v>
      </c>
      <c r="I28" s="67">
        <f t="shared" si="4"/>
        <v>0</v>
      </c>
      <c r="J28" s="67">
        <f t="shared" si="4"/>
        <v>0</v>
      </c>
      <c r="K28" s="67">
        <f t="shared" si="4"/>
        <v>2203500</v>
      </c>
      <c r="L28" s="6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2025-08-27T06:02:36Z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