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97A90108-556C-4EB0-88CC-FE94AF23FB99}" xr6:coauthVersionLast="47" xr6:coauthVersionMax="47" xr10:uidLastSave="{00000000-0000-0000-0000-000000000000}"/>
  <bookViews>
    <workbookView xWindow="0" yWindow="0" windowWidth="19200" windowHeight="10080" tabRatio="719" firstSheet="26" activeTab="26" xr2:uid="{00000000-000D-0000-FFFF-FFFF00000000}"/>
  </bookViews>
  <sheets>
    <sheet name="KING" sheetId="16" state="veryHidden" r:id="rId1"/>
    <sheet name="results" sheetId="17" state="hidden" r:id="rId2"/>
    <sheet name="results_2" sheetId="19" state="veryHidden" r:id="rId3"/>
    <sheet name="results_3" sheetId="20" state="veryHidden" r:id="rId4"/>
    <sheet name="results_4" sheetId="21" state="veryHidden" r:id="rId5"/>
    <sheet name="results_5" sheetId="22" state="veryHidden" r:id="rId6"/>
    <sheet name="results_6" sheetId="23" state="veryHidden" r:id="rId7"/>
    <sheet name="results_7" sheetId="24" state="veryHidden" r:id="rId8"/>
    <sheet name="results_8" sheetId="25" state="veryHidden" r:id="rId9"/>
    <sheet name="results_9" sheetId="26" state="veryHidden" r:id="rId10"/>
    <sheet name="results_10" sheetId="28" state="veryHidden" r:id="rId11"/>
    <sheet name="results_11" sheetId="29" state="veryHidden" r:id="rId12"/>
    <sheet name="results_12" sheetId="30" state="veryHidden" r:id="rId13"/>
    <sheet name="results_13" sheetId="31" state="veryHidden" r:id="rId14"/>
    <sheet name="results_14" sheetId="32" state="veryHidden" r:id="rId15"/>
    <sheet name="results_15" sheetId="33" state="veryHidden" r:id="rId16"/>
    <sheet name="results_16" sheetId="34" state="veryHidden" r:id="rId17"/>
    <sheet name="results_17" sheetId="35" state="veryHidden" r:id="rId18"/>
    <sheet name="results_18" sheetId="36" state="veryHidden" r:id="rId19"/>
    <sheet name="results_19" sheetId="37" state="veryHidden" r:id="rId20"/>
    <sheet name="results_20" sheetId="38" state="veryHidden" r:id="rId21"/>
    <sheet name="results_21" sheetId="39" state="veryHidden" r:id="rId22"/>
    <sheet name="results_22" sheetId="40" state="veryHidden" r:id="rId23"/>
    <sheet name="Kangatang" sheetId="41" state="veryHidden" r:id="rId24"/>
    <sheet name="Kangatang_2" sheetId="42" state="veryHidden" r:id="rId25"/>
    <sheet name="Kangatang_3" sheetId="43" state="veryHidden" r:id="rId26"/>
    <sheet name="汇总表" sheetId="1" r:id="rId27"/>
    <sheet name="BOM" sheetId="18" state="hidden" r:id="rId28"/>
    <sheet name="原材料明细" sheetId="2" r:id="rId29"/>
    <sheet name="外购外协件明细" sheetId="3" r:id="rId30"/>
    <sheet name="加工明细" sheetId="4" r:id="rId31"/>
    <sheet name="制造费率测算明细" sheetId="15" r:id="rId32"/>
    <sheet name="期间费用" sheetId="9" r:id="rId33"/>
    <sheet name="包装运输明细" sheetId="10" r:id="rId34"/>
    <sheet name="工装明细" sheetId="14" r:id="rId35"/>
  </sheets>
  <externalReferences>
    <externalReference r:id="rId36"/>
    <externalReference r:id="rId37"/>
  </externalReferences>
  <definedNames>
    <definedName name="_xlnm.Print_Area" localSheetId="33">包装运输明细!$A$1:$S$46</definedName>
    <definedName name="_xlnm.Print_Area" localSheetId="32">期间费用!$A$1:$H$20</definedName>
  </definedNames>
  <calcPr calcId="191029"/>
</workbook>
</file>

<file path=xl/calcChain.xml><?xml version="1.0" encoding="utf-8"?>
<calcChain xmlns="http://schemas.openxmlformats.org/spreadsheetml/2006/main">
  <c r="P7" i="14" l="1"/>
  <c r="P6" i="14"/>
  <c r="A2" i="14"/>
  <c r="S12" i="10"/>
  <c r="S11" i="10"/>
  <c r="S7" i="10"/>
  <c r="S6" i="10"/>
  <c r="A2" i="10"/>
  <c r="C8" i="9"/>
  <c r="C7" i="9"/>
  <c r="C6" i="9"/>
  <c r="A2" i="9"/>
  <c r="V8" i="15"/>
  <c r="U8" i="15"/>
  <c r="T8" i="15"/>
  <c r="V7" i="15"/>
  <c r="U7" i="15"/>
  <c r="T7" i="15"/>
  <c r="P7" i="15"/>
  <c r="O7" i="15"/>
  <c r="V6" i="15"/>
  <c r="U6" i="15"/>
  <c r="T6" i="15"/>
  <c r="A2" i="15"/>
  <c r="Q9" i="4"/>
  <c r="P9" i="4"/>
  <c r="Q8" i="4"/>
  <c r="P8" i="4"/>
  <c r="O8" i="4"/>
  <c r="N8" i="4"/>
  <c r="M8" i="4"/>
  <c r="L8" i="4"/>
  <c r="K8" i="4"/>
  <c r="Q7" i="4"/>
  <c r="P7" i="4"/>
  <c r="O7" i="4"/>
  <c r="N7" i="4"/>
  <c r="M7" i="4"/>
  <c r="L7" i="4"/>
  <c r="K7" i="4"/>
  <c r="Q6" i="4"/>
  <c r="P6" i="4"/>
  <c r="O6" i="4"/>
  <c r="N6" i="4"/>
  <c r="M6" i="4"/>
  <c r="L6" i="4"/>
  <c r="K6" i="4"/>
  <c r="X5" i="4"/>
  <c r="S2" i="4"/>
  <c r="A29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A3" i="3"/>
  <c r="A3" i="4" s="1"/>
  <c r="R8" i="2"/>
  <c r="Q8" i="2"/>
  <c r="R7" i="2"/>
  <c r="Q7" i="2"/>
  <c r="P7" i="2"/>
  <c r="O7" i="2"/>
  <c r="R6" i="2"/>
  <c r="Q6" i="2"/>
  <c r="P6" i="2"/>
  <c r="O6" i="2"/>
  <c r="D29" i="1"/>
  <c r="D28" i="1"/>
  <c r="D27" i="1"/>
  <c r="D22" i="1"/>
  <c r="D21" i="1"/>
  <c r="D20" i="1"/>
  <c r="D19" i="1"/>
  <c r="D16" i="1"/>
  <c r="D15" i="1"/>
  <c r="D13" i="1"/>
  <c r="S3" i="4" l="1"/>
  <c r="A3" i="15"/>
  <c r="A3" i="9" s="1"/>
  <c r="A3" i="10" s="1"/>
  <c r="A3" i="14" s="1"/>
  <c r="A30" i="3"/>
  <c r="O24" i="3"/>
  <c r="D14" i="1" s="1"/>
  <c r="D12" i="1" s="1"/>
  <c r="Y5" i="4" l="1"/>
  <c r="Q10" i="4" s="1"/>
  <c r="D17" i="1" s="1"/>
  <c r="D18" i="1" l="1"/>
  <c r="D23" i="1" l="1"/>
  <c r="D24" i="1" s="1"/>
  <c r="D25" i="1" l="1"/>
  <c r="D26" i="1" l="1"/>
  <c r="D30" i="1" l="1"/>
  <c r="E28" i="1" l="1"/>
  <c r="E20" i="1"/>
  <c r="E16" i="1"/>
  <c r="E13" i="1"/>
  <c r="E21" i="1"/>
  <c r="E27" i="1"/>
  <c r="E19" i="1"/>
  <c r="E15" i="1"/>
  <c r="E30" i="1"/>
  <c r="E22" i="1"/>
  <c r="E29" i="1"/>
  <c r="E14" i="1"/>
  <c r="E12" i="1"/>
  <c r="E17" i="1"/>
  <c r="E18" i="1"/>
  <c r="E24" i="1"/>
  <c r="E23" i="1"/>
  <c r="E25" i="1"/>
  <c r="E26" i="1"/>
</calcChain>
</file>

<file path=xl/sharedStrings.xml><?xml version="1.0" encoding="utf-8"?>
<sst xmlns="http://schemas.openxmlformats.org/spreadsheetml/2006/main" count="905" uniqueCount="430">
  <si>
    <t>北汽福田汽车股份有限公司采购零部件报价表</t>
  </si>
  <si>
    <t>编号：QR10011-052A</t>
  </si>
  <si>
    <t>生效日期: 2024-07-04</t>
  </si>
  <si>
    <t>保存期限：10年</t>
  </si>
  <si>
    <t>□普通■秘密□机密□绝密</t>
  </si>
  <si>
    <t>供应商名称（盖章）：北京光华荣昌汽车部件有限公司</t>
  </si>
  <si>
    <t>币种：人民币（元）</t>
  </si>
  <si>
    <t xml:space="preserve">供应商代码：A1093 </t>
  </si>
  <si>
    <t>税：不含税(注明除外)</t>
  </si>
  <si>
    <t>填表日期：2025年7月23日</t>
  </si>
  <si>
    <t>零件件号：</t>
  </si>
  <si>
    <t>X268100000010</t>
  </si>
  <si>
    <t>年份2025</t>
  </si>
  <si>
    <t>SOP+1</t>
  </si>
  <si>
    <t>SOP+2</t>
  </si>
  <si>
    <t>SOP+3</t>
  </si>
  <si>
    <t>零件名称：</t>
  </si>
  <si>
    <t>每年降幅〔%〕</t>
  </si>
  <si>
    <t>/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</si>
  <si>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family val="1"/>
      </rPr>
      <t xml:space="preserve"> :              1  </t>
    </r>
    <r>
      <rPr>
        <sz val="10"/>
        <rFont val="Times New Roman"/>
        <family val="1"/>
      </rPr>
      <t xml:space="preserve">  </t>
    </r>
    <r>
      <rPr>
        <sz val="10"/>
        <rFont val="宋体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车</t>
    </r>
  </si>
  <si>
    <t>每年单价</t>
  </si>
  <si>
    <t>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</si>
  <si>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</si>
  <si>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</si>
  <si>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</si>
  <si>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</si>
  <si>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</si>
  <si>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indexed="12"/>
        <rFont val="宋体"/>
        <charset val="134"/>
      </rPr>
      <t>=（1+2+3）</t>
    </r>
  </si>
  <si>
    <t>原材料</t>
  </si>
  <si>
    <t>外购件</t>
  </si>
  <si>
    <t>外协件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</si>
  <si>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</si>
  <si>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</si>
  <si>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indexed="12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</si>
  <si>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indexed="30"/>
        <rFont val="宋体"/>
        <charset val="134"/>
      </rPr>
      <t>=（4+5+6）</t>
    </r>
  </si>
  <si>
    <t>管理费用</t>
  </si>
  <si>
    <t>财务费用</t>
  </si>
  <si>
    <t>销售费用</t>
  </si>
  <si>
    <r>
      <rPr>
        <sz val="10"/>
        <rFont val="宋体"/>
        <charset val="134"/>
      </rPr>
      <t>F、利润=</t>
    </r>
    <r>
      <rPr>
        <b/>
        <sz val="10"/>
        <color indexed="12"/>
        <rFont val="宋体"/>
        <charset val="134"/>
      </rPr>
      <t>（D+E）*利润率</t>
    </r>
  </si>
  <si>
    <r>
      <rPr>
        <sz val="10"/>
        <rFont val="宋体"/>
        <charset val="134"/>
      </rPr>
      <t>G、不含税出厂单价合计</t>
    </r>
    <r>
      <rPr>
        <b/>
        <sz val="10"/>
        <color indexed="12"/>
        <rFont val="宋体"/>
        <charset val="134"/>
      </rPr>
      <t>=（D+E+F）</t>
    </r>
  </si>
  <si>
    <t>H、增值税</t>
  </si>
  <si>
    <t>增值税税率：13  %</t>
  </si>
  <si>
    <r>
      <rPr>
        <sz val="10"/>
        <rFont val="宋体"/>
        <charset val="134"/>
      </rPr>
      <t>I、含税出厂单价合计</t>
    </r>
    <r>
      <rPr>
        <b/>
        <sz val="10"/>
        <color indexed="12"/>
        <rFont val="宋体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</si>
  <si>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</si>
  <si>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</si>
  <si>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</si>
  <si>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</si>
  <si>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</si>
  <si>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charset val="134"/>
      </rPr>
      <t>M、含税到厂单价合计</t>
    </r>
    <r>
      <rPr>
        <b/>
        <sz val="10"/>
        <color indexed="12"/>
        <rFont val="宋体"/>
        <charset val="134"/>
      </rPr>
      <t>=（I+J+K+L）</t>
    </r>
  </si>
  <si>
    <t>（第1页，共8页）</t>
  </si>
  <si>
    <t xml:space="preserve"> </t>
  </si>
  <si>
    <r>
      <rPr>
        <b/>
        <sz val="14"/>
        <color indexed="8"/>
        <rFont val="宋体"/>
        <charset val="134"/>
      </rPr>
      <t>变更点：</t>
    </r>
    <r>
      <rPr>
        <sz val="14"/>
        <color indexed="8"/>
        <rFont val="宋体"/>
        <charset val="134"/>
      </rPr>
      <t xml:space="preserve">
增加“BOM”附页</t>
    </r>
  </si>
  <si>
    <t>零部件BOM表</t>
  </si>
  <si>
    <t>供应商 (盖章):</t>
  </si>
  <si>
    <t>车型：</t>
  </si>
  <si>
    <t>零件图号/名称:</t>
  </si>
  <si>
    <t xml:space="preserve">报价填写日期: </t>
  </si>
  <si>
    <t>序号</t>
  </si>
  <si>
    <t>层级</t>
  </si>
  <si>
    <t>零件号</t>
  </si>
  <si>
    <t>零件名称</t>
  </si>
  <si>
    <t>类别
（外购/外协/自制）</t>
  </si>
  <si>
    <t>用量</t>
  </si>
  <si>
    <t>材质</t>
  </si>
  <si>
    <t>净重（kg)</t>
  </si>
  <si>
    <t>其他技术状态简述</t>
  </si>
  <si>
    <t>H428000003556</t>
  </si>
  <si>
    <t>车架总成</t>
  </si>
  <si>
    <t>自制</t>
  </si>
  <si>
    <t>1</t>
  </si>
  <si>
    <t>电泳</t>
  </si>
  <si>
    <t>H0280460115A0</t>
  </si>
  <si>
    <t>槽型横梁总成</t>
  </si>
  <si>
    <t>H0280700109A0</t>
  </si>
  <si>
    <t>槽型横梁</t>
  </si>
  <si>
    <t>热板-510L</t>
  </si>
  <si>
    <t>H0280700421A0</t>
  </si>
  <si>
    <t>槽型横梁左上连接板</t>
  </si>
  <si>
    <t>2</t>
  </si>
  <si>
    <t>H0280700615A0</t>
  </si>
  <si>
    <t>槽型横梁左下连接板</t>
  </si>
  <si>
    <t>Q4501436</t>
  </si>
  <si>
    <t>半圆头铆钉</t>
  </si>
  <si>
    <t>外购</t>
  </si>
  <si>
    <t>24</t>
  </si>
  <si>
    <t>Q1841445TF2</t>
  </si>
  <si>
    <t>六角法兰面螺栓</t>
  </si>
  <si>
    <t>Q33014T13F2</t>
  </si>
  <si>
    <t>全金属六角法兰面锁紧螺母</t>
  </si>
  <si>
    <t>H0280460116A0</t>
  </si>
  <si>
    <t>H0280700422A0</t>
  </si>
  <si>
    <t>H0280700616A0</t>
  </si>
  <si>
    <t>53</t>
  </si>
  <si>
    <t>……</t>
  </si>
  <si>
    <t>填写说明</t>
  </si>
  <si>
    <t>BOM层级序号：1、2、3……</t>
  </si>
  <si>
    <t>二级零件图号</t>
  </si>
  <si>
    <t>二级零件名称</t>
  </si>
  <si>
    <t>针对本次定价的零部件，根据该供应商的实际生产情况填写</t>
  </si>
  <si>
    <t>在上一层级分总成中的用量</t>
  </si>
  <si>
    <t>填写主要材质的名称及型号</t>
  </si>
  <si>
    <t>值大于1的保留小数点后两位，值小于1的保留小数点后三位</t>
  </si>
  <si>
    <t>与成本相关的主要技术参数，如规格尺寸、表面处理等</t>
  </si>
  <si>
    <t>补充信息</t>
  </si>
  <si>
    <t>（第2页，共9页）</t>
  </si>
  <si>
    <t>原材料明细表</t>
  </si>
  <si>
    <t>供应商 :北京光华荣昌汽车部件有限公司</t>
  </si>
  <si>
    <t>X268100000010双人座椅总成</t>
  </si>
  <si>
    <t>以下不含税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</si>
  <si>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</si>
  <si>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</si>
  <si>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</si>
  <si>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</si>
  <si>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</rPr>
      <t>F=E*(C-D)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</si>
  <si>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</si>
  <si>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</si>
  <si>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</si>
  <si>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</si>
  <si>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</si>
  <si>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</si>
  <si>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</si>
  <si>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</si>
  <si>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</si>
  <si>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净用量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</si>
  <si>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</rPr>
      <t>(D/C*100%)</t>
    </r>
  </si>
  <si>
    <t>靠背发泡</t>
  </si>
  <si>
    <t>PUR</t>
  </si>
  <si>
    <t>kg</t>
  </si>
  <si>
    <t>中国</t>
  </si>
  <si>
    <t>座垫泡沫本体</t>
  </si>
  <si>
    <t>合计</t>
  </si>
  <si>
    <t>填写BOM清单中二级零件图号，一个图号填写一次，不分层级</t>
  </si>
  <si>
    <t>填写BOM清单中二级零件名称</t>
  </si>
  <si>
    <t>总成包含的数量，整数（件数或者份数）</t>
  </si>
  <si>
    <t>原材料的汉字名称或英文缩写均可，与供应商的物料台账对应即可</t>
  </si>
  <si>
    <t>原材料型号：如”510L”</t>
  </si>
  <si>
    <t xml:space="preserve"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
</t>
  </si>
  <si>
    <t>kg、m2、m、L、延米等。</t>
  </si>
  <si>
    <t>保留小数点后3位</t>
  </si>
  <si>
    <t>格式：yyyy.mm</t>
  </si>
  <si>
    <t>全称</t>
  </si>
  <si>
    <t>格式：
（省）+（市）</t>
  </si>
  <si>
    <t>根据公式计算</t>
  </si>
  <si>
    <t>保留小数点后2位，时点与材料采购时间一致</t>
  </si>
  <si>
    <t>说明：材料采购时间应与报价填写日期接近</t>
  </si>
  <si>
    <t>（第2页，共8页）</t>
  </si>
  <si>
    <t>外购件明细</t>
  </si>
  <si>
    <t>供应商 (盖章):北京光华荣昌汽车部件有限公司</t>
  </si>
  <si>
    <t>零件供应商</t>
  </si>
  <si>
    <r>
      <rPr>
        <sz val="10"/>
        <rFont val="宋体"/>
        <charset val="134"/>
        <scheme val="minor"/>
      </rPr>
      <t xml:space="preserve">单价（元）
</t>
    </r>
    <r>
      <rPr>
        <sz val="10"/>
        <color indexed="10"/>
        <rFont val="宋体"/>
        <charset val="134"/>
      </rPr>
      <t>B</t>
    </r>
  </si>
  <si>
    <r>
      <rPr>
        <b/>
        <sz val="10"/>
        <rFont val="宋体"/>
        <charset val="134"/>
        <scheme val="minor"/>
      </rPr>
      <t>合计金额
=</t>
    </r>
    <r>
      <rPr>
        <sz val="10"/>
        <color indexed="10"/>
        <rFont val="宋体"/>
        <charset val="134"/>
      </rPr>
      <t>A*B</t>
    </r>
  </si>
  <si>
    <t>净用量</t>
  </si>
  <si>
    <t>SBS0011109</t>
  </si>
  <si>
    <t>双人靠背护面总成</t>
  </si>
  <si>
    <t>件</t>
  </si>
  <si>
    <t>SBS0011039</t>
  </si>
  <si>
    <t>双人靠背骨架发泡总成</t>
  </si>
  <si>
    <t>SBS0011112</t>
  </si>
  <si>
    <t>双人座垫骨架总成</t>
  </si>
  <si>
    <t>SBS0011114</t>
  </si>
  <si>
    <t>右侧支腿焊接总成</t>
  </si>
  <si>
    <t>SBS0011113</t>
  </si>
  <si>
    <t>左侧支腿焊接总成</t>
  </si>
  <si>
    <t>SBS0011135</t>
  </si>
  <si>
    <t>座垫面套总成(K5主料)</t>
  </si>
  <si>
    <t>SLT0000272</t>
  </si>
  <si>
    <t>6480折叠器（右主动）</t>
  </si>
  <si>
    <t>SLT0000427</t>
  </si>
  <si>
    <t>6480折叠器（右被动）</t>
  </si>
  <si>
    <t>SBS0011120</t>
  </si>
  <si>
    <t>侧翻挂钩拉带总成</t>
  </si>
  <si>
    <t>SBS0011074</t>
  </si>
  <si>
    <t>安全带卷轴器总成</t>
  </si>
  <si>
    <t>SBS0011075</t>
  </si>
  <si>
    <t>安全带锁扣总成</t>
  </si>
  <si>
    <t>SLT0000273</t>
  </si>
  <si>
    <t>6480右主动罩壳</t>
  </si>
  <si>
    <t>SLT0000428</t>
  </si>
  <si>
    <t>6480右被动罩壳</t>
  </si>
  <si>
    <t>SLT0000274</t>
  </si>
  <si>
    <t>6480解锁把手</t>
  </si>
  <si>
    <t>SLT0000425</t>
  </si>
  <si>
    <t>k1翻滚背包装膜</t>
  </si>
  <si>
    <t>SLT0000426</t>
  </si>
  <si>
    <t>k1翻滚座包装膜</t>
  </si>
  <si>
    <t>SBS0011240</t>
  </si>
  <si>
    <t>防异响胶墩</t>
  </si>
  <si>
    <t>填写供应商BOM清单中二级零件图号，一个图号填写一次，不分层级。</t>
  </si>
  <si>
    <t>填写供应商BOM清单中二级零件名称</t>
  </si>
  <si>
    <t>原材料名称：如“热板”</t>
  </si>
  <si>
    <t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</t>
  </si>
  <si>
    <t>kg、米、㎡、m³、个、卷等</t>
  </si>
  <si>
    <t>外协件明细</t>
  </si>
  <si>
    <t>外协生产商</t>
  </si>
  <si>
    <r>
      <rPr>
        <sz val="10"/>
        <rFont val="宋体"/>
        <charset val="134"/>
        <scheme val="minor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</si>
  <si>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</si>
  <si>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r>
      <rPr>
        <sz val="10"/>
        <rFont val="宋体"/>
        <charset val="134"/>
        <scheme val="minor"/>
      </rPr>
      <t>单件外协加工净量</t>
    </r>
    <r>
      <rPr>
        <sz val="10"/>
        <color indexed="10"/>
        <rFont val="宋体"/>
        <charset val="134"/>
      </rPr>
      <t>C</t>
    </r>
  </si>
  <si>
    <t>外协件工艺信息</t>
  </si>
  <si>
    <r>
      <rPr>
        <sz val="10"/>
        <rFont val="宋体"/>
        <charset val="134"/>
        <scheme val="minor"/>
      </rPr>
      <t xml:space="preserve">合计金额
</t>
    </r>
    <r>
      <rPr>
        <sz val="10"/>
        <color indexed="10"/>
        <rFont val="宋体"/>
        <charset val="134"/>
      </rPr>
      <t>A*B*C</t>
    </r>
  </si>
  <si>
    <t>工艺名称</t>
  </si>
  <si>
    <t>加工设备及型号</t>
  </si>
  <si>
    <t>加工工时（分）</t>
  </si>
  <si>
    <t>设备原值（万元）</t>
  </si>
  <si>
    <t>设备功率（KW）</t>
  </si>
  <si>
    <t>操作人数</t>
  </si>
  <si>
    <t>保留小数点后三位。</t>
  </si>
  <si>
    <t>如镀铬、镀锌等</t>
  </si>
  <si>
    <t>格式：
设备名称+型号</t>
  </si>
  <si>
    <t>外协工艺的生产工时定额</t>
  </si>
  <si>
    <t>保留整数</t>
  </si>
  <si>
    <t>填写设备额定功率</t>
  </si>
  <si>
    <t>该外协工艺涉及的加工人员定额</t>
  </si>
  <si>
    <t>说明：外购、外协件采购时间应于报价填报日期接近</t>
  </si>
  <si>
    <t>（第3页，共8页）</t>
  </si>
  <si>
    <t>加工明细表</t>
  </si>
  <si>
    <t>厂房分摊测算表</t>
  </si>
  <si>
    <t>工序名称</t>
  </si>
  <si>
    <t>设备</t>
  </si>
  <si>
    <r>
      <rPr>
        <sz val="10"/>
        <rFont val="宋体"/>
        <charset val="134"/>
        <scheme val="minor"/>
      </rPr>
      <t xml:space="preserve">工时(分) 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</si>
  <si>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</si>
  <si>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直接人工费率
（元/分/人）</t>
    </r>
    <r>
      <rPr>
        <sz val="10"/>
        <color indexed="10"/>
        <rFont val="宋体"/>
        <charset val="134"/>
      </rPr>
      <t>D</t>
    </r>
  </si>
  <si>
    <t>制造费率（元/分）</t>
  </si>
  <si>
    <t>费用（元）</t>
  </si>
  <si>
    <r>
      <rPr>
        <sz val="10"/>
        <color theme="1"/>
        <rFont val="宋体"/>
        <charset val="134"/>
        <scheme val="minor"/>
      </rPr>
      <t>厂房年折旧额
（元）</t>
    </r>
    <r>
      <rPr>
        <sz val="10"/>
        <color indexed="10"/>
        <rFont val="宋体"/>
        <charset val="134"/>
      </rPr>
      <t>M</t>
    </r>
  </si>
  <si>
    <r>
      <rPr>
        <sz val="10"/>
        <color theme="1"/>
        <rFont val="宋体"/>
        <charset val="134"/>
        <scheme val="minor"/>
      </rPr>
      <t>上年度营业成本（元）</t>
    </r>
    <r>
      <rPr>
        <sz val="10"/>
        <color indexed="10"/>
        <rFont val="宋体"/>
        <charset val="134"/>
      </rPr>
      <t>N</t>
    </r>
  </si>
  <si>
    <r>
      <rPr>
        <sz val="10"/>
        <color theme="1"/>
        <rFont val="宋体"/>
        <charset val="134"/>
        <scheme val="minor"/>
      </rPr>
      <t xml:space="preserve">分配率
</t>
    </r>
    <r>
      <rPr>
        <sz val="10"/>
        <color indexed="10"/>
        <rFont val="宋体"/>
        <charset val="134"/>
      </rPr>
      <t>P=M/N</t>
    </r>
  </si>
  <si>
    <r>
      <rPr>
        <sz val="10"/>
        <color theme="1"/>
        <rFont val="宋体"/>
        <charset val="134"/>
        <scheme val="minor"/>
      </rPr>
      <t xml:space="preserve">厂房分摊金额（元）
</t>
    </r>
    <r>
      <rPr>
        <sz val="10"/>
        <color indexed="10"/>
        <rFont val="宋体"/>
        <charset val="134"/>
      </rPr>
      <t>Q=（直接材料成本+人工成本+制造费用）*P</t>
    </r>
  </si>
  <si>
    <t>设备名称</t>
  </si>
  <si>
    <r>
      <rPr>
        <sz val="10"/>
        <rFont val="宋体"/>
        <charset val="134"/>
        <scheme val="minor"/>
      </rPr>
      <t>单工序间接人工费率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</si>
  <si>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>设备折旧率</t>
    </r>
    <r>
      <rPr>
        <sz val="10"/>
        <color indexed="10"/>
        <rFont val="宋体"/>
        <charset val="134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</si>
  <si>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indexed="10"/>
        <rFont val="宋体"/>
        <charset val="134"/>
      </rPr>
      <t>H</t>
    </r>
  </si>
  <si>
    <r>
      <rPr>
        <sz val="10"/>
        <rFont val="宋体"/>
        <charset val="134"/>
        <scheme val="minor"/>
      </rPr>
      <t>机物料消耗及维修费率</t>
    </r>
    <r>
      <rPr>
        <sz val="10"/>
        <color indexed="10"/>
        <rFont val="宋体"/>
        <charset val="134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</si>
  <si>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indexed="10"/>
        <rFont val="宋体"/>
        <charset val="134"/>
      </rPr>
      <t>J=E+F+H+I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</si>
  <si>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indexed="10"/>
        <rFont val="宋体"/>
        <charset val="134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</si>
  <si>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indexed="10"/>
        <rFont val="宋体"/>
        <charset val="134"/>
      </rPr>
      <t>L=A*B*J</t>
    </r>
  </si>
  <si>
    <t>驾驶员座椅总成</t>
  </si>
  <si>
    <t>组装</t>
  </si>
  <si>
    <t>座椅装配线</t>
  </si>
  <si>
    <t>（厂房原值-残值）/折旧年限
注：残值率按5%</t>
  </si>
  <si>
    <t>该数值取自上年度财务报表</t>
  </si>
  <si>
    <t>厂房分摊费用为制造费用的一部分，按照分配率*（该零件的材料成本+人工成本+制造费用）核算</t>
  </si>
  <si>
    <t>背泡沫</t>
  </si>
  <si>
    <t>发泡</t>
  </si>
  <si>
    <t>环形发泡线MHB0130382</t>
  </si>
  <si>
    <t>36工位</t>
  </si>
  <si>
    <t>座泡沫</t>
  </si>
  <si>
    <t>小计</t>
  </si>
  <si>
    <r>
      <rPr>
        <b/>
        <sz val="10"/>
        <rFont val="宋体"/>
        <charset val="134"/>
        <scheme val="minor"/>
      </rPr>
      <t xml:space="preserve">制造费用合计 </t>
    </r>
    <r>
      <rPr>
        <b/>
        <sz val="10"/>
        <color indexed="10"/>
        <rFont val="宋体"/>
        <charset val="134"/>
      </rPr>
      <t>N=L+Q</t>
    </r>
  </si>
  <si>
    <t>填写供应商BOM清单中二级零件图号</t>
  </si>
  <si>
    <t>工序名称，例如：成型</t>
  </si>
  <si>
    <t>固定资产台账上登记的设备名称，例如：500T液压机</t>
  </si>
  <si>
    <t>固定资产台账上登记的设备规格，例如：XP2CEF-500W</t>
  </si>
  <si>
    <t>批量、正常连续生产的两个部件的下线时间间隔</t>
  </si>
  <si>
    <t>单件、单工序直接作业人员</t>
  </si>
  <si>
    <t>直接生产人员税前工资、保险费、福利费及其它；
除工种工资存在较大差异的情况，建议采用平均值</t>
  </si>
  <si>
    <t>车间管理（含车间主任、技术员、统计、核算、调度员、等管理人员）、辅助人员(含转运工人、仓库管理员等辅助生产人员）的工资、福利等；</t>
  </si>
  <si>
    <t>数值取自“制造费率测算”明细页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</si>
  <si>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</si>
  <si>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</si>
  <si>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</si>
  <si>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</si>
  <si>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</si>
  <si>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</si>
  <si>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</si>
  <si>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</si>
  <si>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</t>
  </si>
  <si>
    <t>其它费用</t>
  </si>
  <si>
    <t>设备年生产工时</t>
  </si>
  <si>
    <r>
      <rPr>
        <sz val="10"/>
        <color theme="1"/>
        <rFont val="宋体"/>
        <charset val="134"/>
        <scheme val="minor"/>
      </rPr>
      <t>设备折旧率
（元/分）
(</t>
    </r>
    <r>
      <rPr>
        <sz val="10"/>
        <color indexed="10"/>
        <rFont val="宋体"/>
        <charset val="134"/>
      </rPr>
      <t>A3-A1*A2)/(A4-A5)/E3/60</t>
    </r>
  </si>
  <si>
    <r>
      <rPr>
        <sz val="10"/>
        <color theme="1"/>
        <rFont val="宋体"/>
        <charset val="134"/>
        <scheme val="minor"/>
      </rPr>
      <t xml:space="preserve">燃动费率（元/分）
</t>
    </r>
    <r>
      <rPr>
        <sz val="10"/>
        <color indexed="10"/>
        <rFont val="宋体"/>
        <charset val="134"/>
      </rPr>
      <t>(B1*B2*B4+B3*B5)/60</t>
    </r>
  </si>
  <si>
    <r>
      <rPr>
        <sz val="10"/>
        <color theme="1"/>
        <rFont val="宋体"/>
        <charset val="134"/>
        <scheme val="minor"/>
      </rPr>
      <t xml:space="preserve">机物料消耗及维修费率（元/分）
</t>
    </r>
    <r>
      <rPr>
        <sz val="10"/>
        <color indexed="10"/>
        <rFont val="宋体"/>
        <charset val="134"/>
      </rPr>
      <t>(D1+D2)/E3/60</t>
    </r>
  </si>
  <si>
    <r>
      <rPr>
        <sz val="10"/>
        <color theme="1"/>
        <rFont val="宋体"/>
        <charset val="134"/>
        <scheme val="minor"/>
      </rPr>
      <t xml:space="preserve">设备原值
(元)
</t>
    </r>
    <r>
      <rPr>
        <sz val="10"/>
        <color indexed="10"/>
        <rFont val="宋体"/>
        <charset val="134"/>
      </rPr>
      <t>A1</t>
    </r>
  </si>
  <si>
    <r>
      <rPr>
        <sz val="10"/>
        <color theme="1"/>
        <rFont val="宋体"/>
        <charset val="134"/>
        <scheme val="minor"/>
      </rPr>
      <t xml:space="preserve">设备残值率
(元)
</t>
    </r>
    <r>
      <rPr>
        <sz val="10"/>
        <color indexed="10"/>
        <rFont val="宋体"/>
        <charset val="134"/>
      </rPr>
      <t>A2</t>
    </r>
  </si>
  <si>
    <r>
      <rPr>
        <sz val="10"/>
        <color theme="1"/>
        <rFont val="宋体"/>
        <charset val="134"/>
        <scheme val="minor"/>
      </rPr>
      <t xml:space="preserve">设备净值
(元)
</t>
    </r>
    <r>
      <rPr>
        <sz val="10"/>
        <color indexed="10"/>
        <rFont val="宋体"/>
        <charset val="134"/>
      </rPr>
      <t>A3</t>
    </r>
  </si>
  <si>
    <r>
      <rPr>
        <sz val="10"/>
        <color theme="1"/>
        <rFont val="宋体"/>
        <charset val="134"/>
        <scheme val="minor"/>
      </rPr>
      <t xml:space="preserve">折旧年限（年)
</t>
    </r>
    <r>
      <rPr>
        <sz val="10"/>
        <color indexed="10"/>
        <rFont val="宋体"/>
        <charset val="134"/>
      </rPr>
      <t>A4</t>
    </r>
  </si>
  <si>
    <r>
      <rPr>
        <sz val="10"/>
        <color theme="1"/>
        <rFont val="宋体"/>
        <charset val="134"/>
        <scheme val="minor"/>
      </rPr>
      <t xml:space="preserve">已提折旧年限（年)
</t>
    </r>
    <r>
      <rPr>
        <sz val="10"/>
        <color indexed="10"/>
        <rFont val="宋体"/>
        <charset val="134"/>
      </rPr>
      <t>A5</t>
    </r>
  </si>
  <si>
    <r>
      <rPr>
        <sz val="10"/>
        <color theme="1"/>
        <rFont val="宋体"/>
        <charset val="134"/>
        <scheme val="minor"/>
      </rPr>
      <t>设备额定功率（kw/h）</t>
    </r>
    <r>
      <rPr>
        <sz val="10"/>
        <color indexed="10"/>
        <rFont val="宋体"/>
        <charset val="134"/>
      </rPr>
      <t>B1</t>
    </r>
  </si>
  <si>
    <r>
      <rPr>
        <sz val="10"/>
        <color theme="1"/>
        <rFont val="宋体"/>
        <charset val="134"/>
        <scheme val="minor"/>
      </rPr>
      <t xml:space="preserve">设备功率有效输出（%）
</t>
    </r>
    <r>
      <rPr>
        <sz val="10"/>
        <color indexed="10"/>
        <rFont val="宋体"/>
        <charset val="134"/>
      </rPr>
      <t>B2</t>
    </r>
  </si>
  <si>
    <r>
      <rPr>
        <sz val="10"/>
        <color theme="1"/>
        <rFont val="宋体"/>
        <charset val="134"/>
        <scheme val="minor"/>
      </rPr>
      <t>天然气单位耗量（m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/h）
</t>
    </r>
    <r>
      <rPr>
        <sz val="10"/>
        <color indexed="10"/>
        <rFont val="宋体"/>
        <charset val="134"/>
      </rPr>
      <t>B3</t>
    </r>
  </si>
  <si>
    <r>
      <rPr>
        <sz val="10"/>
        <color theme="1"/>
        <rFont val="宋体"/>
        <charset val="134"/>
        <scheme val="minor"/>
      </rPr>
      <t xml:space="preserve">电费
（元/kw）
</t>
    </r>
    <r>
      <rPr>
        <sz val="10"/>
        <color indexed="10"/>
        <rFont val="宋体"/>
        <charset val="134"/>
      </rPr>
      <t>B4</t>
    </r>
  </si>
  <si>
    <r>
      <rPr>
        <sz val="10"/>
        <color theme="1"/>
        <rFont val="宋体"/>
        <charset val="134"/>
        <scheme val="minor"/>
      </rPr>
      <t>气费（元/m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）
</t>
    </r>
    <r>
      <rPr>
        <sz val="10"/>
        <color indexed="10"/>
        <rFont val="宋体"/>
        <charset val="134"/>
      </rPr>
      <t>B5</t>
    </r>
  </si>
  <si>
    <r>
      <rPr>
        <sz val="10"/>
        <color theme="1"/>
        <rFont val="宋体"/>
        <charset val="134"/>
        <scheme val="minor"/>
      </rPr>
      <t xml:space="preserve">机物料消耗费用（元/年）
</t>
    </r>
    <r>
      <rPr>
        <sz val="10"/>
        <color indexed="10"/>
        <rFont val="宋体"/>
        <charset val="134"/>
      </rPr>
      <t>D1</t>
    </r>
  </si>
  <si>
    <r>
      <rPr>
        <sz val="10"/>
        <color theme="1"/>
        <rFont val="宋体"/>
        <charset val="134"/>
        <scheme val="minor"/>
      </rPr>
      <t xml:space="preserve">维修保养费用（元/年）
</t>
    </r>
    <r>
      <rPr>
        <sz val="10"/>
        <color indexed="10"/>
        <rFont val="宋体"/>
        <charset val="134"/>
      </rPr>
      <t>D2</t>
    </r>
  </si>
  <si>
    <r>
      <rPr>
        <sz val="10"/>
        <color theme="1"/>
        <rFont val="宋体"/>
        <charset val="134"/>
        <scheme val="minor"/>
      </rPr>
      <t xml:space="preserve">设备日有效工作小时数（h/日）
</t>
    </r>
    <r>
      <rPr>
        <sz val="10"/>
        <color indexed="10"/>
        <rFont val="宋体"/>
        <charset val="134"/>
      </rPr>
      <t>E1</t>
    </r>
  </si>
  <si>
    <r>
      <rPr>
        <sz val="10"/>
        <color theme="1"/>
        <rFont val="宋体"/>
        <charset val="134"/>
        <scheme val="minor"/>
      </rPr>
      <t xml:space="preserve">设备年有效工作天数 （日/年）
</t>
    </r>
    <r>
      <rPr>
        <sz val="10"/>
        <color indexed="10"/>
        <rFont val="宋体"/>
        <charset val="134"/>
      </rPr>
      <t>E2</t>
    </r>
  </si>
  <si>
    <r>
      <rPr>
        <sz val="10"/>
        <color theme="1"/>
        <rFont val="宋体"/>
        <charset val="134"/>
        <scheme val="minor"/>
      </rPr>
      <t xml:space="preserve">设备全年有效工作小时数（h/年）
</t>
    </r>
    <r>
      <rPr>
        <sz val="10"/>
        <color indexed="10"/>
        <rFont val="宋体"/>
        <charset val="134"/>
      </rPr>
      <t>E3=E1*E2</t>
    </r>
  </si>
  <si>
    <t>驾驶员座椅总成组装</t>
  </si>
  <si>
    <t>工位</t>
  </si>
  <si>
    <t xml:space="preserve">与“加工明细”页的工序名称对应
</t>
  </si>
  <si>
    <t>与“加工明细”页的设备名称对应</t>
  </si>
  <si>
    <t>固定资产台账登记的设备原值</t>
  </si>
  <si>
    <t>一般按4%-10%考虑</t>
  </si>
  <si>
    <t>固定资产台账登记的设备净值</t>
  </si>
  <si>
    <t>一般按10-15年进行折旧</t>
  </si>
  <si>
    <t>本年年份-购买设备年份</t>
  </si>
  <si>
    <t>该工序所有作业设备的额定功率之和</t>
  </si>
  <si>
    <t>该工序所有生产设备的总和有效输出</t>
  </si>
  <si>
    <t>该工序直接生产设备单位小时耗气量</t>
  </si>
  <si>
    <t>上年度全年电费平均水平=全年电费/全年用电量</t>
  </si>
  <si>
    <t>上年度全年气费平均水平=全年气费/全年用电量</t>
  </si>
  <si>
    <t>根据机物料消耗台账信息填写</t>
  </si>
  <si>
    <t>根据设备维修台账填写</t>
  </si>
  <si>
    <t>该工序直接生产设备上年度平均日工作小时数</t>
  </si>
  <si>
    <t>该工序直接生产设备上年度工作天数</t>
  </si>
  <si>
    <t>根据工时计算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</si>
  <si>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</si>
  <si>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</si>
  <si>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</si>
  <si>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</si>
  <si>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</si>
  <si>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</si>
  <si>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</si>
  <si>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r>
      <rPr>
        <sz val="10"/>
        <rFont val="宋体"/>
        <charset val="134"/>
        <scheme val="minor"/>
      </rPr>
      <t xml:space="preserve">金额（元）
</t>
    </r>
    <r>
      <rPr>
        <sz val="10"/>
        <color indexed="10"/>
        <rFont val="宋体"/>
        <charset val="134"/>
      </rPr>
      <t>（B=制造成本*A）</t>
    </r>
    <r>
      <rPr>
        <sz val="10"/>
        <rFont val="宋体"/>
        <charset val="134"/>
      </rPr>
      <t xml:space="preserve">
</t>
    </r>
  </si>
  <si>
    <r>
      <rPr>
        <sz val="10"/>
        <rFont val="宋体"/>
        <charset val="134"/>
        <scheme val="minor"/>
      </rPr>
      <t xml:space="preserve">制造成本的百分比%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</si>
  <si>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 xml:space="preserve">上年会计报表中费用总额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</si>
  <si>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上年总工时
(h/年)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</si>
  <si>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分配率(元/h)
</t>
    </r>
    <r>
      <rPr>
        <sz val="10"/>
        <color indexed="10"/>
        <rFont val="宋体"/>
        <charset val="134"/>
      </rPr>
      <t>E=C/D</t>
    </r>
  </si>
  <si>
    <t>管理费用（包含研发费用）</t>
  </si>
  <si>
    <t>销售费用 (不含包装和运输费用)</t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</si>
  <si>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</si>
  <si>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</si>
  <si>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</si>
  <si>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</si>
  <si>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</si>
  <si>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</si>
  <si>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</si>
  <si>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</si>
  <si>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</si>
  <si>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</si>
  <si>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</si>
  <si>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</si>
  <si>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indexed="8"/>
        <rFont val="宋体"/>
        <charset val="134"/>
      </rPr>
      <t>销售费用包含销售人员工资福利、差旅费、广告、三包费等；</t>
    </r>
    <r>
      <rPr>
        <b/>
        <sz val="9"/>
        <color indexed="10"/>
        <rFont val="宋体"/>
        <charset val="134"/>
      </rPr>
      <t>不包含包装、运输费用；</t>
    </r>
  </si>
  <si>
    <t>（第6页，共8页）</t>
  </si>
  <si>
    <t>包装运输明细表</t>
  </si>
  <si>
    <t xml:space="preserve"> 1、包装费用</t>
  </si>
  <si>
    <t>类别</t>
  </si>
  <si>
    <t>可重复性</t>
  </si>
  <si>
    <t>包装名称</t>
  </si>
  <si>
    <t>包装材料</t>
  </si>
  <si>
    <t>包装材料规格</t>
  </si>
  <si>
    <t>长
(mm)</t>
  </si>
  <si>
    <t>宽
(mm)</t>
  </si>
  <si>
    <t>高
(mm)</t>
  </si>
  <si>
    <r>
      <rPr>
        <sz val="10"/>
        <color theme="1"/>
        <rFont val="宋体"/>
        <charset val="134"/>
        <scheme val="minor"/>
      </rPr>
      <t>单价（元）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</si>
  <si>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每个包装物可包装零件数量</t>
    </r>
    <r>
      <rPr>
        <sz val="10"/>
        <color indexed="10"/>
        <rFont val="宋体"/>
        <charset val="134"/>
      </rPr>
      <t xml:space="preserve"> B</t>
    </r>
  </si>
  <si>
    <r>
      <rPr>
        <sz val="10"/>
        <rFont val="宋体"/>
        <charset val="134"/>
        <scheme val="minor"/>
      </rPr>
      <t xml:space="preserve">寿命周期(次数) 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</si>
  <si>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单件包装成本（元）</t>
    </r>
    <r>
      <rPr>
        <sz val="10"/>
        <color indexed="10"/>
        <rFont val="宋体"/>
        <charset val="134"/>
      </rPr>
      <t>D=A/B 或 A/B/C</t>
    </r>
  </si>
  <si>
    <t>外包装</t>
  </si>
  <si>
    <t>工装</t>
  </si>
  <si>
    <t>包装箱</t>
  </si>
  <si>
    <t>选项：外包装、内包装、其他包装物</t>
  </si>
  <si>
    <t>选项：
一次性包装、可重复利用包装。</t>
  </si>
  <si>
    <t>包装物的名称，如：纸箱、木托盘、塑料袋等</t>
  </si>
  <si>
    <t>如：瓦楞纸、木材、塑料等</t>
  </si>
  <si>
    <t>如纸箱的材质规格：三层瓦楞纸、五层瓦楞纸等</t>
  </si>
  <si>
    <t>填写外包装尺寸</t>
  </si>
  <si>
    <t>按照包装方案填写</t>
  </si>
  <si>
    <t>“可重复使用包装”增填此处</t>
  </si>
  <si>
    <t xml:space="preserve">①一次性包装成本=A/B;
②可重复利用包装成本=A/B/C
</t>
  </si>
  <si>
    <t>2、运输费用</t>
  </si>
  <si>
    <t>运输方式</t>
  </si>
  <si>
    <t>运输模式</t>
  </si>
  <si>
    <t>发货地</t>
  </si>
  <si>
    <t>交货地</t>
  </si>
  <si>
    <t>运输距离（km)</t>
  </si>
  <si>
    <t xml:space="preserve">车辆类型 </t>
  </si>
  <si>
    <t xml:space="preserve">核定载质量
（t） </t>
  </si>
  <si>
    <t>车辆规格-长（m）</t>
  </si>
  <si>
    <t>货箱规格(内)-长（m）</t>
  </si>
  <si>
    <t>货箱规格(内)-宽（m）</t>
  </si>
  <si>
    <t>货箱规格(内)-高（m）</t>
  </si>
  <si>
    <t>交货位置</t>
  </si>
  <si>
    <t>运输公司</t>
  </si>
  <si>
    <t xml:space="preserve">包装箱（或料架）数/车： </t>
  </si>
  <si>
    <r>
      <rPr>
        <sz val="10"/>
        <rFont val="宋体"/>
        <charset val="134"/>
        <scheme val="minor"/>
      </rPr>
      <t>零件数/车（/t/m³）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</si>
  <si>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运输费用（元）</t>
    </r>
    <r>
      <rPr>
        <sz val="10"/>
        <color indexed="10"/>
        <rFont val="宋体"/>
        <charset val="134"/>
      </rPr>
      <t>B</t>
    </r>
    <r>
      <rPr>
        <sz val="10"/>
        <rFont val="宋体"/>
        <charset val="134"/>
      </rPr>
      <t xml:space="preserve"> </t>
    </r>
  </si>
  <si>
    <r>
      <rPr>
        <sz val="10"/>
        <rFont val="宋体"/>
        <charset val="134"/>
        <scheme val="minor"/>
      </rPr>
      <t>每个零件运输费用（元）</t>
    </r>
    <r>
      <rPr>
        <sz val="10"/>
        <color indexed="10"/>
        <rFont val="宋体"/>
        <charset val="134"/>
      </rPr>
      <t>B/A</t>
    </r>
  </si>
  <si>
    <t>公路运输</t>
  </si>
  <si>
    <t>整车</t>
  </si>
  <si>
    <t>潍坊工厂</t>
  </si>
  <si>
    <t>多功能工厂</t>
  </si>
  <si>
    <t>9.6米</t>
  </si>
  <si>
    <t>9.6m</t>
  </si>
  <si>
    <t>元/车</t>
  </si>
  <si>
    <t>选项：公路运输、铁路运输、水路运输、航空运输</t>
  </si>
  <si>
    <t>选项：整车、零担重货、零担轻货</t>
  </si>
  <si>
    <t>格式：
长途运输：
（省）+（市）+（县）
例：山东潍坊诸城
短途运输：
（省）+（市）+（县）+详细地址</t>
  </si>
  <si>
    <t>发货地与交货地质之间的运输距离</t>
  </si>
  <si>
    <t>厢式货车、仓栅式货车、栏板式货车、平板式货车、罐式货车、集装箱货车</t>
  </si>
  <si>
    <t>该车辆设计规定装载货物的标准质量。单位为吨。</t>
  </si>
  <si>
    <t>写车辆长度，单位为m。
例：9 表示9m货车</t>
  </si>
  <si>
    <t>填写货箱内部尺寸</t>
  </si>
  <si>
    <t>选项：
VMI库、RDC库、工位。</t>
  </si>
  <si>
    <t>写全称</t>
  </si>
  <si>
    <t>每车的包装箱或料架（循环器具）的数量</t>
  </si>
  <si>
    <t>整车运输：零件数/车；
零担：零件数/t或m³</t>
  </si>
  <si>
    <t>选项：
整车模式：元/车；
零担重货模式：元/t；
零担轻货模式：元/m3。</t>
  </si>
  <si>
    <t xml:space="preserve">整车运输：整车的运输费用；
零担：约定方式的单位价格。
</t>
  </si>
  <si>
    <t>按照公式计算</t>
  </si>
  <si>
    <t>（第7页，共8页）</t>
  </si>
  <si>
    <t>工装明细表</t>
  </si>
  <si>
    <t>以下含税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</si>
  <si>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</si>
  <si>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</si>
  <si>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</si>
  <si>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</si>
  <si>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</si>
  <si>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</si>
  <si>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</si>
  <si>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  <scheme val="minor"/>
      </rPr>
      <t xml:space="preserve">分摊数量（件）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</si>
  <si>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分摊额
（元/件）
</t>
    </r>
    <r>
      <rPr>
        <sz val="10"/>
        <color indexed="1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</si>
  <si>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</si>
  <si>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</si>
  <si>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  <scheme val="minor"/>
      </rPr>
      <t xml:space="preserve">分摊
</t>
    </r>
    <r>
      <rPr>
        <sz val="10"/>
        <color indexed="10"/>
        <rFont val="宋体"/>
        <charset val="134"/>
      </rPr>
      <t>A</t>
    </r>
  </si>
  <si>
    <t>填写工艺名称：如冲压工艺</t>
  </si>
  <si>
    <t>如：模具、检具、夹具</t>
  </si>
  <si>
    <t>如：冲压模具</t>
  </si>
  <si>
    <t>单位：mm,
填写如1400*2560*10000</t>
  </si>
  <si>
    <t>填写主要材质的牌号，如：Cr12mv</t>
  </si>
  <si>
    <t>根据与采购商务的支付方式，填写现金支付金额</t>
  </si>
  <si>
    <t>根据与采购商务的支付方式，填写需在零件中的分摊金额</t>
  </si>
  <si>
    <t>该工装总金额</t>
  </si>
  <si>
    <t>约定的分摊零件数量</t>
  </si>
  <si>
    <t>按公式计算</t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</si>
  <si>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charset val="134"/>
      </rPr>
      <t>郭国卿</t>
    </r>
    <phoneticPr fontId="49" type="noConversion"/>
  </si>
  <si>
    <t>Email:guoguoqing@bjghrc.com</t>
    <phoneticPr fontId="49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</si>
  <si>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及手机：</t>
    </r>
    <r>
      <rPr>
        <sz val="10"/>
        <rFont val="Times New Roman"/>
        <family val="1"/>
      </rPr>
      <t>18612905876</t>
    </r>
    <phoneticPr fontId="49" type="noConversion"/>
  </si>
  <si>
    <t>其他标准件及附件</t>
    <phoneticPr fontId="49" type="noConversion"/>
  </si>
  <si>
    <t>车型：图雅诺</t>
    <phoneticPr fontId="49" type="noConversion"/>
  </si>
  <si>
    <t>乘客双人座椅总成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</si>
</sst>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0.00_ "/>
    <numFmt numFmtId="179" formatCode="0_ "/>
    <numFmt numFmtId="180" formatCode="#,##0.00_ ;\-#,##0.00\ "/>
    <numFmt numFmtId="181" formatCode="#,##0.000_ "/>
    <numFmt numFmtId="182" formatCode="#,##0_ "/>
    <numFmt numFmtId="183" formatCode="0.0"/>
    <numFmt numFmtId="184" formatCode="#,##0_);[Red]\(#,##0\)"/>
    <numFmt numFmtId="185" formatCode="0.0000_ "/>
    <numFmt numFmtId="186" formatCode="_(* #,##0_);_(* \(#,##0\);_(* &quot;-&quot;??_);_(@_)"/>
    <numFmt numFmtId="187" formatCode="0.000"/>
    <numFmt numFmtId="188" formatCode="0.000_ "/>
    <numFmt numFmtId="189" formatCode="0.00;[Red]0.00"/>
    <numFmt numFmtId="190" formatCode="yyyy\.mm"/>
    <numFmt numFmtId="191" formatCode="0.00_);[Red]\(0.00\)"/>
  </numFmts>
  <fonts count="5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Arial"/>
      <family val="2"/>
    </font>
    <font>
      <sz val="14"/>
      <color theme="1"/>
      <name val="宋体"/>
      <charset val="134"/>
      <scheme val="minor"/>
    </font>
    <font>
      <sz val="8"/>
      <color rgb="FFFF000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family val="2"/>
    </font>
    <font>
      <sz val="11"/>
      <color rgb="FF9C0006"/>
      <name val="宋体"/>
      <charset val="134"/>
      <scheme val="minor"/>
    </font>
    <font>
      <sz val="10"/>
      <name val="Arial"/>
      <family val="2"/>
    </font>
    <font>
      <sz val="11"/>
      <color rgb="FF006100"/>
      <name val="宋体"/>
      <charset val="134"/>
      <scheme val="minor"/>
    </font>
    <font>
      <sz val="10"/>
      <color indexed="1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12"/>
      <name val="宋体"/>
      <charset val="134"/>
    </font>
    <font>
      <b/>
      <sz val="10"/>
      <color indexed="30"/>
      <name val="宋体"/>
      <charset val="134"/>
    </font>
    <font>
      <vertAlign val="superscript"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10"/>
      <name val="宋体"/>
      <charset val="134"/>
    </font>
    <font>
      <sz val="9"/>
      <color indexed="8"/>
      <name val="宋体"/>
      <charset val="134"/>
    </font>
    <font>
      <b/>
      <sz val="9"/>
      <color indexed="10"/>
      <name val="宋体"/>
      <charset val="134"/>
    </font>
    <font>
      <b/>
      <sz val="10"/>
      <name val="Times New Roman"/>
      <family val="1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Times New Roman"/>
      <family val="1"/>
    </font>
    <font>
      <sz val="11"/>
      <color indexed="8"/>
      <name val="楷体"/>
      <charset val="134"/>
    </font>
    <font>
      <b/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/>
    <xf numFmtId="0" fontId="34" fillId="0" borderId="0">
      <alignment vertical="top"/>
    </xf>
    <xf numFmtId="9" fontId="32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>
      <alignment vertical="top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33" fillId="0" borderId="0"/>
    <xf numFmtId="0" fontId="33" fillId="0" borderId="0"/>
    <xf numFmtId="0" fontId="20" fillId="0" borderId="0">
      <alignment vertical="center"/>
    </xf>
    <xf numFmtId="0" fontId="33" fillId="0" borderId="0"/>
    <xf numFmtId="0" fontId="33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/>
    <xf numFmtId="0" fontId="33" fillId="0" borderId="0">
      <alignment vertical="center"/>
    </xf>
    <xf numFmtId="0" fontId="34" fillId="0" borderId="0">
      <alignment vertical="top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>
      <alignment vertical="top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3" fillId="0" borderId="0"/>
  </cellStyleXfs>
  <cellXfs count="3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3" xfId="24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3" borderId="3" xfId="24" applyFont="1" applyFill="1" applyBorder="1" applyAlignment="1">
      <alignment horizontal="center" vertical="center" wrapText="1"/>
    </xf>
    <xf numFmtId="178" fontId="6" fillId="3" borderId="3" xfId="25" applyNumberFormat="1" applyFont="1" applyFill="1" applyBorder="1" applyAlignment="1">
      <alignment horizontal="left" vertical="center" wrapText="1"/>
    </xf>
    <xf numFmtId="178" fontId="6" fillId="3" borderId="3" xfId="25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3" fillId="0" borderId="3" xfId="24" applyFont="1" applyBorder="1" applyAlignment="1">
      <alignment horizontal="center" vertical="center" wrapText="1"/>
    </xf>
    <xf numFmtId="179" fontId="3" fillId="0" borderId="3" xfId="4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80" fontId="5" fillId="2" borderId="3" xfId="22" applyNumberFormat="1" applyFont="1" applyFill="1" applyBorder="1" applyAlignment="1">
      <alignment horizontal="center" vertical="center"/>
    </xf>
    <xf numFmtId="0" fontId="2" fillId="2" borderId="3" xfId="24" applyFont="1" applyFill="1" applyBorder="1" applyAlignment="1">
      <alignment vertical="center" wrapText="1"/>
    </xf>
    <xf numFmtId="180" fontId="2" fillId="2" borderId="3" xfId="24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3" borderId="3" xfId="14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2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25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3" borderId="3" xfId="0" applyFont="1" applyFill="1" applyBorder="1">
      <alignment vertical="center"/>
    </xf>
    <xf numFmtId="2" fontId="6" fillId="0" borderId="0" xfId="0" applyNumberFormat="1" applyFont="1" applyAlignment="1">
      <alignment horizontal="center" vertical="center"/>
    </xf>
    <xf numFmtId="10" fontId="10" fillId="0" borderId="0" xfId="25" applyNumberFormat="1" applyFont="1" applyAlignment="1">
      <alignment horizontal="center" vertical="center" wrapText="1"/>
    </xf>
    <xf numFmtId="182" fontId="3" fillId="0" borderId="3" xfId="16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24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2" fontId="13" fillId="0" borderId="3" xfId="24" applyNumberFormat="1" applyFont="1" applyBorder="1" applyAlignment="1">
      <alignment horizontal="center" vertical="center" wrapText="1"/>
    </xf>
    <xf numFmtId="9" fontId="13" fillId="0" borderId="3" xfId="2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vertical="center" wrapText="1"/>
    </xf>
    <xf numFmtId="0" fontId="15" fillId="0" borderId="0" xfId="24" applyFont="1" applyAlignment="1">
      <alignment vertical="center" wrapText="1"/>
    </xf>
    <xf numFmtId="0" fontId="13" fillId="0" borderId="0" xfId="24" applyFont="1" applyAlignment="1">
      <alignment vertical="center"/>
    </xf>
    <xf numFmtId="0" fontId="3" fillId="0" borderId="3" xfId="16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9" fontId="17" fillId="0" borderId="3" xfId="16" applyNumberFormat="1" applyFont="1" applyBorder="1" applyAlignment="1">
      <alignment horizontal="center" vertical="center"/>
    </xf>
    <xf numFmtId="183" fontId="17" fillId="0" borderId="3" xfId="16" applyNumberFormat="1" applyFont="1" applyBorder="1" applyAlignment="1">
      <alignment horizontal="center" vertical="center"/>
    </xf>
    <xf numFmtId="0" fontId="17" fillId="0" borderId="3" xfId="16" applyFont="1" applyBorder="1" applyAlignment="1">
      <alignment horizontal="center" vertical="center"/>
    </xf>
    <xf numFmtId="178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84" fontId="19" fillId="0" borderId="3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7" fillId="0" borderId="1" xfId="16" applyFont="1" applyBorder="1" applyAlignment="1">
      <alignment horizontal="center" vertical="center"/>
    </xf>
    <xf numFmtId="185" fontId="17" fillId="0" borderId="3" xfId="16" applyNumberFormat="1" applyFont="1" applyBorder="1" applyAlignment="1">
      <alignment horizontal="center" vertical="center"/>
    </xf>
    <xf numFmtId="0" fontId="18" fillId="0" borderId="3" xfId="12" applyFont="1" applyBorder="1" applyAlignment="1">
      <alignment horizontal="center" vertical="center"/>
    </xf>
    <xf numFmtId="186" fontId="17" fillId="0" borderId="3" xfId="33" applyNumberFormat="1" applyFont="1" applyFill="1" applyBorder="1" applyAlignment="1">
      <alignment horizontal="center" vertical="center"/>
    </xf>
    <xf numFmtId="1" fontId="17" fillId="0" borderId="3" xfId="16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7" fillId="0" borderId="3" xfId="16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8" fontId="3" fillId="0" borderId="3" xfId="25" applyNumberFormat="1" applyFont="1" applyBorder="1" applyAlignment="1">
      <alignment horizontal="center" vertical="center" wrapText="1"/>
    </xf>
    <xf numFmtId="179" fontId="18" fillId="0" borderId="3" xfId="25" applyNumberFormat="1" applyFont="1" applyBorder="1" applyAlignment="1" applyProtection="1">
      <alignment horizontal="center" vertical="center" wrapText="1"/>
      <protection locked="0"/>
    </xf>
    <xf numFmtId="49" fontId="18" fillId="0" borderId="3" xfId="0" applyNumberFormat="1" applyFont="1" applyBorder="1" applyAlignment="1" applyProtection="1">
      <alignment horizontal="center" vertical="center"/>
      <protection locked="0"/>
    </xf>
    <xf numFmtId="0" fontId="18" fillId="0" borderId="3" xfId="13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/>
    </xf>
    <xf numFmtId="183" fontId="18" fillId="0" borderId="3" xfId="16" applyNumberFormat="1" applyFont="1" applyBorder="1" applyAlignment="1">
      <alignment horizontal="center" vertical="center" wrapText="1"/>
    </xf>
    <xf numFmtId="49" fontId="18" fillId="0" borderId="3" xfId="16" applyNumberFormat="1" applyFont="1" applyBorder="1" applyAlignment="1">
      <alignment horizontal="center" vertical="center" wrapText="1"/>
    </xf>
    <xf numFmtId="49" fontId="18" fillId="0" borderId="3" xfId="13" applyNumberFormat="1" applyFont="1" applyBorder="1" applyAlignment="1">
      <alignment horizontal="center" vertical="center" wrapText="1"/>
    </xf>
    <xf numFmtId="187" fontId="18" fillId="0" borderId="3" xfId="16" applyNumberFormat="1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49" fontId="6" fillId="3" borderId="3" xfId="16" applyNumberFormat="1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left" vertical="center" wrapText="1"/>
    </xf>
    <xf numFmtId="0" fontId="7" fillId="0" borderId="11" xfId="0" applyFont="1" applyBorder="1">
      <alignment vertical="center"/>
    </xf>
    <xf numFmtId="0" fontId="3" fillId="4" borderId="3" xfId="16" applyFont="1" applyFill="1" applyBorder="1" applyAlignment="1">
      <alignment horizontal="center" vertical="center" wrapText="1"/>
    </xf>
    <xf numFmtId="0" fontId="18" fillId="0" borderId="3" xfId="16" applyFont="1" applyBorder="1" applyAlignment="1">
      <alignment horizontal="center" vertical="center" wrapText="1"/>
    </xf>
    <xf numFmtId="178" fontId="18" fillId="0" borderId="3" xfId="16" applyNumberFormat="1" applyFont="1" applyBorder="1" applyAlignment="1">
      <alignment horizontal="center" vertical="center" wrapText="1"/>
    </xf>
    <xf numFmtId="178" fontId="19" fillId="0" borderId="3" xfId="18" applyNumberFormat="1" applyFont="1" applyBorder="1" applyAlignment="1">
      <alignment horizontal="center" vertical="center"/>
    </xf>
    <xf numFmtId="2" fontId="18" fillId="0" borderId="3" xfId="16" applyNumberFormat="1" applyFont="1" applyBorder="1" applyAlignment="1">
      <alignment horizontal="center" vertical="center" wrapText="1"/>
    </xf>
    <xf numFmtId="188" fontId="19" fillId="0" borderId="3" xfId="18" applyNumberFormat="1" applyFont="1" applyBorder="1" applyAlignment="1">
      <alignment horizontal="center" vertical="center"/>
    </xf>
    <xf numFmtId="2" fontId="19" fillId="0" borderId="3" xfId="18" applyNumberFormat="1" applyFont="1" applyBorder="1" applyAlignment="1">
      <alignment horizontal="center" vertical="center"/>
    </xf>
    <xf numFmtId="188" fontId="18" fillId="0" borderId="3" xfId="16" applyNumberFormat="1" applyFont="1" applyBorder="1" applyAlignment="1">
      <alignment horizontal="center" vertical="center" wrapText="1"/>
    </xf>
    <xf numFmtId="2" fontId="14" fillId="0" borderId="3" xfId="18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20" fillId="0" borderId="0" xfId="18">
      <alignment vertical="center"/>
    </xf>
    <xf numFmtId="0" fontId="20" fillId="2" borderId="0" xfId="18" applyFill="1">
      <alignment vertical="center"/>
    </xf>
    <xf numFmtId="0" fontId="4" fillId="2" borderId="3" xfId="18" applyFont="1" applyFill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3" xfId="0" applyFont="1" applyFill="1" applyBorder="1">
      <alignment vertical="center"/>
    </xf>
    <xf numFmtId="2" fontId="14" fillId="5" borderId="3" xfId="18" applyNumberFormat="1" applyFont="1" applyFill="1" applyBorder="1" applyAlignment="1">
      <alignment horizontal="center" vertical="center" wrapText="1"/>
    </xf>
    <xf numFmtId="0" fontId="4" fillId="2" borderId="3" xfId="18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center" vertical="center" wrapText="1"/>
    </xf>
    <xf numFmtId="57" fontId="3" fillId="0" borderId="3" xfId="13" applyNumberFormat="1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top" wrapText="1"/>
    </xf>
    <xf numFmtId="178" fontId="6" fillId="0" borderId="3" xfId="25" applyNumberFormat="1" applyFont="1" applyBorder="1" applyAlignment="1">
      <alignment horizontal="center" vertical="center" wrapText="1"/>
    </xf>
    <xf numFmtId="0" fontId="6" fillId="0" borderId="3" xfId="19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 wrapText="1"/>
    </xf>
    <xf numFmtId="0" fontId="6" fillId="0" borderId="3" xfId="13" applyFont="1" applyBorder="1" applyAlignment="1">
      <alignment horizontal="left" vertical="center" wrapText="1"/>
    </xf>
    <xf numFmtId="0" fontId="6" fillId="0" borderId="6" xfId="13" applyFont="1" applyBorder="1" applyAlignment="1">
      <alignment horizontal="center" vertical="center" wrapText="1"/>
    </xf>
    <xf numFmtId="0" fontId="3" fillId="0" borderId="0" xfId="13" applyFont="1" applyAlignment="1">
      <alignment vertical="center"/>
    </xf>
    <xf numFmtId="0" fontId="23" fillId="0" borderId="0" xfId="0" applyFont="1">
      <alignment vertical="center"/>
    </xf>
    <xf numFmtId="0" fontId="3" fillId="0" borderId="3" xfId="18" applyFont="1" applyBorder="1" applyAlignment="1">
      <alignment horizontal="center" vertical="center" wrapText="1"/>
    </xf>
    <xf numFmtId="178" fontId="2" fillId="0" borderId="3" xfId="13" applyNumberFormat="1" applyFont="1" applyBorder="1" applyAlignment="1">
      <alignment horizontal="center" vertical="center" wrapText="1"/>
    </xf>
    <xf numFmtId="0" fontId="3" fillId="0" borderId="3" xfId="13" applyFont="1" applyBorder="1" applyAlignment="1">
      <alignment vertical="center" wrapText="1"/>
    </xf>
    <xf numFmtId="0" fontId="6" fillId="0" borderId="3" xfId="13" applyFont="1" applyBorder="1" applyAlignment="1">
      <alignment vertical="center" wrapText="1"/>
    </xf>
    <xf numFmtId="178" fontId="24" fillId="5" borderId="3" xfId="13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8" fontId="3" fillId="0" borderId="3" xfId="25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Protection="1">
      <alignment vertical="center"/>
      <protection locked="0"/>
    </xf>
    <xf numFmtId="178" fontId="2" fillId="0" borderId="3" xfId="25" applyNumberFormat="1" applyFont="1" applyBorder="1" applyAlignment="1" applyProtection="1">
      <alignment horizontal="center" vertical="center" wrapText="1"/>
      <protection locked="0"/>
    </xf>
    <xf numFmtId="178" fontId="3" fillId="0" borderId="3" xfId="25" applyNumberFormat="1" applyFont="1" applyBorder="1" applyAlignment="1" applyProtection="1">
      <alignment vertical="center" wrapText="1"/>
      <protection locked="0"/>
    </xf>
    <xf numFmtId="178" fontId="6" fillId="3" borderId="3" xfId="25" applyNumberFormat="1" applyFont="1" applyFill="1" applyBorder="1" applyAlignment="1" applyProtection="1">
      <alignment horizontal="center" vertical="center" wrapText="1"/>
      <protection locked="0"/>
    </xf>
    <xf numFmtId="178" fontId="6" fillId="3" borderId="3" xfId="25" applyNumberFormat="1" applyFont="1" applyFill="1" applyBorder="1" applyAlignment="1" applyProtection="1">
      <alignment horizontal="left" vertical="center" wrapText="1"/>
      <protection locked="0"/>
    </xf>
    <xf numFmtId="178" fontId="3" fillId="2" borderId="11" xfId="25" applyNumberFormat="1" applyFont="1" applyFill="1" applyBorder="1" applyProtection="1">
      <alignment vertical="center"/>
      <protection locked="0"/>
    </xf>
    <xf numFmtId="0" fontId="3" fillId="0" borderId="0" xfId="13" applyFont="1" applyAlignment="1" applyProtection="1">
      <alignment vertical="center"/>
      <protection locked="0"/>
    </xf>
    <xf numFmtId="178" fontId="4" fillId="0" borderId="3" xfId="25" applyNumberFormat="1" applyFont="1" applyBorder="1" applyAlignment="1" applyProtection="1">
      <alignment horizontal="center" vertical="center" wrapText="1"/>
      <protection locked="0"/>
    </xf>
    <xf numFmtId="178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188" fontId="18" fillId="0" borderId="3" xfId="13" applyNumberFormat="1" applyFont="1" applyBorder="1" applyAlignment="1" applyProtection="1">
      <alignment horizontal="center" vertical="center" wrapText="1"/>
      <protection locked="0"/>
    </xf>
    <xf numFmtId="189" fontId="3" fillId="0" borderId="3" xfId="13" applyNumberFormat="1" applyFont="1" applyBorder="1" applyAlignment="1">
      <alignment horizontal="center" vertical="center" wrapText="1"/>
    </xf>
    <xf numFmtId="183" fontId="3" fillId="0" borderId="3" xfId="13" applyNumberFormat="1" applyFont="1" applyBorder="1" applyAlignment="1">
      <alignment horizontal="center" vertical="center" wrapText="1"/>
    </xf>
    <xf numFmtId="9" fontId="3" fillId="0" borderId="3" xfId="2" applyFont="1" applyFill="1" applyBorder="1" applyAlignment="1">
      <alignment horizontal="center" vertical="center" wrapText="1"/>
    </xf>
    <xf numFmtId="178" fontId="18" fillId="0" borderId="3" xfId="13" applyNumberFormat="1" applyFont="1" applyBorder="1" applyAlignment="1" applyProtection="1">
      <alignment horizontal="center" vertical="center" wrapText="1"/>
      <protection locked="0"/>
    </xf>
    <xf numFmtId="190" fontId="3" fillId="0" borderId="3" xfId="13" applyNumberFormat="1" applyFont="1" applyBorder="1" applyAlignment="1" applyProtection="1">
      <alignment horizontal="center" vertical="center" wrapText="1"/>
      <protection locked="0"/>
    </xf>
    <xf numFmtId="191" fontId="3" fillId="0" borderId="3" xfId="25" applyNumberFormat="1" applyFont="1" applyBorder="1" applyAlignment="1" applyProtection="1">
      <alignment horizontal="center" vertical="center" wrapText="1"/>
      <protection locked="0"/>
    </xf>
    <xf numFmtId="2" fontId="3" fillId="0" borderId="3" xfId="13" applyNumberFormat="1" applyFont="1" applyBorder="1" applyAlignment="1">
      <alignment horizontal="center" vertical="center" wrapText="1"/>
    </xf>
    <xf numFmtId="43" fontId="3" fillId="0" borderId="3" xfId="13" applyNumberFormat="1" applyFont="1" applyBorder="1" applyAlignment="1">
      <alignment horizontal="center" vertical="center" wrapText="1"/>
    </xf>
    <xf numFmtId="191" fontId="3" fillId="0" borderId="3" xfId="13" applyNumberFormat="1" applyFont="1" applyBorder="1" applyAlignment="1">
      <alignment horizontal="center" vertical="center" wrapText="1"/>
    </xf>
    <xf numFmtId="0" fontId="20" fillId="0" borderId="0" xfId="15">
      <alignment vertical="center"/>
    </xf>
    <xf numFmtId="0" fontId="2" fillId="0" borderId="3" xfId="20" applyFont="1" applyBorder="1">
      <alignment vertical="center"/>
    </xf>
    <xf numFmtId="0" fontId="4" fillId="0" borderId="3" xfId="20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1" fontId="3" fillId="0" borderId="3" xfId="14" applyNumberFormat="1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2" fontId="3" fillId="0" borderId="3" xfId="14" applyNumberFormat="1" applyFont="1" applyBorder="1" applyAlignment="1">
      <alignment horizontal="center" vertical="center" wrapText="1"/>
    </xf>
    <xf numFmtId="0" fontId="6" fillId="3" borderId="3" xfId="20" applyFont="1" applyFill="1" applyBorder="1" applyAlignment="1">
      <alignment horizontal="center" vertical="center"/>
    </xf>
    <xf numFmtId="0" fontId="6" fillId="3" borderId="3" xfId="20" applyFont="1" applyFill="1" applyBorder="1" applyAlignment="1">
      <alignment horizontal="center" vertical="center" wrapText="1"/>
    </xf>
    <xf numFmtId="0" fontId="26" fillId="3" borderId="3" xfId="14" applyFont="1" applyFill="1" applyBorder="1" applyAlignment="1">
      <alignment horizontal="center" vertical="center" wrapText="1"/>
    </xf>
    <xf numFmtId="0" fontId="4" fillId="0" borderId="0" xfId="15" applyFont="1">
      <alignment vertical="center"/>
    </xf>
    <xf numFmtId="0" fontId="3" fillId="6" borderId="3" xfId="14" applyFont="1" applyFill="1" applyBorder="1" applyAlignment="1">
      <alignment vertical="top" wrapText="1"/>
    </xf>
    <xf numFmtId="0" fontId="0" fillId="0" borderId="0" xfId="0" applyAlignment="1"/>
    <xf numFmtId="0" fontId="0" fillId="0" borderId="3" xfId="0" applyBorder="1">
      <alignment vertical="center"/>
    </xf>
    <xf numFmtId="0" fontId="28" fillId="0" borderId="3" xfId="23" applyFont="1" applyBorder="1" applyProtection="1">
      <alignment vertical="center"/>
      <protection locked="0"/>
    </xf>
    <xf numFmtId="0" fontId="29" fillId="0" borderId="3" xfId="23" applyFont="1" applyBorder="1" applyAlignment="1" applyProtection="1">
      <alignment horizontal="left" vertical="center"/>
      <protection locked="0"/>
    </xf>
    <xf numFmtId="0" fontId="29" fillId="0" borderId="3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 wrapText="1"/>
    </xf>
    <xf numFmtId="0" fontId="30" fillId="0" borderId="3" xfId="23" applyFont="1" applyBorder="1" applyAlignment="1" applyProtection="1">
      <alignment horizontal="center" vertical="center" wrapText="1"/>
      <protection locked="0"/>
    </xf>
    <xf numFmtId="2" fontId="30" fillId="0" borderId="3" xfId="23" applyNumberFormat="1" applyFont="1" applyBorder="1" applyAlignment="1" applyProtection="1">
      <alignment horizontal="center" vertical="center" wrapText="1"/>
      <protection locked="0"/>
    </xf>
    <xf numFmtId="0" fontId="30" fillId="0" borderId="3" xfId="23" applyFont="1" applyBorder="1" applyAlignment="1" applyProtection="1">
      <alignment horizontal="center" vertical="center"/>
      <protection locked="0"/>
    </xf>
    <xf numFmtId="2" fontId="30" fillId="0" borderId="3" xfId="23" applyNumberFormat="1" applyFont="1" applyBorder="1" applyAlignment="1" applyProtection="1">
      <alignment horizontal="center" vertical="center"/>
      <protection locked="0"/>
    </xf>
    <xf numFmtId="0" fontId="30" fillId="5" borderId="3" xfId="23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179" fontId="30" fillId="0" borderId="3" xfId="23" applyNumberFormat="1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 wrapText="1"/>
    </xf>
    <xf numFmtId="0" fontId="51" fillId="0" borderId="3" xfId="13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9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178" fontId="17" fillId="2" borderId="3" xfId="0" applyNumberFormat="1" applyFont="1" applyFill="1" applyBorder="1" applyAlignment="1">
      <alignment horizontal="center" vertical="center"/>
    </xf>
    <xf numFmtId="183" fontId="17" fillId="2" borderId="3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0" fontId="18" fillId="0" borderId="3" xfId="12" applyFont="1" applyBorder="1" applyAlignment="1">
      <alignment horizontal="center" vertical="center" wrapText="1"/>
    </xf>
    <xf numFmtId="185" fontId="53" fillId="0" borderId="3" xfId="15" applyNumberFormat="1" applyFont="1" applyBorder="1" applyAlignment="1">
      <alignment horizontal="right" vertical="center"/>
    </xf>
    <xf numFmtId="0" fontId="30" fillId="0" borderId="1" xfId="23" applyFont="1" applyBorder="1" applyAlignment="1" applyProtection="1">
      <alignment horizontal="center" vertical="center" wrapText="1"/>
      <protection locked="0"/>
    </xf>
    <xf numFmtId="0" fontId="30" fillId="0" borderId="2" xfId="23" applyFont="1" applyBorder="1" applyAlignment="1" applyProtection="1">
      <alignment horizontal="center" vertical="center" wrapText="1"/>
      <protection locked="0"/>
    </xf>
    <xf numFmtId="0" fontId="30" fillId="0" borderId="4" xfId="23" applyFont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9" fillId="0" borderId="6" xfId="23" applyFont="1" applyBorder="1" applyAlignment="1" applyProtection="1">
      <alignment horizontal="left" vertical="center"/>
      <protection locked="0"/>
    </xf>
    <xf numFmtId="0" fontId="27" fillId="0" borderId="7" xfId="23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0" fillId="0" borderId="3" xfId="23" applyFont="1" applyBorder="1" applyAlignment="1" applyProtection="1">
      <alignment horizontal="left" vertical="center" wrapText="1"/>
      <protection locked="0"/>
    </xf>
    <xf numFmtId="9" fontId="4" fillId="0" borderId="3" xfId="2" applyFont="1" applyFill="1" applyBorder="1" applyAlignment="1">
      <alignment horizontal="center" vertical="center"/>
    </xf>
    <xf numFmtId="0" fontId="30" fillId="0" borderId="3" xfId="23" applyFont="1" applyBorder="1" applyAlignment="1" applyProtection="1">
      <alignment horizontal="center" vertical="center" wrapText="1"/>
      <protection locked="0"/>
    </xf>
    <xf numFmtId="0" fontId="30" fillId="4" borderId="3" xfId="23" applyFont="1" applyFill="1" applyBorder="1" applyAlignment="1" applyProtection="1">
      <alignment horizontal="left" vertical="center" wrapText="1"/>
      <protection locked="0"/>
    </xf>
    <xf numFmtId="0" fontId="30" fillId="5" borderId="3" xfId="23" applyFont="1" applyFill="1" applyBorder="1" applyAlignment="1" applyProtection="1">
      <alignment horizontal="center" vertical="center" wrapText="1"/>
      <protection locked="0"/>
    </xf>
    <xf numFmtId="0" fontId="30" fillId="4" borderId="3" xfId="23" applyFont="1" applyFill="1" applyBorder="1" applyAlignment="1" applyProtection="1">
      <alignment horizontal="center" vertical="center" wrapText="1"/>
      <protection locked="0"/>
    </xf>
    <xf numFmtId="0" fontId="29" fillId="0" borderId="3" xfId="23" applyFont="1" applyBorder="1" applyAlignment="1" applyProtection="1">
      <alignment horizontal="center" vertical="center"/>
      <protection locked="0"/>
    </xf>
    <xf numFmtId="0" fontId="29" fillId="0" borderId="3" xfId="23" applyFont="1" applyBorder="1" applyAlignment="1" applyProtection="1">
      <alignment horizontal="left" vertical="center"/>
      <protection locked="0"/>
    </xf>
    <xf numFmtId="0" fontId="30" fillId="4" borderId="3" xfId="23" applyFont="1" applyFill="1" applyBorder="1" applyAlignment="1" applyProtection="1">
      <alignment horizontal="center" vertical="center"/>
      <protection locked="0"/>
    </xf>
    <xf numFmtId="1" fontId="29" fillId="0" borderId="3" xfId="23" applyNumberFormat="1" applyFont="1" applyBorder="1" applyAlignment="1" applyProtection="1">
      <alignment horizontal="center" vertical="center"/>
      <protection locked="0"/>
    </xf>
    <xf numFmtId="0" fontId="4" fillId="0" borderId="11" xfId="15" applyFont="1" applyBorder="1" applyAlignment="1">
      <alignment horizontal="center" vertical="center"/>
    </xf>
    <xf numFmtId="0" fontId="25" fillId="0" borderId="1" xfId="15" applyFont="1" applyBorder="1" applyAlignment="1">
      <alignment horizontal="left" vertical="center" wrapText="1"/>
    </xf>
    <xf numFmtId="0" fontId="25" fillId="0" borderId="2" xfId="15" applyFont="1" applyBorder="1" applyAlignment="1">
      <alignment horizontal="left" vertical="center"/>
    </xf>
    <xf numFmtId="0" fontId="25" fillId="0" borderId="4" xfId="15" applyFont="1" applyBorder="1" applyAlignment="1">
      <alignment horizontal="left" vertical="center"/>
    </xf>
    <xf numFmtId="0" fontId="22" fillId="0" borderId="3" xfId="14" applyFont="1" applyBorder="1" applyAlignment="1">
      <alignment horizontal="center" vertical="center"/>
    </xf>
    <xf numFmtId="0" fontId="2" fillId="0" borderId="1" xfId="20" applyFont="1" applyBorder="1" applyAlignment="1">
      <alignment horizontal="center" vertical="center"/>
    </xf>
    <xf numFmtId="0" fontId="2" fillId="0" borderId="2" xfId="20" applyFont="1" applyBorder="1" applyAlignment="1">
      <alignment horizontal="center" vertical="center"/>
    </xf>
    <xf numFmtId="0" fontId="2" fillId="0" borderId="4" xfId="20" applyFont="1" applyBorder="1" applyAlignment="1">
      <alignment horizontal="center" vertical="center"/>
    </xf>
    <xf numFmtId="0" fontId="4" fillId="0" borderId="1" xfId="15" applyFont="1" applyBorder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0" fontId="4" fillId="0" borderId="4" xfId="15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8" fontId="3" fillId="0" borderId="3" xfId="25" applyNumberFormat="1" applyFont="1" applyBorder="1" applyAlignment="1" applyProtection="1">
      <alignment horizontal="center" vertical="center" wrapText="1"/>
      <protection locked="0"/>
    </xf>
    <xf numFmtId="0" fontId="16" fillId="0" borderId="3" xfId="13" applyFont="1" applyBorder="1" applyAlignment="1" applyProtection="1">
      <alignment horizontal="center" vertical="center"/>
      <protection locked="0"/>
    </xf>
    <xf numFmtId="178" fontId="2" fillId="0" borderId="1" xfId="25" applyNumberFormat="1" applyFont="1" applyBorder="1" applyAlignment="1" applyProtection="1">
      <alignment horizontal="left" vertical="center" wrapText="1"/>
      <protection locked="0"/>
    </xf>
    <xf numFmtId="178" fontId="2" fillId="0" borderId="2" xfId="25" applyNumberFormat="1" applyFont="1" applyBorder="1" applyAlignment="1" applyProtection="1">
      <alignment horizontal="left" vertical="center" wrapText="1"/>
      <protection locked="0"/>
    </xf>
    <xf numFmtId="178" fontId="2" fillId="0" borderId="4" xfId="25" applyNumberFormat="1" applyFont="1" applyBorder="1" applyAlignment="1" applyProtection="1">
      <alignment horizontal="left" vertical="center" wrapText="1"/>
      <protection locked="0"/>
    </xf>
    <xf numFmtId="178" fontId="2" fillId="0" borderId="3" xfId="25" applyNumberFormat="1" applyFont="1" applyBorder="1" applyAlignment="1" applyProtection="1">
      <alignment horizontal="left" vertical="center" wrapText="1"/>
      <protection locked="0"/>
    </xf>
    <xf numFmtId="178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0" fontId="7" fillId="0" borderId="1" xfId="19" applyFont="1" applyBorder="1" applyAlignment="1">
      <alignment horizontal="left" vertical="center"/>
    </xf>
    <xf numFmtId="0" fontId="7" fillId="0" borderId="2" xfId="19" applyFont="1" applyBorder="1" applyAlignment="1">
      <alignment horizontal="left" vertical="center"/>
    </xf>
    <xf numFmtId="0" fontId="7" fillId="0" borderId="4" xfId="19" applyFont="1" applyBorder="1" applyAlignment="1">
      <alignment horizontal="left" vertical="center"/>
    </xf>
    <xf numFmtId="0" fontId="7" fillId="0" borderId="3" xfId="19" applyFont="1" applyBorder="1" applyAlignment="1">
      <alignment horizontal="left" vertical="center"/>
    </xf>
    <xf numFmtId="0" fontId="3" fillId="0" borderId="1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3" fillId="0" borderId="4" xfId="13" applyFont="1" applyBorder="1" applyAlignment="1">
      <alignment horizontal="center" vertical="center" wrapText="1"/>
    </xf>
    <xf numFmtId="0" fontId="7" fillId="0" borderId="3" xfId="18" applyFont="1" applyBorder="1" applyAlignment="1">
      <alignment horizontal="center" vertical="center"/>
    </xf>
    <xf numFmtId="0" fontId="4" fillId="0" borderId="3" xfId="19" applyFont="1" applyBorder="1" applyAlignment="1">
      <alignment horizontal="center" vertical="center"/>
    </xf>
    <xf numFmtId="178" fontId="3" fillId="0" borderId="3" xfId="25" applyNumberFormat="1" applyFont="1" applyBorder="1" applyAlignment="1">
      <alignment horizontal="center" vertical="center" wrapText="1"/>
    </xf>
    <xf numFmtId="0" fontId="3" fillId="0" borderId="5" xfId="13" applyFont="1" applyBorder="1" applyAlignment="1">
      <alignment horizontal="center" vertical="center" wrapText="1"/>
    </xf>
    <xf numFmtId="0" fontId="3" fillId="0" borderId="6" xfId="13" applyFont="1" applyBorder="1" applyAlignment="1">
      <alignment horizontal="center" vertical="center" wrapText="1"/>
    </xf>
    <xf numFmtId="178" fontId="6" fillId="0" borderId="3" xfId="25" applyNumberFormat="1" applyFont="1" applyBorder="1" applyAlignment="1">
      <alignment horizontal="center" vertical="center" wrapText="1"/>
    </xf>
    <xf numFmtId="0" fontId="22" fillId="0" borderId="1" xfId="13" applyFont="1" applyBorder="1" applyAlignment="1">
      <alignment horizontal="center" vertical="center"/>
    </xf>
    <xf numFmtId="0" fontId="22" fillId="0" borderId="2" xfId="13" applyFont="1" applyBorder="1" applyAlignment="1">
      <alignment horizontal="center" vertical="center"/>
    </xf>
    <xf numFmtId="0" fontId="22" fillId="0" borderId="4" xfId="13" applyFont="1" applyBorder="1" applyAlignment="1">
      <alignment horizontal="center" vertical="center"/>
    </xf>
    <xf numFmtId="0" fontId="22" fillId="0" borderId="3" xfId="13" applyFont="1" applyBorder="1" applyAlignment="1">
      <alignment horizontal="center" vertical="center"/>
    </xf>
    <xf numFmtId="0" fontId="2" fillId="0" borderId="3" xfId="18" applyFont="1" applyBorder="1" applyAlignment="1">
      <alignment horizontal="left" vertical="center"/>
    </xf>
    <xf numFmtId="0" fontId="2" fillId="0" borderId="1" xfId="18" applyFont="1" applyBorder="1" applyAlignment="1">
      <alignment horizontal="left" vertical="center"/>
    </xf>
    <xf numFmtId="0" fontId="2" fillId="0" borderId="2" xfId="18" applyFont="1" applyBorder="1" applyAlignment="1">
      <alignment horizontal="left" vertical="center"/>
    </xf>
    <xf numFmtId="0" fontId="2" fillId="0" borderId="4" xfId="18" applyFont="1" applyBorder="1" applyAlignment="1">
      <alignment horizontal="left" vertical="center"/>
    </xf>
    <xf numFmtId="0" fontId="4" fillId="0" borderId="3" xfId="18" applyFont="1" applyBorder="1" applyAlignment="1">
      <alignment horizontal="center" vertical="center"/>
    </xf>
    <xf numFmtId="43" fontId="17" fillId="0" borderId="1" xfId="0" applyNumberFormat="1" applyFont="1" applyBorder="1" applyAlignment="1">
      <alignment horizontal="center" vertical="center"/>
    </xf>
    <xf numFmtId="43" fontId="17" fillId="0" borderId="4" xfId="0" applyNumberFormat="1" applyFont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/>
    </xf>
    <xf numFmtId="0" fontId="2" fillId="5" borderId="1" xfId="13" applyFont="1" applyFill="1" applyBorder="1" applyAlignment="1">
      <alignment horizontal="center" vertical="center" wrapText="1"/>
    </xf>
    <xf numFmtId="0" fontId="2" fillId="5" borderId="2" xfId="13" applyFont="1" applyFill="1" applyBorder="1" applyAlignment="1">
      <alignment horizontal="center" vertical="center" wrapText="1"/>
    </xf>
    <xf numFmtId="0" fontId="2" fillId="5" borderId="4" xfId="13" applyFont="1" applyFill="1" applyBorder="1" applyAlignment="1">
      <alignment horizontal="center" vertical="center" wrapText="1"/>
    </xf>
    <xf numFmtId="49" fontId="3" fillId="0" borderId="3" xfId="16" applyNumberFormat="1" applyFont="1" applyBorder="1" applyAlignment="1">
      <alignment horizontal="center" vertical="center" wrapText="1"/>
    </xf>
    <xf numFmtId="0" fontId="3" fillId="0" borderId="3" xfId="16" applyFont="1" applyBorder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0" fontId="3" fillId="0" borderId="6" xfId="16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5" borderId="3" xfId="18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18" applyFont="1" applyFill="1" applyBorder="1" applyAlignment="1">
      <alignment horizontal="left" vertical="center"/>
    </xf>
    <xf numFmtId="0" fontId="2" fillId="2" borderId="2" xfId="18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2" borderId="4" xfId="18" applyFont="1" applyFill="1" applyBorder="1" applyAlignment="1">
      <alignment horizontal="left" vertical="center"/>
    </xf>
    <xf numFmtId="0" fontId="7" fillId="0" borderId="3" xfId="18" applyFont="1" applyBorder="1" applyAlignment="1">
      <alignment horizontal="left" vertical="center"/>
    </xf>
    <xf numFmtId="0" fontId="16" fillId="0" borderId="1" xfId="13" applyFont="1" applyBorder="1" applyAlignment="1">
      <alignment horizontal="center" vertical="center"/>
    </xf>
    <xf numFmtId="0" fontId="16" fillId="0" borderId="2" xfId="13" applyFont="1" applyBorder="1" applyAlignment="1">
      <alignment horizontal="center" vertical="center"/>
    </xf>
    <xf numFmtId="0" fontId="16" fillId="0" borderId="4" xfId="13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3" fillId="0" borderId="1" xfId="16" applyFont="1" applyBorder="1" applyAlignment="1">
      <alignment horizontal="center" vertical="center" wrapText="1"/>
    </xf>
    <xf numFmtId="0" fontId="3" fillId="0" borderId="2" xfId="1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3" xfId="24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3" xfId="2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8" fillId="4" borderId="3" xfId="18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 wrapText="1"/>
    </xf>
    <xf numFmtId="181" fontId="3" fillId="0" borderId="4" xfId="0" applyNumberFormat="1" applyFont="1" applyBorder="1" applyAlignment="1">
      <alignment horizontal="center" vertical="center" wrapText="1"/>
    </xf>
    <xf numFmtId="0" fontId="2" fillId="2" borderId="3" xfId="24" applyFont="1" applyFill="1" applyBorder="1" applyAlignment="1">
      <alignment horizontal="center" vertical="center" wrapText="1"/>
    </xf>
    <xf numFmtId="0" fontId="3" fillId="2" borderId="3" xfId="24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24" applyFont="1" applyBorder="1" applyAlignment="1">
      <alignment horizontal="center" vertical="center" wrapText="1"/>
    </xf>
    <xf numFmtId="179" fontId="3" fillId="0" borderId="1" xfId="4" applyNumberFormat="1" applyFont="1" applyBorder="1" applyAlignment="1">
      <alignment horizontal="center" vertical="center" wrapText="1"/>
    </xf>
    <xf numFmtId="179" fontId="3" fillId="0" borderId="2" xfId="4" applyNumberFormat="1" applyFont="1" applyBorder="1" applyAlignment="1">
      <alignment horizontal="center" vertical="center" wrapText="1"/>
    </xf>
    <xf numFmtId="179" fontId="3" fillId="0" borderId="4" xfId="4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4" fillId="0" borderId="5" xfId="23" applyFont="1" applyBorder="1" applyAlignment="1" applyProtection="1">
      <alignment horizontal="left" vertical="center"/>
      <protection locked="0"/>
    </xf>
    <xf numFmtId="0" fontId="54" fillId="0" borderId="3" xfId="23" applyFont="1" applyBorder="1" applyAlignment="1" applyProtection="1">
      <alignment horizontal="center" vertical="center"/>
      <protection locked="0"/>
    </xf>
  </cellXfs>
  <cellStyles count="35">
    <cellStyle name="_x000a_mouse.drv=lm" xfId="3" xr:uid="{00000000-0005-0000-0000-000031000000}"/>
    <cellStyle name="_ET_STYLE_NoName_00_" xfId="4" xr:uid="{00000000-0005-0000-0000-000032000000}"/>
    <cellStyle name="百分比" xfId="2" builtinId="5"/>
    <cellStyle name="百分比 2" xfId="5" xr:uid="{00000000-0005-0000-0000-000033000000}"/>
    <cellStyle name="差_KING" xfId="6" xr:uid="{00000000-0005-0000-0000-000034000000}"/>
    <cellStyle name="差_mypersonnel" xfId="7" xr:uid="{00000000-0005-0000-0000-000035000000}"/>
    <cellStyle name="差_RESULTS" xfId="8" xr:uid="{00000000-0005-0000-0000-000036000000}"/>
    <cellStyle name="差_RESULTS_1" xfId="9" xr:uid="{00000000-0005-0000-0000-000037000000}"/>
    <cellStyle name="差_RESULTS_2" xfId="10" xr:uid="{00000000-0005-0000-0000-000038000000}"/>
    <cellStyle name="差_RESULTS_3" xfId="11" xr:uid="{00000000-0005-0000-0000-000039000000}"/>
    <cellStyle name="常规" xfId="0" builtinId="0"/>
    <cellStyle name="常规 10" xfId="12" xr:uid="{00000000-0005-0000-0000-00003A000000}"/>
    <cellStyle name="常规 2" xfId="13" xr:uid="{00000000-0005-0000-0000-00003B000000}"/>
    <cellStyle name="常规 2 3" xfId="14" xr:uid="{00000000-0005-0000-0000-00003C000000}"/>
    <cellStyle name="常规 2 4" xfId="15" xr:uid="{00000000-0005-0000-0000-00003D000000}"/>
    <cellStyle name="常规 3" xfId="16" xr:uid="{00000000-0005-0000-0000-00003E000000}"/>
    <cellStyle name="常规 3 2" xfId="17" xr:uid="{00000000-0005-0000-0000-00003F000000}"/>
    <cellStyle name="常规 3 25" xfId="18" xr:uid="{00000000-0005-0000-0000-000040000000}"/>
    <cellStyle name="常规 4" xfId="19" xr:uid="{00000000-0005-0000-0000-000041000000}"/>
    <cellStyle name="常规 4 2" xfId="20" xr:uid="{00000000-0005-0000-0000-000042000000}"/>
    <cellStyle name="常规 6" xfId="21" xr:uid="{00000000-0005-0000-0000-000043000000}"/>
    <cellStyle name="常规_包装报价表1" xfId="22" xr:uid="{00000000-0005-0000-0000-000044000000}"/>
    <cellStyle name="常规_产品报价单" xfId="23" xr:uid="{00000000-0005-0000-0000-000045000000}"/>
    <cellStyle name="常规_东风神龙成本报价单（中文版）" xfId="24" xr:uid="{00000000-0005-0000-0000-000046000000}"/>
    <cellStyle name="常规_上汽汽车零部件包装，运输仓储费用报价表 " xfId="25" xr:uid="{00000000-0005-0000-0000-000047000000}"/>
    <cellStyle name="好_KING" xfId="26" xr:uid="{00000000-0005-0000-0000-000048000000}"/>
    <cellStyle name="好_mypersonnel" xfId="27" xr:uid="{00000000-0005-0000-0000-000049000000}"/>
    <cellStyle name="好_RESULTS" xfId="28" xr:uid="{00000000-0005-0000-0000-00004A000000}"/>
    <cellStyle name="好_RESULTS_1" xfId="29" xr:uid="{00000000-0005-0000-0000-00004B000000}"/>
    <cellStyle name="好_RESULTS_2" xfId="30" xr:uid="{00000000-0005-0000-0000-00004C000000}"/>
    <cellStyle name="好_RESULTS_3" xfId="31" xr:uid="{00000000-0005-0000-0000-00004D000000}"/>
    <cellStyle name="货币 2" xfId="32" xr:uid="{00000000-0005-0000-0000-00004E000000}"/>
    <cellStyle name="千位分隔" xfId="1" builtinId="3"/>
    <cellStyle name="千位分隔 2" xfId="33" xr:uid="{00000000-0005-0000-0000-00004F000000}"/>
    <cellStyle name="样式 1" xfId="34" xr:uid="{00000000-0005-0000-0000-000050000000}"/>
  </cellStyles>
  <dxfs count="2"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107950</xdr:rowOff>
    </xdr:from>
    <xdr:to>
      <xdr:col>0</xdr:col>
      <xdr:colOff>679450</xdr:colOff>
      <xdr:row>3</xdr:row>
      <xdr:rowOff>12700</xdr:rowOff>
    </xdr:to>
    <xdr:pic>
      <xdr:nvPicPr>
        <xdr:cNvPr id="1033" name="图片 2">
          <a:extLst>
            <a:ext uri="{FF2B5EF4-FFF2-40B4-BE49-F238E27FC236}">
              <a16:creationId xmlns:a16="http://schemas.microsoft.com/office/drawing/2014/main" id="{00000000-0008-0000-1A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950"/>
          <a:ext cx="679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</xdr:colOff>
      <xdr:row>0</xdr:row>
      <xdr:rowOff>107950</xdr:rowOff>
    </xdr:from>
    <xdr:to>
      <xdr:col>0</xdr:col>
      <xdr:colOff>723900</xdr:colOff>
      <xdr:row>3</xdr:row>
      <xdr:rowOff>0</xdr:rowOff>
    </xdr:to>
    <xdr:pic>
      <xdr:nvPicPr>
        <xdr:cNvPr id="1034" name="图片 4">
          <a:extLst>
            <a:ext uri="{FF2B5EF4-FFF2-40B4-BE49-F238E27FC236}">
              <a16:creationId xmlns:a16="http://schemas.microsoft.com/office/drawing/2014/main" id="{00000000-0008-0000-1A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" y="107950"/>
          <a:ext cx="679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225;&#19994;&#24494;&#20449;\WXWork\1688851263075820\Cache\File\2025-03\1&#12289;X268100000008&#20108;&#25490;&#21452;&#20154;&#24231;&#26885;&#24635;&#25104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1.&#24231;&#26885;&#25253;&#20215;&#36164;&#26009;\M4&#20013;&#25913;\202403&#26032;&#22686;&#25253;&#20215;&#21333;\L168100000541&#39550;&#39542;&#21592;&#24231;&#26885;&#24635;&#25104;&#25253;&#20215;&#21333;2024.3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results"/>
      <sheetName val="results_2"/>
      <sheetName val="results_3"/>
      <sheetName val="results_4"/>
      <sheetName val="results_5"/>
      <sheetName val="results_6"/>
      <sheetName val="results_7"/>
      <sheetName val="results_8"/>
      <sheetName val="results_9"/>
      <sheetName val="results_10"/>
      <sheetName val="results_11"/>
      <sheetName val="results_12"/>
      <sheetName val="results_13"/>
      <sheetName val="results_14"/>
      <sheetName val="results_15"/>
      <sheetName val="results_16"/>
      <sheetName val="results_17"/>
      <sheetName val="results_18"/>
      <sheetName val="results_19"/>
      <sheetName val="results_20"/>
      <sheetName val="results_21"/>
      <sheetName val="results_22"/>
      <sheetName val="Kangatang"/>
      <sheetName val="Kangatang_2"/>
      <sheetName val="Kangatang_3"/>
      <sheetName val="Kangatang_4"/>
      <sheetName val="Kangatang_5"/>
      <sheetName val="Kangatang_6"/>
      <sheetName val="Kangatang_7"/>
      <sheetName val="Kangatang_8"/>
      <sheetName val="Kangatang_9"/>
      <sheetName val="Kangatang_10"/>
      <sheetName val="Kangatang_11"/>
      <sheetName val="Kangatang_12"/>
      <sheetName val="Kangatang_13"/>
      <sheetName val="Kangatang_14"/>
      <sheetName val="Kangatang_15"/>
      <sheetName val="Kangatang_16"/>
      <sheetName val="Kangatang_17"/>
      <sheetName val="Kangatang_18"/>
      <sheetName val="Kangatang_19"/>
      <sheetName val="Kangatang_20"/>
      <sheetName val="Kangatang_21"/>
      <sheetName val="Kangatang_22"/>
      <sheetName val="Kangatang_23"/>
      <sheetName val="Kangatang_24"/>
      <sheetName val="Kangatang_25"/>
      <sheetName val="Kangatang_26"/>
      <sheetName val="Kangatang_27"/>
      <sheetName val="Kangatang_28"/>
      <sheetName val="Kangatang_29"/>
      <sheetName val="Kangatang_30"/>
      <sheetName val="Kangatang_31"/>
      <sheetName val="Kangatang_32"/>
      <sheetName val="Kangatang_33"/>
      <sheetName val="Kangatang_34"/>
      <sheetName val="Kangatang_35"/>
      <sheetName val="Kangatang_36"/>
      <sheetName val="Kangatang_37"/>
      <sheetName val="Kangatang_38"/>
      <sheetName val="Kangatang_39"/>
      <sheetName val="Kangatang_40"/>
      <sheetName val="Kangatang_41"/>
      <sheetName val="Kangatang_42"/>
      <sheetName val="Kangatang_43"/>
      <sheetName val="Kangatang_44"/>
      <sheetName val="Kangatang_45"/>
      <sheetName val="Kangatang_46"/>
      <sheetName val="Kangatang_47"/>
      <sheetName val="Kangatang_48"/>
      <sheetName val="Kangatang_49"/>
      <sheetName val="Kangatang_50"/>
      <sheetName val="Kangatang_51"/>
      <sheetName val="Kangatang_52"/>
      <sheetName val="Kangatang_53"/>
      <sheetName val="Kangatang_54"/>
      <sheetName val="Kangatang_55"/>
      <sheetName val="汇总表"/>
      <sheetName val="BOM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6">
          <cell r="T6">
            <v>0.30837801106770801</v>
          </cell>
          <cell r="U6">
            <v>1.2500000000000001E-2</v>
          </cell>
          <cell r="V6">
            <v>2.9604289062500001E-2</v>
          </cell>
        </row>
        <row r="7">
          <cell r="T7">
            <v>2.12769470350477</v>
          </cell>
          <cell r="U7">
            <v>4.0599999999999996</v>
          </cell>
          <cell r="V7">
            <v>1.11413831747159</v>
          </cell>
        </row>
        <row r="8">
          <cell r="T8">
            <v>2.12769470350477</v>
          </cell>
          <cell r="U8">
            <v>4.0599999999999996</v>
          </cell>
          <cell r="V8">
            <v>1.11413831747159</v>
          </cell>
        </row>
      </sheetData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17">
          <cell r="D17">
            <v>1305.0293950072601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9.81640625" defaultRowHeight="14"/>
  <sheetData/>
  <phoneticPr fontId="49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9.81640625" defaultRowHeight="14"/>
  <sheetData/>
  <phoneticPr fontId="49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9.81640625" defaultRowHeight="14"/>
  <sheetData/>
  <phoneticPr fontId="49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/>
  <dimension ref="A1:G34"/>
  <sheetViews>
    <sheetView tabSelected="1" zoomScale="70" zoomScaleNormal="70" workbookViewId="0">
      <selection activeCell="B8" sqref="B8:C8"/>
    </sheetView>
  </sheetViews>
  <sheetFormatPr defaultColWidth="9" defaultRowHeight="14"/>
  <cols>
    <col min="1" max="1" width="35" customWidth="1"/>
    <col min="2" max="2" width="10.453125" customWidth="1"/>
    <col min="3" max="3" width="24" customWidth="1"/>
    <col min="4" max="4" width="21.90625" customWidth="1"/>
    <col min="5" max="5" width="10.90625" customWidth="1"/>
    <col min="6" max="6" width="12.7265625" customWidth="1"/>
    <col min="7" max="7" width="24.7265625" customWidth="1"/>
  </cols>
  <sheetData>
    <row r="1" spans="1:7" ht="14.5" customHeight="1">
      <c r="A1" s="201"/>
      <c r="B1" s="203" t="s">
        <v>0</v>
      </c>
      <c r="C1" s="204"/>
      <c r="D1" s="204"/>
      <c r="E1" s="204"/>
      <c r="F1" s="205"/>
      <c r="G1" s="170" t="s">
        <v>1</v>
      </c>
    </row>
    <row r="2" spans="1:7" ht="14.5" customHeight="1">
      <c r="A2" s="201"/>
      <c r="B2" s="206"/>
      <c r="C2" s="207"/>
      <c r="D2" s="207"/>
      <c r="E2" s="207"/>
      <c r="F2" s="208"/>
      <c r="G2" s="170" t="s">
        <v>2</v>
      </c>
    </row>
    <row r="3" spans="1:7" ht="14.5" customHeight="1">
      <c r="A3" s="201"/>
      <c r="B3" s="206"/>
      <c r="C3" s="207"/>
      <c r="D3" s="207"/>
      <c r="E3" s="207"/>
      <c r="F3" s="208"/>
      <c r="G3" s="170" t="s">
        <v>3</v>
      </c>
    </row>
    <row r="4" spans="1:7" ht="14.5" customHeight="1">
      <c r="A4" s="201"/>
      <c r="B4" s="209"/>
      <c r="C4" s="210"/>
      <c r="D4" s="210"/>
      <c r="E4" s="210"/>
      <c r="F4" s="211"/>
      <c r="G4" s="171" t="s">
        <v>4</v>
      </c>
    </row>
    <row r="5" spans="1:7" ht="20.149999999999999" customHeight="1">
      <c r="A5" s="219" t="s">
        <v>5</v>
      </c>
      <c r="B5" s="219"/>
      <c r="C5" s="219"/>
      <c r="D5" s="346" t="s">
        <v>428</v>
      </c>
      <c r="E5" s="219" t="s">
        <v>6</v>
      </c>
      <c r="F5" s="219"/>
      <c r="G5" s="219"/>
    </row>
    <row r="6" spans="1:7" ht="20.149999999999999" customHeight="1">
      <c r="A6" s="219" t="s">
        <v>7</v>
      </c>
      <c r="B6" s="219"/>
      <c r="C6" s="219"/>
      <c r="D6" s="202"/>
      <c r="E6" s="219" t="s">
        <v>8</v>
      </c>
      <c r="F6" s="219"/>
      <c r="G6" s="172" t="s">
        <v>9</v>
      </c>
    </row>
    <row r="7" spans="1:7" ht="20.149999999999999" customHeight="1">
      <c r="A7" s="172" t="s">
        <v>10</v>
      </c>
      <c r="B7" s="221" t="s">
        <v>11</v>
      </c>
      <c r="C7" s="221"/>
      <c r="D7" s="173" t="s">
        <v>12</v>
      </c>
      <c r="E7" s="21" t="s">
        <v>13</v>
      </c>
      <c r="F7" s="21" t="s">
        <v>14</v>
      </c>
      <c r="G7" s="21" t="s">
        <v>15</v>
      </c>
    </row>
    <row r="8" spans="1:7" ht="28.15" customHeight="1">
      <c r="A8" s="172" t="s">
        <v>16</v>
      </c>
      <c r="B8" s="347" t="s">
        <v>429</v>
      </c>
      <c r="C8" s="218"/>
      <c r="D8" s="173" t="s">
        <v>17</v>
      </c>
      <c r="E8" s="21" t="s">
        <v>18</v>
      </c>
      <c r="F8" s="21" t="s">
        <v>18</v>
      </c>
      <c r="G8" s="21" t="s">
        <v>18</v>
      </c>
    </row>
    <row r="9" spans="1:7" ht="20.149999999999999" customHeight="1">
      <c r="A9" s="219" t="s">
        <v>19</v>
      </c>
      <c r="B9" s="219"/>
      <c r="C9" s="219"/>
      <c r="D9" s="174" t="s">
        <v>20</v>
      </c>
      <c r="E9" s="21" t="s">
        <v>18</v>
      </c>
      <c r="F9" s="21" t="s">
        <v>18</v>
      </c>
      <c r="G9" s="21" t="s">
        <v>18</v>
      </c>
    </row>
    <row r="10" spans="1:7" ht="20.149999999999999" customHeight="1">
      <c r="A10" s="220" t="s">
        <v>21</v>
      </c>
      <c r="B10" s="220"/>
      <c r="C10" s="220"/>
      <c r="D10" s="220"/>
      <c r="E10" s="220"/>
      <c r="F10" s="220"/>
      <c r="G10" s="220"/>
    </row>
    <row r="11" spans="1:7" ht="20.149999999999999" customHeight="1">
      <c r="A11" s="175" t="s">
        <v>22</v>
      </c>
      <c r="B11" s="214" t="s">
        <v>23</v>
      </c>
      <c r="C11" s="214"/>
      <c r="D11" s="175" t="s">
        <v>24</v>
      </c>
      <c r="E11" s="201" t="s">
        <v>25</v>
      </c>
      <c r="F11" s="201"/>
      <c r="G11" s="21" t="s">
        <v>26</v>
      </c>
    </row>
    <row r="12" spans="1:7" ht="20.149999999999999" customHeight="1">
      <c r="A12" s="212" t="s">
        <v>27</v>
      </c>
      <c r="B12" s="212"/>
      <c r="C12" s="212"/>
      <c r="D12" s="176">
        <f>D13+D14+D15</f>
        <v>458.95289125663726</v>
      </c>
      <c r="E12" s="213">
        <f t="shared" ref="E12:E19" si="0">D12/D$30</f>
        <v>0.73557601537032147</v>
      </c>
      <c r="F12" s="213"/>
      <c r="G12" s="21" t="s">
        <v>18</v>
      </c>
    </row>
    <row r="13" spans="1:7" ht="20.149999999999999" customHeight="1">
      <c r="A13" s="177">
        <v>1</v>
      </c>
      <c r="B13" s="214" t="s">
        <v>28</v>
      </c>
      <c r="C13" s="214"/>
      <c r="D13" s="178">
        <f>原材料明细!R8</f>
        <v>85.224791256637204</v>
      </c>
      <c r="E13" s="213">
        <f t="shared" si="0"/>
        <v>0.13659204148747806</v>
      </c>
      <c r="F13" s="213"/>
      <c r="G13" s="21" t="s">
        <v>18</v>
      </c>
    </row>
    <row r="14" spans="1:7" ht="20.149999999999999" customHeight="1">
      <c r="A14" s="177">
        <v>2</v>
      </c>
      <c r="B14" s="217" t="s">
        <v>29</v>
      </c>
      <c r="C14" s="217"/>
      <c r="D14" s="178">
        <f>外购外协件明细!O24</f>
        <v>373.72810000000004</v>
      </c>
      <c r="E14" s="213">
        <f t="shared" si="0"/>
        <v>0.5989839738828433</v>
      </c>
      <c r="F14" s="213"/>
      <c r="G14" s="21" t="s">
        <v>18</v>
      </c>
    </row>
    <row r="15" spans="1:7" ht="20.149999999999999" customHeight="1">
      <c r="A15" s="179">
        <v>3</v>
      </c>
      <c r="B15" s="216" t="s">
        <v>30</v>
      </c>
      <c r="C15" s="216"/>
      <c r="D15" s="178">
        <f>外购外协件明细!Q34</f>
        <v>0</v>
      </c>
      <c r="E15" s="213">
        <f t="shared" si="0"/>
        <v>0</v>
      </c>
      <c r="F15" s="213"/>
      <c r="G15" s="21" t="s">
        <v>18</v>
      </c>
    </row>
    <row r="16" spans="1:7" ht="20.149999999999999" customHeight="1">
      <c r="A16" s="212" t="s">
        <v>31</v>
      </c>
      <c r="B16" s="212"/>
      <c r="C16" s="212"/>
      <c r="D16" s="176">
        <f>加工明细!P9</f>
        <v>5.1971925133689902</v>
      </c>
      <c r="E16" s="213">
        <f t="shared" si="0"/>
        <v>8.3296787816916091E-3</v>
      </c>
      <c r="F16" s="213"/>
      <c r="G16" s="21" t="s">
        <v>18</v>
      </c>
    </row>
    <row r="17" spans="1:7" ht="20.149999999999999" customHeight="1">
      <c r="A17" s="212" t="s">
        <v>32</v>
      </c>
      <c r="B17" s="212"/>
      <c r="C17" s="212"/>
      <c r="D17" s="176">
        <f>加工明细!Q10</f>
        <v>32.760531200916034</v>
      </c>
      <c r="E17" s="213">
        <f t="shared" si="0"/>
        <v>5.2506175385895686E-2</v>
      </c>
      <c r="F17" s="213"/>
      <c r="G17" s="21" t="s">
        <v>18</v>
      </c>
    </row>
    <row r="18" spans="1:7" ht="20.149999999999999" customHeight="1">
      <c r="A18" s="212" t="s">
        <v>33</v>
      </c>
      <c r="B18" s="212"/>
      <c r="C18" s="212"/>
      <c r="D18" s="176">
        <f>D12+D16+D17</f>
        <v>496.91061497092227</v>
      </c>
      <c r="E18" s="213">
        <f t="shared" si="0"/>
        <v>0.79641186953790866</v>
      </c>
      <c r="F18" s="213"/>
      <c r="G18" s="21" t="s">
        <v>18</v>
      </c>
    </row>
    <row r="19" spans="1:7" ht="20.149999999999999" customHeight="1">
      <c r="A19" s="212" t="s">
        <v>34</v>
      </c>
      <c r="B19" s="212"/>
      <c r="C19" s="212"/>
      <c r="D19" s="176">
        <f>D20+D21+D22</f>
        <v>23.490529110130701</v>
      </c>
      <c r="E19" s="213">
        <f t="shared" si="0"/>
        <v>3.7648896283144613E-2</v>
      </c>
      <c r="F19" s="213"/>
      <c r="G19" s="21" t="s">
        <v>18</v>
      </c>
    </row>
    <row r="20" spans="1:7" ht="20.149999999999999" customHeight="1">
      <c r="A20" s="177">
        <v>4</v>
      </c>
      <c r="B20" s="214" t="s">
        <v>35</v>
      </c>
      <c r="C20" s="214"/>
      <c r="D20" s="178">
        <f>期间费用!C6</f>
        <v>7.83017637004356</v>
      </c>
      <c r="E20" s="213">
        <f>D20/D30</f>
        <v>1.2549632094381527E-2</v>
      </c>
      <c r="F20" s="213"/>
      <c r="G20" s="21" t="s">
        <v>18</v>
      </c>
    </row>
    <row r="21" spans="1:7" ht="20.149999999999999" customHeight="1">
      <c r="A21" s="177">
        <v>5</v>
      </c>
      <c r="B21" s="214" t="s">
        <v>36</v>
      </c>
      <c r="C21" s="214"/>
      <c r="D21" s="178">
        <f>期间费用!C7</f>
        <v>7.83017637004356</v>
      </c>
      <c r="E21" s="213">
        <f>D21/D30</f>
        <v>1.2549632094381527E-2</v>
      </c>
      <c r="F21" s="213"/>
      <c r="G21" s="21" t="s">
        <v>18</v>
      </c>
    </row>
    <row r="22" spans="1:7" ht="20.149999999999999" customHeight="1">
      <c r="A22" s="177">
        <v>6</v>
      </c>
      <c r="B22" s="214" t="s">
        <v>37</v>
      </c>
      <c r="C22" s="214"/>
      <c r="D22" s="178">
        <f>期间费用!C8</f>
        <v>7.83017637004356</v>
      </c>
      <c r="E22" s="213">
        <f>D22/D30</f>
        <v>1.2549632094381527E-2</v>
      </c>
      <c r="F22" s="213"/>
      <c r="G22" s="21" t="s">
        <v>18</v>
      </c>
    </row>
    <row r="23" spans="1:7" ht="20.149999999999999" customHeight="1">
      <c r="A23" s="215" t="s">
        <v>38</v>
      </c>
      <c r="B23" s="215"/>
      <c r="C23" s="215"/>
      <c r="D23" s="176">
        <f>(D18+D19)*0.05</f>
        <v>26.020057204052648</v>
      </c>
      <c r="E23" s="213">
        <f t="shared" ref="E23:E30" si="1">D23/D$30</f>
        <v>4.1703038291052666E-2</v>
      </c>
      <c r="F23" s="213"/>
      <c r="G23" s="21" t="s">
        <v>18</v>
      </c>
    </row>
    <row r="24" spans="1:7" ht="20.149999999999999" customHeight="1">
      <c r="A24" s="212" t="s">
        <v>39</v>
      </c>
      <c r="B24" s="212"/>
      <c r="C24" s="212"/>
      <c r="D24" s="176">
        <f>D18+D19+D23</f>
        <v>546.42120128510555</v>
      </c>
      <c r="E24" s="213">
        <f t="shared" si="1"/>
        <v>0.87576380411210586</v>
      </c>
      <c r="F24" s="213"/>
      <c r="G24" s="21" t="s">
        <v>18</v>
      </c>
    </row>
    <row r="25" spans="1:7" ht="20.149999999999999" customHeight="1">
      <c r="A25" s="212" t="s">
        <v>40</v>
      </c>
      <c r="B25" s="212"/>
      <c r="C25" s="212"/>
      <c r="D25" s="176">
        <f>D24*0.13</f>
        <v>71.034756167063719</v>
      </c>
      <c r="E25" s="213">
        <f t="shared" si="1"/>
        <v>0.11384929453457376</v>
      </c>
      <c r="F25" s="213"/>
      <c r="G25" s="180" t="s">
        <v>41</v>
      </c>
    </row>
    <row r="26" spans="1:7" ht="20.149999999999999" customHeight="1">
      <c r="A26" s="194" t="s">
        <v>42</v>
      </c>
      <c r="B26" s="195"/>
      <c r="C26" s="196"/>
      <c r="D26" s="176">
        <f>D24+D25</f>
        <v>617.45595745216929</v>
      </c>
      <c r="E26" s="197">
        <f t="shared" si="1"/>
        <v>0.98961309864667968</v>
      </c>
      <c r="F26" s="198"/>
      <c r="G26" s="21" t="s">
        <v>18</v>
      </c>
    </row>
    <row r="27" spans="1:7" ht="20.149999999999999" customHeight="1">
      <c r="A27" s="194" t="s">
        <v>43</v>
      </c>
      <c r="B27" s="195"/>
      <c r="C27" s="196"/>
      <c r="D27" s="176">
        <f>工装明细!P7</f>
        <v>0</v>
      </c>
      <c r="E27" s="197">
        <f t="shared" si="1"/>
        <v>0</v>
      </c>
      <c r="F27" s="198"/>
      <c r="G27" s="180" t="s">
        <v>44</v>
      </c>
    </row>
    <row r="28" spans="1:7" ht="20.149999999999999" customHeight="1">
      <c r="A28" s="194" t="s">
        <v>45</v>
      </c>
      <c r="B28" s="195"/>
      <c r="C28" s="196"/>
      <c r="D28" s="176">
        <f>包装运输明细!S7</f>
        <v>0.480769230769231</v>
      </c>
      <c r="E28" s="197">
        <f t="shared" si="1"/>
        <v>7.7054164342138499E-4</v>
      </c>
      <c r="F28" s="198"/>
      <c r="G28" s="180" t="s">
        <v>44</v>
      </c>
    </row>
    <row r="29" spans="1:7" ht="20.149999999999999" customHeight="1">
      <c r="A29" s="194" t="s">
        <v>46</v>
      </c>
      <c r="B29" s="195"/>
      <c r="C29" s="196"/>
      <c r="D29" s="176">
        <f>包装运输明细!S12</f>
        <v>6</v>
      </c>
      <c r="E29" s="197">
        <f t="shared" si="1"/>
        <v>9.6163597098988807E-3</v>
      </c>
      <c r="F29" s="198"/>
      <c r="G29" s="180" t="s">
        <v>47</v>
      </c>
    </row>
    <row r="30" spans="1:7" ht="20.149999999999999" customHeight="1">
      <c r="A30" s="194" t="s">
        <v>48</v>
      </c>
      <c r="B30" s="195"/>
      <c r="C30" s="196"/>
      <c r="D30" s="181">
        <f>D26+D27+D28+D29</f>
        <v>623.93672668293857</v>
      </c>
      <c r="E30" s="197">
        <f t="shared" si="1"/>
        <v>1</v>
      </c>
      <c r="F30" s="198"/>
      <c r="G30" s="21" t="s">
        <v>18</v>
      </c>
    </row>
    <row r="31" spans="1:7" s="169" customFormat="1" ht="20.149999999999999" customHeight="1">
      <c r="A31"/>
      <c r="B31" t="s">
        <v>49</v>
      </c>
      <c r="C31"/>
      <c r="D31"/>
      <c r="E31"/>
      <c r="F31"/>
      <c r="G31"/>
    </row>
    <row r="32" spans="1:7" s="169" customFormat="1" ht="13.5" customHeight="1">
      <c r="A32" s="199" t="s">
        <v>424</v>
      </c>
      <c r="B32" s="200"/>
      <c r="C32" s="200"/>
      <c r="D32" s="185" t="s">
        <v>425</v>
      </c>
      <c r="E32" s="199" t="s">
        <v>426</v>
      </c>
      <c r="F32" s="200"/>
      <c r="G32" s="182"/>
    </row>
    <row r="34" spans="7:7">
      <c r="G34" t="s">
        <v>50</v>
      </c>
    </row>
  </sheetData>
  <mergeCells count="53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B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B20:C20"/>
    <mergeCell ref="E20:F20"/>
    <mergeCell ref="E25:F25"/>
    <mergeCell ref="A26:C26"/>
    <mergeCell ref="E26:F26"/>
    <mergeCell ref="B21:C21"/>
    <mergeCell ref="E21:F21"/>
    <mergeCell ref="B22:C22"/>
    <mergeCell ref="E22:F22"/>
    <mergeCell ref="A23:C23"/>
    <mergeCell ref="E23:F23"/>
    <mergeCell ref="A30:C30"/>
    <mergeCell ref="E30:F30"/>
    <mergeCell ref="A32:C32"/>
    <mergeCell ref="E32:F32"/>
    <mergeCell ref="A1:A4"/>
    <mergeCell ref="D5:D6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</mergeCells>
  <phoneticPr fontId="49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>
    <tabColor rgb="FF92D050"/>
  </sheetPr>
  <dimension ref="A1:J23"/>
  <sheetViews>
    <sheetView zoomScale="85" zoomScaleNormal="85" workbookViewId="0">
      <selection activeCell="H32" sqref="H32"/>
    </sheetView>
  </sheetViews>
  <sheetFormatPr defaultColWidth="8.90625" defaultRowHeight="14"/>
  <cols>
    <col min="1" max="1" width="5.7265625" style="152" customWidth="1"/>
    <col min="2" max="2" width="13.7265625" style="152" customWidth="1"/>
    <col min="3" max="3" width="15.453125" style="152" customWidth="1"/>
    <col min="4" max="4" width="24.26953125" style="152" customWidth="1"/>
    <col min="5" max="5" width="19.453125" style="152" customWidth="1"/>
    <col min="6" max="6" width="11.08984375" style="152" customWidth="1"/>
    <col min="7" max="7" width="13.6328125" style="152" customWidth="1"/>
    <col min="8" max="9" width="25.453125" style="152" customWidth="1"/>
    <col min="10" max="10" width="13.7265625" style="152" customWidth="1"/>
    <col min="11" max="11" width="5.453125" style="152" customWidth="1"/>
    <col min="12" max="12" width="10.7265625" style="152" customWidth="1"/>
    <col min="13" max="16384" width="8.90625" style="152"/>
  </cols>
  <sheetData>
    <row r="1" spans="1:10" ht="36.65" customHeight="1">
      <c r="A1" s="223" t="s">
        <v>51</v>
      </c>
      <c r="B1" s="224"/>
      <c r="C1" s="224"/>
      <c r="D1" s="224"/>
      <c r="E1" s="224"/>
      <c r="F1" s="224"/>
      <c r="G1" s="224"/>
      <c r="H1" s="224"/>
      <c r="I1" s="224"/>
      <c r="J1" s="225"/>
    </row>
    <row r="2" spans="1:10" ht="20.5" customHeight="1">
      <c r="A2" s="226" t="s">
        <v>52</v>
      </c>
      <c r="B2" s="226"/>
      <c r="C2" s="226"/>
      <c r="D2" s="226"/>
      <c r="E2" s="226"/>
      <c r="F2" s="226"/>
      <c r="G2" s="226"/>
      <c r="H2" s="226"/>
      <c r="I2" s="226"/>
      <c r="J2" s="226"/>
    </row>
    <row r="3" spans="1:10" ht="14.5" customHeight="1">
      <c r="A3" s="153" t="s">
        <v>53</v>
      </c>
      <c r="B3" s="153"/>
      <c r="C3" s="227"/>
      <c r="D3" s="228"/>
      <c r="E3" s="228"/>
      <c r="F3" s="229"/>
      <c r="G3" s="153" t="s">
        <v>54</v>
      </c>
      <c r="H3" s="227"/>
      <c r="I3" s="228"/>
      <c r="J3" s="229"/>
    </row>
    <row r="4" spans="1:10">
      <c r="A4" s="153" t="s">
        <v>55</v>
      </c>
      <c r="B4" s="153"/>
      <c r="C4" s="227"/>
      <c r="D4" s="228"/>
      <c r="E4" s="228"/>
      <c r="F4" s="229"/>
      <c r="G4" s="153" t="s">
        <v>56</v>
      </c>
      <c r="H4" s="230"/>
      <c r="I4" s="231"/>
      <c r="J4" s="232"/>
    </row>
    <row r="5" spans="1:10" ht="26.5" customHeight="1">
      <c r="A5" s="154" t="s">
        <v>57</v>
      </c>
      <c r="B5" s="154" t="s">
        <v>58</v>
      </c>
      <c r="C5" s="155" t="s">
        <v>59</v>
      </c>
      <c r="D5" s="155" t="s">
        <v>60</v>
      </c>
      <c r="E5" s="155" t="s">
        <v>61</v>
      </c>
      <c r="F5" s="155" t="s">
        <v>62</v>
      </c>
      <c r="G5" s="155" t="s">
        <v>63</v>
      </c>
      <c r="H5" s="155" t="s">
        <v>64</v>
      </c>
      <c r="I5" s="155" t="s">
        <v>65</v>
      </c>
      <c r="J5" s="155" t="s">
        <v>26</v>
      </c>
    </row>
    <row r="6" spans="1:10">
      <c r="A6" s="154">
        <v>1</v>
      </c>
      <c r="B6" s="156">
        <v>1</v>
      </c>
      <c r="C6" s="157" t="s">
        <v>66</v>
      </c>
      <c r="D6" s="157" t="s">
        <v>67</v>
      </c>
      <c r="E6" s="157" t="s">
        <v>68</v>
      </c>
      <c r="F6" s="157" t="s">
        <v>69</v>
      </c>
      <c r="G6" s="157" t="s">
        <v>18</v>
      </c>
      <c r="H6" s="158">
        <v>1178</v>
      </c>
      <c r="I6" s="155" t="s">
        <v>70</v>
      </c>
      <c r="J6" s="168"/>
    </row>
    <row r="7" spans="1:10">
      <c r="A7" s="154">
        <v>2</v>
      </c>
      <c r="B7" s="156">
        <v>2</v>
      </c>
      <c r="C7" s="157" t="s">
        <v>71</v>
      </c>
      <c r="D7" s="157" t="s">
        <v>72</v>
      </c>
      <c r="E7" s="157" t="s">
        <v>68</v>
      </c>
      <c r="F7" s="157" t="s">
        <v>69</v>
      </c>
      <c r="G7" s="157" t="s">
        <v>18</v>
      </c>
      <c r="H7" s="158">
        <v>36.65</v>
      </c>
      <c r="I7" s="157" t="s">
        <v>18</v>
      </c>
      <c r="J7" s="168"/>
    </row>
    <row r="8" spans="1:10">
      <c r="A8" s="154">
        <v>3</v>
      </c>
      <c r="B8" s="156">
        <v>3</v>
      </c>
      <c r="C8" s="157" t="s">
        <v>73</v>
      </c>
      <c r="D8" s="157" t="s">
        <v>74</v>
      </c>
      <c r="E8" s="157" t="s">
        <v>68</v>
      </c>
      <c r="F8" s="157" t="s">
        <v>69</v>
      </c>
      <c r="G8" s="157" t="s">
        <v>75</v>
      </c>
      <c r="H8" s="158">
        <v>18.600000000000001</v>
      </c>
      <c r="I8" s="157" t="s">
        <v>18</v>
      </c>
      <c r="J8" s="168"/>
    </row>
    <row r="9" spans="1:10">
      <c r="A9" s="154">
        <v>4</v>
      </c>
      <c r="B9" s="156">
        <v>3</v>
      </c>
      <c r="C9" s="157" t="s">
        <v>76</v>
      </c>
      <c r="D9" s="157" t="s">
        <v>77</v>
      </c>
      <c r="E9" s="157" t="s">
        <v>68</v>
      </c>
      <c r="F9" s="157" t="s">
        <v>78</v>
      </c>
      <c r="G9" s="157" t="s">
        <v>75</v>
      </c>
      <c r="H9" s="158">
        <v>4.49</v>
      </c>
      <c r="I9" s="157" t="s">
        <v>18</v>
      </c>
      <c r="J9" s="168"/>
    </row>
    <row r="10" spans="1:10">
      <c r="A10" s="154">
        <v>5</v>
      </c>
      <c r="B10" s="156">
        <v>3</v>
      </c>
      <c r="C10" s="157" t="s">
        <v>79</v>
      </c>
      <c r="D10" s="157" t="s">
        <v>80</v>
      </c>
      <c r="E10" s="157" t="s">
        <v>68</v>
      </c>
      <c r="F10" s="157" t="s">
        <v>78</v>
      </c>
      <c r="G10" s="157" t="s">
        <v>75</v>
      </c>
      <c r="H10" s="158">
        <v>3.77</v>
      </c>
      <c r="I10" s="157" t="s">
        <v>18</v>
      </c>
      <c r="J10" s="168"/>
    </row>
    <row r="11" spans="1:10">
      <c r="A11" s="154">
        <v>6</v>
      </c>
      <c r="B11" s="156">
        <v>3</v>
      </c>
      <c r="C11" s="157" t="s">
        <v>81</v>
      </c>
      <c r="D11" s="157" t="s">
        <v>82</v>
      </c>
      <c r="E11" s="157" t="s">
        <v>83</v>
      </c>
      <c r="F11" s="159" t="s">
        <v>84</v>
      </c>
      <c r="G11" s="157" t="s">
        <v>18</v>
      </c>
      <c r="H11" s="160">
        <v>6.4000000000000001E-2</v>
      </c>
      <c r="I11" s="157" t="s">
        <v>18</v>
      </c>
      <c r="J11" s="168"/>
    </row>
    <row r="12" spans="1:10">
      <c r="A12" s="154">
        <v>7</v>
      </c>
      <c r="B12" s="156">
        <v>2</v>
      </c>
      <c r="C12" s="157" t="s">
        <v>85</v>
      </c>
      <c r="D12" s="157" t="s">
        <v>86</v>
      </c>
      <c r="E12" s="157" t="s">
        <v>83</v>
      </c>
      <c r="F12" s="157" t="s">
        <v>84</v>
      </c>
      <c r="G12" s="157" t="s">
        <v>18</v>
      </c>
      <c r="H12" s="160">
        <v>8.4000000000000005E-2</v>
      </c>
      <c r="I12" s="157" t="s">
        <v>18</v>
      </c>
      <c r="J12" s="168"/>
    </row>
    <row r="13" spans="1:10">
      <c r="A13" s="154">
        <v>8</v>
      </c>
      <c r="B13" s="156">
        <v>2</v>
      </c>
      <c r="C13" s="157" t="s">
        <v>87</v>
      </c>
      <c r="D13" s="157" t="s">
        <v>88</v>
      </c>
      <c r="E13" s="157" t="s">
        <v>83</v>
      </c>
      <c r="F13" s="157" t="s">
        <v>84</v>
      </c>
      <c r="G13" s="157" t="s">
        <v>18</v>
      </c>
      <c r="H13" s="160">
        <v>3.5799999999999998E-2</v>
      </c>
      <c r="I13" s="157" t="s">
        <v>18</v>
      </c>
      <c r="J13" s="168"/>
    </row>
    <row r="14" spans="1:10">
      <c r="A14" s="154">
        <v>9</v>
      </c>
      <c r="B14" s="156">
        <v>2</v>
      </c>
      <c r="C14" s="157" t="s">
        <v>89</v>
      </c>
      <c r="D14" s="157" t="s">
        <v>72</v>
      </c>
      <c r="E14" s="157" t="s">
        <v>68</v>
      </c>
      <c r="F14" s="157" t="s">
        <v>69</v>
      </c>
      <c r="G14" s="157" t="s">
        <v>75</v>
      </c>
      <c r="H14" s="158">
        <v>77.45</v>
      </c>
      <c r="I14" s="157" t="s">
        <v>18</v>
      </c>
      <c r="J14" s="168"/>
    </row>
    <row r="15" spans="1:10">
      <c r="A15" s="154">
        <v>10</v>
      </c>
      <c r="B15" s="156">
        <v>3</v>
      </c>
      <c r="C15" s="157" t="s">
        <v>73</v>
      </c>
      <c r="D15" s="157" t="s">
        <v>74</v>
      </c>
      <c r="E15" s="157" t="s">
        <v>68</v>
      </c>
      <c r="F15" s="157" t="s">
        <v>78</v>
      </c>
      <c r="G15" s="157" t="s">
        <v>75</v>
      </c>
      <c r="H15" s="158">
        <v>18.600000000000001</v>
      </c>
      <c r="I15" s="157" t="s">
        <v>18</v>
      </c>
      <c r="J15" s="168"/>
    </row>
    <row r="16" spans="1:10">
      <c r="A16" s="154">
        <v>11</v>
      </c>
      <c r="B16" s="156">
        <v>3</v>
      </c>
      <c r="C16" s="157" t="s">
        <v>90</v>
      </c>
      <c r="D16" s="157" t="s">
        <v>77</v>
      </c>
      <c r="E16" s="157" t="s">
        <v>68</v>
      </c>
      <c r="F16" s="157" t="s">
        <v>78</v>
      </c>
      <c r="G16" s="157" t="s">
        <v>75</v>
      </c>
      <c r="H16" s="158">
        <v>8.7100000000000009</v>
      </c>
      <c r="I16" s="157" t="s">
        <v>18</v>
      </c>
      <c r="J16" s="168"/>
    </row>
    <row r="17" spans="1:10">
      <c r="A17" s="154">
        <v>12</v>
      </c>
      <c r="B17" s="156">
        <v>3</v>
      </c>
      <c r="C17" s="157" t="s">
        <v>91</v>
      </c>
      <c r="D17" s="157" t="s">
        <v>80</v>
      </c>
      <c r="E17" s="157" t="s">
        <v>68</v>
      </c>
      <c r="F17" s="157" t="s">
        <v>78</v>
      </c>
      <c r="G17" s="157" t="s">
        <v>75</v>
      </c>
      <c r="H17" s="158">
        <v>9.73</v>
      </c>
      <c r="I17" s="157" t="s">
        <v>18</v>
      </c>
      <c r="J17" s="168"/>
    </row>
    <row r="18" spans="1:10">
      <c r="A18" s="154">
        <v>13</v>
      </c>
      <c r="B18" s="156">
        <v>3</v>
      </c>
      <c r="C18" s="157" t="s">
        <v>81</v>
      </c>
      <c r="D18" s="157" t="s">
        <v>82</v>
      </c>
      <c r="E18" s="157" t="s">
        <v>83</v>
      </c>
      <c r="F18" s="159" t="s">
        <v>92</v>
      </c>
      <c r="G18" s="157" t="s">
        <v>18</v>
      </c>
      <c r="H18" s="160">
        <v>6.4000000000000001E-2</v>
      </c>
      <c r="I18" s="157" t="s">
        <v>18</v>
      </c>
      <c r="J18" s="168"/>
    </row>
    <row r="19" spans="1:10">
      <c r="A19" s="154" t="s">
        <v>93</v>
      </c>
      <c r="B19" s="154" t="s">
        <v>93</v>
      </c>
      <c r="C19" s="161" t="s">
        <v>93</v>
      </c>
      <c r="D19" s="162" t="s">
        <v>93</v>
      </c>
      <c r="E19" s="162" t="s">
        <v>93</v>
      </c>
      <c r="F19" s="155" t="s">
        <v>93</v>
      </c>
      <c r="G19" s="155" t="s">
        <v>93</v>
      </c>
      <c r="H19" s="163" t="s">
        <v>93</v>
      </c>
      <c r="I19" s="157" t="s">
        <v>18</v>
      </c>
      <c r="J19" s="168"/>
    </row>
    <row r="20" spans="1:10" ht="26.5" customHeight="1">
      <c r="A20" s="164" t="s">
        <v>94</v>
      </c>
      <c r="B20" s="165" t="s">
        <v>95</v>
      </c>
      <c r="C20" s="166" t="s">
        <v>96</v>
      </c>
      <c r="D20" s="166" t="s">
        <v>97</v>
      </c>
      <c r="E20" s="166" t="s">
        <v>98</v>
      </c>
      <c r="F20" s="166" t="s">
        <v>99</v>
      </c>
      <c r="G20" s="166" t="s">
        <v>100</v>
      </c>
      <c r="H20" s="166" t="s">
        <v>101</v>
      </c>
      <c r="I20" s="166" t="s">
        <v>102</v>
      </c>
      <c r="J20" s="166" t="s">
        <v>103</v>
      </c>
    </row>
    <row r="21" spans="1:10">
      <c r="A21" s="222" t="s">
        <v>104</v>
      </c>
      <c r="B21" s="222"/>
      <c r="C21" s="222"/>
      <c r="D21" s="167"/>
      <c r="E21" s="167"/>
      <c r="F21" s="167"/>
      <c r="G21" s="167"/>
      <c r="H21" s="167"/>
      <c r="I21" s="167"/>
    </row>
    <row r="22" spans="1:10">
      <c r="A22" s="167"/>
      <c r="B22" s="167"/>
      <c r="C22" s="167"/>
      <c r="D22" s="167"/>
      <c r="E22" s="167"/>
      <c r="F22" s="167"/>
      <c r="G22" s="167"/>
      <c r="H22" s="167"/>
      <c r="I22" s="167"/>
    </row>
    <row r="23" spans="1:10">
      <c r="A23" s="167"/>
      <c r="B23" s="167"/>
      <c r="C23" s="167"/>
      <c r="D23" s="167"/>
      <c r="E23" s="167"/>
      <c r="F23" s="167"/>
      <c r="G23" s="167"/>
      <c r="H23" s="167"/>
      <c r="I23" s="167"/>
    </row>
  </sheetData>
  <mergeCells count="7">
    <mergeCell ref="A21:C21"/>
    <mergeCell ref="A1:J1"/>
    <mergeCell ref="A2:J2"/>
    <mergeCell ref="C3:F3"/>
    <mergeCell ref="H3:J3"/>
    <mergeCell ref="C4:F4"/>
    <mergeCell ref="H4:J4"/>
  </mergeCells>
  <phoneticPr fontId="49" type="noConversion"/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S11"/>
  <sheetViews>
    <sheetView topLeftCell="B1" zoomScale="90" zoomScaleNormal="90" workbookViewId="0">
      <selection activeCell="N6" sqref="N6"/>
    </sheetView>
  </sheetViews>
  <sheetFormatPr defaultColWidth="9" defaultRowHeight="14"/>
  <cols>
    <col min="1" max="1" width="9" style="130" customWidth="1"/>
    <col min="2" max="2" width="20.453125" style="130" customWidth="1"/>
    <col min="3" max="3" width="11.08984375" style="130" customWidth="1"/>
    <col min="4" max="4" width="11.6328125" style="130" customWidth="1"/>
    <col min="5" max="5" width="11.36328125" style="130" customWidth="1"/>
    <col min="6" max="6" width="9.7265625" style="131" customWidth="1"/>
    <col min="7" max="7" width="20.90625" style="130" customWidth="1"/>
    <col min="8" max="8" width="6.6328125" style="130" customWidth="1"/>
    <col min="9" max="9" width="8.453125" style="130" customWidth="1"/>
    <col min="10" max="10" width="12" style="130" customWidth="1"/>
    <col min="11" max="11" width="10.7265625" style="130" customWidth="1"/>
    <col min="12" max="12" width="10.08984375" style="130" customWidth="1"/>
    <col min="13" max="13" width="12.6328125" style="130" customWidth="1"/>
    <col min="14" max="14" width="10.26953125" style="130" customWidth="1"/>
    <col min="15" max="15" width="9" style="130" customWidth="1"/>
    <col min="16" max="16" width="8.7265625" style="130" customWidth="1"/>
    <col min="17" max="17" width="11" style="130" customWidth="1"/>
    <col min="18" max="18" width="10.6328125" style="130" customWidth="1"/>
    <col min="19" max="19" width="10.453125" style="130" customWidth="1"/>
    <col min="20" max="16384" width="9" style="130"/>
  </cols>
  <sheetData>
    <row r="1" spans="1:19" ht="21">
      <c r="A1" s="235" t="s">
        <v>105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19">
      <c r="A2" s="236" t="s">
        <v>106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8"/>
    </row>
    <row r="3" spans="1:19">
      <c r="A3" s="239" t="s">
        <v>107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 t="s">
        <v>108</v>
      </c>
      <c r="Q3" s="239"/>
      <c r="R3" s="239"/>
      <c r="S3" s="239"/>
    </row>
    <row r="4" spans="1:19">
      <c r="A4" s="234" t="s">
        <v>57</v>
      </c>
      <c r="B4" s="234" t="s">
        <v>59</v>
      </c>
      <c r="C4" s="234" t="s">
        <v>60</v>
      </c>
      <c r="D4" s="234" t="s">
        <v>109</v>
      </c>
      <c r="E4" s="234" t="s">
        <v>28</v>
      </c>
      <c r="F4" s="234"/>
      <c r="G4" s="234"/>
      <c r="H4" s="234"/>
      <c r="I4" s="234"/>
      <c r="J4" s="234"/>
      <c r="K4" s="234" t="s">
        <v>110</v>
      </c>
      <c r="L4" s="234"/>
      <c r="M4" s="234" t="s">
        <v>111</v>
      </c>
      <c r="N4" s="234"/>
      <c r="O4" s="234"/>
      <c r="P4" s="234" t="s">
        <v>112</v>
      </c>
      <c r="Q4" s="240" t="s">
        <v>113</v>
      </c>
      <c r="R4" s="234" t="s">
        <v>114</v>
      </c>
      <c r="S4" s="234" t="s">
        <v>26</v>
      </c>
    </row>
    <row r="5" spans="1:19" ht="52">
      <c r="A5" s="234"/>
      <c r="B5" s="234"/>
      <c r="C5" s="234"/>
      <c r="D5" s="234"/>
      <c r="E5" s="132" t="s">
        <v>115</v>
      </c>
      <c r="F5" s="132" t="s">
        <v>116</v>
      </c>
      <c r="G5" s="132" t="s">
        <v>117</v>
      </c>
      <c r="H5" s="132" t="s">
        <v>118</v>
      </c>
      <c r="I5" s="132" t="s">
        <v>119</v>
      </c>
      <c r="J5" s="140" t="s">
        <v>120</v>
      </c>
      <c r="K5" s="132" t="s">
        <v>115</v>
      </c>
      <c r="L5" s="132" t="s">
        <v>121</v>
      </c>
      <c r="M5" s="132" t="s">
        <v>122</v>
      </c>
      <c r="N5" s="141" t="s">
        <v>123</v>
      </c>
      <c r="O5" s="132" t="s">
        <v>124</v>
      </c>
      <c r="P5" s="234"/>
      <c r="Q5" s="240"/>
      <c r="R5" s="234"/>
      <c r="S5" s="234"/>
    </row>
    <row r="6" spans="1:19">
      <c r="A6" s="91">
        <v>1</v>
      </c>
      <c r="B6" s="91" t="s">
        <v>18</v>
      </c>
      <c r="C6" s="91" t="s">
        <v>125</v>
      </c>
      <c r="D6" s="91">
        <v>1</v>
      </c>
      <c r="E6" s="91" t="s">
        <v>126</v>
      </c>
      <c r="F6" s="91" t="s">
        <v>18</v>
      </c>
      <c r="G6" s="91" t="s">
        <v>18</v>
      </c>
      <c r="H6" s="91" t="s">
        <v>127</v>
      </c>
      <c r="I6" s="142">
        <v>21.5</v>
      </c>
      <c r="J6" s="116" t="s">
        <v>18</v>
      </c>
      <c r="K6" s="91" t="s">
        <v>18</v>
      </c>
      <c r="L6" s="91" t="s">
        <v>128</v>
      </c>
      <c r="M6" s="143">
        <v>2.4096959999999998</v>
      </c>
      <c r="N6" s="144">
        <v>2.2311999999999999</v>
      </c>
      <c r="O6" s="145">
        <f>N6/M6</f>
        <v>0.92592592592592604</v>
      </c>
      <c r="P6" s="146">
        <f>3/1.13</f>
        <v>2.65486725663717</v>
      </c>
      <c r="Q6" s="149">
        <f>D6*P6*(M6-N6)</f>
        <v>0.47388318584070799</v>
      </c>
      <c r="R6" s="150">
        <f>D6*I6*M6-Q6</f>
        <v>51.334580814159303</v>
      </c>
      <c r="S6" s="132" t="s">
        <v>18</v>
      </c>
    </row>
    <row r="7" spans="1:19" ht="26">
      <c r="A7" s="91">
        <v>2</v>
      </c>
      <c r="B7" s="91" t="s">
        <v>18</v>
      </c>
      <c r="C7" s="91" t="s">
        <v>129</v>
      </c>
      <c r="D7" s="91">
        <v>1</v>
      </c>
      <c r="E7" s="91" t="s">
        <v>126</v>
      </c>
      <c r="F7" s="91" t="s">
        <v>18</v>
      </c>
      <c r="G7" s="91" t="s">
        <v>18</v>
      </c>
      <c r="H7" s="91" t="s">
        <v>127</v>
      </c>
      <c r="I7" s="142">
        <v>21.5</v>
      </c>
      <c r="J7" s="116" t="s">
        <v>18</v>
      </c>
      <c r="K7" s="91" t="s">
        <v>18</v>
      </c>
      <c r="L7" s="91" t="s">
        <v>128</v>
      </c>
      <c r="M7" s="143">
        <v>1.59084</v>
      </c>
      <c r="N7" s="144">
        <v>1.4730000000000001</v>
      </c>
      <c r="O7" s="145">
        <f>N7/M7</f>
        <v>0.92592592592592604</v>
      </c>
      <c r="P7" s="146">
        <f>3/1.13</f>
        <v>2.65486725663717</v>
      </c>
      <c r="Q7" s="149">
        <f>D7*P7*(M7-N7)</f>
        <v>0.31284955752212401</v>
      </c>
      <c r="R7" s="150">
        <f>D7*I7*M7-Q7</f>
        <v>33.890210442477901</v>
      </c>
      <c r="S7" s="132" t="s">
        <v>18</v>
      </c>
    </row>
    <row r="8" spans="1:19">
      <c r="A8" s="133" t="s">
        <v>18</v>
      </c>
      <c r="B8" s="134" t="s">
        <v>130</v>
      </c>
      <c r="C8" s="135" t="s">
        <v>18</v>
      </c>
      <c r="D8" s="132" t="s">
        <v>18</v>
      </c>
      <c r="E8" s="132" t="s">
        <v>18</v>
      </c>
      <c r="F8" s="132" t="s">
        <v>18</v>
      </c>
      <c r="G8" s="132" t="s">
        <v>18</v>
      </c>
      <c r="H8" s="132" t="s">
        <v>18</v>
      </c>
      <c r="I8" s="132" t="s">
        <v>18</v>
      </c>
      <c r="J8" s="147" t="s">
        <v>18</v>
      </c>
      <c r="K8" s="132" t="s">
        <v>18</v>
      </c>
      <c r="L8" s="132" t="s">
        <v>18</v>
      </c>
      <c r="M8" s="132" t="s">
        <v>18</v>
      </c>
      <c r="N8" s="132" t="s">
        <v>18</v>
      </c>
      <c r="O8" s="132" t="s">
        <v>18</v>
      </c>
      <c r="P8" s="148" t="s">
        <v>18</v>
      </c>
      <c r="Q8" s="151">
        <f>SUM(Q6:Q7)</f>
        <v>0.78673274336283205</v>
      </c>
      <c r="R8" s="151">
        <f>SUM(R6:R7)</f>
        <v>85.224791256637204</v>
      </c>
      <c r="S8" s="132" t="s">
        <v>18</v>
      </c>
    </row>
    <row r="9" spans="1:19" ht="88.9" customHeight="1">
      <c r="A9" s="136" t="s">
        <v>94</v>
      </c>
      <c r="B9" s="137" t="s">
        <v>131</v>
      </c>
      <c r="C9" s="136" t="s">
        <v>132</v>
      </c>
      <c r="D9" s="137" t="s">
        <v>133</v>
      </c>
      <c r="E9" s="136" t="s">
        <v>134</v>
      </c>
      <c r="F9" s="136" t="s">
        <v>135</v>
      </c>
      <c r="G9" s="137" t="s">
        <v>136</v>
      </c>
      <c r="H9" s="136" t="s">
        <v>137</v>
      </c>
      <c r="I9" s="136" t="s">
        <v>138</v>
      </c>
      <c r="J9" s="136" t="s">
        <v>139</v>
      </c>
      <c r="K9" s="136" t="s">
        <v>140</v>
      </c>
      <c r="L9" s="136" t="s">
        <v>141</v>
      </c>
      <c r="M9" s="136" t="s">
        <v>101</v>
      </c>
      <c r="N9" s="136" t="s">
        <v>101</v>
      </c>
      <c r="O9" s="136" t="s">
        <v>142</v>
      </c>
      <c r="P9" s="136" t="s">
        <v>143</v>
      </c>
      <c r="Q9" s="136" t="s">
        <v>142</v>
      </c>
      <c r="R9" s="136" t="s">
        <v>142</v>
      </c>
      <c r="S9" s="136" t="s">
        <v>103</v>
      </c>
    </row>
    <row r="10" spans="1:19" ht="21.65" customHeight="1">
      <c r="A10" s="138"/>
      <c r="B10" s="139" t="s">
        <v>144</v>
      </c>
    </row>
    <row r="11" spans="1:19" ht="19.899999999999999" customHeight="1">
      <c r="B11" s="233" t="s">
        <v>145</v>
      </c>
      <c r="C11" s="233"/>
      <c r="D11" s="233"/>
    </row>
  </sheetData>
  <sheetProtection insertRows="0" autoFilter="0"/>
  <mergeCells count="16">
    <mergeCell ref="A1:S1"/>
    <mergeCell ref="A2:S2"/>
    <mergeCell ref="A3:O3"/>
    <mergeCell ref="P3:S3"/>
    <mergeCell ref="E4:J4"/>
    <mergeCell ref="K4:L4"/>
    <mergeCell ref="M4:O4"/>
    <mergeCell ref="P4:P5"/>
    <mergeCell ref="Q4:Q5"/>
    <mergeCell ref="R4:R5"/>
    <mergeCell ref="S4:S5"/>
    <mergeCell ref="B11:D11"/>
    <mergeCell ref="A4:A5"/>
    <mergeCell ref="B4:B5"/>
    <mergeCell ref="C4:C5"/>
    <mergeCell ref="D4:D5"/>
  </mergeCells>
  <phoneticPr fontId="49" type="noConversion"/>
  <printOptions horizontalCentered="1"/>
  <pageMargins left="0.31496062992126" right="0.31496062992126" top="0.74803149606299202" bottom="0.74803149606299202" header="0.31496062992126" footer="0.31496062992126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/>
  <dimension ref="A1:R38"/>
  <sheetViews>
    <sheetView view="pageBreakPreview" zoomScale="70" zoomScaleNormal="85" zoomScaleSheetLayoutView="70" workbookViewId="0">
      <selection activeCell="G15" sqref="G15:G16"/>
    </sheetView>
  </sheetViews>
  <sheetFormatPr defaultColWidth="9" defaultRowHeight="14"/>
  <cols>
    <col min="1" max="1" width="4.1796875" customWidth="1"/>
    <col min="2" max="2" width="13" customWidth="1"/>
    <col min="3" max="3" width="24.1796875" customWidth="1"/>
    <col min="5" max="5" width="11.08984375" customWidth="1"/>
    <col min="6" max="6" width="9.7265625"/>
    <col min="8" max="8" width="11.7265625" customWidth="1"/>
    <col min="10" max="10" width="9.7265625"/>
    <col min="13" max="13" width="9.90625" customWidth="1"/>
    <col min="15" max="15" width="11.7265625"/>
    <col min="16" max="16" width="9.7265625"/>
  </cols>
  <sheetData>
    <row r="1" spans="1:16" ht="21">
      <c r="A1" s="259" t="s">
        <v>146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6">
      <c r="A2" s="260" t="s">
        <v>147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6">
      <c r="A3" s="261" t="str">
        <f>原材料明细!A3</f>
        <v>X268100000010双人座椅总成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3"/>
      <c r="N3" s="260" t="s">
        <v>108</v>
      </c>
      <c r="O3" s="260"/>
      <c r="P3" s="260"/>
    </row>
    <row r="4" spans="1:16">
      <c r="A4" s="250" t="s">
        <v>57</v>
      </c>
      <c r="B4" s="252" t="s">
        <v>59</v>
      </c>
      <c r="C4" s="252" t="s">
        <v>60</v>
      </c>
      <c r="D4" s="252" t="s">
        <v>148</v>
      </c>
      <c r="E4" s="252"/>
      <c r="F4" s="252" t="s">
        <v>109</v>
      </c>
      <c r="G4" s="252" t="s">
        <v>149</v>
      </c>
      <c r="H4" s="252" t="s">
        <v>120</v>
      </c>
      <c r="I4" s="264" t="s">
        <v>28</v>
      </c>
      <c r="J4" s="264"/>
      <c r="K4" s="264"/>
      <c r="L4" s="264"/>
      <c r="M4" s="264"/>
      <c r="N4" s="264"/>
      <c r="O4" s="242" t="s">
        <v>150</v>
      </c>
      <c r="P4" s="242" t="s">
        <v>26</v>
      </c>
    </row>
    <row r="5" spans="1:16" ht="21.75" customHeight="1">
      <c r="A5" s="250"/>
      <c r="B5" s="252"/>
      <c r="C5" s="252"/>
      <c r="D5" s="82" t="s">
        <v>115</v>
      </c>
      <c r="E5" s="82" t="s">
        <v>121</v>
      </c>
      <c r="F5" s="252"/>
      <c r="G5" s="252"/>
      <c r="H5" s="252" t="s">
        <v>120</v>
      </c>
      <c r="I5" s="82" t="s">
        <v>115</v>
      </c>
      <c r="J5" s="82" t="s">
        <v>116</v>
      </c>
      <c r="K5" s="252" t="s">
        <v>117</v>
      </c>
      <c r="L5" s="252"/>
      <c r="M5" s="82" t="s">
        <v>118</v>
      </c>
      <c r="N5" s="82" t="s">
        <v>151</v>
      </c>
      <c r="O5" s="242"/>
      <c r="P5" s="242"/>
    </row>
    <row r="6" spans="1:16">
      <c r="A6" s="21">
        <v>1</v>
      </c>
      <c r="B6" s="91" t="s">
        <v>152</v>
      </c>
      <c r="C6" s="36" t="s">
        <v>153</v>
      </c>
      <c r="D6" s="91" t="s">
        <v>18</v>
      </c>
      <c r="E6" s="91" t="s">
        <v>128</v>
      </c>
      <c r="F6" s="91">
        <v>1</v>
      </c>
      <c r="G6" s="183">
        <v>57</v>
      </c>
      <c r="H6" s="116" t="s">
        <v>18</v>
      </c>
      <c r="I6" s="116" t="s">
        <v>18</v>
      </c>
      <c r="J6" s="116" t="s">
        <v>18</v>
      </c>
      <c r="K6" s="116" t="s">
        <v>18</v>
      </c>
      <c r="L6" s="116" t="s">
        <v>18</v>
      </c>
      <c r="M6" s="125" t="s">
        <v>154</v>
      </c>
      <c r="N6" s="125">
        <v>1</v>
      </c>
      <c r="O6" s="91">
        <f t="shared" ref="O6:O11" si="0">F6*G6</f>
        <v>57</v>
      </c>
      <c r="P6" s="116" t="s">
        <v>18</v>
      </c>
    </row>
    <row r="7" spans="1:16">
      <c r="A7" s="21">
        <v>2</v>
      </c>
      <c r="B7" s="91" t="s">
        <v>155</v>
      </c>
      <c r="C7" s="36" t="s">
        <v>156</v>
      </c>
      <c r="D7" s="91" t="s">
        <v>18</v>
      </c>
      <c r="E7" s="91" t="s">
        <v>128</v>
      </c>
      <c r="F7" s="91">
        <v>1</v>
      </c>
      <c r="G7" s="183">
        <v>25</v>
      </c>
      <c r="H7" s="116" t="s">
        <v>18</v>
      </c>
      <c r="I7" s="116" t="s">
        <v>18</v>
      </c>
      <c r="J7" s="116" t="s">
        <v>18</v>
      </c>
      <c r="K7" s="116" t="s">
        <v>18</v>
      </c>
      <c r="L7" s="116" t="s">
        <v>18</v>
      </c>
      <c r="M7" s="125" t="s">
        <v>154</v>
      </c>
      <c r="N7" s="125">
        <v>1</v>
      </c>
      <c r="O7" s="91">
        <f t="shared" si="0"/>
        <v>25</v>
      </c>
      <c r="P7" s="116" t="s">
        <v>18</v>
      </c>
    </row>
    <row r="8" spans="1:16">
      <c r="A8" s="21">
        <v>3</v>
      </c>
      <c r="B8" s="91" t="s">
        <v>157</v>
      </c>
      <c r="C8" s="36" t="s">
        <v>158</v>
      </c>
      <c r="D8" s="91" t="s">
        <v>18</v>
      </c>
      <c r="E8" s="91" t="s">
        <v>128</v>
      </c>
      <c r="F8" s="91">
        <v>1</v>
      </c>
      <c r="G8" s="183">
        <v>72</v>
      </c>
      <c r="H8" s="116" t="s">
        <v>18</v>
      </c>
      <c r="I8" s="116" t="s">
        <v>18</v>
      </c>
      <c r="J8" s="116" t="s">
        <v>18</v>
      </c>
      <c r="K8" s="116" t="s">
        <v>18</v>
      </c>
      <c r="L8" s="116" t="s">
        <v>18</v>
      </c>
      <c r="M8" s="125" t="s">
        <v>154</v>
      </c>
      <c r="N8" s="125">
        <v>1</v>
      </c>
      <c r="O8" s="91">
        <f t="shared" si="0"/>
        <v>72</v>
      </c>
      <c r="P8" s="116" t="s">
        <v>18</v>
      </c>
    </row>
    <row r="9" spans="1:16">
      <c r="A9" s="21">
        <v>4</v>
      </c>
      <c r="B9" s="91" t="s">
        <v>159</v>
      </c>
      <c r="C9" s="91" t="s">
        <v>160</v>
      </c>
      <c r="D9" s="91" t="s">
        <v>18</v>
      </c>
      <c r="E9" s="91" t="s">
        <v>128</v>
      </c>
      <c r="F9" s="91">
        <v>1</v>
      </c>
      <c r="G9" s="183">
        <v>35</v>
      </c>
      <c r="H9" s="116" t="s">
        <v>18</v>
      </c>
      <c r="I9" s="116" t="s">
        <v>18</v>
      </c>
      <c r="J9" s="116" t="s">
        <v>18</v>
      </c>
      <c r="K9" s="116" t="s">
        <v>18</v>
      </c>
      <c r="L9" s="116" t="s">
        <v>18</v>
      </c>
      <c r="M9" s="125" t="s">
        <v>154</v>
      </c>
      <c r="N9" s="125">
        <v>1</v>
      </c>
      <c r="O9" s="91">
        <f t="shared" si="0"/>
        <v>35</v>
      </c>
      <c r="P9" s="116" t="s">
        <v>18</v>
      </c>
    </row>
    <row r="10" spans="1:16">
      <c r="A10" s="21">
        <v>5</v>
      </c>
      <c r="B10" s="91" t="s">
        <v>161</v>
      </c>
      <c r="C10" s="91" t="s">
        <v>162</v>
      </c>
      <c r="D10" s="91" t="s">
        <v>18</v>
      </c>
      <c r="E10" s="91" t="s">
        <v>128</v>
      </c>
      <c r="F10" s="91">
        <v>1</v>
      </c>
      <c r="G10" s="183">
        <v>35</v>
      </c>
      <c r="H10" s="116" t="s">
        <v>18</v>
      </c>
      <c r="I10" s="116" t="s">
        <v>18</v>
      </c>
      <c r="J10" s="116" t="s">
        <v>18</v>
      </c>
      <c r="K10" s="116" t="s">
        <v>18</v>
      </c>
      <c r="L10" s="116" t="s">
        <v>18</v>
      </c>
      <c r="M10" s="125" t="s">
        <v>154</v>
      </c>
      <c r="N10" s="125">
        <v>1</v>
      </c>
      <c r="O10" s="91">
        <f t="shared" si="0"/>
        <v>35</v>
      </c>
      <c r="P10" s="116" t="s">
        <v>18</v>
      </c>
    </row>
    <row r="11" spans="1:16">
      <c r="A11" s="21">
        <v>6</v>
      </c>
      <c r="B11" s="91" t="s">
        <v>163</v>
      </c>
      <c r="C11" s="91" t="s">
        <v>164</v>
      </c>
      <c r="D11" s="91" t="s">
        <v>18</v>
      </c>
      <c r="E11" s="91" t="s">
        <v>128</v>
      </c>
      <c r="F11" s="91">
        <v>1</v>
      </c>
      <c r="G11" s="183">
        <v>60</v>
      </c>
      <c r="H11" s="116" t="s">
        <v>18</v>
      </c>
      <c r="I11" s="116" t="s">
        <v>18</v>
      </c>
      <c r="J11" s="116" t="s">
        <v>18</v>
      </c>
      <c r="K11" s="116" t="s">
        <v>18</v>
      </c>
      <c r="L11" s="116" t="s">
        <v>18</v>
      </c>
      <c r="M11" s="125" t="s">
        <v>154</v>
      </c>
      <c r="N11" s="125">
        <v>1</v>
      </c>
      <c r="O11" s="91">
        <f t="shared" si="0"/>
        <v>60</v>
      </c>
      <c r="P11" s="116" t="s">
        <v>18</v>
      </c>
    </row>
    <row r="12" spans="1:16">
      <c r="A12" s="21">
        <v>7</v>
      </c>
      <c r="B12" s="91" t="s">
        <v>165</v>
      </c>
      <c r="C12" s="91" t="s">
        <v>166</v>
      </c>
      <c r="D12" s="91" t="s">
        <v>18</v>
      </c>
      <c r="E12" s="91" t="s">
        <v>128</v>
      </c>
      <c r="F12" s="91">
        <v>1</v>
      </c>
      <c r="G12" s="183">
        <v>11.71</v>
      </c>
      <c r="H12" s="116" t="s">
        <v>18</v>
      </c>
      <c r="I12" s="116" t="s">
        <v>18</v>
      </c>
      <c r="J12" s="116" t="s">
        <v>18</v>
      </c>
      <c r="K12" s="116" t="s">
        <v>18</v>
      </c>
      <c r="L12" s="116" t="s">
        <v>18</v>
      </c>
      <c r="M12" s="125" t="s">
        <v>154</v>
      </c>
      <c r="N12" s="125">
        <v>1</v>
      </c>
      <c r="O12" s="91">
        <f t="shared" ref="O12:O22" si="1">F12*G12</f>
        <v>11.71</v>
      </c>
      <c r="P12" s="116" t="s">
        <v>18</v>
      </c>
    </row>
    <row r="13" spans="1:16">
      <c r="A13" s="21">
        <v>8</v>
      </c>
      <c r="B13" s="91" t="s">
        <v>167</v>
      </c>
      <c r="C13" s="91" t="s">
        <v>168</v>
      </c>
      <c r="D13" s="91" t="s">
        <v>18</v>
      </c>
      <c r="E13" s="91" t="s">
        <v>128</v>
      </c>
      <c r="F13" s="91">
        <v>1</v>
      </c>
      <c r="G13" s="183">
        <v>18.57</v>
      </c>
      <c r="H13" s="116" t="s">
        <v>18</v>
      </c>
      <c r="I13" s="116" t="s">
        <v>18</v>
      </c>
      <c r="J13" s="116" t="s">
        <v>18</v>
      </c>
      <c r="K13" s="116" t="s">
        <v>18</v>
      </c>
      <c r="L13" s="116" t="s">
        <v>18</v>
      </c>
      <c r="M13" s="125" t="s">
        <v>154</v>
      </c>
      <c r="N13" s="125">
        <v>1</v>
      </c>
      <c r="O13" s="91">
        <f t="shared" si="1"/>
        <v>18.57</v>
      </c>
      <c r="P13" s="116" t="s">
        <v>18</v>
      </c>
    </row>
    <row r="14" spans="1:16">
      <c r="A14" s="21">
        <v>9</v>
      </c>
      <c r="B14" s="91" t="s">
        <v>169</v>
      </c>
      <c r="C14" s="91" t="s">
        <v>170</v>
      </c>
      <c r="D14" s="91" t="s">
        <v>18</v>
      </c>
      <c r="E14" s="91" t="s">
        <v>128</v>
      </c>
      <c r="F14" s="91">
        <v>1</v>
      </c>
      <c r="G14" s="183">
        <v>5</v>
      </c>
      <c r="H14" s="116" t="s">
        <v>18</v>
      </c>
      <c r="I14" s="116" t="s">
        <v>18</v>
      </c>
      <c r="J14" s="116" t="s">
        <v>18</v>
      </c>
      <c r="K14" s="116" t="s">
        <v>18</v>
      </c>
      <c r="L14" s="116" t="s">
        <v>18</v>
      </c>
      <c r="M14" s="125" t="s">
        <v>154</v>
      </c>
      <c r="N14" s="125">
        <v>1</v>
      </c>
      <c r="O14" s="91">
        <f t="shared" si="1"/>
        <v>5</v>
      </c>
      <c r="P14" s="116" t="s">
        <v>18</v>
      </c>
    </row>
    <row r="15" spans="1:16">
      <c r="A15" s="21">
        <v>10</v>
      </c>
      <c r="B15" s="91" t="s">
        <v>171</v>
      </c>
      <c r="C15" s="91" t="s">
        <v>172</v>
      </c>
      <c r="D15" s="91" t="s">
        <v>18</v>
      </c>
      <c r="E15" s="91" t="s">
        <v>128</v>
      </c>
      <c r="F15" s="91">
        <v>1</v>
      </c>
      <c r="G15" s="193">
        <v>33.65</v>
      </c>
      <c r="H15" s="116" t="s">
        <v>18</v>
      </c>
      <c r="I15" s="116" t="s">
        <v>18</v>
      </c>
      <c r="J15" s="116" t="s">
        <v>18</v>
      </c>
      <c r="K15" s="116" t="s">
        <v>18</v>
      </c>
      <c r="L15" s="116" t="s">
        <v>18</v>
      </c>
      <c r="M15" s="125" t="s">
        <v>154</v>
      </c>
      <c r="N15" s="125">
        <v>1</v>
      </c>
      <c r="O15" s="91">
        <f t="shared" si="1"/>
        <v>33.65</v>
      </c>
      <c r="P15" s="116" t="s">
        <v>18</v>
      </c>
    </row>
    <row r="16" spans="1:16">
      <c r="A16" s="21">
        <v>11</v>
      </c>
      <c r="B16" s="91" t="s">
        <v>173</v>
      </c>
      <c r="C16" s="91" t="s">
        <v>174</v>
      </c>
      <c r="D16" s="91" t="s">
        <v>18</v>
      </c>
      <c r="E16" s="91" t="s">
        <v>128</v>
      </c>
      <c r="F16" s="91">
        <v>2</v>
      </c>
      <c r="G16" s="193">
        <v>7.68</v>
      </c>
      <c r="H16" s="116" t="s">
        <v>18</v>
      </c>
      <c r="I16" s="116" t="s">
        <v>18</v>
      </c>
      <c r="J16" s="116" t="s">
        <v>18</v>
      </c>
      <c r="K16" s="116" t="s">
        <v>18</v>
      </c>
      <c r="L16" s="116" t="s">
        <v>18</v>
      </c>
      <c r="M16" s="125" t="s">
        <v>154</v>
      </c>
      <c r="N16" s="125">
        <v>1</v>
      </c>
      <c r="O16" s="91">
        <f t="shared" si="1"/>
        <v>15.36</v>
      </c>
      <c r="P16" s="116" t="s">
        <v>18</v>
      </c>
    </row>
    <row r="17" spans="1:18">
      <c r="A17" s="21">
        <v>12</v>
      </c>
      <c r="B17" s="91" t="s">
        <v>175</v>
      </c>
      <c r="C17" s="91" t="s">
        <v>176</v>
      </c>
      <c r="D17" s="91" t="s">
        <v>18</v>
      </c>
      <c r="E17" s="91" t="s">
        <v>128</v>
      </c>
      <c r="F17" s="91">
        <v>1</v>
      </c>
      <c r="G17" s="115">
        <v>0.94169999999999998</v>
      </c>
      <c r="H17" s="116" t="s">
        <v>18</v>
      </c>
      <c r="I17" s="116" t="s">
        <v>18</v>
      </c>
      <c r="J17" s="116" t="s">
        <v>18</v>
      </c>
      <c r="K17" s="116" t="s">
        <v>18</v>
      </c>
      <c r="L17" s="116" t="s">
        <v>18</v>
      </c>
      <c r="M17" s="125" t="s">
        <v>154</v>
      </c>
      <c r="N17" s="125">
        <v>1</v>
      </c>
      <c r="O17" s="91">
        <f t="shared" si="1"/>
        <v>0.94169999999999998</v>
      </c>
      <c r="P17" s="116" t="s">
        <v>18</v>
      </c>
    </row>
    <row r="18" spans="1:18">
      <c r="A18" s="21">
        <v>13</v>
      </c>
      <c r="B18" s="91" t="s">
        <v>177</v>
      </c>
      <c r="C18" s="91" t="s">
        <v>178</v>
      </c>
      <c r="D18" s="91" t="s">
        <v>18</v>
      </c>
      <c r="E18" s="91" t="s">
        <v>128</v>
      </c>
      <c r="F18" s="91">
        <v>1</v>
      </c>
      <c r="G18" s="115">
        <v>0.94169999999999998</v>
      </c>
      <c r="H18" s="116" t="s">
        <v>18</v>
      </c>
      <c r="I18" s="116" t="s">
        <v>18</v>
      </c>
      <c r="J18" s="116" t="s">
        <v>18</v>
      </c>
      <c r="K18" s="116" t="s">
        <v>18</v>
      </c>
      <c r="L18" s="116" t="s">
        <v>18</v>
      </c>
      <c r="M18" s="125" t="s">
        <v>154</v>
      </c>
      <c r="N18" s="125">
        <v>1</v>
      </c>
      <c r="O18" s="91">
        <f t="shared" si="1"/>
        <v>0.94169999999999998</v>
      </c>
      <c r="P18" s="116" t="s">
        <v>18</v>
      </c>
    </row>
    <row r="19" spans="1:18">
      <c r="A19" s="21">
        <v>14</v>
      </c>
      <c r="B19" s="91" t="s">
        <v>179</v>
      </c>
      <c r="C19" s="91" t="s">
        <v>180</v>
      </c>
      <c r="D19" s="91" t="s">
        <v>18</v>
      </c>
      <c r="E19" s="91" t="s">
        <v>128</v>
      </c>
      <c r="F19" s="91">
        <v>1</v>
      </c>
      <c r="G19" s="115">
        <v>0.13109999999999999</v>
      </c>
      <c r="H19" s="116" t="s">
        <v>18</v>
      </c>
      <c r="I19" s="116" t="s">
        <v>18</v>
      </c>
      <c r="J19" s="116" t="s">
        <v>18</v>
      </c>
      <c r="K19" s="116" t="s">
        <v>18</v>
      </c>
      <c r="L19" s="116" t="s">
        <v>18</v>
      </c>
      <c r="M19" s="125" t="s">
        <v>154</v>
      </c>
      <c r="N19" s="125">
        <v>1</v>
      </c>
      <c r="O19" s="91">
        <f t="shared" si="1"/>
        <v>0.13109999999999999</v>
      </c>
      <c r="P19" s="116" t="s">
        <v>18</v>
      </c>
    </row>
    <row r="20" spans="1:18">
      <c r="A20" s="21">
        <v>15</v>
      </c>
      <c r="B20" s="91" t="s">
        <v>181</v>
      </c>
      <c r="C20" s="91" t="s">
        <v>182</v>
      </c>
      <c r="D20" s="91" t="s">
        <v>18</v>
      </c>
      <c r="E20" s="91" t="s">
        <v>128</v>
      </c>
      <c r="F20" s="91">
        <v>1</v>
      </c>
      <c r="G20" s="115">
        <v>1.1026</v>
      </c>
      <c r="H20" s="116" t="s">
        <v>18</v>
      </c>
      <c r="I20" s="116" t="s">
        <v>18</v>
      </c>
      <c r="J20" s="116" t="s">
        <v>18</v>
      </c>
      <c r="K20" s="116" t="s">
        <v>18</v>
      </c>
      <c r="L20" s="116" t="s">
        <v>18</v>
      </c>
      <c r="M20" s="125" t="s">
        <v>154</v>
      </c>
      <c r="N20" s="125">
        <v>1</v>
      </c>
      <c r="O20" s="91">
        <f t="shared" si="1"/>
        <v>1.1026</v>
      </c>
      <c r="P20" s="116" t="s">
        <v>18</v>
      </c>
    </row>
    <row r="21" spans="1:18">
      <c r="A21" s="21">
        <v>16</v>
      </c>
      <c r="B21" s="91" t="s">
        <v>183</v>
      </c>
      <c r="C21" s="91" t="s">
        <v>184</v>
      </c>
      <c r="D21" s="91" t="s">
        <v>18</v>
      </c>
      <c r="E21" s="91" t="s">
        <v>128</v>
      </c>
      <c r="F21" s="91">
        <v>1</v>
      </c>
      <c r="G21" s="115">
        <v>1.641</v>
      </c>
      <c r="H21" s="116" t="s">
        <v>18</v>
      </c>
      <c r="I21" s="116" t="s">
        <v>18</v>
      </c>
      <c r="J21" s="116" t="s">
        <v>18</v>
      </c>
      <c r="K21" s="116" t="s">
        <v>18</v>
      </c>
      <c r="L21" s="116" t="s">
        <v>18</v>
      </c>
      <c r="M21" s="125" t="s">
        <v>154</v>
      </c>
      <c r="N21" s="125">
        <v>1</v>
      </c>
      <c r="O21" s="91">
        <f t="shared" si="1"/>
        <v>1.641</v>
      </c>
      <c r="P21" s="116" t="s">
        <v>18</v>
      </c>
    </row>
    <row r="22" spans="1:18">
      <c r="A22" s="21">
        <v>17</v>
      </c>
      <c r="B22" s="91" t="s">
        <v>185</v>
      </c>
      <c r="C22" s="91" t="s">
        <v>186</v>
      </c>
      <c r="D22" s="91" t="s">
        <v>18</v>
      </c>
      <c r="E22" s="91" t="s">
        <v>128</v>
      </c>
      <c r="F22" s="91">
        <v>4</v>
      </c>
      <c r="G22" s="115">
        <v>0.17</v>
      </c>
      <c r="H22" s="116" t="s">
        <v>18</v>
      </c>
      <c r="I22" s="116" t="s">
        <v>18</v>
      </c>
      <c r="J22" s="116" t="s">
        <v>18</v>
      </c>
      <c r="K22" s="116" t="s">
        <v>18</v>
      </c>
      <c r="L22" s="116" t="s">
        <v>18</v>
      </c>
      <c r="M22" s="125" t="s">
        <v>154</v>
      </c>
      <c r="N22" s="125">
        <v>1</v>
      </c>
      <c r="O22" s="91">
        <f t="shared" si="1"/>
        <v>0.68</v>
      </c>
      <c r="P22" s="116" t="s">
        <v>18</v>
      </c>
    </row>
    <row r="23" spans="1:18">
      <c r="A23" s="21"/>
      <c r="B23" s="91"/>
      <c r="C23" s="184" t="s">
        <v>427</v>
      </c>
      <c r="D23" s="91"/>
      <c r="E23" s="91"/>
      <c r="F23" s="91"/>
      <c r="G23" s="115">
        <v>4.05</v>
      </c>
      <c r="H23" s="116"/>
      <c r="I23" s="116"/>
      <c r="J23" s="116"/>
      <c r="K23" s="116"/>
      <c r="L23" s="116"/>
      <c r="M23" s="125"/>
      <c r="N23" s="125"/>
      <c r="O23" s="91"/>
      <c r="P23" s="116"/>
    </row>
    <row r="24" spans="1:18" ht="14.25" customHeight="1">
      <c r="A24" s="21">
        <v>18</v>
      </c>
      <c r="B24" s="92" t="s">
        <v>130</v>
      </c>
      <c r="C24" s="117" t="s">
        <v>18</v>
      </c>
      <c r="D24" s="117" t="s">
        <v>18</v>
      </c>
      <c r="E24" s="117" t="s">
        <v>18</v>
      </c>
      <c r="F24" s="117" t="s">
        <v>18</v>
      </c>
      <c r="G24" s="117" t="s">
        <v>18</v>
      </c>
      <c r="H24" s="117" t="s">
        <v>18</v>
      </c>
      <c r="I24" s="117" t="s">
        <v>18</v>
      </c>
      <c r="J24" s="117" t="s">
        <v>18</v>
      </c>
      <c r="K24" s="117" t="s">
        <v>18</v>
      </c>
      <c r="L24" s="117" t="s">
        <v>18</v>
      </c>
      <c r="M24" s="117" t="s">
        <v>18</v>
      </c>
      <c r="N24" s="117" t="s">
        <v>18</v>
      </c>
      <c r="O24" s="126">
        <f>SUM(O6:O22)</f>
        <v>373.72810000000004</v>
      </c>
      <c r="P24" s="117" t="s">
        <v>18</v>
      </c>
    </row>
    <row r="25" spans="1:18" ht="47.5">
      <c r="A25" s="21" t="s">
        <v>18</v>
      </c>
      <c r="B25" s="118" t="s">
        <v>187</v>
      </c>
      <c r="C25" s="118" t="s">
        <v>188</v>
      </c>
      <c r="D25" s="118" t="s">
        <v>140</v>
      </c>
      <c r="E25" s="118" t="s">
        <v>141</v>
      </c>
      <c r="F25" s="118" t="s">
        <v>133</v>
      </c>
      <c r="G25" s="118" t="s">
        <v>138</v>
      </c>
      <c r="H25" s="118" t="s">
        <v>139</v>
      </c>
      <c r="I25" s="118" t="s">
        <v>189</v>
      </c>
      <c r="J25" s="118" t="s">
        <v>135</v>
      </c>
      <c r="K25" s="255" t="s">
        <v>190</v>
      </c>
      <c r="L25" s="255"/>
      <c r="M25" s="118" t="s">
        <v>191</v>
      </c>
      <c r="N25" s="118" t="s">
        <v>101</v>
      </c>
      <c r="O25" s="118" t="s">
        <v>142</v>
      </c>
      <c r="P25" s="118" t="s">
        <v>103</v>
      </c>
    </row>
    <row r="26" spans="1:18">
      <c r="A26" s="207"/>
      <c r="B26" s="207"/>
    </row>
    <row r="28" spans="1:18" ht="22.15" customHeight="1">
      <c r="A28" s="256" t="s">
        <v>192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8"/>
    </row>
    <row r="29" spans="1:18" ht="24" customHeight="1">
      <c r="A29" s="243" t="str">
        <f>A2</f>
        <v>供应商 (盖章):北京光华荣昌汽车部件有限公司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</row>
    <row r="30" spans="1:18">
      <c r="A30" s="243" t="str">
        <f>A3</f>
        <v>X268100000010双人座椅总成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5"/>
      <c r="P30" s="246" t="s">
        <v>108</v>
      </c>
      <c r="Q30" s="246"/>
      <c r="R30" s="246"/>
    </row>
    <row r="31" spans="1:18" ht="19.899999999999999" customHeight="1">
      <c r="A31" s="251" t="s">
        <v>57</v>
      </c>
      <c r="B31" s="241" t="s">
        <v>59</v>
      </c>
      <c r="C31" s="241" t="s">
        <v>60</v>
      </c>
      <c r="D31" s="241" t="s">
        <v>193</v>
      </c>
      <c r="E31" s="241"/>
      <c r="F31" s="241" t="s">
        <v>109</v>
      </c>
      <c r="G31" s="253" t="s">
        <v>194</v>
      </c>
      <c r="H31" s="252" t="s">
        <v>195</v>
      </c>
      <c r="I31" s="241" t="s">
        <v>118</v>
      </c>
      <c r="J31" s="241" t="s">
        <v>196</v>
      </c>
      <c r="K31" s="247" t="s">
        <v>197</v>
      </c>
      <c r="L31" s="248"/>
      <c r="M31" s="248"/>
      <c r="N31" s="248"/>
      <c r="O31" s="248"/>
      <c r="P31" s="249"/>
      <c r="Q31" s="241" t="s">
        <v>198</v>
      </c>
      <c r="R31" s="241" t="s">
        <v>26</v>
      </c>
    </row>
    <row r="32" spans="1:18" ht="28.9" customHeight="1">
      <c r="A32" s="251"/>
      <c r="B32" s="241"/>
      <c r="C32" s="241"/>
      <c r="D32" s="91" t="s">
        <v>115</v>
      </c>
      <c r="E32" s="91" t="s">
        <v>121</v>
      </c>
      <c r="F32" s="241"/>
      <c r="G32" s="254"/>
      <c r="H32" s="252" t="s">
        <v>120</v>
      </c>
      <c r="I32" s="241"/>
      <c r="J32" s="241"/>
      <c r="K32" s="127" t="s">
        <v>199</v>
      </c>
      <c r="L32" s="127" t="s">
        <v>200</v>
      </c>
      <c r="M32" s="91" t="s">
        <v>201</v>
      </c>
      <c r="N32" s="91" t="s">
        <v>202</v>
      </c>
      <c r="O32" s="91" t="s">
        <v>203</v>
      </c>
      <c r="P32" s="91" t="s">
        <v>204</v>
      </c>
      <c r="Q32" s="241"/>
      <c r="R32" s="241"/>
    </row>
    <row r="33" spans="1:18" ht="33" customHeight="1">
      <c r="A33" s="116" t="s">
        <v>18</v>
      </c>
      <c r="B33" s="116" t="s">
        <v>18</v>
      </c>
      <c r="C33" s="116" t="s">
        <v>18</v>
      </c>
      <c r="D33" s="116" t="s">
        <v>18</v>
      </c>
      <c r="E33" s="116" t="s">
        <v>18</v>
      </c>
      <c r="F33" s="91">
        <v>0</v>
      </c>
      <c r="G33" s="116" t="s">
        <v>18</v>
      </c>
      <c r="H33" s="116" t="s">
        <v>18</v>
      </c>
      <c r="I33" s="116" t="s">
        <v>18</v>
      </c>
      <c r="J33" s="91">
        <v>0</v>
      </c>
      <c r="K33" s="116" t="s">
        <v>18</v>
      </c>
      <c r="L33" s="116" t="s">
        <v>18</v>
      </c>
      <c r="M33" s="116" t="s">
        <v>18</v>
      </c>
      <c r="N33" s="116" t="s">
        <v>18</v>
      </c>
      <c r="O33" s="116" t="s">
        <v>18</v>
      </c>
      <c r="P33" s="91">
        <v>0</v>
      </c>
      <c r="Q33" s="129">
        <v>0</v>
      </c>
      <c r="R33" s="116" t="s">
        <v>18</v>
      </c>
    </row>
    <row r="34" spans="1:18">
      <c r="A34" s="116" t="s">
        <v>18</v>
      </c>
      <c r="B34" s="92" t="s">
        <v>130</v>
      </c>
      <c r="C34" s="116" t="s">
        <v>18</v>
      </c>
      <c r="D34" s="116" t="s">
        <v>18</v>
      </c>
      <c r="E34" s="116" t="s">
        <v>18</v>
      </c>
      <c r="F34" s="116" t="s">
        <v>18</v>
      </c>
      <c r="G34" s="116" t="s">
        <v>18</v>
      </c>
      <c r="H34" s="116" t="s">
        <v>18</v>
      </c>
      <c r="I34" s="116" t="s">
        <v>18</v>
      </c>
      <c r="J34" s="116" t="s">
        <v>18</v>
      </c>
      <c r="K34" s="116" t="s">
        <v>18</v>
      </c>
      <c r="L34" s="116" t="s">
        <v>18</v>
      </c>
      <c r="M34" s="116" t="s">
        <v>18</v>
      </c>
      <c r="N34" s="116" t="s">
        <v>18</v>
      </c>
      <c r="O34" s="116" t="s">
        <v>18</v>
      </c>
      <c r="P34" s="116" t="s">
        <v>18</v>
      </c>
      <c r="Q34" s="129">
        <v>0</v>
      </c>
      <c r="R34" s="116" t="s">
        <v>18</v>
      </c>
    </row>
    <row r="35" spans="1:18" ht="47.5">
      <c r="A35" s="119" t="s">
        <v>94</v>
      </c>
      <c r="B35" s="120" t="s">
        <v>187</v>
      </c>
      <c r="C35" s="120" t="s">
        <v>188</v>
      </c>
      <c r="D35" s="118" t="s">
        <v>140</v>
      </c>
      <c r="E35" s="118" t="s">
        <v>141</v>
      </c>
      <c r="F35" s="121" t="s">
        <v>133</v>
      </c>
      <c r="G35" s="122" t="s">
        <v>205</v>
      </c>
      <c r="H35" s="118" t="s">
        <v>139</v>
      </c>
      <c r="I35" s="121" t="s">
        <v>191</v>
      </c>
      <c r="J35" s="120" t="s">
        <v>101</v>
      </c>
      <c r="K35" s="128" t="s">
        <v>206</v>
      </c>
      <c r="L35" s="128" t="s">
        <v>207</v>
      </c>
      <c r="M35" s="121" t="s">
        <v>208</v>
      </c>
      <c r="N35" s="120" t="s">
        <v>209</v>
      </c>
      <c r="O35" s="120" t="s">
        <v>210</v>
      </c>
      <c r="P35" s="121" t="s">
        <v>211</v>
      </c>
      <c r="Q35" s="118" t="s">
        <v>142</v>
      </c>
      <c r="R35" s="118" t="s">
        <v>103</v>
      </c>
    </row>
    <row r="36" spans="1:18">
      <c r="B36" s="123" t="s">
        <v>212</v>
      </c>
    </row>
    <row r="37" spans="1:18">
      <c r="C37" t="s">
        <v>213</v>
      </c>
      <c r="H37" s="124"/>
    </row>
    <row r="38" spans="1:18">
      <c r="H38" s="124"/>
    </row>
  </sheetData>
  <mergeCells count="33">
    <mergeCell ref="A1:P1"/>
    <mergeCell ref="A2:P2"/>
    <mergeCell ref="A3:M3"/>
    <mergeCell ref="N3:P3"/>
    <mergeCell ref="D4:E4"/>
    <mergeCell ref="I4:N4"/>
    <mergeCell ref="K5:L5"/>
    <mergeCell ref="K25:L25"/>
    <mergeCell ref="A26:B26"/>
    <mergeCell ref="A28:R28"/>
    <mergeCell ref="A29:R29"/>
    <mergeCell ref="F4:F5"/>
    <mergeCell ref="F31:F32"/>
    <mergeCell ref="G4:G5"/>
    <mergeCell ref="G31:G32"/>
    <mergeCell ref="H4:H5"/>
    <mergeCell ref="H31:H32"/>
    <mergeCell ref="R31:R32"/>
    <mergeCell ref="I31:I32"/>
    <mergeCell ref="J31:J32"/>
    <mergeCell ref="O4:O5"/>
    <mergeCell ref="P4:P5"/>
    <mergeCell ref="Q31:Q32"/>
    <mergeCell ref="A30:O30"/>
    <mergeCell ref="P30:R30"/>
    <mergeCell ref="D31:E31"/>
    <mergeCell ref="K31:P31"/>
    <mergeCell ref="A4:A5"/>
    <mergeCell ref="A31:A32"/>
    <mergeCell ref="B4:B5"/>
    <mergeCell ref="B31:B32"/>
    <mergeCell ref="C4:C5"/>
    <mergeCell ref="C31:C32"/>
  </mergeCells>
  <phoneticPr fontId="49" type="noConversion"/>
  <printOptions horizontalCentered="1"/>
  <pageMargins left="0.31496062992126" right="0.31496062992126" top="0.74803149606299202" bottom="0.74803149606299202" header="0.31496062992126" footer="0.31496062992126"/>
  <pageSetup paperSize="9" scale="72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5"/>
  <dimension ref="A1:Y18"/>
  <sheetViews>
    <sheetView view="pageBreakPreview" zoomScale="85" zoomScaleNormal="100" workbookViewId="0">
      <selection activeCell="A6" sqref="A6:XFD8"/>
    </sheetView>
  </sheetViews>
  <sheetFormatPr defaultColWidth="9" defaultRowHeight="14"/>
  <cols>
    <col min="2" max="2" width="15.453125" customWidth="1"/>
    <col min="3" max="3" width="14.54296875" bestFit="1" customWidth="1"/>
    <col min="4" max="4" width="11.26953125" customWidth="1"/>
    <col min="5" max="5" width="13.90625" customWidth="1"/>
    <col min="6" max="6" width="12.26953125" customWidth="1"/>
    <col min="7" max="7" width="11.453125" customWidth="1"/>
    <col min="8" max="8" width="9.36328125" customWidth="1"/>
    <col min="10" max="10" width="16.453125" customWidth="1"/>
    <col min="11" max="11" width="18.90625" customWidth="1"/>
    <col min="17" max="17" width="10.90625" customWidth="1"/>
    <col min="20" max="20" width="9.6328125" customWidth="1"/>
    <col min="21" max="21" width="7.6328125" customWidth="1"/>
    <col min="24" max="24" width="10.453125" customWidth="1"/>
    <col min="25" max="25" width="23.7265625" customWidth="1"/>
  </cols>
  <sheetData>
    <row r="1" spans="1:25" ht="23.25" customHeight="1">
      <c r="A1" s="277" t="s">
        <v>214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106"/>
      <c r="S1" s="278" t="s">
        <v>215</v>
      </c>
      <c r="T1" s="278"/>
      <c r="U1" s="278"/>
      <c r="V1" s="278"/>
      <c r="W1" s="278"/>
      <c r="X1" s="278"/>
      <c r="Y1" s="278"/>
    </row>
    <row r="2" spans="1:25">
      <c r="A2" s="279" t="s">
        <v>106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1"/>
      <c r="R2" s="106"/>
      <c r="S2" s="282" t="str">
        <f>A2</f>
        <v>供应商 :北京光华荣昌汽车部件有限公司</v>
      </c>
      <c r="T2" s="283"/>
      <c r="U2" s="283"/>
      <c r="V2" s="283"/>
      <c r="W2" s="283"/>
      <c r="X2" s="283"/>
      <c r="Y2" s="283"/>
    </row>
    <row r="3" spans="1:25">
      <c r="A3" s="284" t="str">
        <f>外购外协件明细!A3</f>
        <v>X268100000010双人座椅总成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6"/>
      <c r="M3" s="287" t="s">
        <v>108</v>
      </c>
      <c r="N3" s="287"/>
      <c r="O3" s="287"/>
      <c r="P3" s="287"/>
      <c r="Q3" s="287"/>
      <c r="R3" s="106"/>
      <c r="S3" s="282" t="str">
        <f>A3</f>
        <v>X268100000010双人座椅总成</v>
      </c>
      <c r="T3" s="283"/>
      <c r="U3" s="283"/>
      <c r="V3" s="283"/>
      <c r="W3" s="288"/>
      <c r="X3" s="289" t="s">
        <v>108</v>
      </c>
      <c r="Y3" s="289"/>
    </row>
    <row r="4" spans="1:25" s="47" customFormat="1" ht="39" customHeight="1">
      <c r="A4" s="272" t="s">
        <v>57</v>
      </c>
      <c r="B4" s="252" t="s">
        <v>59</v>
      </c>
      <c r="C4" s="252" t="s">
        <v>60</v>
      </c>
      <c r="D4" s="252" t="s">
        <v>109</v>
      </c>
      <c r="E4" s="273" t="s">
        <v>216</v>
      </c>
      <c r="F4" s="273" t="s">
        <v>217</v>
      </c>
      <c r="G4" s="273"/>
      <c r="H4" s="274" t="s">
        <v>218</v>
      </c>
      <c r="I4" s="273" t="s">
        <v>219</v>
      </c>
      <c r="J4" s="273" t="s">
        <v>220</v>
      </c>
      <c r="K4" s="264" t="s">
        <v>221</v>
      </c>
      <c r="L4" s="264"/>
      <c r="M4" s="264"/>
      <c r="N4" s="264"/>
      <c r="O4" s="264"/>
      <c r="P4" s="273" t="s">
        <v>222</v>
      </c>
      <c r="Q4" s="273"/>
      <c r="R4" s="107"/>
      <c r="S4" s="108" t="s">
        <v>57</v>
      </c>
      <c r="T4" s="276" t="s">
        <v>223</v>
      </c>
      <c r="U4" s="276"/>
      <c r="V4" s="276" t="s">
        <v>224</v>
      </c>
      <c r="W4" s="276"/>
      <c r="X4" s="54" t="s">
        <v>225</v>
      </c>
      <c r="Y4" s="113" t="s">
        <v>226</v>
      </c>
    </row>
    <row r="5" spans="1:25" s="47" customFormat="1" ht="33.75" customHeight="1">
      <c r="A5" s="272"/>
      <c r="B5" s="252"/>
      <c r="C5" s="252"/>
      <c r="D5" s="252"/>
      <c r="E5" s="273"/>
      <c r="F5" s="58" t="s">
        <v>227</v>
      </c>
      <c r="G5" s="58" t="s">
        <v>117</v>
      </c>
      <c r="H5" s="275"/>
      <c r="I5" s="273"/>
      <c r="J5" s="273"/>
      <c r="K5" s="96" t="s">
        <v>228</v>
      </c>
      <c r="L5" s="58" t="s">
        <v>229</v>
      </c>
      <c r="M5" s="58" t="s">
        <v>230</v>
      </c>
      <c r="N5" s="58" t="s">
        <v>231</v>
      </c>
      <c r="O5" s="58" t="s">
        <v>232</v>
      </c>
      <c r="P5" s="58" t="s">
        <v>233</v>
      </c>
      <c r="Q5" s="58" t="s">
        <v>234</v>
      </c>
      <c r="R5" s="107"/>
      <c r="S5" s="21">
        <v>1</v>
      </c>
      <c r="T5" s="265">
        <v>1330620.48</v>
      </c>
      <c r="U5" s="266"/>
      <c r="V5" s="265">
        <v>37570961.380000003</v>
      </c>
      <c r="W5" s="266"/>
      <c r="X5" s="109">
        <f>T5/V5</f>
        <v>3.54161946121593E-2</v>
      </c>
      <c r="Y5" s="43">
        <f>(汇总表!D12+P9+Q9)*X5</f>
        <v>16.996723767924031</v>
      </c>
    </row>
    <row r="6" spans="1:25" s="81" customFormat="1" ht="31.5" customHeight="1">
      <c r="A6" s="83">
        <v>1</v>
      </c>
      <c r="B6" s="84" t="s">
        <v>18</v>
      </c>
      <c r="C6" s="84" t="s">
        <v>235</v>
      </c>
      <c r="D6" s="85">
        <v>1</v>
      </c>
      <c r="E6" s="86" t="s">
        <v>236</v>
      </c>
      <c r="F6" s="64" t="s">
        <v>237</v>
      </c>
      <c r="G6" s="76" t="s">
        <v>18</v>
      </c>
      <c r="H6" s="87">
        <v>2</v>
      </c>
      <c r="I6" s="97">
        <v>5</v>
      </c>
      <c r="J6" s="98">
        <v>0.42613636363636398</v>
      </c>
      <c r="K6" s="99">
        <f t="shared" ref="K6:K8" si="0">J6/10*I6</f>
        <v>0.21306818181818199</v>
      </c>
      <c r="L6" s="100">
        <f>[1]制造费率测算明细!T6</f>
        <v>0.30837801106770801</v>
      </c>
      <c r="M6" s="100">
        <f>[1]制造费率测算明细!U6</f>
        <v>1.2500000000000001E-2</v>
      </c>
      <c r="N6" s="100">
        <f>[1]制造费率测算明细!V6</f>
        <v>2.9604289062500001E-2</v>
      </c>
      <c r="O6" s="101">
        <f t="shared" ref="O6:O8" si="1">SUM(K6:N6)</f>
        <v>0.56355048194838997</v>
      </c>
      <c r="P6" s="102">
        <f t="shared" ref="P6:P8" si="2">D6*H6*I6*J6</f>
        <v>4.2613636363636402</v>
      </c>
      <c r="Q6" s="102">
        <f t="shared" ref="Q6:Q8" si="3">D6*O6</f>
        <v>0.56355048194838997</v>
      </c>
      <c r="R6" s="107"/>
      <c r="S6" s="110" t="s">
        <v>94</v>
      </c>
      <c r="T6" s="267" t="s">
        <v>238</v>
      </c>
      <c r="U6" s="268"/>
      <c r="V6" s="268" t="s">
        <v>239</v>
      </c>
      <c r="W6" s="268"/>
      <c r="X6" s="111" t="s">
        <v>142</v>
      </c>
      <c r="Y6" s="114" t="s">
        <v>240</v>
      </c>
    </row>
    <row r="7" spans="1:25" s="81" customFormat="1" ht="31.5" customHeight="1">
      <c r="A7" s="88">
        <v>2</v>
      </c>
      <c r="B7" s="89" t="s">
        <v>18</v>
      </c>
      <c r="C7" s="64" t="s">
        <v>241</v>
      </c>
      <c r="D7" s="64">
        <v>1</v>
      </c>
      <c r="E7" s="63" t="s">
        <v>242</v>
      </c>
      <c r="F7" s="64" t="s">
        <v>243</v>
      </c>
      <c r="G7" s="65" t="s">
        <v>244</v>
      </c>
      <c r="H7" s="90">
        <v>0.15686274509803899</v>
      </c>
      <c r="I7" s="97">
        <v>7</v>
      </c>
      <c r="J7" s="103">
        <v>0.42613636363636398</v>
      </c>
      <c r="K7" s="99">
        <f t="shared" si="0"/>
        <v>0.29829545454545497</v>
      </c>
      <c r="L7" s="100">
        <f>[1]制造费率测算明细!T7</f>
        <v>2.12769470350477</v>
      </c>
      <c r="M7" s="100">
        <f>[1]制造费率测算明细!U7</f>
        <v>4.0599999999999996</v>
      </c>
      <c r="N7" s="100">
        <f>[1]制造费率测算明细!V7</f>
        <v>1.11413831747159</v>
      </c>
      <c r="O7" s="101">
        <f t="shared" si="1"/>
        <v>7.6001284755218199</v>
      </c>
      <c r="P7" s="102">
        <f t="shared" si="2"/>
        <v>0.467914438502673</v>
      </c>
      <c r="Q7" s="102">
        <f t="shared" si="3"/>
        <v>7.6001284755218199</v>
      </c>
      <c r="R7" s="107"/>
      <c r="S7" s="107"/>
      <c r="T7" s="107"/>
      <c r="U7" s="107"/>
      <c r="V7" s="107"/>
      <c r="W7" s="107"/>
      <c r="X7" s="107"/>
      <c r="Y7" s="107"/>
    </row>
    <row r="8" spans="1:25" s="81" customFormat="1" ht="31.5" customHeight="1">
      <c r="A8" s="88">
        <v>3</v>
      </c>
      <c r="B8" s="89" t="s">
        <v>18</v>
      </c>
      <c r="C8" s="64" t="s">
        <v>245</v>
      </c>
      <c r="D8" s="64">
        <v>1</v>
      </c>
      <c r="E8" s="63" t="s">
        <v>242</v>
      </c>
      <c r="F8" s="64" t="s">
        <v>243</v>
      </c>
      <c r="G8" s="65" t="s">
        <v>244</v>
      </c>
      <c r="H8" s="90">
        <v>0.15686274509803899</v>
      </c>
      <c r="I8" s="97">
        <v>7</v>
      </c>
      <c r="J8" s="103">
        <v>0.42613636363636398</v>
      </c>
      <c r="K8" s="99">
        <f t="shared" si="0"/>
        <v>0.29829545454545497</v>
      </c>
      <c r="L8" s="100">
        <f>[1]制造费率测算明细!T8</f>
        <v>2.12769470350477</v>
      </c>
      <c r="M8" s="100">
        <f>[1]制造费率测算明细!U8</f>
        <v>4.0599999999999996</v>
      </c>
      <c r="N8" s="100">
        <f>[1]制造费率测算明细!V8</f>
        <v>1.11413831747159</v>
      </c>
      <c r="O8" s="101">
        <f t="shared" si="1"/>
        <v>7.6001284755218199</v>
      </c>
      <c r="P8" s="102">
        <f t="shared" si="2"/>
        <v>0.467914438502673</v>
      </c>
      <c r="Q8" s="102">
        <f t="shared" si="3"/>
        <v>7.6001284755218199</v>
      </c>
      <c r="R8" s="107"/>
      <c r="S8" s="107"/>
      <c r="T8" s="107"/>
      <c r="U8" s="107"/>
      <c r="V8" s="107"/>
      <c r="W8" s="107"/>
      <c r="X8" s="107"/>
      <c r="Y8" s="107"/>
    </row>
    <row r="9" spans="1:25" s="47" customFormat="1" ht="20.149999999999999" customHeight="1">
      <c r="A9" s="91" t="s">
        <v>18</v>
      </c>
      <c r="B9" s="92" t="s">
        <v>246</v>
      </c>
      <c r="C9" s="91" t="s">
        <v>18</v>
      </c>
      <c r="D9" s="91" t="s">
        <v>18</v>
      </c>
      <c r="E9" s="91" t="s">
        <v>18</v>
      </c>
      <c r="F9" s="91" t="s">
        <v>18</v>
      </c>
      <c r="G9" s="91" t="s">
        <v>18</v>
      </c>
      <c r="H9" s="91" t="s">
        <v>18</v>
      </c>
      <c r="I9" s="91" t="s">
        <v>18</v>
      </c>
      <c r="J9" s="91" t="s">
        <v>18</v>
      </c>
      <c r="K9" s="91" t="s">
        <v>18</v>
      </c>
      <c r="L9" s="91" t="s">
        <v>18</v>
      </c>
      <c r="M9" s="91" t="s">
        <v>18</v>
      </c>
      <c r="N9" s="91" t="s">
        <v>18</v>
      </c>
      <c r="O9" s="91" t="s">
        <v>18</v>
      </c>
      <c r="P9" s="104">
        <f>SUM(P6:P8)</f>
        <v>5.1971925133689902</v>
      </c>
      <c r="Q9" s="104">
        <f>SUM(Q6:Q8)</f>
        <v>15.763807432991999</v>
      </c>
      <c r="R9" s="107"/>
      <c r="S9" s="107"/>
      <c r="T9" s="107"/>
      <c r="U9" s="107"/>
      <c r="V9" s="107"/>
      <c r="W9" s="107"/>
      <c r="X9" s="107"/>
      <c r="Y9" s="107"/>
    </row>
    <row r="10" spans="1:25" s="47" customFormat="1" ht="27" customHeight="1">
      <c r="A10" s="269" t="s">
        <v>247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1"/>
      <c r="Q10" s="112">
        <f>Q9+Y5</f>
        <v>32.760531200916034</v>
      </c>
      <c r="R10" s="107"/>
      <c r="S10" s="107"/>
      <c r="T10" s="107"/>
      <c r="U10" s="107"/>
      <c r="V10" s="107"/>
      <c r="W10" s="107"/>
      <c r="X10" s="107"/>
      <c r="Y10" s="107"/>
    </row>
    <row r="11" spans="1:25" s="47" customFormat="1" ht="26.5" customHeight="1">
      <c r="A11" s="93" t="s">
        <v>94</v>
      </c>
      <c r="B11" s="9" t="s">
        <v>248</v>
      </c>
      <c r="C11" s="8" t="s">
        <v>188</v>
      </c>
      <c r="D11" s="8" t="s">
        <v>133</v>
      </c>
      <c r="E11" s="94" t="s">
        <v>249</v>
      </c>
      <c r="F11" s="94" t="s">
        <v>250</v>
      </c>
      <c r="G11" s="94" t="s">
        <v>251</v>
      </c>
      <c r="H11" s="94" t="s">
        <v>252</v>
      </c>
      <c r="I11" s="69" t="s">
        <v>253</v>
      </c>
      <c r="J11" s="105" t="s">
        <v>254</v>
      </c>
      <c r="K11" s="94" t="s">
        <v>255</v>
      </c>
      <c r="L11" s="69" t="s">
        <v>256</v>
      </c>
      <c r="M11" s="69" t="s">
        <v>256</v>
      </c>
      <c r="N11" s="69" t="s">
        <v>256</v>
      </c>
      <c r="O11" s="69" t="s">
        <v>142</v>
      </c>
      <c r="P11" s="69" t="s">
        <v>142</v>
      </c>
      <c r="Q11" s="69" t="s">
        <v>142</v>
      </c>
    </row>
    <row r="12" spans="1:25">
      <c r="B12" s="95" t="s">
        <v>257</v>
      </c>
      <c r="J12" s="1"/>
    </row>
    <row r="13" spans="1:25">
      <c r="B13" s="47" t="s">
        <v>258</v>
      </c>
    </row>
    <row r="14" spans="1:25">
      <c r="B14" s="47" t="s">
        <v>259</v>
      </c>
    </row>
    <row r="15" spans="1:25">
      <c r="B15" s="47" t="s">
        <v>260</v>
      </c>
    </row>
    <row r="16" spans="1:25">
      <c r="B16" t="s">
        <v>261</v>
      </c>
    </row>
    <row r="17" customFormat="1"/>
    <row r="18" customFormat="1"/>
  </sheetData>
  <mergeCells count="26">
    <mergeCell ref="T4:U4"/>
    <mergeCell ref="V4:W4"/>
    <mergeCell ref="A1:Q1"/>
    <mergeCell ref="S1:Y1"/>
    <mergeCell ref="A2:Q2"/>
    <mergeCell ref="S2:Y2"/>
    <mergeCell ref="A3:L3"/>
    <mergeCell ref="M3:Q3"/>
    <mergeCell ref="S3:W3"/>
    <mergeCell ref="X3:Y3"/>
    <mergeCell ref="T5:U5"/>
    <mergeCell ref="V5:W5"/>
    <mergeCell ref="T6:U6"/>
    <mergeCell ref="V6:W6"/>
    <mergeCell ref="A10:P10"/>
    <mergeCell ref="A4:A5"/>
    <mergeCell ref="B4:B5"/>
    <mergeCell ref="C4:C5"/>
    <mergeCell ref="D4:D5"/>
    <mergeCell ref="E4:E5"/>
    <mergeCell ref="H4:H5"/>
    <mergeCell ref="I4:I5"/>
    <mergeCell ref="J4:J5"/>
    <mergeCell ref="F4:G4"/>
    <mergeCell ref="K4:O4"/>
    <mergeCell ref="P4:Q4"/>
  </mergeCells>
  <phoneticPr fontId="49" type="noConversion"/>
  <printOptions horizontalCentered="1"/>
  <pageMargins left="0.31496062992126" right="0.31496062992126" top="0.74803149606299202" bottom="0.74803149606299202" header="0.31496062992126" footer="0.31496062992126"/>
  <pageSetup paperSize="9" scale="66" orientation="landscape" horizontalDpi="300" verticalDpi="300" r:id="rId1"/>
  <colBreaks count="1" manualBreakCount="1">
    <brk id="1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"/>
  <dimension ref="A1:V15"/>
  <sheetViews>
    <sheetView view="pageBreakPreview" zoomScaleNormal="100" workbookViewId="0">
      <selection activeCell="E8" sqref="E8"/>
    </sheetView>
  </sheetViews>
  <sheetFormatPr defaultColWidth="9" defaultRowHeight="14"/>
  <cols>
    <col min="1" max="1" width="5.6328125" style="32" customWidth="1"/>
    <col min="2" max="2" width="10.453125" customWidth="1"/>
    <col min="3" max="3" width="12.6328125" customWidth="1"/>
    <col min="4" max="4" width="9.08984375" customWidth="1"/>
    <col min="5" max="5" width="14.36328125" customWidth="1"/>
    <col min="6" max="6" width="11" customWidth="1"/>
    <col min="7" max="7" width="10.26953125" customWidth="1"/>
    <col min="8" max="8" width="8.08984375" customWidth="1"/>
    <col min="9" max="9" width="11.90625" customWidth="1"/>
    <col min="10" max="10" width="6.7265625" customWidth="1"/>
    <col min="11" max="11" width="8" customWidth="1"/>
    <col min="12" max="12" width="8.6328125" customWidth="1"/>
    <col min="13" max="13" width="10.453125" style="32" customWidth="1"/>
    <col min="14" max="14" width="6.90625" style="32" customWidth="1"/>
    <col min="15" max="15" width="10.08984375" style="32" customWidth="1"/>
    <col min="16" max="16" width="7.26953125" style="32" customWidth="1"/>
    <col min="17" max="17" width="9.26953125" style="32" customWidth="1"/>
    <col min="18" max="18" width="8.36328125" style="32" customWidth="1"/>
    <col min="19" max="19" width="8.453125" style="32" customWidth="1"/>
    <col min="20" max="20" width="9" customWidth="1"/>
    <col min="21" max="21" width="11.36328125" customWidth="1"/>
    <col min="22" max="22" width="10.7265625" customWidth="1"/>
  </cols>
  <sheetData>
    <row r="1" spans="1:22" ht="21">
      <c r="A1" s="290" t="s">
        <v>262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2"/>
    </row>
    <row r="2" spans="1:22">
      <c r="A2" s="293" t="str">
        <f>加工明细!A2</f>
        <v>供应商 :北京光华荣昌汽车部件有限公司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5"/>
    </row>
    <row r="3" spans="1:22">
      <c r="A3" s="284" t="str">
        <f>加工明细!A3</f>
        <v>X268100000010双人座椅总成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6"/>
    </row>
    <row r="4" spans="1:22" ht="21.75" customHeight="1">
      <c r="A4" s="298" t="s">
        <v>57</v>
      </c>
      <c r="B4" s="298" t="s">
        <v>216</v>
      </c>
      <c r="C4" s="296" t="s">
        <v>263</v>
      </c>
      <c r="D4" s="297"/>
      <c r="E4" s="297"/>
      <c r="F4" s="297"/>
      <c r="G4" s="297"/>
      <c r="H4" s="297"/>
      <c r="I4" s="297"/>
      <c r="J4" s="298" t="s">
        <v>264</v>
      </c>
      <c r="K4" s="298"/>
      <c r="L4" s="298"/>
      <c r="M4" s="298"/>
      <c r="N4" s="298"/>
      <c r="O4" s="70" t="s">
        <v>265</v>
      </c>
      <c r="P4" s="71" t="s">
        <v>266</v>
      </c>
      <c r="Q4" s="299" t="s">
        <v>267</v>
      </c>
      <c r="R4" s="299"/>
      <c r="S4" s="299"/>
      <c r="T4" s="300" t="s">
        <v>268</v>
      </c>
      <c r="U4" s="300" t="s">
        <v>269</v>
      </c>
      <c r="V4" s="300" t="s">
        <v>270</v>
      </c>
    </row>
    <row r="5" spans="1:22" ht="54.75" customHeight="1">
      <c r="A5" s="298"/>
      <c r="B5" s="298"/>
      <c r="C5" s="58" t="s">
        <v>227</v>
      </c>
      <c r="D5" s="58" t="s">
        <v>117</v>
      </c>
      <c r="E5" s="28" t="s">
        <v>271</v>
      </c>
      <c r="F5" s="28" t="s">
        <v>272</v>
      </c>
      <c r="G5" s="28" t="s">
        <v>273</v>
      </c>
      <c r="H5" s="28" t="s">
        <v>274</v>
      </c>
      <c r="I5" s="72" t="s">
        <v>275</v>
      </c>
      <c r="J5" s="73" t="s">
        <v>276</v>
      </c>
      <c r="K5" s="73" t="s">
        <v>277</v>
      </c>
      <c r="L5" s="73" t="s">
        <v>278</v>
      </c>
      <c r="M5" s="28" t="s">
        <v>279</v>
      </c>
      <c r="N5" s="28" t="s">
        <v>280</v>
      </c>
      <c r="O5" s="28" t="s">
        <v>281</v>
      </c>
      <c r="P5" s="28" t="s">
        <v>282</v>
      </c>
      <c r="Q5" s="28" t="s">
        <v>283</v>
      </c>
      <c r="R5" s="28" t="s">
        <v>284</v>
      </c>
      <c r="S5" s="28" t="s">
        <v>285</v>
      </c>
      <c r="T5" s="300"/>
      <c r="U5" s="300"/>
      <c r="V5" s="300"/>
    </row>
    <row r="6" spans="1:22" s="32" customFormat="1" ht="26.5" customHeight="1">
      <c r="A6" s="59">
        <v>1</v>
      </c>
      <c r="B6" s="192" t="s">
        <v>286</v>
      </c>
      <c r="C6" s="76" t="s">
        <v>237</v>
      </c>
      <c r="D6" s="76" t="s">
        <v>18</v>
      </c>
      <c r="E6" s="76">
        <v>833656.78</v>
      </c>
      <c r="F6" s="60">
        <v>0.05</v>
      </c>
      <c r="G6" s="61">
        <v>197993.48525</v>
      </c>
      <c r="H6" s="62">
        <v>10</v>
      </c>
      <c r="I6" s="74">
        <v>6</v>
      </c>
      <c r="J6" s="62">
        <v>2.5</v>
      </c>
      <c r="K6" s="60">
        <v>0.5</v>
      </c>
      <c r="L6" s="62">
        <v>0</v>
      </c>
      <c r="M6" s="75">
        <v>0.6</v>
      </c>
      <c r="N6" s="76">
        <v>0</v>
      </c>
      <c r="O6" s="77">
        <v>1250.4851699999999</v>
      </c>
      <c r="P6" s="78">
        <v>2500.9703399999999</v>
      </c>
      <c r="Q6" s="62">
        <v>8</v>
      </c>
      <c r="R6" s="62">
        <v>264</v>
      </c>
      <c r="S6" s="62">
        <v>2112</v>
      </c>
      <c r="T6" s="80">
        <f t="shared" ref="T6:T8" si="0">(G6-E6*F6)/(H6-I6)/S6/60</f>
        <v>0.30837801106770801</v>
      </c>
      <c r="U6" s="80">
        <f t="shared" ref="U6:U8" si="1">J6*K6*M6/60+L6*N6/60</f>
        <v>1.2500000000000001E-2</v>
      </c>
      <c r="V6" s="80">
        <f t="shared" ref="V6:V8" si="2">(O6+P6)/S6/60</f>
        <v>2.9604289062500001E-2</v>
      </c>
    </row>
    <row r="7" spans="1:22" s="32" customFormat="1" ht="26.5" customHeight="1">
      <c r="A7" s="59">
        <v>2</v>
      </c>
      <c r="B7" s="63" t="s">
        <v>241</v>
      </c>
      <c r="C7" s="64" t="s">
        <v>243</v>
      </c>
      <c r="D7" s="65" t="s">
        <v>287</v>
      </c>
      <c r="E7" s="66">
        <v>15687067.51</v>
      </c>
      <c r="F7" s="60">
        <v>0.05</v>
      </c>
      <c r="G7" s="67">
        <v>1862839.2668125001</v>
      </c>
      <c r="H7" s="65">
        <v>10</v>
      </c>
      <c r="I7" s="79">
        <v>6</v>
      </c>
      <c r="J7" s="186">
        <v>580</v>
      </c>
      <c r="K7" s="187">
        <v>0.7</v>
      </c>
      <c r="L7" s="188">
        <v>0</v>
      </c>
      <c r="M7" s="189">
        <v>0.6</v>
      </c>
      <c r="N7" s="190">
        <v>0</v>
      </c>
      <c r="O7" s="191">
        <f>23530.601265*2</f>
        <v>47061.202530000002</v>
      </c>
      <c r="P7" s="191">
        <f>47061.20253*2</f>
        <v>94122.405060000005</v>
      </c>
      <c r="Q7" s="65">
        <v>8</v>
      </c>
      <c r="R7" s="65">
        <v>264</v>
      </c>
      <c r="S7" s="65">
        <v>2112</v>
      </c>
      <c r="T7" s="80">
        <f t="shared" si="0"/>
        <v>2.12769470350477</v>
      </c>
      <c r="U7" s="80">
        <f t="shared" si="1"/>
        <v>4.0599999999999996</v>
      </c>
      <c r="V7" s="80">
        <f t="shared" si="2"/>
        <v>1.11413831747159</v>
      </c>
    </row>
    <row r="8" spans="1:22" s="32" customFormat="1" ht="26.5" customHeight="1">
      <c r="A8" s="59">
        <v>3</v>
      </c>
      <c r="B8" s="63" t="s">
        <v>245</v>
      </c>
      <c r="C8" s="64" t="s">
        <v>243</v>
      </c>
      <c r="D8" s="65" t="s">
        <v>287</v>
      </c>
      <c r="E8" s="66">
        <v>15687067.51</v>
      </c>
      <c r="F8" s="60">
        <v>0.05</v>
      </c>
      <c r="G8" s="67">
        <v>1862839.2668125001</v>
      </c>
      <c r="H8" s="65">
        <v>10</v>
      </c>
      <c r="I8" s="79">
        <v>6</v>
      </c>
      <c r="J8" s="186">
        <v>580</v>
      </c>
      <c r="K8" s="187">
        <v>0.7</v>
      </c>
      <c r="L8" s="188">
        <v>0</v>
      </c>
      <c r="M8" s="189">
        <v>0.6</v>
      </c>
      <c r="N8" s="190">
        <v>0</v>
      </c>
      <c r="O8" s="191">
        <v>47061.202530000002</v>
      </c>
      <c r="P8" s="191">
        <v>94122.405060000005</v>
      </c>
      <c r="Q8" s="65">
        <v>8</v>
      </c>
      <c r="R8" s="65">
        <v>264</v>
      </c>
      <c r="S8" s="65">
        <v>2112</v>
      </c>
      <c r="T8" s="80">
        <f t="shared" si="0"/>
        <v>2.12769470350477</v>
      </c>
      <c r="U8" s="80">
        <f t="shared" si="1"/>
        <v>4.0599999999999996</v>
      </c>
      <c r="V8" s="80">
        <f t="shared" si="2"/>
        <v>1.11413831747159</v>
      </c>
    </row>
    <row r="9" spans="1:22" ht="57">
      <c r="A9" s="68" t="s">
        <v>94</v>
      </c>
      <c r="B9" s="10" t="s">
        <v>288</v>
      </c>
      <c r="C9" s="69" t="s">
        <v>289</v>
      </c>
      <c r="D9" s="69" t="s">
        <v>289</v>
      </c>
      <c r="E9" s="10" t="s">
        <v>290</v>
      </c>
      <c r="F9" s="10" t="s">
        <v>291</v>
      </c>
      <c r="G9" s="10" t="s">
        <v>292</v>
      </c>
      <c r="H9" s="10" t="s">
        <v>293</v>
      </c>
      <c r="I9" s="24" t="s">
        <v>294</v>
      </c>
      <c r="J9" s="23" t="s">
        <v>295</v>
      </c>
      <c r="K9" s="23" t="s">
        <v>296</v>
      </c>
      <c r="L9" s="23" t="s">
        <v>297</v>
      </c>
      <c r="M9" s="10" t="s">
        <v>298</v>
      </c>
      <c r="N9" s="10" t="s">
        <v>299</v>
      </c>
      <c r="O9" s="10" t="s">
        <v>300</v>
      </c>
      <c r="P9" s="10" t="s">
        <v>301</v>
      </c>
      <c r="Q9" s="10" t="s">
        <v>302</v>
      </c>
      <c r="R9" s="10" t="s">
        <v>303</v>
      </c>
      <c r="S9" s="10" t="s">
        <v>304</v>
      </c>
      <c r="T9" s="10" t="s">
        <v>304</v>
      </c>
      <c r="U9" s="10" t="s">
        <v>304</v>
      </c>
      <c r="V9" s="10" t="s">
        <v>304</v>
      </c>
    </row>
    <row r="10" spans="1:22">
      <c r="B10" s="33" t="s">
        <v>257</v>
      </c>
    </row>
    <row r="11" spans="1:22">
      <c r="B11" s="47" t="s">
        <v>305</v>
      </c>
    </row>
    <row r="12" spans="1:22">
      <c r="B12" s="47" t="s">
        <v>306</v>
      </c>
    </row>
    <row r="13" spans="1:22">
      <c r="B13" s="47" t="s">
        <v>307</v>
      </c>
    </row>
    <row r="14" spans="1:22">
      <c r="B14" s="47" t="s">
        <v>308</v>
      </c>
    </row>
    <row r="15" spans="1:22">
      <c r="B15" t="s">
        <v>309</v>
      </c>
    </row>
  </sheetData>
  <mergeCells count="11">
    <mergeCell ref="A1:V1"/>
    <mergeCell ref="A2:V2"/>
    <mergeCell ref="A3:V3"/>
    <mergeCell ref="C4:I4"/>
    <mergeCell ref="J4:N4"/>
    <mergeCell ref="Q4:S4"/>
    <mergeCell ref="A4:A5"/>
    <mergeCell ref="B4:B5"/>
    <mergeCell ref="T4:T5"/>
    <mergeCell ref="U4:U5"/>
    <mergeCell ref="V4:V5"/>
  </mergeCells>
  <phoneticPr fontId="49" type="noConversion"/>
  <conditionalFormatting sqref="B7:B8">
    <cfRule type="duplicateValues" dxfId="1" priority="3"/>
    <cfRule type="duplicateValues" dxfId="0" priority="4"/>
  </conditionalFormatting>
  <printOptions horizontalCentered="1"/>
  <pageMargins left="0.39370078740157499" right="0.39370078740157499" top="0.74803149606299202" bottom="0.74803149606299202" header="0.31496062992126" footer="0.31496062992126"/>
  <pageSetup paperSize="9" scale="63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7"/>
  <dimension ref="A1:G19"/>
  <sheetViews>
    <sheetView view="pageBreakPreview" topLeftCell="A7" zoomScale="115" zoomScaleNormal="100" workbookViewId="0">
      <selection activeCell="C13" sqref="C13"/>
    </sheetView>
  </sheetViews>
  <sheetFormatPr defaultColWidth="9" defaultRowHeight="14"/>
  <cols>
    <col min="1" max="1" width="9" style="48"/>
    <col min="2" max="2" width="14.08984375" style="48" customWidth="1"/>
    <col min="3" max="3" width="10.36328125" style="48" customWidth="1"/>
    <col min="4" max="4" width="9" style="48"/>
    <col min="5" max="6" width="14.453125" style="48" customWidth="1"/>
    <col min="7" max="7" width="20.08984375" style="48" customWidth="1"/>
    <col min="8" max="16384" width="9" style="48"/>
  </cols>
  <sheetData>
    <row r="1" spans="1:7" ht="20.25" customHeight="1">
      <c r="A1" s="308" t="s">
        <v>310</v>
      </c>
      <c r="B1" s="308"/>
      <c r="C1" s="308"/>
      <c r="D1" s="308"/>
      <c r="E1" s="308"/>
      <c r="F1" s="308"/>
      <c r="G1" s="308"/>
    </row>
    <row r="2" spans="1:7" customFormat="1" ht="18.75" customHeight="1">
      <c r="A2" s="309" t="str">
        <f>制造费率测算明细!A2</f>
        <v>供应商 :北京光华荣昌汽车部件有限公司</v>
      </c>
      <c r="B2" s="310"/>
      <c r="C2" s="310"/>
      <c r="D2" s="310"/>
      <c r="E2" s="310"/>
      <c r="F2" s="310"/>
      <c r="G2" s="311"/>
    </row>
    <row r="3" spans="1:7" customFormat="1" ht="18.75" customHeight="1">
      <c r="A3" s="284" t="str">
        <f>制造费率测算明细!A3</f>
        <v>X268100000010双人座椅总成</v>
      </c>
      <c r="B3" s="285"/>
      <c r="C3" s="285"/>
      <c r="D3" s="285"/>
      <c r="E3" s="285"/>
      <c r="F3" s="312" t="s">
        <v>108</v>
      </c>
      <c r="G3" s="313"/>
    </row>
    <row r="4" spans="1:7" ht="27" customHeight="1">
      <c r="A4" s="299" t="s">
        <v>57</v>
      </c>
      <c r="B4" s="302" t="s">
        <v>311</v>
      </c>
      <c r="C4" s="303" t="s">
        <v>312</v>
      </c>
      <c r="D4" s="299" t="s">
        <v>313</v>
      </c>
      <c r="E4" s="299" t="s">
        <v>314</v>
      </c>
      <c r="F4" s="304" t="s">
        <v>315</v>
      </c>
      <c r="G4" s="306" t="s">
        <v>316</v>
      </c>
    </row>
    <row r="5" spans="1:7" ht="27" customHeight="1">
      <c r="A5" s="299"/>
      <c r="B5" s="302"/>
      <c r="C5" s="303"/>
      <c r="D5" s="299"/>
      <c r="E5" s="299"/>
      <c r="F5" s="305"/>
      <c r="G5" s="307"/>
    </row>
    <row r="6" spans="1:7" ht="26">
      <c r="A6" s="22">
        <v>1</v>
      </c>
      <c r="B6" s="50" t="s">
        <v>317</v>
      </c>
      <c r="C6" s="51">
        <f>D6*[2]汇总表!D17</f>
        <v>7.83017637004356</v>
      </c>
      <c r="D6" s="52">
        <v>6.0000000000000001E-3</v>
      </c>
      <c r="E6" s="53">
        <v>0</v>
      </c>
      <c r="F6" s="53">
        <v>0</v>
      </c>
      <c r="G6" s="53">
        <v>0</v>
      </c>
    </row>
    <row r="7" spans="1:7">
      <c r="A7" s="22">
        <v>2</v>
      </c>
      <c r="B7" s="49" t="s">
        <v>36</v>
      </c>
      <c r="C7" s="51">
        <f>D7*[2]汇总表!D17</f>
        <v>7.83017637004356</v>
      </c>
      <c r="D7" s="52">
        <v>6.0000000000000001E-3</v>
      </c>
      <c r="E7" s="53">
        <v>0</v>
      </c>
      <c r="F7" s="53">
        <v>0</v>
      </c>
      <c r="G7" s="53">
        <v>0</v>
      </c>
    </row>
    <row r="8" spans="1:7" ht="21" customHeight="1">
      <c r="A8" s="22">
        <v>3</v>
      </c>
      <c r="B8" s="49" t="s">
        <v>318</v>
      </c>
      <c r="C8" s="51">
        <f>D8*[2]汇总表!D17</f>
        <v>7.83017637004356</v>
      </c>
      <c r="D8" s="52">
        <v>6.0000000000000001E-3</v>
      </c>
      <c r="E8" s="53">
        <v>0</v>
      </c>
      <c r="F8" s="53">
        <v>0</v>
      </c>
      <c r="G8" s="53">
        <v>0</v>
      </c>
    </row>
    <row r="9" spans="1:7" ht="24.75" customHeight="1">
      <c r="A9" s="314" t="s">
        <v>319</v>
      </c>
      <c r="B9" s="314" t="s">
        <v>320</v>
      </c>
      <c r="C9" s="314"/>
      <c r="D9" s="314"/>
      <c r="E9" s="314"/>
      <c r="F9" s="314"/>
      <c r="G9" s="314"/>
    </row>
    <row r="10" spans="1:7">
      <c r="A10" s="54" t="s">
        <v>57</v>
      </c>
      <c r="B10" s="276" t="s">
        <v>321</v>
      </c>
      <c r="C10" s="276"/>
      <c r="D10" s="276" t="s">
        <v>322</v>
      </c>
      <c r="E10" s="276"/>
      <c r="F10" s="276" t="s">
        <v>323</v>
      </c>
      <c r="G10" s="276"/>
    </row>
    <row r="11" spans="1:7">
      <c r="A11" s="54">
        <v>1</v>
      </c>
      <c r="B11" s="276" t="s">
        <v>324</v>
      </c>
      <c r="C11" s="276"/>
      <c r="D11" s="301">
        <v>12</v>
      </c>
      <c r="E11" s="301"/>
      <c r="F11" s="301">
        <v>12</v>
      </c>
      <c r="G11" s="301"/>
    </row>
    <row r="12" spans="1:7">
      <c r="A12" s="54">
        <v>2</v>
      </c>
      <c r="B12" s="276" t="s">
        <v>325</v>
      </c>
      <c r="C12" s="276"/>
      <c r="D12" s="301">
        <v>5</v>
      </c>
      <c r="E12" s="301"/>
      <c r="F12" s="301">
        <v>5</v>
      </c>
      <c r="G12" s="301"/>
    </row>
    <row r="13" spans="1:7" ht="26">
      <c r="A13" s="276">
        <v>3</v>
      </c>
      <c r="B13" s="276" t="s">
        <v>326</v>
      </c>
      <c r="C13" s="55" t="s">
        <v>327</v>
      </c>
      <c r="D13" s="301">
        <v>40</v>
      </c>
      <c r="E13" s="301"/>
      <c r="F13" s="301">
        <v>40</v>
      </c>
      <c r="G13" s="301"/>
    </row>
    <row r="14" spans="1:7" ht="26">
      <c r="A14" s="276"/>
      <c r="B14" s="276"/>
      <c r="C14" s="54" t="s">
        <v>328</v>
      </c>
      <c r="D14" s="301">
        <v>5</v>
      </c>
      <c r="E14" s="301"/>
      <c r="F14" s="301">
        <v>5</v>
      </c>
      <c r="G14" s="301"/>
    </row>
    <row r="15" spans="1:7">
      <c r="B15" s="56" t="s">
        <v>257</v>
      </c>
    </row>
    <row r="16" spans="1:7">
      <c r="B16" s="57" t="s">
        <v>329</v>
      </c>
    </row>
    <row r="17" spans="1:7">
      <c r="B17" s="57" t="s">
        <v>330</v>
      </c>
    </row>
    <row r="18" spans="1:7">
      <c r="B18" s="57" t="s">
        <v>331</v>
      </c>
    </row>
    <row r="19" spans="1:7" customFormat="1">
      <c r="A19" s="48"/>
      <c r="B19" t="s">
        <v>332</v>
      </c>
      <c r="C19" s="48"/>
      <c r="D19" s="48"/>
      <c r="E19" s="48"/>
      <c r="F19" s="48"/>
      <c r="G19" s="48"/>
    </row>
  </sheetData>
  <mergeCells count="27">
    <mergeCell ref="A1:G1"/>
    <mergeCell ref="A2:G2"/>
    <mergeCell ref="A3:E3"/>
    <mergeCell ref="F3:G3"/>
    <mergeCell ref="A9:G9"/>
    <mergeCell ref="B10:C10"/>
    <mergeCell ref="D10:E10"/>
    <mergeCell ref="F10:G10"/>
    <mergeCell ref="B11:C11"/>
    <mergeCell ref="D11:E11"/>
    <mergeCell ref="F11:G11"/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  <mergeCell ref="B12:C12"/>
    <mergeCell ref="D12:E12"/>
    <mergeCell ref="F12:G12"/>
    <mergeCell ref="D13:E13"/>
    <mergeCell ref="F13:G13"/>
  </mergeCells>
  <phoneticPr fontId="49" type="noConversion"/>
  <printOptions horizontalCentered="1"/>
  <pageMargins left="0.70866141732283505" right="0.70866141732283505" top="0.74803149606299202" bottom="0.74803149606299202" header="0.31496062992126" footer="0.31496062992126"/>
  <pageSetup paperSize="9" scale="66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8"/>
  <dimension ref="A1:S46"/>
  <sheetViews>
    <sheetView view="pageBreakPreview" zoomScale="70" zoomScaleNormal="100" workbookViewId="0">
      <selection activeCell="R11" sqref="R11"/>
    </sheetView>
  </sheetViews>
  <sheetFormatPr defaultColWidth="9" defaultRowHeight="14"/>
  <cols>
    <col min="1" max="1" width="11.453125" customWidth="1"/>
    <col min="2" max="2" width="15.08984375" customWidth="1"/>
    <col min="3" max="3" width="11.08984375" customWidth="1"/>
    <col min="4" max="4" width="12.453125" customWidth="1"/>
    <col min="5" max="5" width="11.453125" customWidth="1"/>
    <col min="6" max="6" width="15.7265625" customWidth="1"/>
    <col min="7" max="7" width="14.453125" customWidth="1"/>
    <col min="8" max="8" width="19.26953125" customWidth="1"/>
    <col min="9" max="9" width="12.6328125" customWidth="1"/>
    <col min="10" max="10" width="11.453125" customWidth="1"/>
    <col min="11" max="11" width="14.90625" customWidth="1"/>
    <col min="12" max="12" width="13.26953125" customWidth="1"/>
    <col min="13" max="13" width="11.08984375" customWidth="1"/>
    <col min="15" max="15" width="13.90625" customWidth="1"/>
    <col min="16" max="16" width="13.26953125" customWidth="1"/>
    <col min="17" max="17" width="16.7265625" customWidth="1"/>
    <col min="18" max="18" width="15.453125" customWidth="1"/>
    <col min="19" max="19" width="23.7265625" customWidth="1"/>
  </cols>
  <sheetData>
    <row r="1" spans="1:19" ht="21">
      <c r="A1" s="327" t="s">
        <v>333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</row>
    <row r="2" spans="1:19" ht="18.75" customHeight="1">
      <c r="A2" s="279" t="str">
        <f>期间费用!A2</f>
        <v>供应商 :北京光华荣昌汽车部件有限公司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1"/>
    </row>
    <row r="3" spans="1:19" ht="18.75" customHeight="1">
      <c r="A3" s="284" t="str">
        <f>期间费用!A3</f>
        <v>X268100000010双人座椅总成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6"/>
    </row>
    <row r="4" spans="1:19">
      <c r="A4" s="328" t="s">
        <v>334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30"/>
    </row>
    <row r="5" spans="1:19" ht="26">
      <c r="A5" s="21" t="s">
        <v>57</v>
      </c>
      <c r="B5" s="22" t="s">
        <v>335</v>
      </c>
      <c r="C5" s="331" t="s">
        <v>336</v>
      </c>
      <c r="D5" s="331"/>
      <c r="E5" s="298" t="s">
        <v>337</v>
      </c>
      <c r="F5" s="298"/>
      <c r="G5" s="298" t="s">
        <v>338</v>
      </c>
      <c r="H5" s="298"/>
      <c r="I5" s="298" t="s">
        <v>339</v>
      </c>
      <c r="J5" s="298"/>
      <c r="K5" s="36" t="s">
        <v>340</v>
      </c>
      <c r="L5" s="36" t="s">
        <v>341</v>
      </c>
      <c r="M5" s="36" t="s">
        <v>342</v>
      </c>
      <c r="N5" s="318" t="s">
        <v>343</v>
      </c>
      <c r="O5" s="319"/>
      <c r="P5" s="332" t="s">
        <v>344</v>
      </c>
      <c r="Q5" s="333"/>
      <c r="R5" s="40" t="s">
        <v>345</v>
      </c>
      <c r="S5" s="41" t="s">
        <v>346</v>
      </c>
    </row>
    <row r="6" spans="1:19" ht="27" customHeight="1">
      <c r="A6" s="21">
        <v>1</v>
      </c>
      <c r="B6" s="21" t="s">
        <v>347</v>
      </c>
      <c r="C6" s="318" t="s">
        <v>348</v>
      </c>
      <c r="D6" s="319"/>
      <c r="E6" s="318" t="s">
        <v>349</v>
      </c>
      <c r="F6" s="319"/>
      <c r="G6" s="318" t="s">
        <v>18</v>
      </c>
      <c r="H6" s="319"/>
      <c r="I6" s="318" t="s">
        <v>18</v>
      </c>
      <c r="J6" s="319"/>
      <c r="K6" s="21">
        <v>1410</v>
      </c>
      <c r="L6" s="21">
        <v>1080</v>
      </c>
      <c r="M6" s="21">
        <v>900</v>
      </c>
      <c r="N6" s="318">
        <v>500</v>
      </c>
      <c r="O6" s="319"/>
      <c r="P6" s="318">
        <v>10</v>
      </c>
      <c r="Q6" s="319"/>
      <c r="R6" s="42">
        <v>104</v>
      </c>
      <c r="S6" s="43">
        <f>N6/P6/R6</f>
        <v>0.480769230769231</v>
      </c>
    </row>
    <row r="7" spans="1:19">
      <c r="A7" s="315" t="s">
        <v>130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7"/>
      <c r="S7" s="43">
        <f>SUM(S6:S6)</f>
        <v>0.480769230769231</v>
      </c>
    </row>
    <row r="8" spans="1:19" ht="28.5">
      <c r="A8" s="11" t="s">
        <v>94</v>
      </c>
      <c r="B8" s="23" t="s">
        <v>350</v>
      </c>
      <c r="C8" s="320" t="s">
        <v>351</v>
      </c>
      <c r="D8" s="321"/>
      <c r="E8" s="322" t="s">
        <v>352</v>
      </c>
      <c r="F8" s="323"/>
      <c r="G8" s="324" t="s">
        <v>353</v>
      </c>
      <c r="H8" s="325"/>
      <c r="I8" s="320" t="s">
        <v>354</v>
      </c>
      <c r="J8" s="326"/>
      <c r="K8" s="11" t="s">
        <v>355</v>
      </c>
      <c r="L8" s="11" t="s">
        <v>355</v>
      </c>
      <c r="M8" s="11" t="s">
        <v>355</v>
      </c>
      <c r="N8" s="322" t="s">
        <v>101</v>
      </c>
      <c r="O8" s="323"/>
      <c r="P8" s="322" t="s">
        <v>356</v>
      </c>
      <c r="Q8" s="323"/>
      <c r="R8" s="23" t="s">
        <v>357</v>
      </c>
      <c r="S8" s="44" t="s">
        <v>358</v>
      </c>
    </row>
    <row r="9" spans="1:19">
      <c r="A9" s="25" t="s">
        <v>359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45"/>
    </row>
    <row r="10" spans="1:19" ht="50.5" customHeight="1">
      <c r="A10" s="21" t="s">
        <v>57</v>
      </c>
      <c r="B10" s="27" t="s">
        <v>360</v>
      </c>
      <c r="C10" s="27" t="s">
        <v>361</v>
      </c>
      <c r="D10" s="21" t="s">
        <v>362</v>
      </c>
      <c r="E10" s="21" t="s">
        <v>363</v>
      </c>
      <c r="F10" s="28" t="s">
        <v>364</v>
      </c>
      <c r="G10" s="29" t="s">
        <v>365</v>
      </c>
      <c r="H10" s="29" t="s">
        <v>366</v>
      </c>
      <c r="I10" s="29" t="s">
        <v>367</v>
      </c>
      <c r="J10" s="29" t="s">
        <v>368</v>
      </c>
      <c r="K10" s="29" t="s">
        <v>369</v>
      </c>
      <c r="L10" s="29" t="s">
        <v>370</v>
      </c>
      <c r="M10" s="29" t="s">
        <v>371</v>
      </c>
      <c r="N10" s="29" t="s">
        <v>372</v>
      </c>
      <c r="O10" s="29" t="s">
        <v>373</v>
      </c>
      <c r="P10" s="29" t="s">
        <v>374</v>
      </c>
      <c r="Q10" s="29" t="s">
        <v>118</v>
      </c>
      <c r="R10" s="29" t="s">
        <v>375</v>
      </c>
      <c r="S10" s="29" t="s">
        <v>376</v>
      </c>
    </row>
    <row r="11" spans="1:19" ht="50.5" customHeight="1">
      <c r="A11" s="21">
        <v>1</v>
      </c>
      <c r="B11" s="21" t="s">
        <v>377</v>
      </c>
      <c r="C11" s="21" t="s">
        <v>378</v>
      </c>
      <c r="D11" s="21" t="s">
        <v>379</v>
      </c>
      <c r="E11" s="21" t="s">
        <v>380</v>
      </c>
      <c r="F11" s="21">
        <v>12</v>
      </c>
      <c r="G11" s="21" t="s">
        <v>381</v>
      </c>
      <c r="H11" s="21">
        <v>8</v>
      </c>
      <c r="I11" s="21" t="s">
        <v>382</v>
      </c>
      <c r="J11" s="21">
        <v>9.6</v>
      </c>
      <c r="K11" s="21">
        <v>2.2999999999999998</v>
      </c>
      <c r="L11" s="21">
        <v>2.4</v>
      </c>
      <c r="M11" s="28" t="s">
        <v>18</v>
      </c>
      <c r="N11" s="28" t="s">
        <v>18</v>
      </c>
      <c r="O11" s="28" t="s">
        <v>18</v>
      </c>
      <c r="P11" s="21">
        <v>50</v>
      </c>
      <c r="Q11" s="21" t="s">
        <v>383</v>
      </c>
      <c r="R11" s="21">
        <v>300</v>
      </c>
      <c r="S11" s="43">
        <f>R11/P11</f>
        <v>6</v>
      </c>
    </row>
    <row r="12" spans="1:19">
      <c r="A12" s="315" t="s">
        <v>130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7"/>
      <c r="S12" s="46">
        <f>SUM(S11:S11)</f>
        <v>6</v>
      </c>
    </row>
    <row r="13" spans="1:19" ht="85.5">
      <c r="A13" s="11" t="s">
        <v>94</v>
      </c>
      <c r="B13" s="23" t="s">
        <v>384</v>
      </c>
      <c r="C13" s="23" t="s">
        <v>385</v>
      </c>
      <c r="D13" s="12" t="s">
        <v>386</v>
      </c>
      <c r="E13" s="12" t="s">
        <v>386</v>
      </c>
      <c r="F13" s="10" t="s">
        <v>387</v>
      </c>
      <c r="G13" s="23" t="s">
        <v>388</v>
      </c>
      <c r="H13" s="23" t="s">
        <v>389</v>
      </c>
      <c r="I13" s="23" t="s">
        <v>390</v>
      </c>
      <c r="J13" s="11" t="s">
        <v>391</v>
      </c>
      <c r="K13" s="11" t="s">
        <v>391</v>
      </c>
      <c r="L13" s="11" t="s">
        <v>391</v>
      </c>
      <c r="M13" s="23" t="s">
        <v>392</v>
      </c>
      <c r="N13" s="37" t="s">
        <v>393</v>
      </c>
      <c r="O13" s="10" t="s">
        <v>394</v>
      </c>
      <c r="P13" s="10" t="s">
        <v>395</v>
      </c>
      <c r="Q13" s="23" t="s">
        <v>396</v>
      </c>
      <c r="R13" s="10" t="s">
        <v>397</v>
      </c>
      <c r="S13" s="11" t="s">
        <v>398</v>
      </c>
    </row>
    <row r="14" spans="1:19" ht="25.9" customHeight="1">
      <c r="B14" t="s">
        <v>399</v>
      </c>
    </row>
    <row r="15" spans="1:19" ht="25.9" customHeight="1">
      <c r="S15" s="47"/>
    </row>
    <row r="16" spans="1:19">
      <c r="A16" s="30"/>
      <c r="B16" s="31"/>
      <c r="C16" s="30"/>
      <c r="D16" s="30"/>
      <c r="E16" s="30"/>
      <c r="F16" s="30"/>
      <c r="G16" s="30"/>
      <c r="H16" s="30"/>
      <c r="I16" s="38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>
      <c r="A17" s="32"/>
    </row>
    <row r="18" spans="1:19">
      <c r="A18" s="32"/>
      <c r="B18" s="33"/>
    </row>
    <row r="23" spans="1:19" ht="14.5">
      <c r="F23" s="1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5" spans="1:19" ht="14.5">
      <c r="B25" s="35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9"/>
      <c r="P25" s="34"/>
      <c r="Q25" s="34"/>
    </row>
    <row r="28" spans="1:19" ht="24" customHeight="1"/>
    <row r="29" spans="1:19" ht="13.5" customHeight="1"/>
    <row r="30" spans="1:19" ht="24" customHeight="1"/>
    <row r="31" spans="1:19" ht="24.4" customHeight="1"/>
    <row r="32" spans="1:19" ht="27" customHeight="1"/>
    <row r="33" spans="1:1" ht="13.5" customHeight="1"/>
    <row r="34" spans="1:1" ht="19.5" customHeight="1"/>
    <row r="36" spans="1:1" ht="14.5" customHeight="1"/>
    <row r="37" spans="1:1" ht="13.5" customHeight="1"/>
    <row r="38" spans="1:1" ht="13.5" customHeight="1"/>
    <row r="39" spans="1:1" ht="14.5" customHeight="1"/>
    <row r="40" spans="1:1">
      <c r="A40" s="32"/>
    </row>
    <row r="41" spans="1:1">
      <c r="A41" s="32"/>
    </row>
    <row r="42" spans="1:1" ht="14.5" customHeight="1">
      <c r="A42" s="32"/>
    </row>
    <row r="43" spans="1:1">
      <c r="A43" s="32"/>
    </row>
    <row r="44" spans="1:1">
      <c r="A44" s="32"/>
    </row>
    <row r="45" spans="1:1" ht="14.5" customHeight="1">
      <c r="A45" s="32"/>
    </row>
    <row r="46" spans="1:1">
      <c r="A46" s="32"/>
    </row>
  </sheetData>
  <mergeCells count="24">
    <mergeCell ref="A1:S1"/>
    <mergeCell ref="A2:S2"/>
    <mergeCell ref="A3:S3"/>
    <mergeCell ref="A4:S4"/>
    <mergeCell ref="C5:D5"/>
    <mergeCell ref="E5:F5"/>
    <mergeCell ref="G5:H5"/>
    <mergeCell ref="I5:J5"/>
    <mergeCell ref="N5:O5"/>
    <mergeCell ref="P5:Q5"/>
    <mergeCell ref="A12:R12"/>
    <mergeCell ref="P6:Q6"/>
    <mergeCell ref="A7:R7"/>
    <mergeCell ref="C8:D8"/>
    <mergeCell ref="E8:F8"/>
    <mergeCell ref="G8:H8"/>
    <mergeCell ref="I8:J8"/>
    <mergeCell ref="N8:O8"/>
    <mergeCell ref="P8:Q8"/>
    <mergeCell ref="C6:D6"/>
    <mergeCell ref="E6:F6"/>
    <mergeCell ref="G6:H6"/>
    <mergeCell ref="I6:J6"/>
    <mergeCell ref="N6:O6"/>
  </mergeCells>
  <phoneticPr fontId="49" type="noConversion"/>
  <printOptions horizontalCentered="1"/>
  <pageMargins left="0.31496062992126" right="0.31496062992126" top="0.55118110236220497" bottom="0.35433070866141703" header="0.31496062992126" footer="0.31496062992126"/>
  <pageSetup paperSize="9" scale="3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/>
  <dimension ref="A1:Q8"/>
  <sheetViews>
    <sheetView view="pageBreakPreview" zoomScaleNormal="100" workbookViewId="0">
      <selection activeCell="A2" sqref="A2:Q2"/>
    </sheetView>
  </sheetViews>
  <sheetFormatPr defaultColWidth="9" defaultRowHeight="14"/>
  <cols>
    <col min="1" max="1" width="6.6328125" customWidth="1"/>
    <col min="2" max="2" width="10.6328125" style="1" customWidth="1"/>
    <col min="3" max="3" width="13.08984375" style="1" customWidth="1"/>
    <col min="5" max="5" width="7.6328125" customWidth="1"/>
    <col min="6" max="6" width="6.08984375" customWidth="1"/>
    <col min="7" max="7" width="10.26953125" customWidth="1"/>
    <col min="8" max="8" width="12.08984375" customWidth="1"/>
    <col min="10" max="11" width="6.7265625" customWidth="1"/>
    <col min="12" max="12" width="8" customWidth="1"/>
    <col min="13" max="13" width="9.453125" customWidth="1"/>
    <col min="14" max="14" width="10.08984375" customWidth="1"/>
    <col min="15" max="15" width="12.7265625" customWidth="1"/>
    <col min="16" max="16" width="9.6328125" customWidth="1"/>
    <col min="17" max="17" width="11.36328125" customWidth="1"/>
  </cols>
  <sheetData>
    <row r="1" spans="1:17" ht="21">
      <c r="A1" s="336" t="s">
        <v>400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8"/>
    </row>
    <row r="2" spans="1:17">
      <c r="A2" s="284" t="str">
        <f>包装运输明细!A2</f>
        <v>供应商 :北京光华荣昌汽车部件有限公司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</row>
    <row r="3" spans="1:17">
      <c r="A3" s="339" t="str">
        <f>包装运输明细!A3</f>
        <v>X268100000010双人座椅总成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15" t="s">
        <v>401</v>
      </c>
      <c r="Q3" s="317"/>
    </row>
    <row r="4" spans="1:17" ht="20.5" customHeight="1">
      <c r="A4" s="335" t="s">
        <v>57</v>
      </c>
      <c r="B4" s="335" t="s">
        <v>60</v>
      </c>
      <c r="C4" s="335" t="s">
        <v>402</v>
      </c>
      <c r="D4" s="335" t="s">
        <v>216</v>
      </c>
      <c r="E4" s="335" t="s">
        <v>199</v>
      </c>
      <c r="F4" s="335" t="s">
        <v>403</v>
      </c>
      <c r="G4" s="335" t="s">
        <v>404</v>
      </c>
      <c r="H4" s="335" t="s">
        <v>405</v>
      </c>
      <c r="I4" s="335" t="s">
        <v>406</v>
      </c>
      <c r="J4" s="340" t="s">
        <v>407</v>
      </c>
      <c r="K4" s="340"/>
      <c r="L4" s="341" t="s">
        <v>408</v>
      </c>
      <c r="M4" s="342"/>
      <c r="N4" s="343"/>
      <c r="O4" s="344" t="s">
        <v>409</v>
      </c>
      <c r="P4" s="344" t="s">
        <v>410</v>
      </c>
      <c r="Q4" s="344" t="s">
        <v>26</v>
      </c>
    </row>
    <row r="5" spans="1:17" ht="26">
      <c r="A5" s="335"/>
      <c r="B5" s="335"/>
      <c r="C5" s="335"/>
      <c r="D5" s="335"/>
      <c r="E5" s="335"/>
      <c r="F5" s="335"/>
      <c r="G5" s="335"/>
      <c r="H5" s="335"/>
      <c r="I5" s="335"/>
      <c r="J5" s="13" t="s">
        <v>115</v>
      </c>
      <c r="K5" s="13" t="s">
        <v>411</v>
      </c>
      <c r="L5" s="13" t="s">
        <v>412</v>
      </c>
      <c r="M5" s="14" t="s">
        <v>413</v>
      </c>
      <c r="N5" s="14" t="s">
        <v>130</v>
      </c>
      <c r="O5" s="345"/>
      <c r="P5" s="345"/>
      <c r="Q5" s="345"/>
    </row>
    <row r="6" spans="1:17">
      <c r="A6" s="2">
        <v>1</v>
      </c>
      <c r="B6" s="3" t="s">
        <v>18</v>
      </c>
      <c r="C6" s="4" t="s">
        <v>18</v>
      </c>
      <c r="D6" s="5" t="s">
        <v>18</v>
      </c>
      <c r="E6" s="6" t="s">
        <v>18</v>
      </c>
      <c r="F6" s="6" t="s">
        <v>18</v>
      </c>
      <c r="G6" s="6" t="s">
        <v>18</v>
      </c>
      <c r="H6" s="2" t="s">
        <v>18</v>
      </c>
      <c r="I6" s="2" t="s">
        <v>18</v>
      </c>
      <c r="J6" s="2" t="s">
        <v>18</v>
      </c>
      <c r="K6" s="2" t="s">
        <v>18</v>
      </c>
      <c r="L6" s="2">
        <v>0</v>
      </c>
      <c r="M6" s="2">
        <v>0</v>
      </c>
      <c r="N6" s="2">
        <v>0</v>
      </c>
      <c r="O6" s="15">
        <v>100000</v>
      </c>
      <c r="P6" s="16">
        <f>M6/O6</f>
        <v>0</v>
      </c>
      <c r="Q6" s="19" t="s">
        <v>18</v>
      </c>
    </row>
    <row r="7" spans="1:17">
      <c r="A7" s="334" t="s">
        <v>130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17" t="s">
        <v>18</v>
      </c>
      <c r="P7" s="18">
        <f>SUM(P6:P6)</f>
        <v>0</v>
      </c>
      <c r="Q7" s="17" t="s">
        <v>18</v>
      </c>
    </row>
    <row r="8" spans="1:17" ht="47.5">
      <c r="A8" s="7" t="s">
        <v>94</v>
      </c>
      <c r="B8" s="8" t="s">
        <v>131</v>
      </c>
      <c r="C8" s="9" t="s">
        <v>132</v>
      </c>
      <c r="D8" s="10" t="s">
        <v>288</v>
      </c>
      <c r="E8" s="10" t="s">
        <v>414</v>
      </c>
      <c r="F8" s="10" t="s">
        <v>415</v>
      </c>
      <c r="G8" s="11" t="s">
        <v>416</v>
      </c>
      <c r="H8" s="12" t="s">
        <v>417</v>
      </c>
      <c r="I8" s="10" t="s">
        <v>418</v>
      </c>
      <c r="J8" s="9" t="s">
        <v>140</v>
      </c>
      <c r="K8" s="9" t="s">
        <v>141</v>
      </c>
      <c r="L8" s="10" t="s">
        <v>419</v>
      </c>
      <c r="M8" s="10" t="s">
        <v>420</v>
      </c>
      <c r="N8" s="11" t="s">
        <v>421</v>
      </c>
      <c r="O8" s="10" t="s">
        <v>422</v>
      </c>
      <c r="P8" s="11" t="s">
        <v>423</v>
      </c>
      <c r="Q8" s="20" t="s">
        <v>103</v>
      </c>
    </row>
  </sheetData>
  <mergeCells count="19">
    <mergeCell ref="A1:Q1"/>
    <mergeCell ref="A2:Q2"/>
    <mergeCell ref="A3:O3"/>
    <mergeCell ref="P3:Q3"/>
    <mergeCell ref="J4:K4"/>
    <mergeCell ref="L4:N4"/>
    <mergeCell ref="O4:O5"/>
    <mergeCell ref="P4:P5"/>
    <mergeCell ref="Q4:Q5"/>
    <mergeCell ref="A7:N7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49" type="noConversion"/>
  <printOptions horizontalCentered="1"/>
  <pageMargins left="0.31496062992126" right="0.31496062992126" top="0.74803149606299202" bottom="0.74803149606299202" header="0.31496062992126" footer="0.31496062992126"/>
  <pageSetup paperSize="9" scale="7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"/>
  <sheetViews>
    <sheetView workbookViewId="0"/>
  </sheetViews>
  <sheetFormatPr defaultColWidth="9" defaultRowHeight="14"/>
  <sheetData/>
  <phoneticPr fontId="4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results</vt:lpstr>
      <vt:lpstr>汇总表</vt:lpstr>
      <vt:lpstr>BOM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包装运输明细!Print_Area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卿 郭</cp:lastModifiedBy>
  <cp:lastPrinted>2016-09-23T08:06:00Z</cp:lastPrinted>
  <dcterms:created xsi:type="dcterms:W3CDTF">2014-04-03T05:19:00Z</dcterms:created>
  <dcterms:modified xsi:type="dcterms:W3CDTF">2025-09-05T07:53:54Z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2052-12.1.0.21915</vt:lpwstr>
  </property>
  <property fmtid="{D5CDD505-2E9C-101B-9397-08002B2CF9AE}" pid="983" name="IVIDE0BB7575">
    <vt:lpwstr/>
  </property>
  <property fmtid="{D5CDD505-2E9C-101B-9397-08002B2CF9AE}" pid="984" name="IVIDA4574303">
    <vt:lpwstr/>
  </property>
  <property fmtid="{D5CDD505-2E9C-101B-9397-08002B2CF9AE}" pid="985" name="IVIDAAED0EF7">
    <vt:lpwstr/>
  </property>
  <property fmtid="{D5CDD505-2E9C-101B-9397-08002B2CF9AE}" pid="986" name="IVID96FE57F4">
    <vt:lpwstr/>
  </property>
  <property fmtid="{D5CDD505-2E9C-101B-9397-08002B2CF9AE}" pid="987" name="IVIDCA79F02B">
    <vt:lpwstr/>
  </property>
  <property fmtid="{D5CDD505-2E9C-101B-9397-08002B2CF9AE}" pid="988" name="IVID64A870A6">
    <vt:lpwstr/>
  </property>
  <property fmtid="{D5CDD505-2E9C-101B-9397-08002B2CF9AE}" pid="989" name="IVID6812FA05">
    <vt:lpwstr/>
  </property>
  <property fmtid="{D5CDD505-2E9C-101B-9397-08002B2CF9AE}" pid="990" name="IVID3974C7">
    <vt:lpwstr/>
  </property>
  <property fmtid="{D5CDD505-2E9C-101B-9397-08002B2CF9AE}" pid="991" name="IVID44CDA1BB">
    <vt:lpwstr/>
  </property>
  <property fmtid="{D5CDD505-2E9C-101B-9397-08002B2CF9AE}" pid="992" name="IVIDAE64D607">
    <vt:lpwstr/>
  </property>
  <property fmtid="{D5CDD505-2E9C-101B-9397-08002B2CF9AE}" pid="993" name="IVID2AD64589">
    <vt:lpwstr/>
  </property>
  <property fmtid="{D5CDD505-2E9C-101B-9397-08002B2CF9AE}" pid="994" name="IVIDC2D1AD2B">
    <vt:lpwstr/>
  </property>
  <property fmtid="{D5CDD505-2E9C-101B-9397-08002B2CF9AE}" pid="995" name="IVID8E76A407">
    <vt:lpwstr/>
  </property>
  <property fmtid="{D5CDD505-2E9C-101B-9397-08002B2CF9AE}" pid="996" name="IVID82B7A023">
    <vt:lpwstr/>
  </property>
  <property fmtid="{D5CDD505-2E9C-101B-9397-08002B2CF9AE}" pid="997" name="IVID8184A11">
    <vt:lpwstr/>
  </property>
  <property fmtid="{D5CDD505-2E9C-101B-9397-08002B2CF9AE}" pid="998" name="IVIDF65F353B">
    <vt:lpwstr/>
  </property>
  <property fmtid="{D5CDD505-2E9C-101B-9397-08002B2CF9AE}" pid="999" name="IVID4E1B563">
    <vt:lpwstr/>
  </property>
  <property fmtid="{D5CDD505-2E9C-101B-9397-08002B2CF9AE}" pid="1000" name="IVIDE489B2EB">
    <vt:lpwstr/>
  </property>
  <property fmtid="{D5CDD505-2E9C-101B-9397-08002B2CF9AE}" pid="1001" name="IVID1EBB5507">
    <vt:lpwstr/>
  </property>
  <property fmtid="{D5CDD505-2E9C-101B-9397-08002B2CF9AE}" pid="1002" name="IVID46FE2123">
    <vt:lpwstr/>
  </property>
  <property fmtid="{D5CDD505-2E9C-101B-9397-08002B2CF9AE}" pid="1003" name="IVIDF472DEAC">
    <vt:lpwstr/>
  </property>
  <property fmtid="{D5CDD505-2E9C-101B-9397-08002B2CF9AE}" pid="1004" name="IVIDFC6A7E39">
    <vt:lpwstr/>
  </property>
  <property fmtid="{D5CDD505-2E9C-101B-9397-08002B2CF9AE}" pid="1005" name="IVIDF8865E1E">
    <vt:lpwstr/>
  </property>
  <property fmtid="{D5CDD505-2E9C-101B-9397-08002B2CF9AE}" pid="1006" name="IVID277B24D">
    <vt:lpwstr/>
  </property>
  <property fmtid="{D5CDD505-2E9C-101B-9397-08002B2CF9AE}" pid="1007" name="IVID20867D1E">
    <vt:lpwstr/>
  </property>
  <property fmtid="{D5CDD505-2E9C-101B-9397-08002B2CF9AE}" pid="1008" name="IVIDDC10438A">
    <vt:lpwstr/>
  </property>
  <property fmtid="{D5CDD505-2E9C-101B-9397-08002B2CF9AE}" pid="1009" name="IVID1461D753">
    <vt:lpwstr/>
  </property>
  <property fmtid="{D5CDD505-2E9C-101B-9397-08002B2CF9AE}" pid="1010" name="IVIDC493D447">
    <vt:lpwstr/>
  </property>
  <property fmtid="{D5CDD505-2E9C-101B-9397-08002B2CF9AE}" pid="1011" name="IVID66DBB79">
    <vt:lpwstr/>
  </property>
  <property fmtid="{D5CDD505-2E9C-101B-9397-08002B2CF9AE}" pid="1012" name="IVID12E19B5E">
    <vt:lpwstr/>
  </property>
  <property fmtid="{D5CDD505-2E9C-101B-9397-08002B2CF9AE}" pid="1013" name="IVIDD02C6BCF">
    <vt:lpwstr/>
  </property>
  <property fmtid="{D5CDD505-2E9C-101B-9397-08002B2CF9AE}" pid="1014" name="IVIDE8B6A024">
    <vt:lpwstr/>
  </property>
  <property fmtid="{D5CDD505-2E9C-101B-9397-08002B2CF9AE}" pid="1015" name="IVIDC8F959B6">
    <vt:lpwstr/>
  </property>
  <property fmtid="{D5CDD505-2E9C-101B-9397-08002B2CF9AE}" pid="1016" name="IVIDC4CA0F31">
    <vt:lpwstr/>
  </property>
  <property fmtid="{D5CDD505-2E9C-101B-9397-08002B2CF9AE}" pid="1017" name="IVID504F252D">
    <vt:lpwstr/>
  </property>
  <property fmtid="{D5CDD505-2E9C-101B-9397-08002B2CF9AE}" pid="1018" name="IVID5A87DCAA">
    <vt:lpwstr/>
  </property>
  <property fmtid="{D5CDD505-2E9C-101B-9397-08002B2CF9AE}" pid="1019" name="IVID58CDE130">
    <vt:lpwstr/>
  </property>
  <property fmtid="{D5CDD505-2E9C-101B-9397-08002B2CF9AE}" pid="1020" name="IVIDC5807">
    <vt:lpwstr/>
  </property>
  <property fmtid="{D5CDD505-2E9C-101B-9397-08002B2CF9AE}" pid="1021" name="IVIDCC550">
    <vt:lpwstr/>
  </property>
  <property fmtid="{D5CDD505-2E9C-101B-9397-08002B2CF9AE}" pid="1022" name="IVID947E85C3">
    <vt:lpwstr/>
  </property>
  <property fmtid="{D5CDD505-2E9C-101B-9397-08002B2CF9AE}" pid="1023" name="IVID764EB2D3">
    <vt:lpwstr/>
  </property>
  <property fmtid="{D5CDD505-2E9C-101B-9397-08002B2CF9AE}" pid="1024" name="IVIDA84322A3">
    <vt:lpwstr/>
  </property>
  <property fmtid="{D5CDD505-2E9C-101B-9397-08002B2CF9AE}" pid="1025" name="IVIDACCBE766">
    <vt:lpwstr/>
  </property>
  <property fmtid="{D5CDD505-2E9C-101B-9397-08002B2CF9AE}" pid="1026" name="IVID861591E6">
    <vt:lpwstr/>
  </property>
  <property fmtid="{D5CDD505-2E9C-101B-9397-08002B2CF9AE}" pid="1027" name="IVID645A901C">
    <vt:lpwstr/>
  </property>
  <property fmtid="{D5CDD505-2E9C-101B-9397-08002B2CF9AE}" pid="1028" name="IVIDD6E63DAB">
    <vt:lpwstr/>
  </property>
  <property fmtid="{D5CDD505-2E9C-101B-9397-08002B2CF9AE}" pid="1029" name="IVID5672B16E">
    <vt:lpwstr/>
  </property>
  <property fmtid="{D5CDD505-2E9C-101B-9397-08002B2CF9AE}" pid="1030" name="IVID6A1868F3">
    <vt:lpwstr/>
  </property>
  <property fmtid="{D5CDD505-2E9C-101B-9397-08002B2CF9AE}" pid="1031" name="IVID9A98AE7F">
    <vt:lpwstr/>
  </property>
  <property fmtid="{D5CDD505-2E9C-101B-9397-08002B2CF9AE}" pid="1032" name="ICV">
    <vt:lpwstr>543BCF3EF000491E96D523FACD4A675E_12</vt:lpwstr>
  </property>
</Properties>
</file>